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Types.xml" ContentType="application/vnd.ms-excel.rdrichvaluetypes+xml"/>
  <Override PartName="/xl/persons/person.xml" ContentType="application/vnd.ms-excel.person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esktop\"/>
    </mc:Choice>
  </mc:AlternateContent>
  <xr:revisionPtr revIDLastSave="0" documentId="13_ncr:1_{F3F005CB-37FA-4B09-B58E-2071DC33FDD9}" xr6:coauthVersionLast="47" xr6:coauthVersionMax="47" xr10:uidLastSave="{00000000-0000-0000-0000-000000000000}"/>
  <bookViews>
    <workbookView xWindow="34305" yWindow="1650" windowWidth="21915" windowHeight="1092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Risk" sheetId="13" r:id="rId5"/>
    <sheet name="Timing" sheetId="56" r:id="rId6"/>
    <sheet name="Commodities" sheetId="52" r:id="rId7"/>
    <sheet name="Monthly Returns" sheetId="5" r:id="rId8"/>
    <sheet name="Yearly returns" sheetId="15" r:id="rId9"/>
    <sheet name="Factset Price Data" sheetId="61" r:id="rId10"/>
    <sheet name="Chart1" sheetId="36" state="hidden" r:id="rId11"/>
  </sheets>
  <definedNames>
    <definedName name="_xlnm._FilterDatabase" localSheetId="3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60" l="1"/>
  <c r="Q6" i="61" a="1"/>
  <c r="K6" i="61" a="1"/>
  <c r="E6" i="61" a="1"/>
  <c r="M2" i="15" a="1"/>
  <c r="G2" i="15" a="1"/>
  <c r="A2" i="15" a="1"/>
  <c r="J2" i="5" a="1"/>
  <c r="D2" i="5" a="1"/>
  <c r="P6" i="61" a="1"/>
  <c r="J6" i="61" a="1"/>
  <c r="D6" i="61" a="1"/>
  <c r="L2" i="15" a="1"/>
  <c r="F2" i="15" a="1"/>
  <c r="O2" i="5" a="1"/>
  <c r="I2" i="5" a="1"/>
  <c r="O6" i="61" a="1"/>
  <c r="I6" i="61" a="1"/>
  <c r="C6" i="61" a="1"/>
  <c r="K2" i="15" a="1"/>
  <c r="N6" i="61" a="1"/>
  <c r="H6" i="61" a="1"/>
  <c r="B6" i="61" a="1"/>
  <c r="J2" i="15" a="1"/>
  <c r="D2" i="15" a="1"/>
  <c r="M2" i="5" a="1"/>
  <c r="G2" i="5" a="1"/>
  <c r="A2" i="5" a="1"/>
  <c r="M6" i="61" a="1"/>
  <c r="G6" i="61" a="1"/>
  <c r="O2" i="15" a="1"/>
  <c r="I2" i="15" a="1"/>
  <c r="C2" i="15" a="1"/>
  <c r="L2" i="5" a="1"/>
  <c r="F2" i="5" a="1"/>
  <c r="L6" i="61" a="1"/>
  <c r="J18" i="52" a="1"/>
  <c r="F17" i="52" a="1"/>
  <c r="J7" i="52" a="1"/>
  <c r="F6" i="52" a="1"/>
  <c r="J4" i="52" a="1"/>
  <c r="F3" i="52" a="1"/>
  <c r="V15" i="56" a="1"/>
  <c r="V12" i="56" a="1"/>
  <c r="V9" i="56" a="1"/>
  <c r="V6" i="56" a="1"/>
  <c r="J16" i="56" a="1"/>
  <c r="J13" i="56" a="1"/>
  <c r="J10" i="56" a="1"/>
  <c r="J7" i="56" a="1"/>
  <c r="C26" i="56" a="1"/>
  <c r="B9" i="56" a="1"/>
  <c r="C9" i="13" a="1"/>
  <c r="P26" i="12" a="1"/>
  <c r="R23" i="12" a="1"/>
  <c r="Q18" i="12" a="1"/>
  <c r="O14" i="12" a="1"/>
  <c r="Q11" i="12" a="1"/>
  <c r="R8" i="12" a="1"/>
  <c r="P6" i="12" a="1"/>
  <c r="R3" i="12" a="1"/>
  <c r="K22" i="12" a="1"/>
  <c r="M18" i="12" a="1"/>
  <c r="F6" i="61" a="1"/>
  <c r="I18" i="52" a="1"/>
  <c r="E17" i="52" a="1"/>
  <c r="I7" i="52" a="1"/>
  <c r="E6" i="52" a="1"/>
  <c r="I4" i="52" a="1"/>
  <c r="E3" i="52" a="1"/>
  <c r="U15" i="56" a="1"/>
  <c r="U12" i="56" a="1"/>
  <c r="U9" i="56" a="1"/>
  <c r="U6" i="56" a="1"/>
  <c r="I16" i="56" a="1"/>
  <c r="I13" i="56" a="1"/>
  <c r="I10" i="56" a="1"/>
  <c r="I7" i="56" a="1"/>
  <c r="C25" i="56" a="1"/>
  <c r="B8" i="56" a="1"/>
  <c r="C8" i="13" a="1"/>
  <c r="O26" i="12" a="1"/>
  <c r="Q23" i="12" a="1"/>
  <c r="O21" i="12" a="1"/>
  <c r="P18" i="12" a="1"/>
  <c r="R13" i="12" a="1"/>
  <c r="P11" i="12" a="1"/>
  <c r="O6" i="12" a="1"/>
  <c r="Q3" i="12" a="1"/>
  <c r="L25" i="12" a="1"/>
  <c r="M21" i="12" a="1"/>
  <c r="L18" i="12" a="1"/>
  <c r="K13" i="12" a="1"/>
  <c r="K6" i="12" a="1"/>
  <c r="G27" i="12" a="1"/>
  <c r="F24" i="12" a="1"/>
  <c r="G20" i="12" a="1"/>
  <c r="E18" i="12" a="1"/>
  <c r="G12" i="12" a="1"/>
  <c r="E10" i="12" a="1"/>
  <c r="G6" i="12" a="1"/>
  <c r="E4" i="12" a="1"/>
  <c r="B9" i="12" a="1"/>
  <c r="G14" i="60" a="1"/>
  <c r="G12" i="60" a="1"/>
  <c r="F9" i="60" a="1"/>
  <c r="H7" i="60" a="1"/>
  <c r="F6" i="60" a="1"/>
  <c r="H4" i="60" a="1"/>
  <c r="F3" i="60" a="1"/>
  <c r="R7" i="12" a="1"/>
  <c r="H8" i="60" a="1"/>
  <c r="N2" i="15" a="1"/>
  <c r="H18" i="52" a="1"/>
  <c r="D17" i="52" a="1"/>
  <c r="H7" i="52" a="1"/>
  <c r="D6" i="52" a="1"/>
  <c r="H4" i="52" a="1"/>
  <c r="D3" i="52" a="1"/>
  <c r="T15" i="56" a="1"/>
  <c r="T12" i="56" a="1"/>
  <c r="T9" i="56" a="1"/>
  <c r="T6" i="56" a="1"/>
  <c r="H16" i="56" a="1"/>
  <c r="H13" i="56" a="1"/>
  <c r="H10" i="56" a="1"/>
  <c r="H7" i="56" a="1"/>
  <c r="C24" i="56" a="1"/>
  <c r="B7" i="56" a="1"/>
  <c r="C7" i="13" a="1"/>
  <c r="R25" i="12" a="1"/>
  <c r="P23" i="12" a="1"/>
  <c r="R20" i="12" a="1"/>
  <c r="Q13" i="12" a="1"/>
  <c r="O11" i="12" a="1"/>
  <c r="Q8" i="12" a="1"/>
  <c r="R5" i="12" a="1"/>
  <c r="P3" i="12" a="1"/>
  <c r="K25" i="12" a="1"/>
  <c r="K18" i="12" a="1"/>
  <c r="M12" i="12" a="1"/>
  <c r="L9" i="12" a="1"/>
  <c r="M5" i="12" a="1"/>
  <c r="F27" i="12" a="1"/>
  <c r="E24" i="12" a="1"/>
  <c r="G15" i="12" a="1"/>
  <c r="G9" i="12" a="1"/>
  <c r="G3" i="12" a="1"/>
  <c r="F14" i="60" a="1"/>
  <c r="H10" i="60" a="1"/>
  <c r="O23" i="12" a="1"/>
  <c r="O18" i="12" a="1"/>
  <c r="E27" i="12" a="1"/>
  <c r="G23" i="12" a="1"/>
  <c r="F20" i="12" a="1"/>
  <c r="F15" i="12" a="1"/>
  <c r="F12" i="12" a="1"/>
  <c r="F9" i="12" a="1"/>
  <c r="F6" i="12" a="1"/>
  <c r="F3" i="12" a="1"/>
  <c r="B8" i="12" a="1"/>
  <c r="F12" i="60" a="1"/>
  <c r="G4" i="60" a="1"/>
  <c r="E3" i="60" a="1"/>
  <c r="C16" i="13" a="1"/>
  <c r="O20" i="12" a="1"/>
  <c r="Q15" i="12" a="1"/>
  <c r="O13" i="12" a="1"/>
  <c r="K24" i="12" a="1"/>
  <c r="L8" i="12" a="1"/>
  <c r="E23" i="12" a="1"/>
  <c r="B15" i="12" a="1"/>
  <c r="F10" i="60" a="1"/>
  <c r="H2" i="15" a="1"/>
  <c r="G18" i="52" a="1"/>
  <c r="C17" i="52" a="1"/>
  <c r="G7" i="52" a="1"/>
  <c r="C6" i="52" a="1"/>
  <c r="G4" i="52" a="1"/>
  <c r="C3" i="52" a="1"/>
  <c r="S15" i="56" a="1"/>
  <c r="S12" i="56" a="1"/>
  <c r="S9" i="56" a="1"/>
  <c r="S6" i="56" a="1"/>
  <c r="G16" i="56" a="1"/>
  <c r="G13" i="56" a="1"/>
  <c r="G10" i="56" a="1"/>
  <c r="G7" i="56" a="1"/>
  <c r="C23" i="56" a="1"/>
  <c r="B6" i="56" a="1"/>
  <c r="C6" i="13" a="1"/>
  <c r="Q20" i="12" a="1"/>
  <c r="P13" i="12" a="1"/>
  <c r="R10" i="12" a="1"/>
  <c r="P8" i="12" a="1"/>
  <c r="O3" i="12" a="1"/>
  <c r="M24" i="12" a="1"/>
  <c r="L21" i="12" a="1"/>
  <c r="M15" i="12" a="1"/>
  <c r="L12" i="12" a="1"/>
  <c r="K9" i="12" a="1"/>
  <c r="E14" i="60" a="1"/>
  <c r="G10" i="60" a="1"/>
  <c r="E9" i="60" a="1"/>
  <c r="G7" i="60" a="1"/>
  <c r="E6" i="60" a="1"/>
  <c r="B16" i="56" a="1"/>
  <c r="P25" i="12" a="1"/>
  <c r="P5" i="12" a="1"/>
  <c r="L15" i="12" a="1"/>
  <c r="E20" i="12" a="1"/>
  <c r="G8" i="12" a="1"/>
  <c r="G13" i="60" a="1"/>
  <c r="E2" i="15" a="1"/>
  <c r="F18" i="52" a="1"/>
  <c r="J8" i="52" a="1"/>
  <c r="F7" i="52" a="1"/>
  <c r="J5" i="52" a="1"/>
  <c r="F4" i="52" a="1"/>
  <c r="V17" i="56" a="1"/>
  <c r="V14" i="56" a="1"/>
  <c r="V11" i="56" a="1"/>
  <c r="V8" i="56" a="1"/>
  <c r="V5" i="56" a="1"/>
  <c r="J15" i="56" a="1"/>
  <c r="J12" i="56" a="1"/>
  <c r="J9" i="56" a="1"/>
  <c r="J6" i="56" a="1"/>
  <c r="B17" i="56" a="1"/>
  <c r="B5" i="56" a="1"/>
  <c r="C5" i="13" a="1"/>
  <c r="Q25" i="12" a="1"/>
  <c r="R22" i="12" a="1"/>
  <c r="P20" i="12" a="1"/>
  <c r="R15" i="12" a="1"/>
  <c r="Q10" i="12" a="1"/>
  <c r="O8" i="12" a="1"/>
  <c r="Q5" i="12" a="1"/>
  <c r="M27" i="12" a="1"/>
  <c r="L24" i="12" a="1"/>
  <c r="K21" i="12" a="1"/>
  <c r="K12" i="12" a="1"/>
  <c r="M8" i="12" a="1"/>
  <c r="L5" i="12" a="1"/>
  <c r="G26" i="12" a="1"/>
  <c r="F23" i="12" a="1"/>
  <c r="E15" i="12" a="1"/>
  <c r="E9" i="12" a="1"/>
  <c r="E3" i="12" a="1"/>
  <c r="H13" i="60" a="1"/>
  <c r="E12" i="60" a="1"/>
  <c r="U5" i="56" a="1"/>
  <c r="I15" i="56" a="1"/>
  <c r="I12" i="56" a="1"/>
  <c r="I9" i="56" a="1"/>
  <c r="I6" i="56" a="1"/>
  <c r="C4" i="13" a="1"/>
  <c r="P10" i="12" a="1"/>
  <c r="K5" i="12" a="1"/>
  <c r="G14" i="12" a="1"/>
  <c r="F7" i="60" a="1"/>
  <c r="B2" i="15" a="1"/>
  <c r="E18" i="52" a="1"/>
  <c r="I8" i="52" a="1"/>
  <c r="E7" i="52" a="1"/>
  <c r="I5" i="52" a="1"/>
  <c r="E4" i="52" a="1"/>
  <c r="U17" i="56" a="1"/>
  <c r="U14" i="56" a="1"/>
  <c r="U11" i="56" a="1"/>
  <c r="U8" i="56" a="1"/>
  <c r="N2" i="5" a="1"/>
  <c r="D18" i="52" a="1"/>
  <c r="H8" i="52" a="1"/>
  <c r="D7" i="52" a="1"/>
  <c r="H5" i="52" a="1"/>
  <c r="D4" i="52" a="1"/>
  <c r="T17" i="56" a="1"/>
  <c r="T14" i="56" a="1"/>
  <c r="T11" i="56" a="1"/>
  <c r="T8" i="56" a="1"/>
  <c r="T5" i="56" a="1"/>
  <c r="H15" i="56" a="1"/>
  <c r="H12" i="56" a="1"/>
  <c r="H9" i="56" a="1"/>
  <c r="H6" i="56" a="1"/>
  <c r="B15" i="56" a="1"/>
  <c r="C15" i="13" a="1"/>
  <c r="R27" i="12" a="1"/>
  <c r="O25" i="12" a="1"/>
  <c r="Q22" i="12" a="1"/>
  <c r="R19" i="12" a="1"/>
  <c r="P15" i="12" a="1"/>
  <c r="R12" i="12" a="1"/>
  <c r="Q7" i="12" a="1"/>
  <c r="O5" i="12" a="1"/>
  <c r="L27" i="12" a="1"/>
  <c r="M23" i="12" a="1"/>
  <c r="L20" i="12" a="1"/>
  <c r="K15" i="12" a="1"/>
  <c r="K8" i="12" a="1"/>
  <c r="M4" i="12" a="1"/>
  <c r="F26" i="12" a="1"/>
  <c r="G22" i="12" a="1"/>
  <c r="G19" i="12" a="1"/>
  <c r="G11" i="12" a="1"/>
  <c r="G5" i="12" a="1"/>
  <c r="B6" i="12" a="1"/>
  <c r="H11" i="60" a="1"/>
  <c r="E19" i="12" a="1"/>
  <c r="B4" i="12" a="1"/>
  <c r="F25" i="12" a="1"/>
  <c r="E8" i="12" a="1"/>
  <c r="B3" i="12" a="1"/>
  <c r="F8" i="60" a="1"/>
  <c r="H6" i="60" a="1"/>
  <c r="F5" i="60" a="1"/>
  <c r="K26" i="12" a="1"/>
  <c r="L10" i="12" a="1"/>
  <c r="B12" i="12" a="1"/>
  <c r="F11" i="60" a="1"/>
  <c r="S7" i="56" a="1"/>
  <c r="C10" i="13" a="1"/>
  <c r="P14" i="12" a="1"/>
  <c r="M25" i="12" a="1"/>
  <c r="M6" i="12" a="1"/>
  <c r="F13" i="12" a="1"/>
  <c r="F4" i="12" a="1"/>
  <c r="H14" i="60" a="1"/>
  <c r="G9" i="60" a="1"/>
  <c r="E8" i="60" a="1"/>
  <c r="E5" i="60" a="1"/>
  <c r="G3" i="60" a="1"/>
  <c r="M9" i="12" a="1"/>
  <c r="K3" i="12" a="1"/>
  <c r="E13" i="12" a="1"/>
  <c r="E7" i="12" a="1"/>
  <c r="E11" i="60" a="1"/>
  <c r="M20" i="12" a="1"/>
  <c r="E12" i="12" a="1"/>
  <c r="B7" i="12" a="1"/>
  <c r="K2" i="5" a="1"/>
  <c r="C18" i="52" a="1"/>
  <c r="G8" i="52" a="1"/>
  <c r="C7" i="52" a="1"/>
  <c r="G5" i="52" a="1"/>
  <c r="C4" i="52" a="1"/>
  <c r="S17" i="56" a="1"/>
  <c r="S14" i="56" a="1"/>
  <c r="S11" i="56" a="1"/>
  <c r="S8" i="56" a="1"/>
  <c r="S5" i="56" a="1"/>
  <c r="G15" i="56" a="1"/>
  <c r="G12" i="56" a="1"/>
  <c r="G9" i="56" a="1"/>
  <c r="G6" i="56" a="1"/>
  <c r="B14" i="56" a="1"/>
  <c r="C14" i="13" a="1"/>
  <c r="Q27" i="12" a="1"/>
  <c r="R24" i="12" a="1"/>
  <c r="P22" i="12" a="1"/>
  <c r="O15" i="12" a="1"/>
  <c r="Q12" i="12" a="1"/>
  <c r="O10" i="12" a="1"/>
  <c r="P7" i="12" a="1"/>
  <c r="R4" i="12" a="1"/>
  <c r="K27" i="12" a="1"/>
  <c r="K20" i="12" a="1"/>
  <c r="M14" i="12" a="1"/>
  <c r="L11" i="12" a="1"/>
  <c r="M7" i="12" a="1"/>
  <c r="L4" i="12" a="1"/>
  <c r="E26" i="12" a="1"/>
  <c r="F19" i="12" a="1"/>
  <c r="F14" i="12" a="1"/>
  <c r="F11" i="12" a="1"/>
  <c r="F8" i="12" a="1"/>
  <c r="F5" i="12" a="1"/>
  <c r="B14" i="12" a="1"/>
  <c r="B5" i="12" a="1"/>
  <c r="F13" i="60" a="1"/>
  <c r="E10" i="60" a="1"/>
  <c r="G8" i="60" a="1"/>
  <c r="E7" i="60" a="1"/>
  <c r="G5" i="60" a="1"/>
  <c r="E4" i="60" a="1"/>
  <c r="E5" i="12" a="1"/>
  <c r="P4" i="12" a="1"/>
  <c r="L7" i="12" a="1"/>
  <c r="G18" i="12" a="1"/>
  <c r="E14" i="12" a="1"/>
  <c r="G10" i="12" a="1"/>
  <c r="G4" i="12" a="1"/>
  <c r="B13" i="12" a="1"/>
  <c r="E13" i="60" a="1"/>
  <c r="H3" i="60" a="1"/>
  <c r="L19" i="12" a="1"/>
  <c r="E25" i="12" a="1"/>
  <c r="G7" i="12" a="1"/>
  <c r="S10" i="56" a="1"/>
  <c r="G8" i="56" a="1"/>
  <c r="B10" i="56" a="1"/>
  <c r="O24" i="12" a="1"/>
  <c r="R18" i="12" a="1"/>
  <c r="Q6" i="12" a="1"/>
  <c r="O4" i="12" a="1"/>
  <c r="L22" i="12" a="1"/>
  <c r="K10" i="12" a="1"/>
  <c r="G24" i="12" a="1"/>
  <c r="F21" i="12" a="1"/>
  <c r="F18" i="12" a="1"/>
  <c r="F10" i="12" a="1"/>
  <c r="B11" i="12" a="1"/>
  <c r="H12" i="60" a="1"/>
  <c r="G6" i="60" a="1"/>
  <c r="L13" i="12" a="1"/>
  <c r="L6" i="12" a="1"/>
  <c r="E21" i="12" a="1"/>
  <c r="B10" i="12" a="1"/>
  <c r="M11" i="12" a="1"/>
  <c r="E6" i="12" a="1"/>
  <c r="F4" i="60" a="1"/>
  <c r="H2" i="5" a="1"/>
  <c r="J17" i="52" a="1"/>
  <c r="F8" i="52" a="1"/>
  <c r="J6" i="52" a="1"/>
  <c r="F5" i="52" a="1"/>
  <c r="J3" i="52" a="1"/>
  <c r="V16" i="56" a="1"/>
  <c r="V13" i="56" a="1"/>
  <c r="V10" i="56" a="1"/>
  <c r="V7" i="56" a="1"/>
  <c r="J17" i="56" a="1"/>
  <c r="J14" i="56" a="1"/>
  <c r="J11" i="56" a="1"/>
  <c r="J8" i="56" a="1"/>
  <c r="J5" i="56" a="1"/>
  <c r="B13" i="56" a="1"/>
  <c r="C13" i="13" a="1"/>
  <c r="P27" i="12" a="1"/>
  <c r="Q24" i="12" a="1"/>
  <c r="O22" i="12" a="1"/>
  <c r="Q19" i="12" a="1"/>
  <c r="R14" i="12" a="1"/>
  <c r="P12" i="12" a="1"/>
  <c r="R9" i="12" a="1"/>
  <c r="Q4" i="12" a="1"/>
  <c r="M26" i="12" a="1"/>
  <c r="L23" i="12" a="1"/>
  <c r="M19" i="12" a="1"/>
  <c r="L14" i="12" a="1"/>
  <c r="K11" i="12" a="1"/>
  <c r="K4" i="12" a="1"/>
  <c r="G25" i="12" a="1"/>
  <c r="F22" i="12" a="1"/>
  <c r="E11" i="12" a="1"/>
  <c r="G11" i="60" a="1"/>
  <c r="O12" i="12" a="1"/>
  <c r="Q9" i="12" a="1"/>
  <c r="O7" i="12" a="1"/>
  <c r="K23" i="12" a="1"/>
  <c r="K14" i="12" a="1"/>
  <c r="M10" i="12" a="1"/>
  <c r="M3" i="12" a="1"/>
  <c r="H9" i="60" a="1"/>
  <c r="M13" i="12" a="1"/>
  <c r="G13" i="12" a="1"/>
  <c r="S13" i="56" a="1"/>
  <c r="E2" i="5" a="1"/>
  <c r="I17" i="52" a="1"/>
  <c r="E8" i="52" a="1"/>
  <c r="I6" i="52" a="1"/>
  <c r="E5" i="52" a="1"/>
  <c r="I3" i="52" a="1"/>
  <c r="U16" i="56" a="1"/>
  <c r="U13" i="56" a="1"/>
  <c r="U10" i="56" a="1"/>
  <c r="U7" i="56" a="1"/>
  <c r="I17" i="56" a="1"/>
  <c r="I14" i="56" a="1"/>
  <c r="I11" i="56" a="1"/>
  <c r="I8" i="56" a="1"/>
  <c r="I5" i="56" a="1"/>
  <c r="B12" i="56" a="1"/>
  <c r="C12" i="13" a="1"/>
  <c r="O27" i="12" a="1"/>
  <c r="P24" i="12" a="1"/>
  <c r="R21" i="12" a="1"/>
  <c r="P19" i="12" a="1"/>
  <c r="L26" i="12" a="1"/>
  <c r="E22" i="12" a="1"/>
  <c r="G14" i="56" a="1"/>
  <c r="G5" i="56" a="1"/>
  <c r="Q26" i="12" a="1"/>
  <c r="P21" i="12" a="1"/>
  <c r="O9" i="12" a="1"/>
  <c r="K19" i="12" a="1"/>
  <c r="L3" i="12" a="1"/>
  <c r="H5" i="60" a="1"/>
  <c r="C2" i="5" a="1"/>
  <c r="H17" i="52" a="1"/>
  <c r="D8" i="52" a="1"/>
  <c r="H6" i="52" a="1"/>
  <c r="D5" i="52" a="1"/>
  <c r="H3" i="52" a="1"/>
  <c r="T16" i="56" a="1"/>
  <c r="T13" i="56" a="1"/>
  <c r="T10" i="56" a="1"/>
  <c r="T7" i="56" a="1"/>
  <c r="H17" i="56" a="1"/>
  <c r="H14" i="56" a="1"/>
  <c r="H11" i="56" a="1"/>
  <c r="H8" i="56" a="1"/>
  <c r="H5" i="56" a="1"/>
  <c r="B11" i="56" a="1"/>
  <c r="C11" i="13" a="1"/>
  <c r="R26" i="12" a="1"/>
  <c r="Q21" i="12" a="1"/>
  <c r="O19" i="12" a="1"/>
  <c r="Q14" i="12" a="1"/>
  <c r="R11" i="12" a="1"/>
  <c r="P9" i="12" a="1"/>
  <c r="R6" i="12" a="1"/>
  <c r="M22" i="12" a="1"/>
  <c r="K7" i="12" a="1"/>
  <c r="G21" i="12" a="1"/>
  <c r="G17" i="56" a="1"/>
  <c r="G11" i="56" a="1"/>
  <c r="F7" i="12" a="1"/>
  <c r="B2" i="5" a="1"/>
  <c r="G17" i="52" a="1"/>
  <c r="C8" i="52" a="1"/>
  <c r="G6" i="52" a="1"/>
  <c r="C5" i="52" a="1"/>
  <c r="G3" i="52" a="1"/>
  <c r="S16" i="56" a="1"/>
  <c r="S16" i="56" l="1"/>
  <c r="G3" i="52"/>
  <c r="C5" i="52"/>
  <c r="G6" i="52"/>
  <c r="C8" i="52"/>
  <c r="G17" i="52"/>
  <c r="B2" i="5"/>
  <c r="F7" i="12"/>
  <c r="G11" i="56"/>
  <c r="G17" i="56"/>
  <c r="G21" i="12"/>
  <c r="K7" i="12"/>
  <c r="M22" i="12"/>
  <c r="R6" i="12"/>
  <c r="P9" i="12"/>
  <c r="R11" i="12"/>
  <c r="Q14" i="12"/>
  <c r="O19" i="12"/>
  <c r="Q21" i="12"/>
  <c r="R26" i="12"/>
  <c r="C11" i="13"/>
  <c r="B11" i="56"/>
  <c r="H5" i="56"/>
  <c r="H8" i="56"/>
  <c r="H11" i="56"/>
  <c r="H14" i="56"/>
  <c r="H17" i="56"/>
  <c r="T7" i="56"/>
  <c r="T10" i="56"/>
  <c r="T13" i="56"/>
  <c r="T16" i="56"/>
  <c r="H3" i="52"/>
  <c r="D5" i="52"/>
  <c r="H6" i="52"/>
  <c r="D8" i="52"/>
  <c r="H17" i="52"/>
  <c r="C2" i="5"/>
  <c r="H5" i="60"/>
  <c r="L3" i="12"/>
  <c r="K19" i="12"/>
  <c r="O9" i="12"/>
  <c r="P21" i="12"/>
  <c r="Q26" i="12"/>
  <c r="G5" i="56"/>
  <c r="G14" i="56"/>
  <c r="E22" i="12"/>
  <c r="L26" i="12"/>
  <c r="P19" i="12"/>
  <c r="R21" i="12"/>
  <c r="P24" i="12"/>
  <c r="O27" i="12"/>
  <c r="C12" i="13"/>
  <c r="B12" i="56"/>
  <c r="I5" i="56"/>
  <c r="I8" i="56"/>
  <c r="I11" i="56"/>
  <c r="I14" i="56"/>
  <c r="I17" i="56"/>
  <c r="U7" i="56"/>
  <c r="U10" i="56"/>
  <c r="U13" i="56"/>
  <c r="U16" i="56"/>
  <c r="I3" i="52"/>
  <c r="E5" i="52"/>
  <c r="I6" i="52"/>
  <c r="E8" i="52"/>
  <c r="I17" i="52"/>
  <c r="E2" i="5"/>
  <c r="S13" i="56"/>
  <c r="G13" i="12"/>
  <c r="M13" i="12"/>
  <c r="H9" i="60"/>
  <c r="M3" i="12"/>
  <c r="M10" i="12"/>
  <c r="K14" i="12"/>
  <c r="K23" i="12"/>
  <c r="O7" i="12"/>
  <c r="Q9" i="12"/>
  <c r="O12" i="12"/>
  <c r="G11" i="60"/>
  <c r="E11" i="12"/>
  <c r="F22" i="12"/>
  <c r="G25" i="12"/>
  <c r="K4" i="12"/>
  <c r="K11" i="12"/>
  <c r="L14" i="12"/>
  <c r="M19" i="12"/>
  <c r="L23" i="12"/>
  <c r="M26" i="12"/>
  <c r="Q4" i="12"/>
  <c r="R9" i="12"/>
  <c r="P12" i="12"/>
  <c r="R14" i="12"/>
  <c r="Q19" i="12"/>
  <c r="O22" i="12"/>
  <c r="Q24" i="12"/>
  <c r="P27" i="12"/>
  <c r="C13" i="13"/>
  <c r="B13" i="56"/>
  <c r="J5" i="56"/>
  <c r="J8" i="56"/>
  <c r="J11" i="56"/>
  <c r="J14" i="56"/>
  <c r="J17" i="56"/>
  <c r="V7" i="56"/>
  <c r="V10" i="56"/>
  <c r="V13" i="56"/>
  <c r="V16" i="56"/>
  <c r="J3" i="52"/>
  <c r="F5" i="52"/>
  <c r="J6" i="52"/>
  <c r="F8" i="52"/>
  <c r="J17" i="52"/>
  <c r="H2" i="5"/>
  <c r="F4" i="60"/>
  <c r="E6" i="12"/>
  <c r="M11" i="12"/>
  <c r="B10" i="12"/>
  <c r="E21" i="12"/>
  <c r="L6" i="12"/>
  <c r="L13" i="12"/>
  <c r="G6" i="60"/>
  <c r="H12" i="60"/>
  <c r="B11" i="12"/>
  <c r="F10" i="12"/>
  <c r="F18" i="12"/>
  <c r="F21" i="12"/>
  <c r="G24" i="12"/>
  <c r="K10" i="12"/>
  <c r="L22" i="12"/>
  <c r="O4" i="12"/>
  <c r="Q6" i="12"/>
  <c r="R18" i="12"/>
  <c r="O24" i="12"/>
  <c r="B10" i="56"/>
  <c r="G8" i="56"/>
  <c r="S10" i="56"/>
  <c r="G7" i="12"/>
  <c r="E25" i="12"/>
  <c r="L19" i="12"/>
  <c r="H3" i="60"/>
  <c r="E13" i="60"/>
  <c r="B13" i="12"/>
  <c r="G4" i="12"/>
  <c r="G10" i="12"/>
  <c r="E14" i="12"/>
  <c r="G18" i="12"/>
  <c r="L7" i="12"/>
  <c r="P4" i="12"/>
  <c r="E5" i="12"/>
  <c r="E4" i="60"/>
  <c r="G5" i="60"/>
  <c r="E7" i="60"/>
  <c r="G8" i="60"/>
  <c r="E10" i="60"/>
  <c r="F13" i="60"/>
  <c r="B5" i="12"/>
  <c r="B14" i="12"/>
  <c r="F5" i="12"/>
  <c r="F8" i="12"/>
  <c r="F11" i="12"/>
  <c r="F14" i="12"/>
  <c r="F19" i="12"/>
  <c r="E26" i="12"/>
  <c r="L4" i="12"/>
  <c r="M7" i="12"/>
  <c r="L11" i="12"/>
  <c r="M14" i="12"/>
  <c r="K20" i="12"/>
  <c r="K27" i="12"/>
  <c r="R4" i="12"/>
  <c r="P7" i="12"/>
  <c r="O10" i="12"/>
  <c r="Q12" i="12"/>
  <c r="O15" i="12"/>
  <c r="P22" i="12"/>
  <c r="R24" i="12"/>
  <c r="Q27" i="12"/>
  <c r="C14" i="13"/>
  <c r="B14" i="56"/>
  <c r="G6" i="56"/>
  <c r="G9" i="56"/>
  <c r="G12" i="56"/>
  <c r="G15" i="56"/>
  <c r="S5" i="56"/>
  <c r="S8" i="56"/>
  <c r="S11" i="56"/>
  <c r="S14" i="56"/>
  <c r="S17" i="56"/>
  <c r="C4" i="52"/>
  <c r="G5" i="52"/>
  <c r="C7" i="52"/>
  <c r="G8" i="52"/>
  <c r="C18" i="52"/>
  <c r="K2" i="5"/>
  <c r="B7" i="12"/>
  <c r="E12" i="12"/>
  <c r="M20" i="12"/>
  <c r="E11" i="60"/>
  <c r="E7" i="12"/>
  <c r="E13" i="12"/>
  <c r="K3" i="12"/>
  <c r="M9" i="12"/>
  <c r="G3" i="60"/>
  <c r="E5" i="60"/>
  <c r="E8" i="60"/>
  <c r="G9" i="60"/>
  <c r="H14" i="60"/>
  <c r="F4" i="12"/>
  <c r="F13" i="12"/>
  <c r="M6" i="12"/>
  <c r="M25" i="12"/>
  <c r="P14" i="12"/>
  <c r="C10" i="13"/>
  <c r="S7" i="56"/>
  <c r="F11" i="60"/>
  <c r="B12" i="12"/>
  <c r="L10" i="12"/>
  <c r="K26" i="12"/>
  <c r="F5" i="60"/>
  <c r="H6" i="60"/>
  <c r="F8" i="60"/>
  <c r="B3" i="12"/>
  <c r="E8" i="12"/>
  <c r="F25" i="12"/>
  <c r="B4" i="12"/>
  <c r="E19" i="12"/>
  <c r="H11" i="60"/>
  <c r="B6" i="12"/>
  <c r="G5" i="12"/>
  <c r="G11" i="12"/>
  <c r="G19" i="12"/>
  <c r="G22" i="12"/>
  <c r="F26" i="12"/>
  <c r="M4" i="12"/>
  <c r="K8" i="12"/>
  <c r="K15" i="12"/>
  <c r="L20" i="12"/>
  <c r="M23" i="12"/>
  <c r="L27" i="12"/>
  <c r="O5" i="12"/>
  <c r="Q7" i="12"/>
  <c r="R12" i="12"/>
  <c r="P15" i="12"/>
  <c r="R19" i="12"/>
  <c r="Q22" i="12"/>
  <c r="O25" i="12"/>
  <c r="R27" i="12"/>
  <c r="C15" i="13"/>
  <c r="B15" i="56"/>
  <c r="H6" i="56"/>
  <c r="H9" i="56"/>
  <c r="H12" i="56"/>
  <c r="H15" i="56"/>
  <c r="T5" i="56"/>
  <c r="T8" i="56"/>
  <c r="T11" i="56"/>
  <c r="T14" i="56"/>
  <c r="T17" i="56"/>
  <c r="D4" i="52"/>
  <c r="H5" i="52"/>
  <c r="D7" i="52"/>
  <c r="H8" i="52"/>
  <c r="D18" i="52"/>
  <c r="N2" i="5"/>
  <c r="U8" i="56"/>
  <c r="U11" i="56"/>
  <c r="U14" i="56"/>
  <c r="U17" i="56"/>
  <c r="E4" i="52"/>
  <c r="I5" i="52"/>
  <c r="E7" i="52"/>
  <c r="I8" i="52"/>
  <c r="E18" i="52"/>
  <c r="B2" i="15"/>
  <c r="F7" i="60"/>
  <c r="G14" i="12"/>
  <c r="K5" i="12"/>
  <c r="P10" i="12"/>
  <c r="C4" i="13"/>
  <c r="I6" i="56"/>
  <c r="I9" i="56"/>
  <c r="I12" i="56"/>
  <c r="I15" i="56"/>
  <c r="U5" i="56"/>
  <c r="E12" i="60"/>
  <c r="H13" i="60"/>
  <c r="K13" i="60" s="1"/>
  <c r="E3" i="12"/>
  <c r="E9" i="12"/>
  <c r="E15" i="12"/>
  <c r="F23" i="12"/>
  <c r="G26" i="12"/>
  <c r="L5" i="12"/>
  <c r="M8" i="12"/>
  <c r="K12" i="12"/>
  <c r="K21" i="12"/>
  <c r="L24" i="12"/>
  <c r="M27" i="12"/>
  <c r="Q5" i="12"/>
  <c r="O8" i="12"/>
  <c r="Q10" i="12"/>
  <c r="R15" i="12"/>
  <c r="P20" i="12"/>
  <c r="R22" i="12"/>
  <c r="Q25" i="12"/>
  <c r="C5" i="13"/>
  <c r="B5" i="56"/>
  <c r="B17" i="56"/>
  <c r="J6" i="56"/>
  <c r="J9" i="56"/>
  <c r="J12" i="56"/>
  <c r="J15" i="56"/>
  <c r="V5" i="56"/>
  <c r="V8" i="56"/>
  <c r="V11" i="56"/>
  <c r="V14" i="56"/>
  <c r="V17" i="56"/>
  <c r="F4" i="52"/>
  <c r="J5" i="52"/>
  <c r="F7" i="52"/>
  <c r="J8" i="52"/>
  <c r="F18" i="52"/>
  <c r="E2" i="15"/>
  <c r="G13" i="60"/>
  <c r="G8" i="12"/>
  <c r="E20" i="12"/>
  <c r="L15" i="12"/>
  <c r="P5" i="12"/>
  <c r="P25" i="12"/>
  <c r="B16" i="56"/>
  <c r="E6" i="60"/>
  <c r="G7" i="60"/>
  <c r="M7" i="60" s="1"/>
  <c r="E9" i="60"/>
  <c r="G10" i="60"/>
  <c r="E14" i="60"/>
  <c r="K9" i="12"/>
  <c r="L12" i="12"/>
  <c r="M15" i="12"/>
  <c r="L21" i="12"/>
  <c r="M24" i="12"/>
  <c r="O3" i="12"/>
  <c r="P8" i="12"/>
  <c r="R10" i="12"/>
  <c r="P13" i="12"/>
  <c r="Q20" i="12"/>
  <c r="C6" i="13"/>
  <c r="B6" i="56"/>
  <c r="C23" i="56"/>
  <c r="G7" i="56"/>
  <c r="G10" i="56"/>
  <c r="G13" i="56"/>
  <c r="G16" i="56"/>
  <c r="S6" i="56"/>
  <c r="S9" i="56"/>
  <c r="S12" i="56"/>
  <c r="S15" i="56"/>
  <c r="C3" i="52"/>
  <c r="G4" i="52"/>
  <c r="C6" i="52"/>
  <c r="G7" i="52"/>
  <c r="C17" i="52"/>
  <c r="G18" i="52"/>
  <c r="H2" i="15"/>
  <c r="F10" i="60"/>
  <c r="B15" i="12"/>
  <c r="E23" i="12"/>
  <c r="L8" i="12"/>
  <c r="K24" i="12"/>
  <c r="O13" i="12"/>
  <c r="Q15" i="12"/>
  <c r="O20" i="12"/>
  <c r="C16" i="13"/>
  <c r="E3" i="60"/>
  <c r="G4" i="60"/>
  <c r="F12" i="60"/>
  <c r="B8" i="12"/>
  <c r="F3" i="12"/>
  <c r="F6" i="12"/>
  <c r="F9" i="12"/>
  <c r="F12" i="12"/>
  <c r="F15" i="12"/>
  <c r="F20" i="12"/>
  <c r="G23" i="12"/>
  <c r="E27" i="12"/>
  <c r="O18" i="12"/>
  <c r="O23" i="12"/>
  <c r="H10" i="60"/>
  <c r="F14" i="60"/>
  <c r="G3" i="12"/>
  <c r="G9" i="12"/>
  <c r="G15" i="12"/>
  <c r="E24" i="12"/>
  <c r="F27" i="12"/>
  <c r="M5" i="12"/>
  <c r="L9" i="12"/>
  <c r="M12" i="12"/>
  <c r="K18" i="12"/>
  <c r="K25" i="12"/>
  <c r="P3" i="12"/>
  <c r="R5" i="12"/>
  <c r="Q8" i="12"/>
  <c r="O11" i="12"/>
  <c r="Q13" i="12"/>
  <c r="R20" i="12"/>
  <c r="P23" i="12"/>
  <c r="R25" i="12"/>
  <c r="C7" i="13"/>
  <c r="B7" i="56"/>
  <c r="C24" i="56"/>
  <c r="H7" i="56"/>
  <c r="H10" i="56"/>
  <c r="H13" i="56"/>
  <c r="H16" i="56"/>
  <c r="T6" i="56"/>
  <c r="T9" i="56"/>
  <c r="T12" i="56"/>
  <c r="T15" i="56"/>
  <c r="D3" i="52"/>
  <c r="H4" i="52"/>
  <c r="D6" i="52"/>
  <c r="H7" i="52"/>
  <c r="D17" i="52"/>
  <c r="H18" i="52"/>
  <c r="N2" i="15"/>
  <c r="H8" i="60"/>
  <c r="R7" i="12"/>
  <c r="F3" i="60"/>
  <c r="H4" i="60"/>
  <c r="F6" i="60"/>
  <c r="H7" i="60"/>
  <c r="F9" i="60"/>
  <c r="L9" i="60" s="1"/>
  <c r="G12" i="60"/>
  <c r="G14" i="60"/>
  <c r="B9" i="12"/>
  <c r="E4" i="12"/>
  <c r="G6" i="12"/>
  <c r="E10" i="12"/>
  <c r="G12" i="12"/>
  <c r="E18" i="12"/>
  <c r="G20" i="12"/>
  <c r="F24" i="12"/>
  <c r="G27" i="12"/>
  <c r="K6" i="12"/>
  <c r="K13" i="12"/>
  <c r="L18" i="12"/>
  <c r="M21" i="12"/>
  <c r="L25" i="12"/>
  <c r="Q3" i="12"/>
  <c r="O6" i="12"/>
  <c r="P11" i="12"/>
  <c r="R13" i="12"/>
  <c r="P18" i="12"/>
  <c r="O21" i="12"/>
  <c r="Q23" i="12"/>
  <c r="O26" i="12"/>
  <c r="C8" i="13"/>
  <c r="B8" i="56"/>
  <c r="C25" i="56"/>
  <c r="I7" i="56"/>
  <c r="I10" i="56"/>
  <c r="I13" i="56"/>
  <c r="I16" i="56"/>
  <c r="U6" i="56"/>
  <c r="U9" i="56"/>
  <c r="U12" i="56"/>
  <c r="U15" i="56"/>
  <c r="E3" i="52"/>
  <c r="I4" i="52"/>
  <c r="E6" i="52"/>
  <c r="I7" i="52"/>
  <c r="E17" i="52"/>
  <c r="I18" i="52"/>
  <c r="F6" i="61"/>
  <c r="M18" i="12"/>
  <c r="K22" i="12"/>
  <c r="R3" i="12"/>
  <c r="P6" i="12"/>
  <c r="R8" i="12"/>
  <c r="Q11" i="12"/>
  <c r="O14" i="12"/>
  <c r="Q18" i="12"/>
  <c r="R23" i="12"/>
  <c r="P26" i="12"/>
  <c r="C9" i="13"/>
  <c r="B9" i="56"/>
  <c r="C26" i="56"/>
  <c r="J7" i="56"/>
  <c r="J10" i="56"/>
  <c r="J13" i="56"/>
  <c r="J16" i="56"/>
  <c r="V6" i="56"/>
  <c r="V9" i="56"/>
  <c r="V12" i="56"/>
  <c r="V15" i="56"/>
  <c r="F3" i="52"/>
  <c r="J4" i="52"/>
  <c r="F6" i="52"/>
  <c r="J7" i="52"/>
  <c r="F17" i="52"/>
  <c r="J18" i="52"/>
  <c r="L6" i="61"/>
  <c r="F2" i="5"/>
  <c r="L2" i="5"/>
  <c r="C2" i="15"/>
  <c r="I2" i="15"/>
  <c r="O2" i="15"/>
  <c r="G6" i="61"/>
  <c r="M6" i="61"/>
  <c r="A2" i="5"/>
  <c r="G2" i="5"/>
  <c r="M2" i="5"/>
  <c r="D2" i="15"/>
  <c r="J2" i="15"/>
  <c r="B6" i="61"/>
  <c r="H6" i="61"/>
  <c r="N6" i="61"/>
  <c r="K2" i="15"/>
  <c r="C6" i="61"/>
  <c r="I6" i="61"/>
  <c r="O6" i="61"/>
  <c r="I2" i="5"/>
  <c r="O2" i="5"/>
  <c r="F2" i="15"/>
  <c r="L2" i="15"/>
  <c r="D6" i="61"/>
  <c r="J6" i="61"/>
  <c r="P6" i="61"/>
  <c r="D2" i="5"/>
  <c r="J2" i="5"/>
  <c r="A2" i="15"/>
  <c r="G2" i="15"/>
  <c r="M2" i="15"/>
  <c r="E6" i="61"/>
  <c r="K6" i="61"/>
  <c r="Q6" i="61"/>
  <c r="C25" i="12"/>
  <c r="C26" i="12"/>
  <c r="C27" i="12"/>
  <c r="K4" i="60" l="1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36" i="59"/>
  <c r="I39" i="59"/>
  <c r="G38" i="59"/>
  <c r="H36" i="59"/>
  <c r="H39" i="59"/>
  <c r="I37" i="59"/>
  <c r="I27" i="12"/>
  <c r="L52" i="59" s="1"/>
  <c r="G39" i="59"/>
  <c r="G36" i="59"/>
  <c r="H37" i="59"/>
  <c r="H38" i="59"/>
  <c r="I38" i="59"/>
  <c r="G37" i="59"/>
  <c r="I26" i="12"/>
  <c r="L51" i="59" s="1"/>
  <c r="H26" i="12"/>
  <c r="K51" i="59" s="1"/>
  <c r="H27" i="12"/>
  <c r="K52" i="59" s="1"/>
  <c r="I25" i="12"/>
  <c r="L50" i="59" s="1"/>
  <c r="J27" i="12" l="1"/>
  <c r="J26" i="12"/>
  <c r="F39" i="59" s="1"/>
  <c r="H25" i="12"/>
  <c r="J25" i="12" l="1"/>
  <c r="F38" i="59" s="1"/>
  <c r="K50" i="59"/>
  <c r="E35" i="59"/>
  <c r="E34" i="59"/>
  <c r="E33" i="59"/>
  <c r="E32" i="59"/>
  <c r="E31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4" i="61" s="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O215" i="61" s="1"/>
  <c r="H48" i="59" s="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Q214" i="61" s="1"/>
  <c r="D211" i="61"/>
  <c r="D210" i="61"/>
  <c r="D209" i="61"/>
  <c r="D212" i="61"/>
  <c r="L211" i="61"/>
  <c r="L210" i="61"/>
  <c r="L212" i="61"/>
  <c r="L209" i="61"/>
  <c r="C211" i="61"/>
  <c r="C210" i="61"/>
  <c r="C214" i="61" s="1"/>
  <c r="C209" i="61"/>
  <c r="C212" i="61"/>
  <c r="P211" i="61"/>
  <c r="P210" i="61"/>
  <c r="P214" i="61" s="1"/>
  <c r="G51" i="59" s="1"/>
  <c r="P212" i="61"/>
  <c r="P209" i="61"/>
  <c r="G212" i="61"/>
  <c r="G211" i="61"/>
  <c r="G210" i="61"/>
  <c r="G209" i="61"/>
  <c r="M215" i="61" l="1"/>
  <c r="G215" i="61"/>
  <c r="J21" i="59" s="1"/>
  <c r="L214" i="61"/>
  <c r="K213" i="61"/>
  <c r="J213" i="61"/>
  <c r="H24" i="59" s="1"/>
  <c r="C213" i="61"/>
  <c r="F44" i="59" s="1"/>
  <c r="J215" i="61"/>
  <c r="G213" i="61"/>
  <c r="E215" i="61"/>
  <c r="H9" i="59" s="1"/>
  <c r="G214" i="61"/>
  <c r="I21" i="59" s="1"/>
  <c r="F214" i="61"/>
  <c r="I20" i="59" s="1"/>
  <c r="P213" i="61"/>
  <c r="F51" i="59" s="1"/>
  <c r="I215" i="61"/>
  <c r="J23" i="59" s="1"/>
  <c r="N215" i="61"/>
  <c r="H45" i="59" s="1"/>
  <c r="H213" i="61"/>
  <c r="H22" i="59" s="1"/>
  <c r="D213" i="61"/>
  <c r="N213" i="61"/>
  <c r="F45" i="59" s="1"/>
  <c r="H215" i="61"/>
  <c r="H10" i="59" s="1"/>
  <c r="D214" i="61"/>
  <c r="I214" i="61"/>
  <c r="I23" i="59" s="1"/>
  <c r="I213" i="61"/>
  <c r="H23" i="59" s="1"/>
  <c r="H21" i="59"/>
  <c r="F50" i="59"/>
  <c r="H50" i="59"/>
  <c r="O214" i="61"/>
  <c r="G48" i="59" s="1"/>
  <c r="O213" i="61"/>
  <c r="F48" i="59" s="1"/>
  <c r="H46" i="59"/>
  <c r="J27" i="59"/>
  <c r="M214" i="61"/>
  <c r="P215" i="61"/>
  <c r="H51" i="59" s="1"/>
  <c r="M213" i="61"/>
  <c r="H7" i="59"/>
  <c r="G44" i="59"/>
  <c r="I17" i="59"/>
  <c r="C215" i="61"/>
  <c r="N214" i="61"/>
  <c r="L213" i="61"/>
  <c r="H25" i="59"/>
  <c r="F43" i="59"/>
  <c r="G43" i="59"/>
  <c r="I25" i="59"/>
  <c r="L215" i="61"/>
  <c r="G11" i="59"/>
  <c r="F215" i="61"/>
  <c r="F213" i="61"/>
  <c r="F10" i="59"/>
  <c r="Q213" i="61"/>
  <c r="H214" i="61"/>
  <c r="Q215" i="61"/>
  <c r="H8" i="59"/>
  <c r="J24" i="59"/>
  <c r="E213" i="61"/>
  <c r="J214" i="61"/>
  <c r="I26" i="59"/>
  <c r="G49" i="59"/>
  <c r="K215" i="61"/>
  <c r="H18" i="59"/>
  <c r="F47" i="59"/>
  <c r="I18" i="59"/>
  <c r="G47" i="59"/>
  <c r="D215" i="61"/>
  <c r="F8" i="59"/>
  <c r="E214" i="61"/>
  <c r="G50" i="59" l="1"/>
  <c r="J19" i="59"/>
  <c r="J22" i="59"/>
  <c r="F7" i="59"/>
  <c r="H17" i="59"/>
  <c r="H49" i="59"/>
  <c r="J26" i="59"/>
  <c r="G9" i="59"/>
  <c r="I19" i="59"/>
  <c r="F49" i="59"/>
  <c r="H26" i="59"/>
  <c r="G45" i="59"/>
  <c r="G7" i="59"/>
  <c r="J18" i="59"/>
  <c r="H47" i="59"/>
  <c r="H44" i="59"/>
  <c r="J17" i="59"/>
  <c r="J25" i="59"/>
  <c r="H43" i="59"/>
  <c r="G8" i="59"/>
  <c r="I24" i="59"/>
  <c r="F9" i="59"/>
  <c r="H19" i="59"/>
  <c r="H27" i="59"/>
  <c r="F46" i="59"/>
  <c r="I27" i="59"/>
  <c r="G46" i="59"/>
  <c r="G10" i="59"/>
  <c r="I22" i="59"/>
  <c r="H20" i="59"/>
  <c r="F11" i="59"/>
  <c r="J20" i="59"/>
  <c r="H11" i="59"/>
  <c r="O126" i="15" l="1" a="1"/>
  <c r="O126" i="15" s="1"/>
  <c r="O127" i="15" a="1"/>
  <c r="O127" i="15" s="1"/>
  <c r="O128" i="15" a="1"/>
  <c r="O128" i="15" s="1"/>
  <c r="O130" i="15"/>
  <c r="O136" i="15" a="1"/>
  <c r="O136" i="15" s="1"/>
  <c r="O131" i="15"/>
  <c r="O137" i="15" a="1"/>
  <c r="O137" i="15" s="1"/>
  <c r="O138" i="15" a="1"/>
  <c r="O138" i="15" s="1"/>
  <c r="O133" i="15" l="1"/>
  <c r="O140" i="15"/>
  <c r="O138" i="5" l="1"/>
  <c r="O139" i="5" s="1"/>
  <c r="O136" i="5" a="1"/>
  <c r="O136" i="5" s="1"/>
  <c r="O127" i="5" l="1" a="1"/>
  <c r="O127" i="5" s="1"/>
  <c r="O126" i="5" a="1"/>
  <c r="O126" i="5" s="1"/>
  <c r="O130" i="5"/>
  <c r="O129" i="5"/>
  <c r="O132" i="5" s="1"/>
  <c r="O134" i="5" a="1"/>
  <c r="O134" i="5" s="1"/>
  <c r="K4" i="52" l="1"/>
  <c r="K5" i="52"/>
  <c r="K6" i="52"/>
  <c r="K7" i="52"/>
  <c r="K8" i="52"/>
  <c r="K3" i="52"/>
  <c r="M2" i="60"/>
  <c r="L2" i="60"/>
  <c r="K2" i="60"/>
  <c r="C24" i="12" l="1"/>
  <c r="H24" i="12" l="1"/>
  <c r="K49" i="59" s="1"/>
  <c r="I24" i="12"/>
  <c r="L49" i="59" s="1"/>
  <c r="J24" i="12" l="1"/>
  <c r="F37" i="59" s="1"/>
  <c r="C12" i="60"/>
  <c r="C23" i="12" l="1"/>
  <c r="I23" i="12" l="1"/>
  <c r="L48" i="59" s="1"/>
  <c r="G31" i="59"/>
  <c r="H31" i="59"/>
  <c r="G32" i="59"/>
  <c r="I33" i="59"/>
  <c r="H33" i="59"/>
  <c r="H23" i="12"/>
  <c r="K48" i="59" s="1"/>
  <c r="H32" i="59"/>
  <c r="I32" i="59"/>
  <c r="N32" i="59" s="1"/>
  <c r="G33" i="59"/>
  <c r="L33" i="59" s="1"/>
  <c r="G34" i="59"/>
  <c r="H34" i="59"/>
  <c r="I34" i="59"/>
  <c r="G35" i="59"/>
  <c r="H35" i="59"/>
  <c r="I35" i="59"/>
  <c r="I31" i="59"/>
  <c r="M33" i="59" l="1"/>
  <c r="L34" i="59"/>
  <c r="N33" i="59"/>
  <c r="L32" i="59"/>
  <c r="M32" i="59"/>
  <c r="N31" i="59"/>
  <c r="N38" i="59"/>
  <c r="N39" i="59"/>
  <c r="N36" i="59"/>
  <c r="N37" i="59"/>
  <c r="M31" i="59"/>
  <c r="M37" i="59"/>
  <c r="M39" i="59"/>
  <c r="M36" i="59"/>
  <c r="M38" i="59"/>
  <c r="M35" i="59"/>
  <c r="L31" i="59"/>
  <c r="L38" i="59"/>
  <c r="L36" i="59"/>
  <c r="L39" i="59"/>
  <c r="L37" i="59"/>
  <c r="M34" i="59"/>
  <c r="N35" i="59"/>
  <c r="L35" i="59"/>
  <c r="N34" i="59"/>
  <c r="N6" i="56"/>
  <c r="M6" i="56"/>
  <c r="L6" i="56"/>
  <c r="P6" i="56" s="1"/>
  <c r="N16" i="56"/>
  <c r="L16" i="56"/>
  <c r="M16" i="56"/>
  <c r="N5" i="56"/>
  <c r="M5" i="56"/>
  <c r="L5" i="56"/>
  <c r="M11" i="56"/>
  <c r="L11" i="56"/>
  <c r="N11" i="56"/>
  <c r="L13" i="56"/>
  <c r="M13" i="56"/>
  <c r="N13" i="56"/>
  <c r="L14" i="56"/>
  <c r="M14" i="56"/>
  <c r="N14" i="56"/>
  <c r="M17" i="56"/>
  <c r="L17" i="56"/>
  <c r="N17" i="56"/>
  <c r="L8" i="56"/>
  <c r="M8" i="56"/>
  <c r="N8" i="56"/>
  <c r="M12" i="56"/>
  <c r="N12" i="56"/>
  <c r="L12" i="56"/>
  <c r="P12" i="56" s="1"/>
  <c r="L10" i="56"/>
  <c r="N10" i="56"/>
  <c r="M10" i="56"/>
  <c r="M9" i="56"/>
  <c r="N9" i="56"/>
  <c r="L9" i="56"/>
  <c r="L15" i="56"/>
  <c r="N15" i="56"/>
  <c r="M15" i="56"/>
  <c r="N7" i="56"/>
  <c r="L7" i="56"/>
  <c r="M7" i="56"/>
  <c r="J23" i="12"/>
  <c r="F36" i="59" s="1"/>
  <c r="P9" i="56" l="1"/>
  <c r="P10" i="56"/>
  <c r="P15" i="56"/>
  <c r="P11" i="56"/>
  <c r="P14" i="56"/>
  <c r="P17" i="56"/>
  <c r="M19" i="56"/>
  <c r="M20" i="56"/>
  <c r="N19" i="56"/>
  <c r="N20" i="56"/>
  <c r="P16" i="56"/>
  <c r="P8" i="56"/>
  <c r="P5" i="56"/>
  <c r="L20" i="56"/>
  <c r="L19" i="56"/>
  <c r="P7" i="56"/>
  <c r="P13" i="56"/>
  <c r="N22" i="56" l="1"/>
  <c r="M22" i="56"/>
  <c r="L22" i="56"/>
  <c r="C13" i="60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s="1"/>
  <c r="S10" i="60" l="1"/>
  <c r="S4" i="60"/>
  <c r="S14" i="60"/>
  <c r="S7" i="60"/>
  <c r="F21" i="59" s="1"/>
  <c r="S5" i="60"/>
  <c r="S13" i="60"/>
  <c r="F27" i="59" s="1"/>
  <c r="S9" i="60"/>
  <c r="F23" i="59" s="1"/>
  <c r="S12" i="60"/>
  <c r="F26" i="59" s="1"/>
  <c r="G26" i="59" s="1"/>
  <c r="S3" i="60"/>
  <c r="F17" i="59" s="1"/>
  <c r="S11" i="60"/>
  <c r="F25" i="59" s="1"/>
  <c r="S8" i="60"/>
  <c r="F22" i="59" s="1"/>
  <c r="F24" i="59"/>
  <c r="F19" i="59"/>
  <c r="F18" i="59"/>
  <c r="F20" i="59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L138" i="5"/>
  <c r="L139" i="5" s="1"/>
  <c r="M138" i="5"/>
  <c r="M139" i="5" s="1"/>
  <c r="N138" i="5"/>
  <c r="N139" i="5" s="1"/>
  <c r="K132" i="5" l="1"/>
  <c r="E13" i="13" s="1"/>
  <c r="L132" i="5"/>
  <c r="E14" i="13" s="1"/>
  <c r="N132" i="5"/>
  <c r="E16" i="13" s="1"/>
  <c r="M132" i="5"/>
  <c r="E15" i="13" s="1"/>
  <c r="H12" i="12"/>
  <c r="I12" i="12"/>
  <c r="J14" i="12"/>
  <c r="I13" i="12"/>
  <c r="J13" i="12" s="1"/>
  <c r="H15" i="12"/>
  <c r="J12" i="12" l="1"/>
  <c r="J15" i="12"/>
  <c r="I13" i="13" l="1"/>
  <c r="I14" i="13"/>
  <c r="I15" i="13"/>
  <c r="I16" i="13"/>
  <c r="H15" i="13"/>
  <c r="H14" i="13"/>
  <c r="H13" i="13" l="1"/>
  <c r="H16" i="13"/>
  <c r="AE2" i="12" l="1"/>
  <c r="B138" i="5" l="1"/>
  <c r="B139" i="5" s="1"/>
  <c r="C138" i="5"/>
  <c r="C139" i="5" s="1"/>
  <c r="D138" i="5"/>
  <c r="D139" i="5" s="1"/>
  <c r="E138" i="5"/>
  <c r="E139" i="5" s="1"/>
  <c r="F138" i="5"/>
  <c r="F139" i="5" s="1"/>
  <c r="G138" i="5"/>
  <c r="G139" i="5" s="1"/>
  <c r="H138" i="5"/>
  <c r="H139" i="5" s="1"/>
  <c r="I138" i="5"/>
  <c r="I139" i="5" s="1"/>
  <c r="J138" i="5"/>
  <c r="J139" i="5" s="1"/>
  <c r="C21" i="12" l="1"/>
  <c r="C22" i="12"/>
  <c r="H22" i="12" l="1"/>
  <c r="K47" i="59" s="1"/>
  <c r="H21" i="12"/>
  <c r="K46" i="59" s="1"/>
  <c r="I21" i="12" l="1"/>
  <c r="I22" i="12"/>
  <c r="L47" i="59" s="1"/>
  <c r="J21" i="12" l="1"/>
  <c r="F34" i="59" s="1"/>
  <c r="L46" i="59"/>
  <c r="J22" i="12"/>
  <c r="F35" i="59" s="1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C126" i="15" a="1"/>
  <c r="C126" i="15" s="1"/>
  <c r="D126" i="15" a="1"/>
  <c r="D126" i="15" s="1"/>
  <c r="E126" i="15" a="1"/>
  <c r="E126" i="15" s="1"/>
  <c r="F126" i="15" a="1"/>
  <c r="F126" i="15" s="1"/>
  <c r="G126" i="15" a="1"/>
  <c r="G126" i="15" s="1"/>
  <c r="H126" i="15" a="1"/>
  <c r="H126" i="15" s="1"/>
  <c r="I126" i="15" a="1"/>
  <c r="I126" i="15" s="1"/>
  <c r="J126" i="15" a="1"/>
  <c r="J126" i="15" s="1"/>
  <c r="B134" i="5" l="1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J127" i="5" a="1"/>
  <c r="J127" i="5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D12" i="13" l="1"/>
  <c r="D11" i="13"/>
  <c r="F12" i="56"/>
  <c r="C20" i="12"/>
  <c r="I20" i="12" l="1"/>
  <c r="L45" i="59" s="1"/>
  <c r="H20" i="12" l="1"/>
  <c r="J20" i="12" l="1"/>
  <c r="F33" i="59" s="1"/>
  <c r="K45" i="59"/>
  <c r="C19" i="12"/>
  <c r="I19" i="12" l="1"/>
  <c r="L44" i="59" s="1"/>
  <c r="H19" i="12"/>
  <c r="K44" i="59" s="1"/>
  <c r="J19" i="12" l="1"/>
  <c r="F32" i="59" s="1"/>
  <c r="H136" i="5" l="1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I12" i="13" l="1"/>
  <c r="N12" i="13" s="1"/>
  <c r="N11" i="13"/>
  <c r="N7" i="13"/>
  <c r="N10" i="13"/>
  <c r="N6" i="13"/>
  <c r="N9" i="13"/>
  <c r="N5" i="13"/>
  <c r="N8" i="13"/>
  <c r="N4" i="13"/>
  <c r="N14" i="13"/>
  <c r="N15" i="13"/>
  <c r="N13" i="13"/>
  <c r="N16" i="13"/>
  <c r="C18" i="12" l="1"/>
  <c r="I18" i="12" l="1"/>
  <c r="L43" i="59" s="1"/>
  <c r="H18" i="12" l="1"/>
  <c r="K43" i="59" s="1"/>
  <c r="J18" i="12" l="1"/>
  <c r="F31" i="59" s="1"/>
  <c r="K31" i="59" l="1"/>
  <c r="K39" i="59"/>
  <c r="O39" i="59" s="1"/>
  <c r="K38" i="59"/>
  <c r="O38" i="59" s="1"/>
  <c r="K37" i="59"/>
  <c r="O37" i="59" s="1"/>
  <c r="K36" i="59"/>
  <c r="O36" i="59" s="1"/>
  <c r="K35" i="59"/>
  <c r="K34" i="59"/>
  <c r="K33" i="59"/>
  <c r="K32" i="59"/>
  <c r="M2" i="13"/>
  <c r="N2" i="13"/>
  <c r="L2" i="13"/>
  <c r="U2" i="12" l="1"/>
  <c r="U11" i="12" l="1"/>
  <c r="U7" i="12"/>
  <c r="U3" i="12"/>
  <c r="U10" i="12"/>
  <c r="U9" i="12"/>
  <c r="U8" i="12"/>
  <c r="U6" i="12"/>
  <c r="U5" i="12"/>
  <c r="U4" i="12"/>
  <c r="I140" i="15" l="1"/>
  <c r="J140" i="15"/>
  <c r="H140" i="15"/>
  <c r="B140" i="15"/>
  <c r="G140" i="15"/>
  <c r="F140" i="15"/>
  <c r="E140" i="15"/>
  <c r="C140" i="15"/>
  <c r="D140" i="15"/>
  <c r="AC2" i="12" l="1"/>
  <c r="AD2" i="12"/>
  <c r="B133" i="15" l="1"/>
  <c r="H4" i="13" s="1"/>
  <c r="D133" i="15" l="1"/>
  <c r="H6" i="13" s="1"/>
  <c r="J133" i="15"/>
  <c r="I133" i="15"/>
  <c r="G133" i="15"/>
  <c r="H9" i="13" s="1"/>
  <c r="F133" i="15"/>
  <c r="H8" i="13" s="1"/>
  <c r="H133" i="15"/>
  <c r="H10" i="13" s="1"/>
  <c r="E133" i="15"/>
  <c r="H7" i="13" s="1"/>
  <c r="C133" i="15"/>
  <c r="H5" i="13" s="1"/>
  <c r="H11" i="13" l="1"/>
  <c r="H12" i="13"/>
  <c r="M12" i="13" s="1"/>
  <c r="M5" i="13"/>
  <c r="M9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F132" i="5"/>
  <c r="E8" i="13" s="1"/>
  <c r="G132" i="5"/>
  <c r="E9" i="13" s="1"/>
  <c r="H132" i="5"/>
  <c r="E10" i="13" s="1"/>
  <c r="I132" i="5"/>
  <c r="E11" i="13" s="1"/>
  <c r="J132" i="5"/>
  <c r="D132" i="5" l="1"/>
  <c r="E6" i="13" s="1"/>
  <c r="C132" i="5"/>
  <c r="E5" i="13" s="1"/>
  <c r="B132" i="5"/>
  <c r="E4" i="13" s="1"/>
  <c r="E12" i="13" l="1"/>
  <c r="L12" i="13" s="1"/>
  <c r="L5" i="13"/>
  <c r="L9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P5" i="13" l="1"/>
  <c r="P11" i="13"/>
  <c r="P7" i="13"/>
  <c r="P10" i="13"/>
  <c r="P4" i="13"/>
  <c r="P9" i="13"/>
  <c r="P6" i="13"/>
  <c r="P8" i="13"/>
  <c r="P12" i="13"/>
  <c r="AF2" i="12"/>
  <c r="R5" i="13" l="1" a="1"/>
  <c r="R5" i="13" s="1"/>
  <c r="R8" i="13" a="1"/>
  <c r="R8" i="13" s="1"/>
  <c r="R13" i="13" a="1"/>
  <c r="R13" i="13" s="1"/>
  <c r="R16" i="13" a="1"/>
  <c r="R16" i="13" s="1"/>
  <c r="R6" i="13" a="1"/>
  <c r="R6" i="13" s="1"/>
  <c r="R11" i="13" a="1"/>
  <c r="R11" i="13" s="1"/>
  <c r="R14" i="13" a="1"/>
  <c r="R14" i="13" s="1"/>
  <c r="R9" i="13" a="1"/>
  <c r="R9" i="13" s="1"/>
  <c r="R12" i="13" a="1"/>
  <c r="R12" i="13" s="1"/>
  <c r="R4" i="13" a="1"/>
  <c r="R4" i="13" s="1"/>
  <c r="R7" i="13" a="1"/>
  <c r="R7" i="13" s="1"/>
  <c r="R10" i="13" a="1"/>
  <c r="R10" i="13" s="1"/>
  <c r="R15" i="13" a="1"/>
  <c r="R15" i="13" s="1"/>
  <c r="I4" i="12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2" i="59" l="1"/>
  <c r="G21" i="59"/>
  <c r="G24" i="59"/>
  <c r="G25" i="59"/>
  <c r="G17" i="59"/>
  <c r="G18" i="59"/>
  <c r="G20" i="59"/>
  <c r="G19" i="59"/>
  <c r="G27" i="59"/>
  <c r="G23" i="59"/>
  <c r="O31" i="59" l="1"/>
  <c r="O35" i="59"/>
  <c r="O34" i="59"/>
  <c r="O33" i="59"/>
  <c r="O32" i="59"/>
  <c r="Q206" i="61"/>
  <c r="Q205" i="61"/>
  <c r="Q204" i="61"/>
  <c r="Q203" i="61"/>
  <c r="Q202" i="61"/>
  <c r="Q201" i="61"/>
  <c r="Q200" i="61"/>
  <c r="Q199" i="61"/>
  <c r="Q198" i="61"/>
  <c r="Q197" i="61"/>
  <c r="Q196" i="61"/>
  <c r="Q195" i="61"/>
  <c r="Q194" i="61"/>
  <c r="Q193" i="61"/>
  <c r="Q192" i="61"/>
  <c r="Q191" i="61"/>
  <c r="Q190" i="61"/>
  <c r="Q189" i="61"/>
  <c r="Q188" i="61"/>
  <c r="Q187" i="61"/>
  <c r="Q186" i="61"/>
  <c r="Q185" i="61"/>
  <c r="Q184" i="61"/>
  <c r="Q183" i="61"/>
  <c r="Q182" i="61"/>
  <c r="Q181" i="61"/>
  <c r="Q180" i="61"/>
  <c r="Q179" i="61"/>
  <c r="Q178" i="61"/>
  <c r="Q177" i="61"/>
  <c r="Q176" i="61"/>
  <c r="Q175" i="61"/>
  <c r="Q174" i="61"/>
  <c r="Q173" i="61"/>
  <c r="Q172" i="61"/>
  <c r="Q171" i="61"/>
  <c r="Q170" i="61"/>
  <c r="Q169" i="61"/>
  <c r="Q168" i="61"/>
  <c r="Q167" i="61"/>
  <c r="Q166" i="61"/>
  <c r="Q165" i="61"/>
  <c r="Q164" i="61"/>
  <c r="Q163" i="61"/>
  <c r="Q162" i="61"/>
  <c r="Q161" i="61"/>
  <c r="Q160" i="61"/>
  <c r="Q159" i="61"/>
  <c r="Q158" i="61"/>
  <c r="Q157" i="61"/>
  <c r="Q156" i="61"/>
  <c r="Q155" i="61"/>
  <c r="Q154" i="61"/>
  <c r="Q153" i="61"/>
  <c r="Q152" i="61"/>
  <c r="Q151" i="61"/>
  <c r="Q150" i="61"/>
  <c r="Q149" i="61"/>
  <c r="Q148" i="61"/>
  <c r="Q147" i="61"/>
  <c r="Q146" i="61"/>
  <c r="Q145" i="61"/>
  <c r="Q144" i="61"/>
  <c r="Q143" i="61"/>
  <c r="Q142" i="61"/>
  <c r="Q141" i="61"/>
  <c r="Q140" i="61"/>
  <c r="Q139" i="61"/>
  <c r="Q138" i="61"/>
  <c r="Q137" i="61"/>
  <c r="Q136" i="61"/>
  <c r="Q135" i="61"/>
  <c r="Q134" i="61"/>
  <c r="Q133" i="61"/>
  <c r="Q132" i="61"/>
  <c r="Q131" i="61"/>
  <c r="Q130" i="61"/>
  <c r="Q129" i="61"/>
  <c r="Q128" i="61"/>
  <c r="Q127" i="61"/>
  <c r="Q126" i="61"/>
  <c r="Q125" i="61"/>
  <c r="Q124" i="61"/>
  <c r="Q123" i="61"/>
  <c r="Q122" i="61"/>
  <c r="Q121" i="61"/>
  <c r="Q120" i="61"/>
  <c r="Q119" i="61"/>
  <c r="Q118" i="61"/>
  <c r="Q117" i="61"/>
  <c r="Q116" i="61"/>
  <c r="Q115" i="61"/>
  <c r="Q114" i="61"/>
  <c r="Q113" i="61"/>
  <c r="Q112" i="61"/>
  <c r="Q111" i="61"/>
  <c r="Q110" i="61"/>
  <c r="Q109" i="61"/>
  <c r="Q108" i="61"/>
  <c r="Q107" i="61"/>
  <c r="Q106" i="61"/>
  <c r="Q105" i="61"/>
  <c r="Q104" i="61"/>
  <c r="Q103" i="61"/>
  <c r="Q102" i="61"/>
  <c r="Q101" i="61"/>
  <c r="Q100" i="61"/>
  <c r="Q99" i="61"/>
  <c r="Q98" i="61"/>
  <c r="Q97" i="61"/>
  <c r="Q96" i="61"/>
  <c r="Q95" i="61"/>
  <c r="Q94" i="61"/>
  <c r="Q93" i="61"/>
  <c r="Q92" i="61"/>
  <c r="Q91" i="61"/>
  <c r="Q90" i="61"/>
  <c r="Q89" i="61"/>
  <c r="Q88" i="61"/>
  <c r="Q87" i="61"/>
  <c r="Q86" i="61"/>
  <c r="Q85" i="61"/>
  <c r="Q84" i="61"/>
  <c r="Q83" i="61"/>
  <c r="Q82" i="61"/>
  <c r="Q81" i="61"/>
  <c r="Q80" i="61"/>
  <c r="Q79" i="61"/>
  <c r="Q78" i="61"/>
  <c r="Q77" i="61"/>
  <c r="Q76" i="61"/>
  <c r="Q75" i="61"/>
  <c r="Q74" i="61"/>
  <c r="Q73" i="61"/>
  <c r="Q72" i="61"/>
  <c r="Q71" i="61"/>
  <c r="Q70" i="61"/>
  <c r="Q69" i="61"/>
  <c r="Q68" i="61"/>
  <c r="Q67" i="61"/>
  <c r="Q66" i="61"/>
  <c r="Q65" i="61"/>
  <c r="Q64" i="61"/>
  <c r="Q63" i="61"/>
  <c r="Q62" i="61"/>
  <c r="Q61" i="61"/>
  <c r="Q60" i="61"/>
  <c r="Q59" i="61"/>
  <c r="Q58" i="61"/>
  <c r="Q57" i="61"/>
  <c r="Q56" i="61"/>
  <c r="Q55" i="61"/>
  <c r="Q54" i="61"/>
  <c r="Q53" i="61"/>
  <c r="Q52" i="61"/>
  <c r="Q51" i="61"/>
  <c r="Q50" i="61"/>
  <c r="Q49" i="61"/>
  <c r="Q48" i="61"/>
  <c r="Q47" i="61"/>
  <c r="Q46" i="61"/>
  <c r="Q45" i="61"/>
  <c r="Q44" i="61"/>
  <c r="Q43" i="61"/>
  <c r="Q42" i="61"/>
  <c r="Q41" i="61"/>
  <c r="Q40" i="61"/>
  <c r="Q39" i="61"/>
  <c r="Q38" i="61"/>
  <c r="Q37" i="61"/>
  <c r="Q36" i="61"/>
  <c r="Q35" i="61"/>
  <c r="Q34" i="61"/>
  <c r="Q33" i="61"/>
  <c r="Q32" i="61"/>
  <c r="Q31" i="61"/>
  <c r="Q30" i="61"/>
  <c r="Q29" i="61"/>
  <c r="Q28" i="61"/>
  <c r="Q27" i="61"/>
  <c r="Q26" i="61"/>
  <c r="Q25" i="61"/>
  <c r="Q24" i="61"/>
  <c r="Q23" i="61"/>
  <c r="Q22" i="61"/>
  <c r="Q21" i="61"/>
  <c r="Q20" i="61"/>
  <c r="Q19" i="61"/>
  <c r="Q18" i="61"/>
  <c r="Q17" i="61"/>
  <c r="Q16" i="61"/>
  <c r="Q15" i="61"/>
  <c r="Q14" i="61"/>
  <c r="Q13" i="61"/>
  <c r="Q12" i="61"/>
  <c r="Q11" i="61"/>
  <c r="Q10" i="61"/>
  <c r="Q9" i="61"/>
  <c r="Q8" i="61"/>
  <c r="Q7" i="61"/>
  <c r="P206" i="61"/>
  <c r="P205" i="61"/>
  <c r="P204" i="61"/>
  <c r="P203" i="61"/>
  <c r="P202" i="61"/>
  <c r="P201" i="61"/>
  <c r="P200" i="61"/>
  <c r="P199" i="61"/>
  <c r="P198" i="61"/>
  <c r="P197" i="61"/>
  <c r="P196" i="61"/>
  <c r="P195" i="61"/>
  <c r="P194" i="61"/>
  <c r="P193" i="61"/>
  <c r="P192" i="61"/>
  <c r="P191" i="61"/>
  <c r="P190" i="61"/>
  <c r="P189" i="61"/>
  <c r="P188" i="61"/>
  <c r="P187" i="61"/>
  <c r="P186" i="61"/>
  <c r="P185" i="61"/>
  <c r="P184" i="61"/>
  <c r="P183" i="61"/>
  <c r="P182" i="61"/>
  <c r="P181" i="61"/>
  <c r="P180" i="61"/>
  <c r="P179" i="61"/>
  <c r="P178" i="61"/>
  <c r="P177" i="61"/>
  <c r="P176" i="61"/>
  <c r="P175" i="61"/>
  <c r="P174" i="61"/>
  <c r="P173" i="61"/>
  <c r="P172" i="61"/>
  <c r="P171" i="61"/>
  <c r="P170" i="61"/>
  <c r="P169" i="61"/>
  <c r="P168" i="61"/>
  <c r="P167" i="61"/>
  <c r="P166" i="61"/>
  <c r="P165" i="61"/>
  <c r="P164" i="61"/>
  <c r="P163" i="61"/>
  <c r="P162" i="61"/>
  <c r="P161" i="61"/>
  <c r="P160" i="61"/>
  <c r="P159" i="61"/>
  <c r="P158" i="61"/>
  <c r="P157" i="61"/>
  <c r="P156" i="61"/>
  <c r="P155" i="61"/>
  <c r="P154" i="61"/>
  <c r="P153" i="61"/>
  <c r="P152" i="61"/>
  <c r="P151" i="61"/>
  <c r="P150" i="61"/>
  <c r="P149" i="61"/>
  <c r="P148" i="61"/>
  <c r="P147" i="61"/>
  <c r="P146" i="61"/>
  <c r="P145" i="61"/>
  <c r="P144" i="61"/>
  <c r="P143" i="61"/>
  <c r="P142" i="61"/>
  <c r="P141" i="61"/>
  <c r="P140" i="61"/>
  <c r="P139" i="61"/>
  <c r="P138" i="61"/>
  <c r="P137" i="61"/>
  <c r="P136" i="61"/>
  <c r="P135" i="61"/>
  <c r="P134" i="61"/>
  <c r="P133" i="61"/>
  <c r="P132" i="61"/>
  <c r="P131" i="61"/>
  <c r="P130" i="61"/>
  <c r="P129" i="61"/>
  <c r="P128" i="61"/>
  <c r="P127" i="61"/>
  <c r="P126" i="61"/>
  <c r="P125" i="61"/>
  <c r="P124" i="61"/>
  <c r="P123" i="61"/>
  <c r="P122" i="61"/>
  <c r="P121" i="61"/>
  <c r="P120" i="61"/>
  <c r="P119" i="61"/>
  <c r="P118" i="61"/>
  <c r="P117" i="61"/>
  <c r="P116" i="61"/>
  <c r="P115" i="61"/>
  <c r="P114" i="61"/>
  <c r="P113" i="61"/>
  <c r="P112" i="61"/>
  <c r="P111" i="61"/>
  <c r="P110" i="61"/>
  <c r="P109" i="61"/>
  <c r="P108" i="61"/>
  <c r="P107" i="61"/>
  <c r="P106" i="61"/>
  <c r="P105" i="61"/>
  <c r="P104" i="61"/>
  <c r="P103" i="61"/>
  <c r="P102" i="61"/>
  <c r="P101" i="61"/>
  <c r="P100" i="61"/>
  <c r="P99" i="61"/>
  <c r="P98" i="61"/>
  <c r="P97" i="61"/>
  <c r="P96" i="61"/>
  <c r="P95" i="61"/>
  <c r="P94" i="61"/>
  <c r="P93" i="61"/>
  <c r="P92" i="61"/>
  <c r="P91" i="61"/>
  <c r="P90" i="61"/>
  <c r="P89" i="61"/>
  <c r="P88" i="61"/>
  <c r="P87" i="61"/>
  <c r="P86" i="61"/>
  <c r="P85" i="61"/>
  <c r="P84" i="61"/>
  <c r="P83" i="61"/>
  <c r="P82" i="61"/>
  <c r="P81" i="61"/>
  <c r="P80" i="61"/>
  <c r="P79" i="61"/>
  <c r="P78" i="61"/>
  <c r="P77" i="61"/>
  <c r="P76" i="61"/>
  <c r="P75" i="61"/>
  <c r="P74" i="61"/>
  <c r="P73" i="61"/>
  <c r="P72" i="61"/>
  <c r="P71" i="61"/>
  <c r="P70" i="61"/>
  <c r="P69" i="61"/>
  <c r="P68" i="61"/>
  <c r="P67" i="61"/>
  <c r="P66" i="61"/>
  <c r="P65" i="61"/>
  <c r="P64" i="61"/>
  <c r="P63" i="61"/>
  <c r="P62" i="61"/>
  <c r="P61" i="61"/>
  <c r="P60" i="61"/>
  <c r="P59" i="61"/>
  <c r="P58" i="61"/>
  <c r="P57" i="61"/>
  <c r="P56" i="61"/>
  <c r="P55" i="61"/>
  <c r="P54" i="61"/>
  <c r="P53" i="61"/>
  <c r="P52" i="61"/>
  <c r="P51" i="61"/>
  <c r="P50" i="61"/>
  <c r="P49" i="61"/>
  <c r="P48" i="61"/>
  <c r="P47" i="61"/>
  <c r="P46" i="61"/>
  <c r="P45" i="61"/>
  <c r="P44" i="61"/>
  <c r="P43" i="61"/>
  <c r="P42" i="61"/>
  <c r="P41" i="61"/>
  <c r="P40" i="61"/>
  <c r="P39" i="61"/>
  <c r="P38" i="61"/>
  <c r="P37" i="61"/>
  <c r="P36" i="61"/>
  <c r="P35" i="61"/>
  <c r="P34" i="61"/>
  <c r="P33" i="61"/>
  <c r="P32" i="61"/>
  <c r="P31" i="61"/>
  <c r="P30" i="61"/>
  <c r="P29" i="61"/>
  <c r="P28" i="61"/>
  <c r="P27" i="61"/>
  <c r="P26" i="61"/>
  <c r="P25" i="61"/>
  <c r="P24" i="61"/>
  <c r="P23" i="61"/>
  <c r="P22" i="61"/>
  <c r="P21" i="61"/>
  <c r="P20" i="61"/>
  <c r="P19" i="61"/>
  <c r="P18" i="61"/>
  <c r="P17" i="61"/>
  <c r="P16" i="61"/>
  <c r="P15" i="61"/>
  <c r="P14" i="61"/>
  <c r="P13" i="61"/>
  <c r="P12" i="61"/>
  <c r="P11" i="61"/>
  <c r="P10" i="61"/>
  <c r="P9" i="61"/>
  <c r="P8" i="61"/>
  <c r="P7" i="61"/>
  <c r="O206" i="61"/>
  <c r="O205" i="61"/>
  <c r="O204" i="61"/>
  <c r="O203" i="61"/>
  <c r="O202" i="61"/>
  <c r="O201" i="61"/>
  <c r="O200" i="61"/>
  <c r="O199" i="61"/>
  <c r="O198" i="61"/>
  <c r="O197" i="61"/>
  <c r="O196" i="61"/>
  <c r="O195" i="61"/>
  <c r="O194" i="61"/>
  <c r="O193" i="61"/>
  <c r="O192" i="61"/>
  <c r="O191" i="61"/>
  <c r="O190" i="61"/>
  <c r="O189" i="61"/>
  <c r="O188" i="61"/>
  <c r="O187" i="61"/>
  <c r="O186" i="61"/>
  <c r="O185" i="61"/>
  <c r="O184" i="61"/>
  <c r="O183" i="61"/>
  <c r="O182" i="61"/>
  <c r="O181" i="61"/>
  <c r="O180" i="61"/>
  <c r="O179" i="61"/>
  <c r="O178" i="61"/>
  <c r="O177" i="61"/>
  <c r="O176" i="61"/>
  <c r="O175" i="61"/>
  <c r="O174" i="61"/>
  <c r="O173" i="61"/>
  <c r="O172" i="61"/>
  <c r="O171" i="61"/>
  <c r="O170" i="61"/>
  <c r="O169" i="61"/>
  <c r="O168" i="61"/>
  <c r="O167" i="61"/>
  <c r="O166" i="61"/>
  <c r="O165" i="61"/>
  <c r="O164" i="61"/>
  <c r="O163" i="61"/>
  <c r="O162" i="61"/>
  <c r="O161" i="61"/>
  <c r="O160" i="61"/>
  <c r="O159" i="61"/>
  <c r="O158" i="61"/>
  <c r="O157" i="61"/>
  <c r="O156" i="61"/>
  <c r="O155" i="61"/>
  <c r="O154" i="61"/>
  <c r="O153" i="61"/>
  <c r="O152" i="61"/>
  <c r="O151" i="61"/>
  <c r="O150" i="61"/>
  <c r="O149" i="61"/>
  <c r="O148" i="61"/>
  <c r="O147" i="61"/>
  <c r="O146" i="61"/>
  <c r="O145" i="61"/>
  <c r="O144" i="61"/>
  <c r="O143" i="61"/>
  <c r="O142" i="61"/>
  <c r="O141" i="61"/>
  <c r="O140" i="61"/>
  <c r="O139" i="61"/>
  <c r="O138" i="61"/>
  <c r="O137" i="61"/>
  <c r="O136" i="61"/>
  <c r="O135" i="61"/>
  <c r="O134" i="61"/>
  <c r="O133" i="61"/>
  <c r="O132" i="61"/>
  <c r="O131" i="61"/>
  <c r="O130" i="61"/>
  <c r="O129" i="61"/>
  <c r="O128" i="61"/>
  <c r="O127" i="61"/>
  <c r="O126" i="61"/>
  <c r="O125" i="61"/>
  <c r="O124" i="61"/>
  <c r="O123" i="61"/>
  <c r="O122" i="61"/>
  <c r="O121" i="61"/>
  <c r="O120" i="61"/>
  <c r="O119" i="61"/>
  <c r="O118" i="61"/>
  <c r="O117" i="61"/>
  <c r="O116" i="61"/>
  <c r="O115" i="61"/>
  <c r="O114" i="61"/>
  <c r="O113" i="61"/>
  <c r="O112" i="61"/>
  <c r="O111" i="61"/>
  <c r="O110" i="61"/>
  <c r="O109" i="61"/>
  <c r="O108" i="61"/>
  <c r="O107" i="61"/>
  <c r="O106" i="61"/>
  <c r="O105" i="61"/>
  <c r="O104" i="61"/>
  <c r="O103" i="61"/>
  <c r="O102" i="61"/>
  <c r="O101" i="61"/>
  <c r="O100" i="61"/>
  <c r="O99" i="61"/>
  <c r="O98" i="61"/>
  <c r="O97" i="61"/>
  <c r="O96" i="61"/>
  <c r="O95" i="61"/>
  <c r="O94" i="61"/>
  <c r="O93" i="61"/>
  <c r="O92" i="61"/>
  <c r="O91" i="61"/>
  <c r="O90" i="61"/>
  <c r="O89" i="61"/>
  <c r="O88" i="61"/>
  <c r="O87" i="61"/>
  <c r="O86" i="61"/>
  <c r="O85" i="61"/>
  <c r="O84" i="61"/>
  <c r="O83" i="61"/>
  <c r="O82" i="61"/>
  <c r="O81" i="61"/>
  <c r="O80" i="61"/>
  <c r="O79" i="61"/>
  <c r="O78" i="61"/>
  <c r="O77" i="61"/>
  <c r="O76" i="61"/>
  <c r="O75" i="61"/>
  <c r="O74" i="61"/>
  <c r="O73" i="61"/>
  <c r="O72" i="61"/>
  <c r="O71" i="61"/>
  <c r="O70" i="61"/>
  <c r="O69" i="61"/>
  <c r="O68" i="61"/>
  <c r="O67" i="61"/>
  <c r="O66" i="61"/>
  <c r="O65" i="61"/>
  <c r="O64" i="61"/>
  <c r="O63" i="61"/>
  <c r="O62" i="61"/>
  <c r="O61" i="61"/>
  <c r="O60" i="61"/>
  <c r="O59" i="61"/>
  <c r="O58" i="61"/>
  <c r="O57" i="61"/>
  <c r="O56" i="61"/>
  <c r="O55" i="61"/>
  <c r="O54" i="61"/>
  <c r="O53" i="61"/>
  <c r="O52" i="61"/>
  <c r="O51" i="61"/>
  <c r="O50" i="61"/>
  <c r="O49" i="61"/>
  <c r="O48" i="61"/>
  <c r="O47" i="61"/>
  <c r="O46" i="61"/>
  <c r="O45" i="61"/>
  <c r="O44" i="61"/>
  <c r="O43" i="61"/>
  <c r="O42" i="61"/>
  <c r="O41" i="61"/>
  <c r="O40" i="61"/>
  <c r="O39" i="61"/>
  <c r="O38" i="61"/>
  <c r="O37" i="61"/>
  <c r="O36" i="61"/>
  <c r="O35" i="61"/>
  <c r="O34" i="61"/>
  <c r="O33" i="61"/>
  <c r="O32" i="61"/>
  <c r="O31" i="61"/>
  <c r="O30" i="61"/>
  <c r="O29" i="61"/>
  <c r="O28" i="61"/>
  <c r="O27" i="61"/>
  <c r="O26" i="61"/>
  <c r="O25" i="61"/>
  <c r="O24" i="61"/>
  <c r="O23" i="61"/>
  <c r="O22" i="61"/>
  <c r="O21" i="61"/>
  <c r="O20" i="61"/>
  <c r="O19" i="61"/>
  <c r="O18" i="61"/>
  <c r="O17" i="61"/>
  <c r="O16" i="61"/>
  <c r="O15" i="61"/>
  <c r="O14" i="61"/>
  <c r="O13" i="61"/>
  <c r="O12" i="61"/>
  <c r="O11" i="61"/>
  <c r="O10" i="61"/>
  <c r="O9" i="61"/>
  <c r="O8" i="61"/>
  <c r="O7" i="61"/>
  <c r="N206" i="61"/>
  <c r="N205" i="61"/>
  <c r="N204" i="61"/>
  <c r="N203" i="61"/>
  <c r="N202" i="61"/>
  <c r="N201" i="61"/>
  <c r="N200" i="61"/>
  <c r="N199" i="61"/>
  <c r="N198" i="61"/>
  <c r="N197" i="61"/>
  <c r="N196" i="61"/>
  <c r="N195" i="61"/>
  <c r="N194" i="61"/>
  <c r="N193" i="61"/>
  <c r="N192" i="61"/>
  <c r="N191" i="61"/>
  <c r="N190" i="61"/>
  <c r="N189" i="61"/>
  <c r="N188" i="61"/>
  <c r="N187" i="61"/>
  <c r="N186" i="61"/>
  <c r="N185" i="61"/>
  <c r="N184" i="61"/>
  <c r="N183" i="61"/>
  <c r="N182" i="61"/>
  <c r="N181" i="61"/>
  <c r="N180" i="61"/>
  <c r="N179" i="61"/>
  <c r="N178" i="61"/>
  <c r="N177" i="61"/>
  <c r="N176" i="61"/>
  <c r="N175" i="61"/>
  <c r="N174" i="61"/>
  <c r="N173" i="61"/>
  <c r="N172" i="61"/>
  <c r="N171" i="61"/>
  <c r="N170" i="61"/>
  <c r="N169" i="61"/>
  <c r="N168" i="61"/>
  <c r="N167" i="61"/>
  <c r="N166" i="61"/>
  <c r="N165" i="61"/>
  <c r="N164" i="61"/>
  <c r="N163" i="61"/>
  <c r="N162" i="61"/>
  <c r="N161" i="61"/>
  <c r="N160" i="61"/>
  <c r="N159" i="61"/>
  <c r="N158" i="61"/>
  <c r="N157" i="61"/>
  <c r="N156" i="61"/>
  <c r="N155" i="61"/>
  <c r="N154" i="61"/>
  <c r="N153" i="61"/>
  <c r="N152" i="61"/>
  <c r="N151" i="61"/>
  <c r="N150" i="61"/>
  <c r="N149" i="61"/>
  <c r="N148" i="61"/>
  <c r="N147" i="61"/>
  <c r="N146" i="61"/>
  <c r="N145" i="61"/>
  <c r="N144" i="61"/>
  <c r="N143" i="61"/>
  <c r="N142" i="61"/>
  <c r="N141" i="61"/>
  <c r="N140" i="61"/>
  <c r="N139" i="61"/>
  <c r="N138" i="61"/>
  <c r="N137" i="61"/>
  <c r="N136" i="61"/>
  <c r="N135" i="61"/>
  <c r="N134" i="61"/>
  <c r="N133" i="61"/>
  <c r="N132" i="61"/>
  <c r="N131" i="61"/>
  <c r="N130" i="61"/>
  <c r="N129" i="61"/>
  <c r="N128" i="61"/>
  <c r="N127" i="61"/>
  <c r="N126" i="61"/>
  <c r="N125" i="61"/>
  <c r="N124" i="61"/>
  <c r="N123" i="61"/>
  <c r="N122" i="61"/>
  <c r="N121" i="61"/>
  <c r="N120" i="61"/>
  <c r="N119" i="61"/>
  <c r="N118" i="61"/>
  <c r="N117" i="61"/>
  <c r="N116" i="61"/>
  <c r="N115" i="61"/>
  <c r="N114" i="61"/>
  <c r="N113" i="61"/>
  <c r="N112" i="61"/>
  <c r="N111" i="61"/>
  <c r="N110" i="61"/>
  <c r="N109" i="61"/>
  <c r="N108" i="61"/>
  <c r="N107" i="61"/>
  <c r="N106" i="61"/>
  <c r="N105" i="61"/>
  <c r="N104" i="61"/>
  <c r="N103" i="61"/>
  <c r="N102" i="61"/>
  <c r="N101" i="61"/>
  <c r="N100" i="61"/>
  <c r="N99" i="61"/>
  <c r="N98" i="61"/>
  <c r="N97" i="61"/>
  <c r="N96" i="61"/>
  <c r="N95" i="61"/>
  <c r="N94" i="61"/>
  <c r="N93" i="61"/>
  <c r="N92" i="61"/>
  <c r="N91" i="61"/>
  <c r="N90" i="61"/>
  <c r="N89" i="61"/>
  <c r="N88" i="61"/>
  <c r="N87" i="61"/>
  <c r="N86" i="61"/>
  <c r="N85" i="61"/>
  <c r="N84" i="61"/>
  <c r="N83" i="61"/>
  <c r="N82" i="61"/>
  <c r="N81" i="61"/>
  <c r="N80" i="61"/>
  <c r="N79" i="61"/>
  <c r="N78" i="61"/>
  <c r="N77" i="61"/>
  <c r="N76" i="61"/>
  <c r="N75" i="61"/>
  <c r="N74" i="61"/>
  <c r="N73" i="61"/>
  <c r="N72" i="61"/>
  <c r="N71" i="61"/>
  <c r="N70" i="61"/>
  <c r="N69" i="61"/>
  <c r="N68" i="61"/>
  <c r="N67" i="61"/>
  <c r="N66" i="61"/>
  <c r="N65" i="61"/>
  <c r="N64" i="61"/>
  <c r="N63" i="61"/>
  <c r="N62" i="61"/>
  <c r="N61" i="61"/>
  <c r="N60" i="61"/>
  <c r="N59" i="61"/>
  <c r="N58" i="61"/>
  <c r="N57" i="61"/>
  <c r="N56" i="61"/>
  <c r="N55" i="61"/>
  <c r="N54" i="61"/>
  <c r="N53" i="61"/>
  <c r="N52" i="61"/>
  <c r="N51" i="61"/>
  <c r="N50" i="61"/>
  <c r="N49" i="61"/>
  <c r="N48" i="61"/>
  <c r="N47" i="61"/>
  <c r="N46" i="61"/>
  <c r="N45" i="61"/>
  <c r="N44" i="61"/>
  <c r="N43" i="61"/>
  <c r="N42" i="61"/>
  <c r="N41" i="61"/>
  <c r="N40" i="61"/>
  <c r="N39" i="61"/>
  <c r="N38" i="61"/>
  <c r="N37" i="61"/>
  <c r="N36" i="61"/>
  <c r="N35" i="61"/>
  <c r="N34" i="61"/>
  <c r="N33" i="61"/>
  <c r="N32" i="61"/>
  <c r="N31" i="61"/>
  <c r="N30" i="61"/>
  <c r="N29" i="61"/>
  <c r="N28" i="61"/>
  <c r="N27" i="61"/>
  <c r="N26" i="61"/>
  <c r="N25" i="61"/>
  <c r="N24" i="61"/>
  <c r="N23" i="61"/>
  <c r="N22" i="61"/>
  <c r="N21" i="61"/>
  <c r="N20" i="61"/>
  <c r="N19" i="61"/>
  <c r="N18" i="61"/>
  <c r="N17" i="61"/>
  <c r="N16" i="61"/>
  <c r="N15" i="61"/>
  <c r="N14" i="61"/>
  <c r="N13" i="61"/>
  <c r="N12" i="61"/>
  <c r="N11" i="61"/>
  <c r="N10" i="61"/>
  <c r="N9" i="61"/>
  <c r="N8" i="61"/>
  <c r="N7" i="61"/>
  <c r="M206" i="61"/>
  <c r="M205" i="61"/>
  <c r="M204" i="61"/>
  <c r="M203" i="61"/>
  <c r="M202" i="61"/>
  <c r="M201" i="61"/>
  <c r="M200" i="61"/>
  <c r="M199" i="61"/>
  <c r="M198" i="61"/>
  <c r="M197" i="61"/>
  <c r="M196" i="61"/>
  <c r="M195" i="61"/>
  <c r="M194" i="61"/>
  <c r="M193" i="61"/>
  <c r="M192" i="61"/>
  <c r="M191" i="61"/>
  <c r="M190" i="61"/>
  <c r="M189" i="61"/>
  <c r="M188" i="61"/>
  <c r="M187" i="61"/>
  <c r="M186" i="61"/>
  <c r="M185" i="61"/>
  <c r="M184" i="61"/>
  <c r="M183" i="61"/>
  <c r="M182" i="61"/>
  <c r="M181" i="61"/>
  <c r="M180" i="61"/>
  <c r="M179" i="61"/>
  <c r="M178" i="61"/>
  <c r="M177" i="61"/>
  <c r="M176" i="61"/>
  <c r="M175" i="61"/>
  <c r="M174" i="61"/>
  <c r="M173" i="61"/>
  <c r="M172" i="61"/>
  <c r="M171" i="61"/>
  <c r="M170" i="61"/>
  <c r="M169" i="61"/>
  <c r="M168" i="61"/>
  <c r="M167" i="61"/>
  <c r="M166" i="61"/>
  <c r="M165" i="61"/>
  <c r="M164" i="61"/>
  <c r="M163" i="61"/>
  <c r="M162" i="61"/>
  <c r="M161" i="61"/>
  <c r="M160" i="61"/>
  <c r="M159" i="61"/>
  <c r="M158" i="61"/>
  <c r="M157" i="61"/>
  <c r="M156" i="61"/>
  <c r="M155" i="61"/>
  <c r="M154" i="61"/>
  <c r="M153" i="61"/>
  <c r="M152" i="61"/>
  <c r="M151" i="61"/>
  <c r="M150" i="61"/>
  <c r="M149" i="61"/>
  <c r="M148" i="61"/>
  <c r="M147" i="61"/>
  <c r="M146" i="61"/>
  <c r="M145" i="61"/>
  <c r="M144" i="61"/>
  <c r="M143" i="61"/>
  <c r="M142" i="61"/>
  <c r="M141" i="61"/>
  <c r="M140" i="61"/>
  <c r="M139" i="61"/>
  <c r="M138" i="61"/>
  <c r="M137" i="61"/>
  <c r="M136" i="61"/>
  <c r="M135" i="61"/>
  <c r="M134" i="61"/>
  <c r="M133" i="61"/>
  <c r="M132" i="61"/>
  <c r="M131" i="61"/>
  <c r="M130" i="61"/>
  <c r="M129" i="61"/>
  <c r="M128" i="61"/>
  <c r="M127" i="61"/>
  <c r="M126" i="61"/>
  <c r="M125" i="61"/>
  <c r="M124" i="61"/>
  <c r="M123" i="61"/>
  <c r="M122" i="61"/>
  <c r="M121" i="61"/>
  <c r="M120" i="61"/>
  <c r="M119" i="61"/>
  <c r="M118" i="61"/>
  <c r="M117" i="61"/>
  <c r="M116" i="61"/>
  <c r="M115" i="61"/>
  <c r="M114" i="61"/>
  <c r="M113" i="61"/>
  <c r="M112" i="61"/>
  <c r="M111" i="61"/>
  <c r="M110" i="61"/>
  <c r="M109" i="61"/>
  <c r="M108" i="61"/>
  <c r="M107" i="61"/>
  <c r="M106" i="61"/>
  <c r="M105" i="61"/>
  <c r="M104" i="61"/>
  <c r="M103" i="61"/>
  <c r="M102" i="61"/>
  <c r="M101" i="61"/>
  <c r="M100" i="61"/>
  <c r="M99" i="61"/>
  <c r="M98" i="61"/>
  <c r="M97" i="61"/>
  <c r="M96" i="61"/>
  <c r="M95" i="61"/>
  <c r="M94" i="61"/>
  <c r="M93" i="61"/>
  <c r="M92" i="61"/>
  <c r="M91" i="61"/>
  <c r="M90" i="61"/>
  <c r="M89" i="61"/>
  <c r="M88" i="61"/>
  <c r="M87" i="61"/>
  <c r="M86" i="61"/>
  <c r="M85" i="61"/>
  <c r="M84" i="61"/>
  <c r="M83" i="61"/>
  <c r="M82" i="61"/>
  <c r="M81" i="61"/>
  <c r="M80" i="61"/>
  <c r="M79" i="61"/>
  <c r="M78" i="61"/>
  <c r="M77" i="61"/>
  <c r="M76" i="61"/>
  <c r="M75" i="61"/>
  <c r="M74" i="61"/>
  <c r="M73" i="61"/>
  <c r="M72" i="61"/>
  <c r="M71" i="61"/>
  <c r="M70" i="61"/>
  <c r="M69" i="61"/>
  <c r="M68" i="61"/>
  <c r="M67" i="61"/>
  <c r="M66" i="61"/>
  <c r="M65" i="61"/>
  <c r="M64" i="61"/>
  <c r="M63" i="61"/>
  <c r="M62" i="61"/>
  <c r="M61" i="61"/>
  <c r="M60" i="61"/>
  <c r="M59" i="61"/>
  <c r="M58" i="61"/>
  <c r="M57" i="61"/>
  <c r="M56" i="61"/>
  <c r="M55" i="61"/>
  <c r="M54" i="61"/>
  <c r="M53" i="61"/>
  <c r="M52" i="61"/>
  <c r="M51" i="61"/>
  <c r="M50" i="61"/>
  <c r="M49" i="61"/>
  <c r="M48" i="61"/>
  <c r="M47" i="61"/>
  <c r="M46" i="61"/>
  <c r="M45" i="61"/>
  <c r="M44" i="61"/>
  <c r="M43" i="61"/>
  <c r="M42" i="61"/>
  <c r="M41" i="61"/>
  <c r="M40" i="61"/>
  <c r="M39" i="61"/>
  <c r="M38" i="61"/>
  <c r="M37" i="61"/>
  <c r="M36" i="61"/>
  <c r="M35" i="61"/>
  <c r="M34" i="61"/>
  <c r="M33" i="61"/>
  <c r="M32" i="61"/>
  <c r="M31" i="61"/>
  <c r="M30" i="61"/>
  <c r="M29" i="61"/>
  <c r="M28" i="61"/>
  <c r="M27" i="61"/>
  <c r="M26" i="61"/>
  <c r="M25" i="61"/>
  <c r="M24" i="61"/>
  <c r="M23" i="61"/>
  <c r="M22" i="61"/>
  <c r="M21" i="61"/>
  <c r="M20" i="61"/>
  <c r="M19" i="61"/>
  <c r="M18" i="61"/>
  <c r="M17" i="61"/>
  <c r="M16" i="61"/>
  <c r="M15" i="61"/>
  <c r="M14" i="61"/>
  <c r="M13" i="61"/>
  <c r="M12" i="61"/>
  <c r="M11" i="61"/>
  <c r="M10" i="61"/>
  <c r="M9" i="61"/>
  <c r="M8" i="61"/>
  <c r="M7" i="61"/>
  <c r="L206" i="61"/>
  <c r="L205" i="61"/>
  <c r="L204" i="61"/>
  <c r="L203" i="61"/>
  <c r="L202" i="61"/>
  <c r="L201" i="61"/>
  <c r="L200" i="61"/>
  <c r="L199" i="61"/>
  <c r="L198" i="61"/>
  <c r="L197" i="61"/>
  <c r="L196" i="61"/>
  <c r="L195" i="61"/>
  <c r="L194" i="61"/>
  <c r="L193" i="61"/>
  <c r="L192" i="61"/>
  <c r="L191" i="61"/>
  <c r="L190" i="61"/>
  <c r="L189" i="61"/>
  <c r="L188" i="61"/>
  <c r="L187" i="61"/>
  <c r="L186" i="61"/>
  <c r="L185" i="61"/>
  <c r="L184" i="61"/>
  <c r="L183" i="61"/>
  <c r="L182" i="61"/>
  <c r="L181" i="61"/>
  <c r="L180" i="61"/>
  <c r="L179" i="61"/>
  <c r="L178" i="61"/>
  <c r="L177" i="61"/>
  <c r="L176" i="61"/>
  <c r="L175" i="61"/>
  <c r="L174" i="61"/>
  <c r="L173" i="61"/>
  <c r="L172" i="61"/>
  <c r="L171" i="61"/>
  <c r="L170" i="61"/>
  <c r="L169" i="61"/>
  <c r="L168" i="61"/>
  <c r="L167" i="61"/>
  <c r="L166" i="61"/>
  <c r="L165" i="61"/>
  <c r="L164" i="61"/>
  <c r="L163" i="61"/>
  <c r="L162" i="61"/>
  <c r="L161" i="61"/>
  <c r="L160" i="61"/>
  <c r="L159" i="61"/>
  <c r="L158" i="61"/>
  <c r="L157" i="61"/>
  <c r="L156" i="61"/>
  <c r="L155" i="61"/>
  <c r="L154" i="61"/>
  <c r="L153" i="61"/>
  <c r="L152" i="61"/>
  <c r="L151" i="61"/>
  <c r="L150" i="61"/>
  <c r="L149" i="61"/>
  <c r="L148" i="61"/>
  <c r="L147" i="61"/>
  <c r="L146" i="61"/>
  <c r="L145" i="61"/>
  <c r="L144" i="61"/>
  <c r="L143" i="61"/>
  <c r="L142" i="61"/>
  <c r="L141" i="61"/>
  <c r="L140" i="61"/>
  <c r="L139" i="61"/>
  <c r="L138" i="61"/>
  <c r="L137" i="61"/>
  <c r="L136" i="61"/>
  <c r="L135" i="61"/>
  <c r="L134" i="61"/>
  <c r="L133" i="61"/>
  <c r="L132" i="61"/>
  <c r="L131" i="61"/>
  <c r="L130" i="61"/>
  <c r="L129" i="61"/>
  <c r="L128" i="61"/>
  <c r="L127" i="61"/>
  <c r="L126" i="61"/>
  <c r="L125" i="61"/>
  <c r="L124" i="61"/>
  <c r="L123" i="61"/>
  <c r="L122" i="61"/>
  <c r="L121" i="61"/>
  <c r="L120" i="61"/>
  <c r="L119" i="61"/>
  <c r="L118" i="61"/>
  <c r="L117" i="61"/>
  <c r="L116" i="61"/>
  <c r="L115" i="61"/>
  <c r="L114" i="61"/>
  <c r="L113" i="61"/>
  <c r="L112" i="61"/>
  <c r="L111" i="61"/>
  <c r="L110" i="61"/>
  <c r="L109" i="61"/>
  <c r="L108" i="61"/>
  <c r="L107" i="61"/>
  <c r="L106" i="61"/>
  <c r="L105" i="61"/>
  <c r="L104" i="61"/>
  <c r="L103" i="61"/>
  <c r="L102" i="61"/>
  <c r="L101" i="61"/>
  <c r="L100" i="61"/>
  <c r="L99" i="61"/>
  <c r="L98" i="61"/>
  <c r="L97" i="61"/>
  <c r="L96" i="61"/>
  <c r="L95" i="61"/>
  <c r="L94" i="61"/>
  <c r="L93" i="61"/>
  <c r="L92" i="61"/>
  <c r="L91" i="61"/>
  <c r="L90" i="61"/>
  <c r="L89" i="61"/>
  <c r="L88" i="61"/>
  <c r="L87" i="61"/>
  <c r="L86" i="61"/>
  <c r="L85" i="61"/>
  <c r="L84" i="61"/>
  <c r="L83" i="61"/>
  <c r="L82" i="61"/>
  <c r="L81" i="61"/>
  <c r="L80" i="61"/>
  <c r="L79" i="61"/>
  <c r="L78" i="61"/>
  <c r="L77" i="61"/>
  <c r="L76" i="61"/>
  <c r="L75" i="61"/>
  <c r="L74" i="61"/>
  <c r="L73" i="61"/>
  <c r="L72" i="61"/>
  <c r="L71" i="61"/>
  <c r="L70" i="61"/>
  <c r="L69" i="61"/>
  <c r="L68" i="61"/>
  <c r="L67" i="61"/>
  <c r="L66" i="61"/>
  <c r="L65" i="61"/>
  <c r="L64" i="61"/>
  <c r="L63" i="61"/>
  <c r="L62" i="61"/>
  <c r="L61" i="61"/>
  <c r="L60" i="61"/>
  <c r="L59" i="61"/>
  <c r="L58" i="61"/>
  <c r="L57" i="61"/>
  <c r="L56" i="61"/>
  <c r="L55" i="61"/>
  <c r="L54" i="61"/>
  <c r="L53" i="61"/>
  <c r="L52" i="61"/>
  <c r="L51" i="61"/>
  <c r="L50" i="61"/>
  <c r="L49" i="61"/>
  <c r="L48" i="61"/>
  <c r="L47" i="61"/>
  <c r="L46" i="61"/>
  <c r="L45" i="61"/>
  <c r="L44" i="61"/>
  <c r="L43" i="61"/>
  <c r="L42" i="61"/>
  <c r="L41" i="61"/>
  <c r="L40" i="61"/>
  <c r="L39" i="61"/>
  <c r="L38" i="61"/>
  <c r="L37" i="61"/>
  <c r="L36" i="61"/>
  <c r="L35" i="61"/>
  <c r="L34" i="61"/>
  <c r="L33" i="61"/>
  <c r="L32" i="61"/>
  <c r="L31" i="61"/>
  <c r="L30" i="61"/>
  <c r="L29" i="61"/>
  <c r="L28" i="61"/>
  <c r="L27" i="61"/>
  <c r="L26" i="61"/>
  <c r="L25" i="61"/>
  <c r="L24" i="61"/>
  <c r="L23" i="61"/>
  <c r="L22" i="61"/>
  <c r="L21" i="61"/>
  <c r="L20" i="61"/>
  <c r="L19" i="61"/>
  <c r="L18" i="61"/>
  <c r="L17" i="61"/>
  <c r="L16" i="61"/>
  <c r="L15" i="61"/>
  <c r="L14" i="61"/>
  <c r="L13" i="61"/>
  <c r="L12" i="61"/>
  <c r="L11" i="61"/>
  <c r="L10" i="61"/>
  <c r="L9" i="61"/>
  <c r="L8" i="61"/>
  <c r="L7" i="61"/>
  <c r="K206" i="61"/>
  <c r="K205" i="61"/>
  <c r="K204" i="61"/>
  <c r="K203" i="61"/>
  <c r="K202" i="61"/>
  <c r="K201" i="61"/>
  <c r="K200" i="61"/>
  <c r="K199" i="61"/>
  <c r="K198" i="61"/>
  <c r="K197" i="61"/>
  <c r="K196" i="61"/>
  <c r="K195" i="61"/>
  <c r="K194" i="61"/>
  <c r="K193" i="61"/>
  <c r="K192" i="61"/>
  <c r="K191" i="61"/>
  <c r="K190" i="61"/>
  <c r="K189" i="61"/>
  <c r="K188" i="61"/>
  <c r="K187" i="61"/>
  <c r="K186" i="61"/>
  <c r="K185" i="61"/>
  <c r="K184" i="61"/>
  <c r="K183" i="61"/>
  <c r="K182" i="61"/>
  <c r="K181" i="61"/>
  <c r="K180" i="61"/>
  <c r="K179" i="61"/>
  <c r="K178" i="61"/>
  <c r="K177" i="61"/>
  <c r="K176" i="61"/>
  <c r="K175" i="61"/>
  <c r="K174" i="61"/>
  <c r="K173" i="61"/>
  <c r="K172" i="61"/>
  <c r="K171" i="61"/>
  <c r="K170" i="61"/>
  <c r="K169" i="61"/>
  <c r="K168" i="61"/>
  <c r="K167" i="61"/>
  <c r="K166" i="61"/>
  <c r="K165" i="61"/>
  <c r="K164" i="61"/>
  <c r="K163" i="61"/>
  <c r="K162" i="61"/>
  <c r="K161" i="61"/>
  <c r="K160" i="61"/>
  <c r="K159" i="61"/>
  <c r="K158" i="61"/>
  <c r="K157" i="61"/>
  <c r="K156" i="61"/>
  <c r="K155" i="61"/>
  <c r="K154" i="61"/>
  <c r="K153" i="61"/>
  <c r="K152" i="61"/>
  <c r="K151" i="61"/>
  <c r="K150" i="61"/>
  <c r="K149" i="61"/>
  <c r="K148" i="61"/>
  <c r="K147" i="61"/>
  <c r="K146" i="61"/>
  <c r="K145" i="61"/>
  <c r="K144" i="61"/>
  <c r="K143" i="61"/>
  <c r="K142" i="61"/>
  <c r="K141" i="61"/>
  <c r="K140" i="61"/>
  <c r="K139" i="61"/>
  <c r="K138" i="61"/>
  <c r="K137" i="61"/>
  <c r="K136" i="61"/>
  <c r="K135" i="61"/>
  <c r="K134" i="61"/>
  <c r="K133" i="61"/>
  <c r="K132" i="61"/>
  <c r="K131" i="61"/>
  <c r="K130" i="61"/>
  <c r="K129" i="61"/>
  <c r="K128" i="61"/>
  <c r="K127" i="61"/>
  <c r="K126" i="61"/>
  <c r="K125" i="61"/>
  <c r="K124" i="61"/>
  <c r="K123" i="61"/>
  <c r="K122" i="61"/>
  <c r="K121" i="61"/>
  <c r="K120" i="61"/>
  <c r="K119" i="61"/>
  <c r="K118" i="61"/>
  <c r="K117" i="61"/>
  <c r="K116" i="61"/>
  <c r="K115" i="61"/>
  <c r="K114" i="61"/>
  <c r="K113" i="61"/>
  <c r="K112" i="61"/>
  <c r="K111" i="61"/>
  <c r="K110" i="61"/>
  <c r="K109" i="61"/>
  <c r="K108" i="61"/>
  <c r="K107" i="61"/>
  <c r="K106" i="61"/>
  <c r="K105" i="61"/>
  <c r="K104" i="61"/>
  <c r="K103" i="61"/>
  <c r="K102" i="61"/>
  <c r="K101" i="61"/>
  <c r="K100" i="61"/>
  <c r="K99" i="61"/>
  <c r="K98" i="61"/>
  <c r="K97" i="61"/>
  <c r="K96" i="61"/>
  <c r="K95" i="61"/>
  <c r="K94" i="61"/>
  <c r="K93" i="61"/>
  <c r="K92" i="61"/>
  <c r="K91" i="61"/>
  <c r="K90" i="61"/>
  <c r="K89" i="61"/>
  <c r="K88" i="61"/>
  <c r="K87" i="61"/>
  <c r="K86" i="61"/>
  <c r="K85" i="61"/>
  <c r="K84" i="61"/>
  <c r="K83" i="61"/>
  <c r="K82" i="61"/>
  <c r="K81" i="61"/>
  <c r="K80" i="61"/>
  <c r="K79" i="61"/>
  <c r="K78" i="61"/>
  <c r="K77" i="61"/>
  <c r="K76" i="61"/>
  <c r="K75" i="61"/>
  <c r="K74" i="61"/>
  <c r="K73" i="61"/>
  <c r="K72" i="61"/>
  <c r="K71" i="61"/>
  <c r="K70" i="61"/>
  <c r="K69" i="61"/>
  <c r="K68" i="61"/>
  <c r="K67" i="61"/>
  <c r="K66" i="61"/>
  <c r="K65" i="61"/>
  <c r="K64" i="61"/>
  <c r="K63" i="61"/>
  <c r="K62" i="61"/>
  <c r="K61" i="61"/>
  <c r="K60" i="61"/>
  <c r="K59" i="61"/>
  <c r="K58" i="61"/>
  <c r="K57" i="61"/>
  <c r="K56" i="61"/>
  <c r="K55" i="61"/>
  <c r="K54" i="61"/>
  <c r="K53" i="61"/>
  <c r="K52" i="61"/>
  <c r="K51" i="61"/>
  <c r="K50" i="61"/>
  <c r="K49" i="61"/>
  <c r="K48" i="61"/>
  <c r="K47" i="61"/>
  <c r="K46" i="61"/>
  <c r="K45" i="61"/>
  <c r="K44" i="61"/>
  <c r="K43" i="61"/>
  <c r="K42" i="61"/>
  <c r="K41" i="61"/>
  <c r="K40" i="61"/>
  <c r="K39" i="61"/>
  <c r="K38" i="61"/>
  <c r="K37" i="61"/>
  <c r="K36" i="61"/>
  <c r="K35" i="61"/>
  <c r="K34" i="61"/>
  <c r="K33" i="61"/>
  <c r="K32" i="61"/>
  <c r="K31" i="61"/>
  <c r="K30" i="61"/>
  <c r="K29" i="61"/>
  <c r="K28" i="61"/>
  <c r="K27" i="61"/>
  <c r="K26" i="61"/>
  <c r="K25" i="61"/>
  <c r="K24" i="61"/>
  <c r="K23" i="61"/>
  <c r="K22" i="61"/>
  <c r="K21" i="61"/>
  <c r="K20" i="61"/>
  <c r="K19" i="61"/>
  <c r="K18" i="61"/>
  <c r="K17" i="61"/>
  <c r="K16" i="61"/>
  <c r="K15" i="61"/>
  <c r="K14" i="61"/>
  <c r="K13" i="61"/>
  <c r="K12" i="61"/>
  <c r="K11" i="61"/>
  <c r="K10" i="61"/>
  <c r="K9" i="61"/>
  <c r="K8" i="61"/>
  <c r="K7" i="61"/>
  <c r="J206" i="61"/>
  <c r="J205" i="61"/>
  <c r="J204" i="61"/>
  <c r="J203" i="61"/>
  <c r="J202" i="61"/>
  <c r="J201" i="61"/>
  <c r="J200" i="61"/>
  <c r="J199" i="61"/>
  <c r="J198" i="61"/>
  <c r="J197" i="61"/>
  <c r="J196" i="61"/>
  <c r="J195" i="61"/>
  <c r="J194" i="61"/>
  <c r="J193" i="61"/>
  <c r="J192" i="61"/>
  <c r="J191" i="61"/>
  <c r="J190" i="61"/>
  <c r="J189" i="61"/>
  <c r="J188" i="61"/>
  <c r="J187" i="61"/>
  <c r="J186" i="61"/>
  <c r="J185" i="61"/>
  <c r="J184" i="61"/>
  <c r="J183" i="61"/>
  <c r="J182" i="61"/>
  <c r="J181" i="61"/>
  <c r="J180" i="61"/>
  <c r="J179" i="61"/>
  <c r="J178" i="61"/>
  <c r="J177" i="61"/>
  <c r="J176" i="61"/>
  <c r="J175" i="61"/>
  <c r="J174" i="61"/>
  <c r="J173" i="61"/>
  <c r="J172" i="61"/>
  <c r="J171" i="61"/>
  <c r="J170" i="61"/>
  <c r="J169" i="61"/>
  <c r="J168" i="61"/>
  <c r="J167" i="61"/>
  <c r="J166" i="61"/>
  <c r="J165" i="61"/>
  <c r="J164" i="61"/>
  <c r="J163" i="61"/>
  <c r="J162" i="61"/>
  <c r="J161" i="61"/>
  <c r="J160" i="61"/>
  <c r="J159" i="61"/>
  <c r="J158" i="61"/>
  <c r="J157" i="61"/>
  <c r="J156" i="61"/>
  <c r="J155" i="61"/>
  <c r="J154" i="61"/>
  <c r="J153" i="61"/>
  <c r="J152" i="61"/>
  <c r="J151" i="61"/>
  <c r="J150" i="61"/>
  <c r="J149" i="61"/>
  <c r="J148" i="61"/>
  <c r="J147" i="61"/>
  <c r="J146" i="61"/>
  <c r="J145" i="61"/>
  <c r="J144" i="61"/>
  <c r="J143" i="61"/>
  <c r="J142" i="61"/>
  <c r="J141" i="61"/>
  <c r="J140" i="61"/>
  <c r="J139" i="61"/>
  <c r="J138" i="61"/>
  <c r="J137" i="61"/>
  <c r="J136" i="61"/>
  <c r="J135" i="61"/>
  <c r="J134" i="61"/>
  <c r="J133" i="61"/>
  <c r="J132" i="61"/>
  <c r="J131" i="61"/>
  <c r="J130" i="61"/>
  <c r="J129" i="61"/>
  <c r="J128" i="61"/>
  <c r="J127" i="61"/>
  <c r="J126" i="61"/>
  <c r="J125" i="61"/>
  <c r="J124" i="61"/>
  <c r="J123" i="61"/>
  <c r="J122" i="61"/>
  <c r="J121" i="61"/>
  <c r="J120" i="61"/>
  <c r="J119" i="61"/>
  <c r="J118" i="61"/>
  <c r="J117" i="61"/>
  <c r="J116" i="61"/>
  <c r="J115" i="61"/>
  <c r="J114" i="61"/>
  <c r="J113" i="61"/>
  <c r="J112" i="61"/>
  <c r="J111" i="61"/>
  <c r="J110" i="61"/>
  <c r="J109" i="61"/>
  <c r="J108" i="61"/>
  <c r="J107" i="61"/>
  <c r="J106" i="61"/>
  <c r="J105" i="61"/>
  <c r="J104" i="61"/>
  <c r="J103" i="61"/>
  <c r="J102" i="61"/>
  <c r="J101" i="61"/>
  <c r="J100" i="61"/>
  <c r="J99" i="61"/>
  <c r="J98" i="61"/>
  <c r="J97" i="61"/>
  <c r="J96" i="61"/>
  <c r="J95" i="61"/>
  <c r="J94" i="61"/>
  <c r="J93" i="61"/>
  <c r="J92" i="61"/>
  <c r="J91" i="61"/>
  <c r="J90" i="61"/>
  <c r="J89" i="61"/>
  <c r="J88" i="61"/>
  <c r="J87" i="61"/>
  <c r="J86" i="61"/>
  <c r="J85" i="61"/>
  <c r="J84" i="61"/>
  <c r="J83" i="61"/>
  <c r="J82" i="61"/>
  <c r="J81" i="61"/>
  <c r="J80" i="61"/>
  <c r="J79" i="61"/>
  <c r="J78" i="61"/>
  <c r="J77" i="61"/>
  <c r="J76" i="61"/>
  <c r="J75" i="61"/>
  <c r="J74" i="61"/>
  <c r="J73" i="61"/>
  <c r="J72" i="61"/>
  <c r="J71" i="61"/>
  <c r="J70" i="61"/>
  <c r="J69" i="61"/>
  <c r="J68" i="61"/>
  <c r="J67" i="61"/>
  <c r="J66" i="61"/>
  <c r="J65" i="61"/>
  <c r="J64" i="61"/>
  <c r="J63" i="61"/>
  <c r="J62" i="61"/>
  <c r="J61" i="61"/>
  <c r="J60" i="61"/>
  <c r="J59" i="61"/>
  <c r="J58" i="61"/>
  <c r="J57" i="61"/>
  <c r="J56" i="61"/>
  <c r="J55" i="61"/>
  <c r="J54" i="61"/>
  <c r="J53" i="61"/>
  <c r="J52" i="61"/>
  <c r="J51" i="61"/>
  <c r="J50" i="61"/>
  <c r="J49" i="61"/>
  <c r="J48" i="61"/>
  <c r="J47" i="61"/>
  <c r="J46" i="61"/>
  <c r="J45" i="61"/>
  <c r="J44" i="61"/>
  <c r="J43" i="61"/>
  <c r="J42" i="61"/>
  <c r="J41" i="61"/>
  <c r="J40" i="61"/>
  <c r="J39" i="61"/>
  <c r="J38" i="61"/>
  <c r="J37" i="61"/>
  <c r="J36" i="61"/>
  <c r="J35" i="61"/>
  <c r="J34" i="61"/>
  <c r="J33" i="61"/>
  <c r="J32" i="61"/>
  <c r="J31" i="61"/>
  <c r="J30" i="61"/>
  <c r="J29" i="61"/>
  <c r="J28" i="61"/>
  <c r="J27" i="61"/>
  <c r="J26" i="61"/>
  <c r="J25" i="61"/>
  <c r="J24" i="61"/>
  <c r="J23" i="61"/>
  <c r="J22" i="61"/>
  <c r="J21" i="61"/>
  <c r="J20" i="61"/>
  <c r="J19" i="61"/>
  <c r="J18" i="61"/>
  <c r="J17" i="61"/>
  <c r="J16" i="61"/>
  <c r="J15" i="61"/>
  <c r="J14" i="61"/>
  <c r="J13" i="61"/>
  <c r="J12" i="61"/>
  <c r="J11" i="61"/>
  <c r="J10" i="61"/>
  <c r="J9" i="61"/>
  <c r="J8" i="61"/>
  <c r="J7" i="61"/>
  <c r="I206" i="61"/>
  <c r="I205" i="61"/>
  <c r="I204" i="61"/>
  <c r="I203" i="61"/>
  <c r="I202" i="61"/>
  <c r="I201" i="61"/>
  <c r="I200" i="61"/>
  <c r="I199" i="61"/>
  <c r="I198" i="61"/>
  <c r="I197" i="61"/>
  <c r="I196" i="61"/>
  <c r="I195" i="61"/>
  <c r="I194" i="61"/>
  <c r="I193" i="61"/>
  <c r="I192" i="61"/>
  <c r="I191" i="61"/>
  <c r="I190" i="61"/>
  <c r="I189" i="61"/>
  <c r="I188" i="61"/>
  <c r="I187" i="61"/>
  <c r="I186" i="61"/>
  <c r="I185" i="61"/>
  <c r="I184" i="61"/>
  <c r="I183" i="61"/>
  <c r="I182" i="61"/>
  <c r="I181" i="61"/>
  <c r="I180" i="61"/>
  <c r="I179" i="61"/>
  <c r="I178" i="61"/>
  <c r="I177" i="61"/>
  <c r="I176" i="61"/>
  <c r="I175" i="61"/>
  <c r="I174" i="61"/>
  <c r="I173" i="61"/>
  <c r="I172" i="61"/>
  <c r="I171" i="61"/>
  <c r="I170" i="61"/>
  <c r="I169" i="61"/>
  <c r="I168" i="61"/>
  <c r="I167" i="61"/>
  <c r="I166" i="61"/>
  <c r="I165" i="61"/>
  <c r="I164" i="61"/>
  <c r="I163" i="61"/>
  <c r="I162" i="61"/>
  <c r="I161" i="61"/>
  <c r="I160" i="61"/>
  <c r="I159" i="61"/>
  <c r="I158" i="61"/>
  <c r="I157" i="61"/>
  <c r="I156" i="61"/>
  <c r="I155" i="61"/>
  <c r="I154" i="61"/>
  <c r="I153" i="61"/>
  <c r="I152" i="61"/>
  <c r="I151" i="61"/>
  <c r="I150" i="61"/>
  <c r="I149" i="61"/>
  <c r="I148" i="61"/>
  <c r="I147" i="61"/>
  <c r="I146" i="61"/>
  <c r="I145" i="61"/>
  <c r="I144" i="61"/>
  <c r="I143" i="61"/>
  <c r="I142" i="61"/>
  <c r="I141" i="61"/>
  <c r="I140" i="61"/>
  <c r="I139" i="61"/>
  <c r="I138" i="61"/>
  <c r="I137" i="61"/>
  <c r="I136" i="61"/>
  <c r="I135" i="61"/>
  <c r="I134" i="61"/>
  <c r="I133" i="61"/>
  <c r="I132" i="61"/>
  <c r="I131" i="61"/>
  <c r="I130" i="61"/>
  <c r="I129" i="61"/>
  <c r="I128" i="61"/>
  <c r="I127" i="61"/>
  <c r="I126" i="61"/>
  <c r="I125" i="61"/>
  <c r="I124" i="61"/>
  <c r="I123" i="61"/>
  <c r="I122" i="61"/>
  <c r="I121" i="61"/>
  <c r="I120" i="61"/>
  <c r="I119" i="61"/>
  <c r="I118" i="61"/>
  <c r="I117" i="61"/>
  <c r="I116" i="61"/>
  <c r="I115" i="61"/>
  <c r="I114" i="61"/>
  <c r="I113" i="61"/>
  <c r="I112" i="61"/>
  <c r="I111" i="61"/>
  <c r="I110" i="61"/>
  <c r="I109" i="61"/>
  <c r="I108" i="61"/>
  <c r="I107" i="61"/>
  <c r="I106" i="61"/>
  <c r="I105" i="61"/>
  <c r="I104" i="61"/>
  <c r="I103" i="61"/>
  <c r="I102" i="61"/>
  <c r="I101" i="61"/>
  <c r="I100" i="61"/>
  <c r="I99" i="61"/>
  <c r="I98" i="61"/>
  <c r="I97" i="61"/>
  <c r="I96" i="61"/>
  <c r="I95" i="61"/>
  <c r="I94" i="61"/>
  <c r="I93" i="61"/>
  <c r="I92" i="61"/>
  <c r="I91" i="61"/>
  <c r="I90" i="61"/>
  <c r="I89" i="61"/>
  <c r="I88" i="61"/>
  <c r="I87" i="61"/>
  <c r="I86" i="61"/>
  <c r="I85" i="61"/>
  <c r="I84" i="61"/>
  <c r="I83" i="61"/>
  <c r="I82" i="61"/>
  <c r="I81" i="61"/>
  <c r="I80" i="61"/>
  <c r="I79" i="61"/>
  <c r="I78" i="61"/>
  <c r="I77" i="61"/>
  <c r="I76" i="61"/>
  <c r="I75" i="61"/>
  <c r="I74" i="61"/>
  <c r="I73" i="61"/>
  <c r="I72" i="61"/>
  <c r="I71" i="61"/>
  <c r="I70" i="61"/>
  <c r="I69" i="61"/>
  <c r="I68" i="61"/>
  <c r="I67" i="61"/>
  <c r="I66" i="61"/>
  <c r="I65" i="61"/>
  <c r="I64" i="61"/>
  <c r="I63" i="61"/>
  <c r="I62" i="61"/>
  <c r="I61" i="61"/>
  <c r="I60" i="61"/>
  <c r="I59" i="61"/>
  <c r="I58" i="61"/>
  <c r="I57" i="61"/>
  <c r="I56" i="61"/>
  <c r="I55" i="61"/>
  <c r="I54" i="61"/>
  <c r="I53" i="61"/>
  <c r="I52" i="61"/>
  <c r="I51" i="61"/>
  <c r="I50" i="61"/>
  <c r="I49" i="61"/>
  <c r="I48" i="61"/>
  <c r="I47" i="61"/>
  <c r="I46" i="61"/>
  <c r="I45" i="61"/>
  <c r="I44" i="61"/>
  <c r="I43" i="61"/>
  <c r="I42" i="61"/>
  <c r="I41" i="61"/>
  <c r="I40" i="61"/>
  <c r="I39" i="61"/>
  <c r="I38" i="61"/>
  <c r="I37" i="61"/>
  <c r="I36" i="61"/>
  <c r="I35" i="61"/>
  <c r="I34" i="61"/>
  <c r="I33" i="61"/>
  <c r="I32" i="61"/>
  <c r="I31" i="61"/>
  <c r="I30" i="61"/>
  <c r="I29" i="61"/>
  <c r="I28" i="61"/>
  <c r="I27" i="61"/>
  <c r="I26" i="61"/>
  <c r="I25" i="61"/>
  <c r="I24" i="61"/>
  <c r="I23" i="61"/>
  <c r="I22" i="61"/>
  <c r="I21" i="61"/>
  <c r="I20" i="61"/>
  <c r="I19" i="61"/>
  <c r="I18" i="61"/>
  <c r="I17" i="61"/>
  <c r="I16" i="61"/>
  <c r="I15" i="61"/>
  <c r="I14" i="61"/>
  <c r="I13" i="61"/>
  <c r="I12" i="61"/>
  <c r="I11" i="61"/>
  <c r="I10" i="61"/>
  <c r="I9" i="61"/>
  <c r="I8" i="61"/>
  <c r="I7" i="61"/>
  <c r="H206" i="61"/>
  <c r="H205" i="61"/>
  <c r="H204" i="61"/>
  <c r="H203" i="61"/>
  <c r="H202" i="61"/>
  <c r="H201" i="61"/>
  <c r="H200" i="61"/>
  <c r="H199" i="61"/>
  <c r="H198" i="61"/>
  <c r="H197" i="61"/>
  <c r="H196" i="61"/>
  <c r="H195" i="61"/>
  <c r="H194" i="61"/>
  <c r="H193" i="61"/>
  <c r="H192" i="61"/>
  <c r="H191" i="61"/>
  <c r="H190" i="61"/>
  <c r="H189" i="61"/>
  <c r="H188" i="61"/>
  <c r="H187" i="61"/>
  <c r="H186" i="61"/>
  <c r="H185" i="61"/>
  <c r="H184" i="61"/>
  <c r="H183" i="61"/>
  <c r="H182" i="61"/>
  <c r="H181" i="61"/>
  <c r="H180" i="61"/>
  <c r="H179" i="61"/>
  <c r="H178" i="61"/>
  <c r="H177" i="61"/>
  <c r="H176" i="61"/>
  <c r="H175" i="61"/>
  <c r="H174" i="61"/>
  <c r="H173" i="61"/>
  <c r="H172" i="61"/>
  <c r="H171" i="61"/>
  <c r="H170" i="61"/>
  <c r="H169" i="61"/>
  <c r="H168" i="61"/>
  <c r="H167" i="61"/>
  <c r="H166" i="61"/>
  <c r="H165" i="61"/>
  <c r="H164" i="61"/>
  <c r="H163" i="61"/>
  <c r="H162" i="61"/>
  <c r="H161" i="61"/>
  <c r="H160" i="61"/>
  <c r="H159" i="61"/>
  <c r="H158" i="61"/>
  <c r="H157" i="61"/>
  <c r="H156" i="61"/>
  <c r="H155" i="61"/>
  <c r="H154" i="61"/>
  <c r="H153" i="61"/>
  <c r="H152" i="61"/>
  <c r="H151" i="61"/>
  <c r="H150" i="61"/>
  <c r="H149" i="61"/>
  <c r="H148" i="61"/>
  <c r="H147" i="61"/>
  <c r="H146" i="61"/>
  <c r="H145" i="61"/>
  <c r="H144" i="61"/>
  <c r="H143" i="61"/>
  <c r="H142" i="61"/>
  <c r="H141" i="61"/>
  <c r="H140" i="61"/>
  <c r="H139" i="61"/>
  <c r="H138" i="61"/>
  <c r="H137" i="61"/>
  <c r="H136" i="61"/>
  <c r="H135" i="61"/>
  <c r="H134" i="61"/>
  <c r="H133" i="61"/>
  <c r="H132" i="61"/>
  <c r="H131" i="61"/>
  <c r="H130" i="61"/>
  <c r="H129" i="61"/>
  <c r="H128" i="61"/>
  <c r="H127" i="61"/>
  <c r="H126" i="61"/>
  <c r="H125" i="61"/>
  <c r="H124" i="61"/>
  <c r="H123" i="61"/>
  <c r="H122" i="61"/>
  <c r="H121" i="61"/>
  <c r="H120" i="61"/>
  <c r="H119" i="61"/>
  <c r="H118" i="61"/>
  <c r="H117" i="61"/>
  <c r="H116" i="61"/>
  <c r="H115" i="61"/>
  <c r="H114" i="61"/>
  <c r="H113" i="61"/>
  <c r="H112" i="61"/>
  <c r="H111" i="61"/>
  <c r="H110" i="61"/>
  <c r="H109" i="61"/>
  <c r="H108" i="61"/>
  <c r="H107" i="61"/>
  <c r="H106" i="61"/>
  <c r="H105" i="61"/>
  <c r="H104" i="61"/>
  <c r="H103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8" i="61"/>
  <c r="H87" i="61"/>
  <c r="H86" i="61"/>
  <c r="H85" i="61"/>
  <c r="H84" i="61"/>
  <c r="H83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70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H16" i="61"/>
  <c r="H15" i="61"/>
  <c r="H14" i="61"/>
  <c r="H13" i="61"/>
  <c r="H12" i="61"/>
  <c r="H11" i="61"/>
  <c r="H10" i="61"/>
  <c r="H9" i="61"/>
  <c r="H8" i="61"/>
  <c r="H7" i="61"/>
  <c r="G206" i="61"/>
  <c r="G205" i="61"/>
  <c r="G204" i="61"/>
  <c r="G203" i="61"/>
  <c r="G202" i="61"/>
  <c r="G201" i="61"/>
  <c r="G200" i="61"/>
  <c r="G199" i="61"/>
  <c r="G198" i="61"/>
  <c r="G197" i="61"/>
  <c r="G196" i="61"/>
  <c r="G195" i="61"/>
  <c r="G194" i="61"/>
  <c r="G193" i="61"/>
  <c r="G192" i="61"/>
  <c r="G191" i="61"/>
  <c r="G190" i="61"/>
  <c r="G189" i="61"/>
  <c r="G188" i="61"/>
  <c r="G187" i="61"/>
  <c r="G186" i="61"/>
  <c r="G185" i="61"/>
  <c r="G184" i="61"/>
  <c r="G183" i="61"/>
  <c r="G182" i="61"/>
  <c r="G181" i="61"/>
  <c r="G180" i="61"/>
  <c r="G179" i="61"/>
  <c r="G178" i="61"/>
  <c r="G177" i="61"/>
  <c r="G176" i="61"/>
  <c r="G175" i="61"/>
  <c r="G174" i="61"/>
  <c r="G173" i="61"/>
  <c r="G172" i="61"/>
  <c r="G171" i="61"/>
  <c r="G170" i="61"/>
  <c r="G169" i="61"/>
  <c r="G168" i="61"/>
  <c r="G167" i="61"/>
  <c r="G166" i="61"/>
  <c r="G165" i="61"/>
  <c r="G164" i="61"/>
  <c r="G163" i="61"/>
  <c r="G162" i="61"/>
  <c r="G161" i="61"/>
  <c r="G160" i="61"/>
  <c r="G159" i="61"/>
  <c r="G158" i="61"/>
  <c r="G157" i="61"/>
  <c r="G156" i="61"/>
  <c r="G155" i="61"/>
  <c r="G154" i="61"/>
  <c r="G153" i="61"/>
  <c r="G152" i="61"/>
  <c r="G151" i="61"/>
  <c r="G150" i="61"/>
  <c r="G149" i="61"/>
  <c r="G148" i="61"/>
  <c r="G147" i="61"/>
  <c r="G146" i="61"/>
  <c r="G145" i="61"/>
  <c r="G144" i="61"/>
  <c r="G143" i="61"/>
  <c r="G142" i="61"/>
  <c r="G141" i="61"/>
  <c r="G140" i="61"/>
  <c r="G139" i="61"/>
  <c r="G138" i="61"/>
  <c r="G137" i="61"/>
  <c r="G136" i="61"/>
  <c r="G135" i="61"/>
  <c r="G134" i="61"/>
  <c r="G133" i="61"/>
  <c r="G132" i="61"/>
  <c r="G131" i="61"/>
  <c r="G130" i="61"/>
  <c r="G129" i="61"/>
  <c r="G128" i="61"/>
  <c r="G127" i="61"/>
  <c r="G126" i="61"/>
  <c r="G125" i="61"/>
  <c r="G124" i="61"/>
  <c r="G123" i="61"/>
  <c r="G122" i="61"/>
  <c r="G121" i="61"/>
  <c r="G120" i="61"/>
  <c r="G119" i="61"/>
  <c r="G118" i="61"/>
  <c r="G117" i="61"/>
  <c r="G116" i="61"/>
  <c r="G115" i="61"/>
  <c r="G114" i="61"/>
  <c r="G113" i="61"/>
  <c r="G112" i="61"/>
  <c r="G111" i="61"/>
  <c r="G110" i="61"/>
  <c r="G109" i="61"/>
  <c r="G108" i="61"/>
  <c r="G107" i="61"/>
  <c r="G106" i="61"/>
  <c r="G105" i="61"/>
  <c r="G104" i="61"/>
  <c r="G103" i="61"/>
  <c r="G102" i="61"/>
  <c r="G101" i="61"/>
  <c r="G100" i="61"/>
  <c r="G99" i="61"/>
  <c r="G98" i="61"/>
  <c r="G97" i="61"/>
  <c r="G96" i="61"/>
  <c r="G95" i="61"/>
  <c r="G94" i="61"/>
  <c r="G93" i="61"/>
  <c r="G92" i="61"/>
  <c r="G91" i="61"/>
  <c r="G90" i="61"/>
  <c r="G89" i="61"/>
  <c r="G88" i="61"/>
  <c r="G87" i="61"/>
  <c r="G86" i="61"/>
  <c r="G85" i="61"/>
  <c r="G84" i="61"/>
  <c r="G83" i="61"/>
  <c r="G82" i="61"/>
  <c r="G81" i="61"/>
  <c r="G80" i="61"/>
  <c r="G79" i="61"/>
  <c r="G78" i="61"/>
  <c r="G77" i="61"/>
  <c r="G76" i="61"/>
  <c r="G75" i="61"/>
  <c r="G74" i="61"/>
  <c r="G73" i="61"/>
  <c r="G72" i="61"/>
  <c r="G71" i="61"/>
  <c r="G70" i="61"/>
  <c r="G69" i="61"/>
  <c r="G68" i="61"/>
  <c r="G67" i="61"/>
  <c r="G66" i="61"/>
  <c r="G65" i="61"/>
  <c r="G64" i="61"/>
  <c r="G63" i="61"/>
  <c r="G62" i="61"/>
  <c r="G61" i="61"/>
  <c r="G60" i="61"/>
  <c r="G59" i="61"/>
  <c r="G58" i="61"/>
  <c r="G57" i="61"/>
  <c r="G56" i="61"/>
  <c r="G55" i="61"/>
  <c r="G54" i="61"/>
  <c r="G53" i="61"/>
  <c r="G52" i="61"/>
  <c r="G51" i="61"/>
  <c r="G50" i="61"/>
  <c r="G49" i="61"/>
  <c r="G48" i="61"/>
  <c r="G47" i="61"/>
  <c r="G46" i="61"/>
  <c r="G45" i="61"/>
  <c r="G44" i="61"/>
  <c r="G43" i="61"/>
  <c r="G42" i="61"/>
  <c r="G41" i="61"/>
  <c r="G40" i="61"/>
  <c r="G39" i="61"/>
  <c r="G38" i="61"/>
  <c r="G37" i="61"/>
  <c r="G36" i="61"/>
  <c r="G35" i="61"/>
  <c r="G34" i="61"/>
  <c r="G33" i="61"/>
  <c r="G32" i="61"/>
  <c r="G31" i="61"/>
  <c r="G30" i="61"/>
  <c r="G29" i="61"/>
  <c r="G28" i="61"/>
  <c r="G27" i="61"/>
  <c r="G26" i="61"/>
  <c r="G25" i="61"/>
  <c r="G24" i="61"/>
  <c r="G23" i="61"/>
  <c r="G22" i="61"/>
  <c r="G21" i="61"/>
  <c r="G20" i="61"/>
  <c r="G19" i="61"/>
  <c r="G18" i="61"/>
  <c r="G17" i="61"/>
  <c r="G16" i="61"/>
  <c r="G15" i="61"/>
  <c r="G14" i="61"/>
  <c r="G13" i="61"/>
  <c r="G12" i="61"/>
  <c r="G11" i="61"/>
  <c r="G10" i="61"/>
  <c r="G9" i="61"/>
  <c r="G8" i="61"/>
  <c r="G7" i="61"/>
  <c r="F206" i="61"/>
  <c r="F205" i="61"/>
  <c r="F204" i="61"/>
  <c r="F203" i="61"/>
  <c r="F202" i="61"/>
  <c r="F201" i="61"/>
  <c r="F200" i="61"/>
  <c r="F199" i="61"/>
  <c r="F198" i="61"/>
  <c r="F197" i="61"/>
  <c r="F196" i="61"/>
  <c r="F195" i="61"/>
  <c r="F194" i="61"/>
  <c r="F193" i="61"/>
  <c r="F192" i="61"/>
  <c r="F191" i="61"/>
  <c r="F190" i="61"/>
  <c r="F189" i="61"/>
  <c r="F188" i="61"/>
  <c r="F187" i="61"/>
  <c r="F186" i="61"/>
  <c r="F185" i="61"/>
  <c r="F184" i="61"/>
  <c r="F183" i="61"/>
  <c r="F182" i="61"/>
  <c r="F181" i="61"/>
  <c r="F180" i="61"/>
  <c r="F179" i="61"/>
  <c r="F178" i="61"/>
  <c r="F177" i="61"/>
  <c r="F176" i="61"/>
  <c r="F175" i="61"/>
  <c r="F174" i="61"/>
  <c r="F173" i="61"/>
  <c r="F172" i="61"/>
  <c r="F171" i="61"/>
  <c r="F170" i="61"/>
  <c r="F169" i="61"/>
  <c r="F168" i="61"/>
  <c r="F167" i="61"/>
  <c r="F166" i="61"/>
  <c r="F165" i="61"/>
  <c r="F164" i="61"/>
  <c r="F163" i="61"/>
  <c r="F162" i="61"/>
  <c r="F161" i="61"/>
  <c r="F160" i="61"/>
  <c r="F159" i="61"/>
  <c r="F158" i="61"/>
  <c r="F157" i="61"/>
  <c r="F156" i="61"/>
  <c r="F155" i="61"/>
  <c r="F154" i="61"/>
  <c r="F153" i="61"/>
  <c r="F152" i="61"/>
  <c r="F151" i="61"/>
  <c r="F150" i="61"/>
  <c r="F149" i="61"/>
  <c r="F148" i="61"/>
  <c r="F147" i="61"/>
  <c r="F146" i="61"/>
  <c r="F145" i="61"/>
  <c r="F144" i="61"/>
  <c r="F143" i="61"/>
  <c r="F142" i="61"/>
  <c r="F141" i="61"/>
  <c r="F140" i="61"/>
  <c r="F139" i="61"/>
  <c r="F138" i="61"/>
  <c r="F137" i="61"/>
  <c r="F136" i="61"/>
  <c r="F135" i="61"/>
  <c r="F134" i="61"/>
  <c r="F133" i="61"/>
  <c r="F132" i="61"/>
  <c r="F131" i="61"/>
  <c r="F130" i="61"/>
  <c r="F129" i="61"/>
  <c r="F128" i="61"/>
  <c r="F127" i="61"/>
  <c r="F126" i="61"/>
  <c r="F125" i="61"/>
  <c r="F124" i="61"/>
  <c r="F123" i="61"/>
  <c r="F122" i="61"/>
  <c r="F121" i="61"/>
  <c r="F120" i="61"/>
  <c r="F119" i="61"/>
  <c r="F118" i="61"/>
  <c r="F117" i="61"/>
  <c r="F116" i="61"/>
  <c r="F115" i="61"/>
  <c r="F114" i="61"/>
  <c r="F113" i="61"/>
  <c r="F112" i="61"/>
  <c r="F111" i="61"/>
  <c r="F110" i="61"/>
  <c r="F109" i="61"/>
  <c r="F108" i="61"/>
  <c r="F107" i="61"/>
  <c r="F106" i="61"/>
  <c r="F105" i="61"/>
  <c r="F104" i="61"/>
  <c r="F103" i="61"/>
  <c r="F102" i="61"/>
  <c r="F101" i="61"/>
  <c r="F100" i="61"/>
  <c r="F99" i="61"/>
  <c r="F98" i="61"/>
  <c r="F97" i="61"/>
  <c r="F96" i="61"/>
  <c r="F95" i="61"/>
  <c r="F94" i="61"/>
  <c r="F93" i="61"/>
  <c r="F92" i="61"/>
  <c r="F91" i="61"/>
  <c r="F90" i="61"/>
  <c r="F89" i="61"/>
  <c r="F88" i="61"/>
  <c r="F87" i="61"/>
  <c r="F86" i="61"/>
  <c r="F85" i="61"/>
  <c r="F84" i="61"/>
  <c r="F83" i="61"/>
  <c r="F82" i="61"/>
  <c r="F81" i="61"/>
  <c r="F80" i="61"/>
  <c r="F79" i="61"/>
  <c r="F78" i="61"/>
  <c r="F77" i="61"/>
  <c r="F76" i="61"/>
  <c r="F75" i="61"/>
  <c r="F74" i="61"/>
  <c r="F73" i="61"/>
  <c r="F72" i="61"/>
  <c r="F71" i="61"/>
  <c r="F70" i="61"/>
  <c r="F69" i="61"/>
  <c r="F68" i="61"/>
  <c r="F67" i="61"/>
  <c r="F66" i="61"/>
  <c r="F65" i="61"/>
  <c r="F64" i="61"/>
  <c r="F63" i="61"/>
  <c r="F62" i="61"/>
  <c r="F61" i="61"/>
  <c r="F60" i="61"/>
  <c r="F59" i="61"/>
  <c r="F58" i="61"/>
  <c r="F57" i="61"/>
  <c r="F56" i="61"/>
  <c r="F55" i="61"/>
  <c r="F54" i="61"/>
  <c r="F53" i="61"/>
  <c r="F52" i="61"/>
  <c r="F51" i="61"/>
  <c r="F50" i="61"/>
  <c r="F49" i="61"/>
  <c r="F48" i="61"/>
  <c r="F47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F31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E206" i="61"/>
  <c r="E205" i="61"/>
  <c r="E204" i="61"/>
  <c r="E203" i="61"/>
  <c r="E202" i="61"/>
  <c r="E201" i="61"/>
  <c r="E200" i="61"/>
  <c r="E199" i="61"/>
  <c r="E198" i="61"/>
  <c r="E197" i="61"/>
  <c r="E196" i="61"/>
  <c r="E195" i="61"/>
  <c r="E194" i="61"/>
  <c r="E193" i="61"/>
  <c r="E192" i="61"/>
  <c r="E191" i="61"/>
  <c r="E190" i="61"/>
  <c r="E189" i="61"/>
  <c r="E188" i="61"/>
  <c r="E187" i="61"/>
  <c r="E186" i="61"/>
  <c r="E185" i="61"/>
  <c r="E184" i="61"/>
  <c r="E183" i="61"/>
  <c r="E182" i="61"/>
  <c r="E181" i="61"/>
  <c r="E180" i="61"/>
  <c r="E179" i="61"/>
  <c r="E178" i="61"/>
  <c r="E177" i="61"/>
  <c r="E176" i="61"/>
  <c r="E175" i="61"/>
  <c r="E174" i="61"/>
  <c r="E173" i="61"/>
  <c r="E172" i="61"/>
  <c r="E171" i="61"/>
  <c r="E170" i="61"/>
  <c r="E169" i="61"/>
  <c r="E168" i="61"/>
  <c r="E167" i="61"/>
  <c r="E166" i="61"/>
  <c r="E165" i="61"/>
  <c r="E164" i="61"/>
  <c r="E163" i="61"/>
  <c r="E162" i="61"/>
  <c r="E161" i="61"/>
  <c r="E160" i="61"/>
  <c r="E159" i="61"/>
  <c r="E158" i="61"/>
  <c r="E157" i="61"/>
  <c r="E156" i="61"/>
  <c r="E155" i="61"/>
  <c r="E154" i="61"/>
  <c r="E153" i="61"/>
  <c r="E152" i="61"/>
  <c r="E151" i="61"/>
  <c r="E150" i="61"/>
  <c r="E149" i="61"/>
  <c r="E148" i="61"/>
  <c r="E147" i="61"/>
  <c r="E146" i="61"/>
  <c r="E145" i="61"/>
  <c r="E144" i="61"/>
  <c r="E143" i="61"/>
  <c r="E142" i="61"/>
  <c r="E141" i="61"/>
  <c r="E140" i="61"/>
  <c r="E139" i="61"/>
  <c r="E138" i="61"/>
  <c r="E137" i="61"/>
  <c r="E136" i="61"/>
  <c r="E135" i="61"/>
  <c r="E134" i="61"/>
  <c r="E133" i="61"/>
  <c r="E132" i="61"/>
  <c r="E131" i="61"/>
  <c r="E130" i="61"/>
  <c r="E129" i="61"/>
  <c r="E128" i="61"/>
  <c r="E127" i="61"/>
  <c r="E126" i="61"/>
  <c r="E125" i="61"/>
  <c r="E124" i="61"/>
  <c r="E123" i="61"/>
  <c r="E122" i="61"/>
  <c r="E121" i="61"/>
  <c r="E120" i="61"/>
  <c r="E119" i="61"/>
  <c r="E118" i="61"/>
  <c r="E117" i="61"/>
  <c r="E116" i="61"/>
  <c r="E115" i="61"/>
  <c r="E114" i="61"/>
  <c r="E113" i="61"/>
  <c r="E112" i="61"/>
  <c r="E111" i="61"/>
  <c r="E110" i="61"/>
  <c r="E109" i="61"/>
  <c r="E108" i="61"/>
  <c r="E107" i="61"/>
  <c r="E106" i="61"/>
  <c r="E105" i="61"/>
  <c r="E104" i="61"/>
  <c r="E103" i="61"/>
  <c r="E102" i="61"/>
  <c r="E101" i="61"/>
  <c r="E100" i="61"/>
  <c r="E99" i="61"/>
  <c r="E98" i="61"/>
  <c r="E97" i="61"/>
  <c r="E96" i="61"/>
  <c r="E95" i="61"/>
  <c r="E94" i="61"/>
  <c r="E93" i="61"/>
  <c r="E92" i="61"/>
  <c r="E91" i="61"/>
  <c r="E90" i="61"/>
  <c r="E89" i="61"/>
  <c r="E88" i="61"/>
  <c r="E87" i="61"/>
  <c r="E86" i="61"/>
  <c r="E85" i="61"/>
  <c r="E84" i="61"/>
  <c r="E83" i="61"/>
  <c r="E82" i="61"/>
  <c r="E81" i="61"/>
  <c r="E80" i="61"/>
  <c r="E79" i="61"/>
  <c r="E78" i="61"/>
  <c r="E77" i="61"/>
  <c r="E76" i="61"/>
  <c r="E75" i="61"/>
  <c r="E74" i="61"/>
  <c r="E73" i="61"/>
  <c r="E72" i="61"/>
  <c r="E71" i="61"/>
  <c r="E70" i="61"/>
  <c r="E69" i="61"/>
  <c r="E68" i="61"/>
  <c r="E67" i="61"/>
  <c r="E66" i="61"/>
  <c r="E65" i="61"/>
  <c r="E64" i="61"/>
  <c r="E63" i="61"/>
  <c r="E62" i="61"/>
  <c r="E61" i="61"/>
  <c r="E60" i="61"/>
  <c r="E59" i="61"/>
  <c r="E58" i="61"/>
  <c r="E57" i="61"/>
  <c r="E56" i="61"/>
  <c r="E55" i="61"/>
  <c r="E54" i="61"/>
  <c r="E53" i="61"/>
  <c r="E52" i="61"/>
  <c r="E51" i="61"/>
  <c r="E50" i="61"/>
  <c r="E49" i="61"/>
  <c r="E48" i="61"/>
  <c r="E47" i="61"/>
  <c r="E46" i="61"/>
  <c r="E45" i="61"/>
  <c r="E44" i="61"/>
  <c r="E43" i="61"/>
  <c r="E42" i="61"/>
  <c r="E41" i="61"/>
  <c r="E40" i="61"/>
  <c r="E39" i="61"/>
  <c r="E38" i="61"/>
  <c r="E37" i="61"/>
  <c r="E36" i="61"/>
  <c r="E35" i="61"/>
  <c r="E34" i="61"/>
  <c r="E33" i="61"/>
  <c r="E32" i="61"/>
  <c r="E31" i="61"/>
  <c r="E30" i="61"/>
  <c r="E29" i="61"/>
  <c r="E28" i="61"/>
  <c r="E27" i="61"/>
  <c r="E26" i="61"/>
  <c r="E25" i="61"/>
  <c r="E24" i="61"/>
  <c r="E23" i="61"/>
  <c r="E22" i="61"/>
  <c r="E21" i="61"/>
  <c r="E20" i="61"/>
  <c r="E19" i="61"/>
  <c r="E18" i="61"/>
  <c r="E17" i="61"/>
  <c r="E16" i="61"/>
  <c r="E15" i="61"/>
  <c r="E14" i="61"/>
  <c r="E13" i="61"/>
  <c r="E12" i="61"/>
  <c r="E11" i="61"/>
  <c r="E10" i="61"/>
  <c r="E9" i="61"/>
  <c r="E8" i="61"/>
  <c r="E7" i="61"/>
  <c r="D206" i="61"/>
  <c r="D205" i="61"/>
  <c r="D204" i="61"/>
  <c r="D203" i="61"/>
  <c r="D202" i="61"/>
  <c r="D201" i="61"/>
  <c r="D200" i="61"/>
  <c r="D199" i="61"/>
  <c r="D198" i="61"/>
  <c r="D197" i="61"/>
  <c r="D196" i="61"/>
  <c r="D195" i="61"/>
  <c r="D194" i="61"/>
  <c r="D193" i="61"/>
  <c r="D192" i="61"/>
  <c r="D191" i="61"/>
  <c r="D190" i="61"/>
  <c r="D189" i="61"/>
  <c r="D188" i="61"/>
  <c r="D187" i="61"/>
  <c r="D186" i="61"/>
  <c r="D185" i="61"/>
  <c r="D184" i="61"/>
  <c r="D183" i="61"/>
  <c r="D182" i="61"/>
  <c r="D181" i="61"/>
  <c r="D180" i="61"/>
  <c r="D179" i="61"/>
  <c r="D178" i="61"/>
  <c r="D177" i="61"/>
  <c r="D176" i="61"/>
  <c r="D175" i="61"/>
  <c r="D174" i="61"/>
  <c r="D173" i="61"/>
  <c r="D172" i="61"/>
  <c r="D171" i="61"/>
  <c r="D170" i="61"/>
  <c r="D169" i="61"/>
  <c r="D168" i="61"/>
  <c r="D167" i="61"/>
  <c r="D166" i="61"/>
  <c r="D165" i="61"/>
  <c r="D164" i="61"/>
  <c r="D163" i="61"/>
  <c r="D162" i="61"/>
  <c r="D161" i="61"/>
  <c r="D160" i="61"/>
  <c r="D159" i="61"/>
  <c r="D158" i="61"/>
  <c r="D157" i="61"/>
  <c r="D156" i="61"/>
  <c r="D155" i="61"/>
  <c r="D154" i="61"/>
  <c r="D153" i="61"/>
  <c r="D152" i="61"/>
  <c r="D151" i="61"/>
  <c r="D150" i="61"/>
  <c r="D149" i="61"/>
  <c r="D148" i="61"/>
  <c r="D147" i="61"/>
  <c r="D146" i="61"/>
  <c r="D145" i="61"/>
  <c r="D144" i="61"/>
  <c r="D143" i="61"/>
  <c r="D142" i="61"/>
  <c r="D141" i="61"/>
  <c r="D140" i="61"/>
  <c r="D139" i="61"/>
  <c r="D138" i="61"/>
  <c r="D137" i="61"/>
  <c r="D136" i="61"/>
  <c r="D135" i="61"/>
  <c r="D134" i="61"/>
  <c r="D133" i="61"/>
  <c r="D132" i="61"/>
  <c r="D131" i="61"/>
  <c r="D130" i="61"/>
  <c r="D129" i="61"/>
  <c r="D128" i="61"/>
  <c r="D127" i="61"/>
  <c r="D126" i="61"/>
  <c r="D125" i="61"/>
  <c r="D124" i="61"/>
  <c r="D123" i="61"/>
  <c r="D122" i="61"/>
  <c r="D121" i="61"/>
  <c r="D120" i="61"/>
  <c r="D119" i="61"/>
  <c r="D118" i="61"/>
  <c r="D117" i="61"/>
  <c r="D116" i="61"/>
  <c r="D115" i="61"/>
  <c r="D114" i="61"/>
  <c r="D113" i="61"/>
  <c r="D112" i="61"/>
  <c r="D111" i="61"/>
  <c r="D110" i="61"/>
  <c r="D109" i="61"/>
  <c r="D108" i="61"/>
  <c r="D107" i="61"/>
  <c r="D106" i="61"/>
  <c r="D105" i="61"/>
  <c r="D104" i="61"/>
  <c r="D103" i="61"/>
  <c r="D102" i="61"/>
  <c r="D101" i="61"/>
  <c r="D100" i="61"/>
  <c r="D99" i="61"/>
  <c r="D98" i="61"/>
  <c r="D97" i="61"/>
  <c r="D96" i="61"/>
  <c r="D95" i="61"/>
  <c r="D94" i="61"/>
  <c r="D93" i="61"/>
  <c r="D92" i="61"/>
  <c r="D91" i="61"/>
  <c r="D90" i="61"/>
  <c r="D89" i="61"/>
  <c r="D88" i="61"/>
  <c r="D87" i="61"/>
  <c r="D86" i="61"/>
  <c r="D85" i="61"/>
  <c r="D84" i="61"/>
  <c r="D83" i="61"/>
  <c r="D82" i="61"/>
  <c r="D81" i="61"/>
  <c r="D80" i="61"/>
  <c r="D79" i="61"/>
  <c r="D78" i="61"/>
  <c r="D77" i="61"/>
  <c r="D76" i="61"/>
  <c r="D75" i="61"/>
  <c r="D74" i="61"/>
  <c r="D73" i="61"/>
  <c r="D72" i="61"/>
  <c r="D71" i="61"/>
  <c r="D70" i="61"/>
  <c r="D69" i="61"/>
  <c r="D68" i="61"/>
  <c r="D67" i="61"/>
  <c r="D66" i="61"/>
  <c r="D65" i="61"/>
  <c r="D64" i="61"/>
  <c r="D63" i="61"/>
  <c r="D62" i="61"/>
  <c r="D61" i="61"/>
  <c r="D60" i="61"/>
  <c r="D59" i="61"/>
  <c r="D58" i="61"/>
  <c r="D57" i="61"/>
  <c r="D56" i="61"/>
  <c r="D55" i="61"/>
  <c r="D54" i="61"/>
  <c r="D53" i="61"/>
  <c r="D52" i="61"/>
  <c r="D51" i="61"/>
  <c r="D50" i="61"/>
  <c r="D49" i="61"/>
  <c r="D48" i="61"/>
  <c r="D47" i="61"/>
  <c r="D46" i="61"/>
  <c r="D45" i="61"/>
  <c r="D44" i="61"/>
  <c r="D43" i="61"/>
  <c r="D42" i="61"/>
  <c r="D41" i="61"/>
  <c r="D40" i="61"/>
  <c r="D39" i="61"/>
  <c r="D38" i="61"/>
  <c r="D37" i="61"/>
  <c r="D36" i="61"/>
  <c r="D35" i="61"/>
  <c r="D34" i="61"/>
  <c r="D33" i="61"/>
  <c r="D32" i="61"/>
  <c r="D31" i="61"/>
  <c r="D30" i="61"/>
  <c r="D29" i="61"/>
  <c r="D28" i="61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C206" i="61"/>
  <c r="C205" i="61"/>
  <c r="C204" i="61"/>
  <c r="C203" i="61"/>
  <c r="C202" i="61"/>
  <c r="C201" i="61"/>
  <c r="C200" i="61"/>
  <c r="C199" i="61"/>
  <c r="C198" i="61"/>
  <c r="C197" i="61"/>
  <c r="C196" i="61"/>
  <c r="C195" i="61"/>
  <c r="C194" i="61"/>
  <c r="C193" i="61"/>
  <c r="C192" i="61"/>
  <c r="C191" i="61"/>
  <c r="C190" i="61"/>
  <c r="C189" i="61"/>
  <c r="C188" i="61"/>
  <c r="C187" i="61"/>
  <c r="C186" i="61"/>
  <c r="C185" i="61"/>
  <c r="C184" i="61"/>
  <c r="C183" i="61"/>
  <c r="C182" i="61"/>
  <c r="C181" i="61"/>
  <c r="C180" i="61"/>
  <c r="C179" i="61"/>
  <c r="C178" i="61"/>
  <c r="C177" i="61"/>
  <c r="C176" i="61"/>
  <c r="C175" i="61"/>
  <c r="C174" i="61"/>
  <c r="C173" i="61"/>
  <c r="C172" i="61"/>
  <c r="C171" i="61"/>
  <c r="C170" i="61"/>
  <c r="C169" i="61"/>
  <c r="C168" i="61"/>
  <c r="C167" i="61"/>
  <c r="C166" i="61"/>
  <c r="C165" i="61"/>
  <c r="C164" i="61"/>
  <c r="C163" i="61"/>
  <c r="C162" i="61"/>
  <c r="C161" i="61"/>
  <c r="C160" i="61"/>
  <c r="C159" i="61"/>
  <c r="C158" i="61"/>
  <c r="C157" i="61"/>
  <c r="C156" i="61"/>
  <c r="C155" i="61"/>
  <c r="C154" i="61"/>
  <c r="C153" i="61"/>
  <c r="C152" i="61"/>
  <c r="C151" i="61"/>
  <c r="C150" i="61"/>
  <c r="C149" i="61"/>
  <c r="C148" i="61"/>
  <c r="C147" i="61"/>
  <c r="C146" i="61"/>
  <c r="C145" i="61"/>
  <c r="C144" i="61"/>
  <c r="C143" i="61"/>
  <c r="C142" i="61"/>
  <c r="C141" i="61"/>
  <c r="C140" i="61"/>
  <c r="C139" i="61"/>
  <c r="C138" i="61"/>
  <c r="C137" i="61"/>
  <c r="C136" i="61"/>
  <c r="C135" i="61"/>
  <c r="C134" i="61"/>
  <c r="C133" i="61"/>
  <c r="C132" i="61"/>
  <c r="C131" i="61"/>
  <c r="C130" i="61"/>
  <c r="C129" i="61"/>
  <c r="C128" i="61"/>
  <c r="C127" i="61"/>
  <c r="C126" i="61"/>
  <c r="C125" i="61"/>
  <c r="C124" i="61"/>
  <c r="C123" i="61"/>
  <c r="C122" i="61"/>
  <c r="C121" i="61"/>
  <c r="C120" i="61"/>
  <c r="C119" i="61"/>
  <c r="C118" i="61"/>
  <c r="C117" i="61"/>
  <c r="C116" i="61"/>
  <c r="C115" i="61"/>
  <c r="C114" i="61"/>
  <c r="C113" i="61"/>
  <c r="C112" i="61"/>
  <c r="C111" i="61"/>
  <c r="C110" i="61"/>
  <c r="C109" i="61"/>
  <c r="C108" i="61"/>
  <c r="C107" i="61"/>
  <c r="C106" i="61"/>
  <c r="C105" i="61"/>
  <c r="C104" i="61"/>
  <c r="C103" i="61"/>
  <c r="C102" i="61"/>
  <c r="C101" i="61"/>
  <c r="C100" i="61"/>
  <c r="C99" i="61"/>
  <c r="C98" i="61"/>
  <c r="C97" i="61"/>
  <c r="C96" i="61"/>
  <c r="C95" i="61"/>
  <c r="C94" i="61"/>
  <c r="C93" i="61"/>
  <c r="C92" i="61"/>
  <c r="C91" i="61"/>
  <c r="C90" i="61"/>
  <c r="C89" i="61"/>
  <c r="C88" i="61"/>
  <c r="C87" i="61"/>
  <c r="C86" i="61"/>
  <c r="C85" i="61"/>
  <c r="C84" i="61"/>
  <c r="C83" i="61"/>
  <c r="C82" i="61"/>
  <c r="C81" i="61"/>
  <c r="C80" i="61"/>
  <c r="C79" i="61"/>
  <c r="C78" i="61"/>
  <c r="C77" i="61"/>
  <c r="C76" i="61"/>
  <c r="C75" i="61"/>
  <c r="C74" i="61"/>
  <c r="C73" i="61"/>
  <c r="C72" i="61"/>
  <c r="C71" i="61"/>
  <c r="C70" i="61"/>
  <c r="C69" i="61"/>
  <c r="C68" i="61"/>
  <c r="C67" i="61"/>
  <c r="C66" i="61"/>
  <c r="C65" i="61"/>
  <c r="C64" i="61"/>
  <c r="C63" i="61"/>
  <c r="C62" i="61"/>
  <c r="C61" i="61"/>
  <c r="C60" i="61"/>
  <c r="C59" i="61"/>
  <c r="C58" i="61"/>
  <c r="C57" i="61"/>
  <c r="C56" i="61"/>
  <c r="C55" i="61"/>
  <c r="C54" i="61"/>
  <c r="C53" i="61"/>
  <c r="C52" i="61"/>
  <c r="C51" i="61"/>
  <c r="C50" i="61"/>
  <c r="C49" i="61"/>
  <c r="C48" i="61"/>
  <c r="C47" i="61"/>
  <c r="C46" i="61"/>
  <c r="C45" i="61"/>
  <c r="C44" i="61"/>
  <c r="C43" i="61"/>
  <c r="C42" i="61"/>
  <c r="C41" i="61"/>
  <c r="C40" i="61"/>
  <c r="C39" i="61"/>
  <c r="C38" i="61"/>
  <c r="C37" i="61"/>
  <c r="C36" i="61"/>
  <c r="C35" i="61"/>
  <c r="C34" i="61"/>
  <c r="C33" i="61"/>
  <c r="C32" i="61"/>
  <c r="C31" i="61"/>
  <c r="C30" i="61"/>
  <c r="C29" i="61"/>
  <c r="C28" i="61"/>
  <c r="C27" i="61"/>
  <c r="C26" i="61"/>
  <c r="C25" i="61"/>
  <c r="C24" i="61"/>
  <c r="C23" i="61"/>
  <c r="C22" i="61"/>
  <c r="C21" i="61"/>
  <c r="C20" i="61"/>
  <c r="C19" i="61"/>
  <c r="C18" i="61"/>
  <c r="C17" i="61"/>
  <c r="C16" i="61"/>
  <c r="C15" i="61"/>
  <c r="C14" i="61"/>
  <c r="C13" i="61"/>
  <c r="C12" i="61"/>
  <c r="C11" i="61"/>
  <c r="C10" i="61"/>
  <c r="C9" i="61"/>
  <c r="C8" i="61"/>
  <c r="C7" i="61"/>
  <c r="B206" i="61"/>
  <c r="B205" i="61"/>
  <c r="B204" i="61"/>
  <c r="B203" i="61"/>
  <c r="B202" i="61"/>
  <c r="B201" i="61"/>
  <c r="B200" i="61"/>
  <c r="B199" i="61"/>
  <c r="B198" i="61"/>
  <c r="B197" i="61"/>
  <c r="B196" i="61"/>
  <c r="B195" i="61"/>
  <c r="B194" i="61"/>
  <c r="B193" i="61"/>
  <c r="B192" i="61"/>
  <c r="B191" i="61"/>
  <c r="B190" i="61"/>
  <c r="B189" i="61"/>
  <c r="B188" i="61"/>
  <c r="B187" i="61"/>
  <c r="B186" i="61"/>
  <c r="B185" i="61"/>
  <c r="B184" i="61"/>
  <c r="B183" i="61"/>
  <c r="B182" i="61"/>
  <c r="B181" i="61"/>
  <c r="B180" i="61"/>
  <c r="B179" i="61"/>
  <c r="B178" i="61"/>
  <c r="B177" i="61"/>
  <c r="B176" i="61"/>
  <c r="B175" i="61"/>
  <c r="B174" i="61"/>
  <c r="B173" i="61"/>
  <c r="B172" i="61"/>
  <c r="B171" i="61"/>
  <c r="B170" i="61"/>
  <c r="B169" i="61"/>
  <c r="B168" i="61"/>
  <c r="B167" i="61"/>
  <c r="B166" i="61"/>
  <c r="B165" i="61"/>
  <c r="B164" i="61"/>
  <c r="B163" i="61"/>
  <c r="B162" i="61"/>
  <c r="B161" i="61"/>
  <c r="B160" i="61"/>
  <c r="B159" i="61"/>
  <c r="B158" i="61"/>
  <c r="B157" i="61"/>
  <c r="B156" i="61"/>
  <c r="B155" i="61"/>
  <c r="B154" i="61"/>
  <c r="B153" i="61"/>
  <c r="B152" i="61"/>
  <c r="B151" i="61"/>
  <c r="B150" i="61"/>
  <c r="B149" i="61"/>
  <c r="B148" i="61"/>
  <c r="B147" i="61"/>
  <c r="B146" i="61"/>
  <c r="B145" i="61"/>
  <c r="B144" i="61"/>
  <c r="B143" i="61"/>
  <c r="B142" i="61"/>
  <c r="B141" i="61"/>
  <c r="B140" i="61"/>
  <c r="B139" i="61"/>
  <c r="B138" i="61"/>
  <c r="B137" i="61"/>
  <c r="B136" i="61"/>
  <c r="B135" i="61"/>
  <c r="B134" i="61"/>
  <c r="B133" i="61"/>
  <c r="B132" i="61"/>
  <c r="B131" i="61"/>
  <c r="B130" i="61"/>
  <c r="B129" i="61"/>
  <c r="B128" i="61"/>
  <c r="B127" i="61"/>
  <c r="B126" i="61"/>
  <c r="B125" i="61"/>
  <c r="B124" i="61"/>
  <c r="B123" i="61"/>
  <c r="B122" i="61"/>
  <c r="B121" i="61"/>
  <c r="B120" i="61"/>
  <c r="B119" i="61"/>
  <c r="B118" i="61"/>
  <c r="B117" i="61"/>
  <c r="B116" i="61"/>
  <c r="B115" i="61"/>
  <c r="B114" i="61"/>
  <c r="B113" i="61"/>
  <c r="B112" i="61"/>
  <c r="B111" i="61"/>
  <c r="B110" i="61"/>
  <c r="B109" i="61"/>
  <c r="B108" i="61"/>
  <c r="B107" i="61"/>
  <c r="B106" i="61"/>
  <c r="B105" i="61"/>
  <c r="B104" i="61"/>
  <c r="B103" i="61"/>
  <c r="B102" i="61"/>
  <c r="B101" i="61"/>
  <c r="B100" i="6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B85" i="61"/>
  <c r="B84" i="61"/>
  <c r="B83" i="61"/>
  <c r="B82" i="61"/>
  <c r="B81" i="61"/>
  <c r="B80" i="61"/>
  <c r="B79" i="61"/>
  <c r="B78" i="61"/>
  <c r="B77" i="61"/>
  <c r="B76" i="61"/>
  <c r="B75" i="61"/>
  <c r="B74" i="61"/>
  <c r="B73" i="61"/>
  <c r="B72" i="61"/>
  <c r="B71" i="61"/>
  <c r="B70" i="61"/>
  <c r="B69" i="61"/>
  <c r="B68" i="61"/>
  <c r="B67" i="61"/>
  <c r="B66" i="61"/>
  <c r="B65" i="61"/>
  <c r="B64" i="61"/>
  <c r="B63" i="61"/>
  <c r="B62" i="61"/>
  <c r="B61" i="61"/>
  <c r="B60" i="61"/>
  <c r="B59" i="61"/>
  <c r="B58" i="61"/>
  <c r="B57" i="61"/>
  <c r="B56" i="61"/>
  <c r="B55" i="61"/>
  <c r="B54" i="61"/>
  <c r="B53" i="6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B13" i="61"/>
  <c r="B12" i="61"/>
  <c r="B11" i="61"/>
  <c r="B10" i="61"/>
  <c r="B9" i="61"/>
  <c r="B8" i="61"/>
  <c r="B7" i="61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O4" i="15"/>
  <c r="O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M97" i="15"/>
  <c r="M96" i="15"/>
  <c r="M95" i="15"/>
  <c r="M94" i="15"/>
  <c r="M93" i="15"/>
  <c r="M92" i="15"/>
  <c r="M91" i="15"/>
  <c r="M90" i="15"/>
  <c r="M89" i="15"/>
  <c r="M88" i="15"/>
  <c r="M87" i="15"/>
  <c r="M86" i="15"/>
  <c r="M85" i="15"/>
  <c r="M84" i="15"/>
  <c r="M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M66" i="15"/>
  <c r="M65" i="15"/>
  <c r="M64" i="15"/>
  <c r="M63" i="15"/>
  <c r="M62" i="15"/>
  <c r="M61" i="15"/>
  <c r="M60" i="15"/>
  <c r="M59" i="15"/>
  <c r="M58" i="15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M37" i="15"/>
  <c r="M36" i="15"/>
  <c r="M35" i="15"/>
  <c r="M34" i="15"/>
  <c r="M33" i="15"/>
  <c r="M32" i="15"/>
  <c r="M31" i="15"/>
  <c r="M30" i="15"/>
  <c r="M29" i="15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L122" i="15"/>
  <c r="L121" i="15"/>
  <c r="L120" i="15"/>
  <c r="L119" i="15"/>
  <c r="L118" i="15"/>
  <c r="L117" i="15"/>
  <c r="L116" i="15"/>
  <c r="L115" i="15"/>
  <c r="L114" i="15"/>
  <c r="L113" i="15"/>
  <c r="L112" i="15"/>
  <c r="L111" i="15"/>
  <c r="L110" i="15"/>
  <c r="L109" i="15"/>
  <c r="L108" i="15"/>
  <c r="L107" i="15"/>
  <c r="L106" i="15"/>
  <c r="L105" i="15"/>
  <c r="L104" i="15"/>
  <c r="L103" i="15"/>
  <c r="L102" i="15"/>
  <c r="L101" i="15"/>
  <c r="L100" i="15"/>
  <c r="L99" i="15"/>
  <c r="L98" i="15"/>
  <c r="L97" i="15"/>
  <c r="L96" i="15"/>
  <c r="L95" i="15"/>
  <c r="L94" i="15"/>
  <c r="L93" i="15"/>
  <c r="L92" i="15"/>
  <c r="L91" i="15"/>
  <c r="L90" i="15"/>
  <c r="L89" i="15"/>
  <c r="L88" i="15"/>
  <c r="L87" i="15"/>
  <c r="L86" i="15"/>
  <c r="L85" i="15"/>
  <c r="L84" i="15"/>
  <c r="L83" i="15"/>
  <c r="L82" i="15"/>
  <c r="L81" i="15"/>
  <c r="L80" i="15"/>
  <c r="L79" i="15"/>
  <c r="L78" i="15"/>
  <c r="L77" i="15"/>
  <c r="L76" i="15"/>
  <c r="L75" i="15"/>
  <c r="L74" i="15"/>
  <c r="L73" i="15"/>
  <c r="L72" i="15"/>
  <c r="L71" i="15"/>
  <c r="L70" i="15"/>
  <c r="L69" i="15"/>
  <c r="L68" i="15"/>
  <c r="L67" i="15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K122" i="15"/>
  <c r="K121" i="15"/>
  <c r="K120" i="15"/>
  <c r="K119" i="15"/>
  <c r="K118" i="15"/>
  <c r="K117" i="15"/>
  <c r="K116" i="15"/>
  <c r="K115" i="15"/>
  <c r="K114" i="15"/>
  <c r="K113" i="15"/>
  <c r="K112" i="15"/>
  <c r="K111" i="15"/>
  <c r="K110" i="15"/>
  <c r="K109" i="15"/>
  <c r="K108" i="15"/>
  <c r="K107" i="15"/>
  <c r="K106" i="15"/>
  <c r="K105" i="15"/>
  <c r="K104" i="15"/>
  <c r="K103" i="15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9" i="15"/>
  <c r="K78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30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J122" i="15"/>
  <c r="J121" i="15"/>
  <c r="J120" i="15"/>
  <c r="J119" i="15"/>
  <c r="J118" i="15"/>
  <c r="J117" i="15"/>
  <c r="J116" i="15"/>
  <c r="J115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J76" i="15"/>
  <c r="J75" i="15"/>
  <c r="J74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J31" i="15"/>
  <c r="J30" i="15"/>
  <c r="J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J5" i="15"/>
  <c r="J4" i="15"/>
  <c r="J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Bhartia</author>
  </authors>
  <commentList>
    <comment ref="A1" authorId="0" shapeId="0" xr:uid="{2397DD09-2D96-43B5-9E21-6751A73CCD69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Timestamp="1706063352"&gt;&lt;FQL&gt;&lt;Q&gt;FXI^P_PRICE(0,-200D)&lt;/Q&gt;&lt;R&gt;201&lt;/R&gt;&lt;C&gt;1&lt;/C&gt;&lt;D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xsi:type="xsd:double"&gt;26.94&lt;/D&gt;&lt;D xsi:type="xsd:double"&gt;27.49&lt;/D&gt;&lt;D xsi:type="xsd:double"&gt;28.35&lt;/D&gt;&lt;D xsi:type="xsd:double"&gt;27.9&lt;/D&gt;&lt;D xsi:type="xsd:double"&gt;28.05&lt;/D&gt;&lt;D xsi:type="xsd:double"&gt;28.44&lt;/D&gt;&lt;D xsi:type="xsd:double"&gt;28.74&lt;/D&gt;&lt;D xsi:type="xsd:double"&gt;29.04&lt;/D&gt;&lt;D xsi:type="xsd:double"&gt;27.79&lt;/D&gt;&lt;D xsi:type="xsd:double"&gt;28.54&lt;/D&gt;&lt;D xsi:type="xsd:double"&gt;28.24&lt;/D&gt;&lt;D xsi:type="xsd:double"&gt;28.44&lt;/D&gt;&lt;D xsi:type="xsd:double"&gt;28.89&lt;/D&gt;&lt;D xsi:type="xsd:double"&gt;28.67&lt;/D&gt;&lt;D xsi:type="xsd:double"&gt;28.3&lt;/D&gt;&lt;D xsi:type="xsd:double"&gt;27.56&lt;/D&gt;&lt;D xsi:type="xsd:double"&gt;27.69&lt;/D&gt;&lt;D xsi:type="xsd:double"&gt;28.22&lt;/D&gt;&lt;D xsi:type="xsd:double"&gt;28.33&lt;/D&gt;&lt;D xsi:type="xsd:double"&gt;28.19&lt;/D&gt;&lt;D xsi:type="xsd:double"&gt;27.8&lt;/D&gt;&lt;D xsi:type="xsd:double"&gt;27.35&lt;/D&gt;&lt;D xsi:type="xsd:double"&gt;28.11&lt;/D&gt;&lt;D xsi:type="xsd:double"&gt;28.4&lt;/D&gt;&lt;D xsi:type="xsd:double"&gt;28.82&lt;/D&gt;&lt;D xsi:type="xsd:double"&gt;29.01&lt;/D&gt;&lt;D xsi:type="xsd:double"&gt;29.37&lt;/D&gt;&lt;D xsi:type="xsd:double"&gt;29.49&lt;/D&gt;&lt;D xsi:type="xsd:double"&gt;28.71&lt;/D&gt;&lt;D xsi:type="xsd:double"&gt;29.07&lt;/D&gt;&lt;D xsi:type="xsd:double"&gt;28.41&lt;/D&gt;&lt;D xsi:type="xsd:double"&gt;29.21&lt;/D&gt;&lt;D xsi:type="xsd:double"&gt;29.19&lt;/D&gt;&lt;D xsi:type="xsd:double"&gt;29.29&lt;/D&gt;&lt;D xsi:type="xsd:double"&gt;28.93&lt;/D&gt;&lt;/FQL&gt;&lt;FQL&gt;&lt;Q&gt;VGK^P_PRICE(0,-200D)&lt;/Q&gt;&lt;R&gt;201&lt;/R&gt;&lt;C&gt;1&lt;/C&gt;&lt;D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xsi:type="xsd:double"&gt;61&lt;/D&gt;&lt;D xsi:type="xsd:double"&gt;61.97&lt;/D&gt;&lt;D xsi:type="xsd:double"&gt;62.89&lt;/D&gt;&lt;D xsi:type="xsd:double"&gt;62.97&lt;/D&gt;&lt;D xsi:type="xsd:double"&gt;62.51&lt;/D&gt;&lt;D xsi:type="xsd:double"&gt;62.63&lt;/D&gt;&lt;D xsi:type="xsd:double"&gt;62.36&lt;/D&gt;&lt;D xsi:type="xsd:double"&gt;63.02&lt;/D&gt;&lt;D xsi:type="xsd:double"&gt;62.55&lt;/D&gt;&lt;D xsi:type="xsd:double"&gt;62.72&lt;/D&gt;&lt;D xsi:type="xsd:double"&gt;62.99&lt;/D&gt;&lt;D xsi:type="xsd:double"&gt;63.07&lt;/D&gt;&lt;D xsi:type="xsd:double"&gt;63.57&lt;/D&gt;&lt;D xsi:type="xsd:double"&gt;63.56&lt;/D&gt;&lt;D xsi:type="xsd:double"&gt;62.62&lt;/D&gt;&lt;D xsi:type="xsd:double"&gt;62.94&lt;/D&gt;&lt;D xsi:type="xsd:double"&gt;62.74&lt;/D&gt;&lt;D xsi:type="xsd:double"&gt;63.48&lt;/D&gt;&lt;D xsi:type="xsd:double"&gt;63.47&lt;/D&gt;&lt;D xsi:type="xsd:double"&gt;63.38&lt;/D&gt;&lt;D xsi:type="xsd:double"&gt;62.65&lt;/D&gt;&lt;D xsi:type="xsd:double"&gt;62.6&lt;/D&gt;&lt;D xsi:type="xsd:double"&gt;63.67&lt;/D&gt;&lt;D xsi:type="xsd:double"&gt;63.41&lt;/D&gt;&lt;D xsi:type="xsd:double"&gt;62.94&lt;/D&gt;&lt;D xsi:type="xsd:double"&gt;63.03&lt;/D&gt;&lt;D xsi:type="xsd:double"&gt;63.17&lt;/D&gt;&lt;D xsi:type="xsd:double"&gt;62.74&lt;/D&gt;&lt;D xsi:type="xsd:double"&gt;63.04&lt;/D&gt;&lt;D xsi:type="xsd:double"&gt;63.14&lt;/D&gt;&lt;D xsi:type="xsd:double"&gt;62.3&lt;/D&gt;&lt;D xsi:type="xsd:double"&gt;61.81&lt;/D&gt;&lt;D xsi:type="xsd:double"&gt;61.57&lt;/D&gt;&lt;D xsi:type="xsd:double"&gt;61.57&lt;/D&gt;&lt;D xsi:type="xsd:double"&gt;61.05&lt;/D&gt;&lt;/FQL&gt;&lt;FQL&gt;&lt;Q&gt;GLD^P_PRICE(0,-200D)&lt;/Q&gt;&lt;R&gt;201&lt;/R&gt;&lt;C&gt;1&lt;/C&gt;&lt;D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xsi:type="xsd:double"&gt;181.95&lt;/D&gt;&lt;D xsi:type="xsd:double"&gt;183.43&lt;/D&gt;&lt;D xsi:type="xsd:double"&gt;183.21&lt;/D&gt;&lt;D xsi:type="xsd:double"&gt;183.64&lt;/D&gt;&lt;D xsi:type="xsd:double"&gt;181.84&lt;/D&gt;&lt;D xsi:type="xsd:double"&gt;184.23&lt;/D&gt;&lt;D xsi:type="xsd:double"&gt;184.87&lt;/D&gt;&lt;D xsi:type="xsd:double"&gt;187.21&lt;/D&gt;&lt;D xsi:type="xsd:double"&gt;186.81&lt;/D&gt;&lt;D xsi:type="xsd:double"&gt;187.13&lt;/D&gt;&lt;D xsi:type="xsd:double"&gt;188.75&lt;/D&gt;&lt;D xsi:type="xsd:double"&gt;189.02&lt;/D&gt;&lt;D xsi:type="xsd:double"&gt;187.69&lt;/D&gt;&lt;D xsi:type="xsd:double"&gt;187.46&lt;/D&gt;&lt;D xsi:type="xsd:double"&gt;190.44&lt;/D&gt;&lt;D xsi:type="xsd:double"&gt;189.11&lt;/D&gt;&lt;D xsi:type="xsd:double"&gt;187.52&lt;/D&gt;&lt;D xsi:type="xsd:double"&gt;183.97&lt;/D&gt;&lt;D xsi:type="xsd:double"&gt;184.8&lt;/D&gt;&lt;D xsi:type="xsd:double"&gt;184.75&lt;/D&gt;&lt;D xsi:type="xsd:double"&gt;184.74&lt;/D&gt;&lt;D xsi:type="xsd:double"&gt;185.75&lt;/D&gt;&lt;D xsi:type="xsd:double"&gt;184.81&lt;/D&gt;&lt;D xsi:type="xsd:double"&gt;184.25&lt;/D&gt;&lt;D xsi:type="xsd:double"&gt;186.09&lt;/D&gt;&lt;D xsi:type="xsd:double"&gt;185.36&lt;/D&gt;&lt;D xsi:type="xsd:double"&gt;186.25&lt;/D&gt;&lt;D xsi:type="xsd:double"&gt;185.53&lt;/D&gt;&lt;D xsi:type="xsd:double"&gt;186.36&lt;/D&gt;&lt;D xsi:type="xsd:double"&gt;189.72&lt;/D&gt;&lt;D xsi:type="xsd:double"&gt;187.19&lt;/D&gt;&lt;D xsi:type="xsd:double"&gt;186.28&lt;/D&gt;&lt;D xsi:type="xsd:double"&gt;185.11&lt;/D&gt;&lt;D xsi:type="xsd:double"&gt;186.49&lt;/D&gt;&lt;D xsi:type="xsd:double"&gt;187.83&lt;/D&gt;&lt;/FQL&gt;&lt;FQL&gt;&lt;Q&gt;EWD^P_PRICE_RETURNS_PR('52W',2,-10AY,0,AM)&lt;/Q&gt;&lt;R&gt;121&lt;/R&gt;&lt;C&gt;1&lt;/C&gt;&lt;D xsi:type="xsd:double"&gt;21.684944&lt;/D&gt;&lt;D xsi:type="xsd:double"&gt;14.2293215&lt;/D&gt;&lt;D xsi:type="xsd:double"&gt;16.925632&lt;/D&gt;&lt;D xsi:type="xsd:double"&gt;19.48273&lt;/D&gt;&lt;D xsi:type="xsd:double"&gt;15.851461&lt;/D&gt;&lt;D xsi:type="xsd:double"&gt;24.968874&lt;/D&gt;&lt;D xsi:type="xsd:double"&gt;9.528196&lt;/D&gt;&lt;D xsi:type="xsd:double"&gt;6.42637&lt;/D&gt;&lt;D xsi:type="xsd:double"&gt;-0.57570934&lt;/D&gt;&lt;D xsi:type="xsd:double"&gt;-5.551547&lt;/D&gt;&lt;D xsi:type="xsd:double"&gt;2.028811&lt;/D&gt;&lt;D xsi:type="xsd:double"&gt;-4.124421&lt;/D&gt;&lt;D xsi:type="xsd:double"&gt;-9.582895&lt;/D&gt;&lt;D xsi:type="xsd:double"&gt;-0.3734827&lt;/D&gt;&lt;D xsi:type="xsd:double"&gt;-1.1660397&lt;/D&gt;&lt;D xsi:type="xsd:double"&gt;-1.1319339&lt;/D&gt;&lt;D xsi:type="xsd:double"&gt;-3.7867188&lt;/D&gt;&lt;D xsi:type="xsd:double"&gt;-2.0143926&lt;/D&gt;&lt;D xsi:type="xsd:double"&gt;-3.8737655&lt;/D&gt;&lt;D xsi:type="xsd:double"&gt;-8.551968&lt;/D&gt;&lt;D xsi:type="xsd:double"&gt;-10.463166&lt;/D&gt;&lt;D xsi:type="xsd:double"&gt;-1.0473788&lt;/D&gt;&lt;D xsi:type="xsd:double"&gt;-6.19961&lt;/D&gt;&lt;D xsi:type="xsd:double"&gt;-4.1435122&lt;/D&gt;&lt;D xsi:type="xsd:double"&gt;-11.135369&lt;/D&gt;&lt;D xsi:type="xsd:double"&gt;-15.996557&lt;/D&gt;&lt;D xsi:type="xsd:double"&gt;-12.58542&lt;/D&gt;&lt;D xsi:type="xsd:double"&gt;-7.818079&lt;/D&gt;&lt;D xsi:type="xsd:double"&gt;-13.628107&lt;/D&gt;&lt;D xsi:type="xsd:double"&gt;-9.904337&lt;/D&gt;&lt;D xsi:type="xsd:double"&gt;-10.965061&lt;/D&gt;&lt;D xsi:type="xsd:double"&gt;-0.39029717&lt;/D&gt;&lt;D xsi:type="xsd:double"&gt;4.7005296&lt;/D&gt;&lt;D xsi:type="xsd:double"&gt;-1.0098636&lt;/D&gt;&lt;D xsi:type="xsd:double"&gt;-4.186207&lt;/D&gt;&lt;D xsi:type="xsd:double"&gt;-0.123399496&lt;/D&gt;&lt;D xsi:type="xsd:double"&gt;13.041449&lt;/D&gt;&lt;D xsi:type="xsd:double"&gt;15.979898&lt;/D&gt;&lt;D xsi:type="xsd:double"&gt;12.926065&lt;/D&gt;&lt;D xsi:type="xsd:double"&gt;6.1112165&lt;/D&gt;&lt;D xsi:type="xsd:double"&gt;23.068678&lt;/D&gt;&lt;D xsi:type="xsd:double"&gt;17.790068&lt;/D&gt;&lt;D xsi:type="xsd:double"&gt;26.376045&lt;/D&gt;&lt;D xsi:type="xsd:double"&gt;20.709753&lt;/D&gt;&lt;D xsi:type="xsd:double"&gt;25.11276&lt;/D&gt;&lt;D xsi:type="xsd:double"&gt;30.060911&lt;/D&gt;&lt;D xsi:type="xsd:double"&gt;27.906895&lt;/D&gt;&lt;D xsi:type="xsd:double"&gt;24.02674&lt;/D&gt;&lt;D xsi:type="xsd:double"&gt;27.06524&lt;/D&gt;&lt;D xsi:type="xsd:double"&gt;15.85598&lt;/D&gt;&lt;D xsi:type="xsd:double"&gt;7.7659607&lt;/D&gt;&lt;D xsi:type="xsd:double"&gt;12.232601&lt;/D&gt;&lt;D xsi:type="xsd:double"&gt;2.1135092&lt;/D&gt;&lt;D xsi:type="xsd:double"&gt;-1.7251849&lt;/D&gt;&lt;D xsi:type="xsd:double"&gt;-2.8701782&lt;/D&gt;&lt;D xsi:type="xsd:double"&gt;-2.4049222&lt;/D&gt;&lt;D xsi:type="xsd:double"&gt;-1.4743268&lt;/D&gt;&lt;D xsi:type="xsd:double"&gt;-13.522827&lt;/D&gt;&lt;D xsi:type="xsd:double"&gt;-13.542676&lt;/D&gt;&lt;D xsi:type="xsd:double"&gt;-16.03073&lt;/D&gt;&lt;D xsi:type="xsd:double"&gt;-16.273827&lt;/D&gt;&lt;D xsi:type="xsd:double"&gt;-8.583999&lt;/D&gt;&lt;D xsi:type="xsd:double"&gt;-3.702575&lt;/D&gt;&lt;D xsi:type="xsd:double"&gt;0.26009083&lt;/D&gt;&lt;D xsi:type="xsd:double"&gt;-7.7661276&lt;/D&gt;&lt;D xsi:type="xsd:double"&gt;3.3981323&lt;/D&gt;&lt;D xsi:type="xsd:double"&gt;0.04851818&lt;/D&gt;&lt;D xsi:type="xsd:double"&gt;-9.382618&lt;/D&gt;&lt;D xsi:type="xsd:double"&gt;-7.436365&lt;/D&gt;&lt;D xsi:type="xsd:double"&gt;9.7390175&lt;/D&gt;&lt;D xsi:type="xsd:double"&gt;14.6605015&lt;/D&gt;&lt;D xsi:type="xsd:double"&gt;27.246643&lt;/D&gt;&lt;D xsi:type="xsd:double"&gt;18.098557&lt;/D&gt;&lt;D xsi:type="xsd:double"&gt;17.627144&lt;/D&gt;&lt;D xsi:type="xsd:double"&gt;-25.86326&lt;/D&gt;&lt;D xsi:type="xsd:double"&gt;-16.03179&lt;/D&gt;&lt;D xsi:type="xsd:double"&gt;-3.2004535&lt;/D&gt;&lt;D xsi:type="xsd:double"&gt;3.7590623&lt;/D&gt;&lt;D xsi:type="xsd:double"&gt;15.492237&lt;/D&gt;&lt;D xsi:type="xsd:double"&gt;25.65111&lt;/D&gt;&lt;D xsi:type="xsd:double"&gt;16.964663&lt;/D&gt;&lt;D xsi:type="xsd:double"&gt;18.484318&lt;/D&gt;&lt;D xsi:type="xsd:double"&gt;24.841415&lt;/D&gt;&lt;D xsi:type="xsd:double"&gt;21.088945&lt;/D&gt;&lt;D xsi:type="xsd:double"&gt;28.279709&lt;/D&gt;&lt;D xsi:type="xsd:double"&gt;29.137146&lt;/D&gt;&lt;D xsi:type="xsd:double"&gt;107.77383&lt;/D&gt;&lt;D xsi:type="xsd:double"&gt;83.67765&lt;/D&gt;&lt;D xsi:type="xsd:double"&gt;72.496056&lt;/D&gt;&lt;D xsi:type="xsd:double"&gt;52.15583&lt;/D&gt;&lt;D xsi:type="xsd:double"&gt;43.07786&lt;/D&gt;&lt;D xsi:type="xsd:double"&gt;40.65864&lt;/D&gt;&lt;D xsi:type="xsd:double"&gt;42.232548&lt;/D&gt;&lt;D xsi:type="xsd:double"&gt;38.644386&lt;/D&gt;&lt;D xsi:type="xsd:double"&gt;23.184072&lt;/D&gt;&lt;D xsi:type="xsd:double"&gt;21.19168&lt;/D&gt;&lt;D xsi:type="xsd:double"&gt;5.8457613&lt;/D&gt;&lt;D xsi:type="xsd:double"&gt;-5.7659626&lt;/D&gt;&lt;D xsi:type="xsd:double"&gt;-6.5183935&lt;/D&gt;&lt;D xsi:type="xsd:double"&gt;-14.718431&lt;/D&gt;&lt;D xsi:type="xsd:double"&gt;-21.499031&lt;/D&gt;&lt;D xsi:type="xsd:double"&gt;-29.67559&lt;/D&gt;&lt;D xsi:type="xsd:double"&gt;-27.850538&lt;/D&gt;&lt;D xsi:type="xsd:double"&gt;-30.635803&lt;/D&gt;&lt;D xsi:type="xsd:double"&gt;-39.55008&lt;/D&gt;&lt;D xsi:type="xsd:double"&gt;-37.448647&lt;/D&gt;&lt;D xsi:type="xsd:double"&gt;-23.492682&lt;/D&gt;&lt;D xsi:type="xsd:double"&gt;-26.43826&lt;/D&gt;&lt;D xsi:type="xsd:double"&gt;-12.022537&lt;/D&gt;&lt;D xsi:type="xsd:double"&gt;-3.7545204&lt;/D&gt;&lt;D xsi:type="xsd:double"&gt;-10.42775&lt;/D&gt;&lt;D xsi:type="xsd:double"&gt;-1.7357349&lt;/D&gt;&lt;D xsi:type="xsd:double"&gt;2.3831606&lt;/D&gt;&lt;D xsi:type="xsd:double"&gt;12.560153&lt;/D&gt;&lt;D xsi:type="xsd:double"&gt;10.412931&lt;/D&gt;&lt;D xsi:type="xsd:double"&gt;6.774652&lt;/D&gt;&lt;D xsi:type="xsd:double"&gt;17.665636&lt;/D&gt;&lt;D xsi:type="xsd:double"&gt;11.900234&lt;/D&gt;&lt;D xsi:type="xsd:double"&gt;9.580862&lt;/D&gt;&lt;D xsi:type="xsd:double"&gt;25.088846&lt;/D&gt;&lt;D xsi:type="xsd:double"&gt;4.744637&lt;/D&gt;&lt;/FQL&gt;&lt;FQL&gt;&lt;Q&gt;DBA^P_PRICE_RETURNS_PR('52W',2,-10AY,0,AM)&lt;/Q&gt;&lt;R&gt;121&lt;/R&gt;&lt;C&gt;1&lt;/C&gt;&lt;D xsi:type="xsd:double"&gt;-12.4142885&lt;/D&gt;&lt;D xsi:type="xsd:double"&gt;1.2542725&lt;/D&gt;&lt;D xsi:type="xsd:double"&gt;6.5009594&lt;/D&gt;&lt;D xsi:type="xsd:double"&gt;14.190769&lt;/D&gt;&lt;D xsi:type="xsd:double"&gt;10.883284&lt;/D&gt;&lt;D xsi:type="xsd:double"&gt;9.881425&lt;/D&gt;&lt;D xsi:type="xsd:double"&gt;6.519997&lt;/D&gt;&lt;D xsi:type="xsd:double"&gt;4.937279&lt;/D&gt;&lt;D xsi:type="xsd:double"&gt;-0.31758547&lt;/D&gt;&lt;D xsi:type="xsd:double"&gt;1.1709571&lt;/D&gt;&lt;D xsi:type="xsd:double"&gt;3.4219027&lt;/D&gt;&lt;D xsi:type="xsd:double"&gt;2.9209018&lt;/D&gt;&lt;D xsi:type="xsd:double"&gt;-3.2550514&lt;/D&gt;&lt;D xsi:type="xsd:double"&gt;-13.738739&lt;/D&gt;&lt;D xsi:type="xsd:double"&gt;-18.348295&lt;/D&gt;&lt;D xsi:type="xsd:double"&gt;-23.724747&lt;/D&gt;&lt;D xsi:type="xsd:double"&gt;-21.198154&lt;/D&gt;&lt;D xsi:type="xsd:double"&gt;-20.143879&lt;/D&gt;&lt;D xsi:type="xsd:double"&gt;-17.23619&lt;/D&gt;&lt;D xsi:type="xsd:double"&gt;-19.435852&lt;/D&gt;&lt;D xsi:type="xsd:double"&gt;-17.60255&lt;/D&gt;&lt;D xsi:type="xsd:double"&gt;-18.711424&lt;/D&gt;&lt;D xsi:type="xsd:double"&gt;-19.268204&lt;/D&gt;&lt;D xsi:type="xsd:double"&gt;-19.274734&lt;/D&gt;&lt;D xsi:type="xsd:double"&gt;-15.17067&lt;/D&gt;&lt;D xsi:type="xsd:double"&gt;-13.0113125&lt;/D&gt;&lt;D xsi:type="xsd:double"&gt;-7.739669&lt;/D&gt;&lt;D xsi:type="xsd:double"&gt;-6.7181168&lt;/D&gt;&lt;D xsi:type="xsd:double"&gt;-6.1178503&lt;/D&gt;&lt;D xsi:type="xsd:double"&gt;-0.45045018&lt;/D&gt;&lt;D xsi:type="xsd:double"&gt;-6.453067&lt;/D&gt;&lt;D xsi:type="xsd:double"&gt;0.67145824&lt;/D&gt;&lt;D xsi:type="xsd:double"&gt;-1.063323&lt;/D&gt;&lt;D xsi:type="xsd:double"&gt;-4.8334064&lt;/D&gt;&lt;D xsi:type="xsd:double"&gt;-2.2179306&lt;/D&gt;&lt;D xsi:type="xsd:double"&gt;-3.5644531&lt;/D&gt;&lt;D xsi:type="xsd:double"&gt;3.6761165&lt;/D&gt;&lt;D xsi:type="xsd:double"&gt;2.451229&lt;/D&gt;&lt;D xsi:type="xsd:double"&gt;-3.956151&lt;/D&gt;&lt;D xsi:type="xsd:double"&gt;-8.055282&lt;/D&gt;&lt;D xsi:type="xsd:double"&gt;-4.072833&lt;/D&gt;&lt;D xsi:type="xsd:double"&gt;-13.800907&lt;/D&gt;&lt;D xsi:type="xsd:double"&gt;-2.8943598&lt;/D&gt;&lt;D xsi:type="xsd:double"&gt;-11.958075&lt;/D&gt;&lt;D xsi:type="xsd:double"&gt;-7.295722&lt;/D&gt;&lt;D xsi:type="xsd:double"&gt;-6.0650945&lt;/D&gt;&lt;D xsi:type="xsd:double"&gt;-5.6129932&lt;/D&gt;&lt;D xsi:type="xsd:double"&gt;-7.1608663&lt;/D&gt;&lt;D xsi:type="xsd:double"&gt;-10.781026&lt;/D&gt;&lt;D xsi:type="xsd:double"&gt;-6.7382755&lt;/D&gt;&lt;D xsi:type="xsd:double"&gt;-6.352353&lt;/D&gt;&lt;D xsi:type="xsd:double"&gt;-2.5920153&lt;/D&gt;&lt;D xsi:type="xsd:double"&gt;-3.64635&lt;/D&gt;&lt;D xsi:type="xsd:double"&gt;-3.955698&lt;/D&gt;&lt;D xsi:type="xsd:double"&gt;-13.164431&lt;/D&gt;&lt;D xsi:type="xsd:double"&gt;-8.062768&lt;/D&gt;&lt;D xsi:type="xsd:double"&gt;-10.388243&lt;/D&gt;&lt;D xsi:type="xsd:double"&gt;-7.296586&lt;/D&gt;&lt;D xsi:type="xsd:double"&gt;-10.485136&lt;/D&gt;&lt;D xsi:type="xsd:double"&gt;-7.958847&lt;/D&gt;&lt;D xsi:type="xsd:double"&gt;-6.7541304&lt;/D&gt;&lt;D xsi:type="xsd:double"&gt;-11.040324&lt;/D&gt;&lt;D xsi:type="xsd:double"&gt;-10.14365&lt;/D&gt;&lt;D xsi:type="xsd:double"&gt;-11.47027&lt;/D&gt;&lt;D xsi:type="xsd:double"&gt;-15.598637&lt;/D&gt;&lt;D xsi:type="xsd:double"&gt;-7.63427&lt;/D&gt;&lt;D xsi:type="xsd:double"&gt;-4.2574406&lt;/D&gt;&lt;D xsi:type="xsd:double"&gt;-11.132425&lt;/D&gt;&lt;D xsi:type="xsd:double"&gt;-8.1096945&lt;/D&gt;&lt;D xsi:type="xsd:double"&gt;-9.124679&lt;/D&gt;&lt;D xsi:type="xsd:double"&gt;-6.0314713&lt;/D&gt;&lt;D xsi:type="xsd:double"&gt;-1.8087327&lt;/D&gt;&lt;D xsi:type="xsd:double"&gt;-2.9712439&lt;/D&gt;&lt;D xsi:type="xsd:double"&gt;-3.0329764&lt;/D&gt;&lt;D xsi:type="xsd:double"&gt;-13.085908&lt;/D&gt;&lt;D xsi:type="xsd:double"&gt;-16.315502&lt;/D&gt;&lt;D xsi:type="xsd:double"&gt;-15.0762615&lt;/D&gt;&lt;D xsi:type="xsd:double"&gt;-17.238873&lt;/D&gt;&lt;D xsi:type="xsd:double"&gt;-15.778047&lt;/D&gt;&lt;D xsi:type="xsd:double"&gt;-3.6760986&lt;/D&gt;&lt;D xsi:type="xsd:double"&gt;-4.370695&lt;/D&gt;&lt;D xsi:type="xsd:double"&gt;-4.431409&lt;/D&gt;&lt;D xsi:type="xsd:double"&gt;-1.7136216&lt;/D&gt;&lt;D xsi:type="xsd:double"&gt;-2.9520333&lt;/D&gt;&lt;D xsi:type="xsd:double"&gt;-1.4589787&lt;/D&gt;&lt;D xsi:type="xsd:double"&gt;8.766437&lt;/D&gt;&lt;D xsi:type="xsd:double"&gt;17.782425&lt;/D&gt;&lt;D xsi:type="xsd:double"&gt;34.29203&lt;/D&gt;&lt;D xsi:type="xsd:double"&gt;35.519527&lt;/D&gt;&lt;D xsi:type="xsd:double"&gt;32.592594&lt;/D&gt;&lt;D xsi:type="xsd:double"&gt;37.144947&lt;/D&gt;&lt;D xsi:type="xsd:double"&gt;32.610226&lt;/D&gt;&lt;D xsi:type="xsd:double"&gt;28.590965&lt;/D&gt;&lt;D xsi:type="xsd:double"&gt;27.211798&lt;/D&gt;&lt;D xsi:type="xsd:double"&gt;30.94777&lt;/D&gt;&lt;D xsi:type="xsd:double"&gt;26.299118&lt;/D&gt;&lt;D xsi:type="xsd:double"&gt;22.343658&lt;/D&gt;&lt;D xsi:type="xsd:double"&gt;23.200916&lt;/D&gt;&lt;D xsi:type="xsd:double"&gt;31.616343&lt;/D&gt;&lt;D xsi:type="xsd:double"&gt;23.64341&lt;/D&gt;&lt;D xsi:type="xsd:double"&gt;22.022842&lt;/D&gt;&lt;D xsi:type="xsd:double"&gt;15.418995&lt;/D&gt;&lt;D xsi:type="xsd:double"&gt;2.00845&lt;/D&gt;&lt;D xsi:type="xsd:double"&gt;8.44326&lt;/D&gt;&lt;D xsi:type="xsd:double"&gt;7.7659607&lt;/D&gt;&lt;D xsi:type="xsd:double"&gt;5.5818796&lt;/D&gt;&lt;D xsi:type="xsd:double"&gt;-2.1171868&lt;/D&gt;&lt;D xsi:type="xsd:double"&gt;1.8516302&lt;/D&gt;&lt;D xsi:type="xsd:double"&gt;-3.3498347&lt;/D&gt;&lt;D xsi:type="xsd:double"&gt;-3.4542441&lt;/D&gt;&lt;D xsi:type="xsd:double"&gt;-11.127395&lt;/D&gt;&lt;D xsi:type="xsd:double"&gt;-6.932086&lt;/D&gt;&lt;D xsi:type="xsd:double"&gt;-7.1226597&lt;/D&gt;&lt;D xsi:type="xsd:double"&gt;4.7219157&lt;/D&gt;&lt;D xsi:type="xsd:double"&gt;12.846434&lt;/D&gt;&lt;D xsi:type="xsd:double"&gt;4.548967&lt;/D&gt;&lt;D xsi:type="xsd:double"&gt;6.327045&lt;/D&gt;&lt;D xsi:type="xsd:double"&gt;9.912777&lt;/D&gt;&lt;D xsi:type="xsd:double"&gt;11.1132145&lt;/D&gt;&lt;D xsi:type="xsd:double"&gt;8.733249&lt;/D&gt;&lt;D xsi:type="xsd:double"&gt;15.144849&lt;/D&gt;&lt;/FQL&gt;&lt;FQL&gt;&lt;Q&gt;VWO^JULIAN(P_PRICE_RETURNS_PR('52W',2,-10AY,0,AM).DATES)&lt;/Q&gt;&lt;R&gt;121&lt;/R&gt;&lt;C&gt;1&lt;/C&gt;&lt;D xsi:type="xsd:long"&gt;41662&lt;/D&gt;&lt;D xsi:type="xsd:long"&gt;41691&lt;/D&gt;&lt;D xsi:type="xsd:long"&gt;41719&lt;/D&gt;&lt;D xsi:type="xsd:long"&gt;41752&lt;/D&gt;&lt;D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</t>
        </r>
      </text>
    </comment>
    <comment ref="A2" authorId="0" shapeId="0" xr:uid="{DA908EDC-0364-4490-90AD-BD6077107755}">
      <text>
        <r>
          <rPr>
            <b/>
            <sz val="9"/>
            <color indexed="81"/>
            <rFont val="Tahoma"/>
            <family val="2"/>
          </rPr>
          <t>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xsi:type="xsd:long"&gt;45314&lt;/D&gt;&lt;/FQL&gt;&lt;FQL&gt;&lt;Q&gt;VGK^FG_TOTAL_RETURNC(-10AY,0,AM)&lt;/Q&gt;&lt;R&gt;121&lt;/R&gt;&lt;C&gt;1&lt;/C&gt;&lt;D xsi:type="xsd:double"&gt;2.90941&lt;/D&gt;&lt;D xsi:type="xsd:double"&gt;0.82952976&lt;/D&gt;&lt;D xsi:type="xsd:double"&gt;-2.1828473&lt;/D&gt;&lt;D xsi:type="xsd:double"&gt;3.8099885&lt;/D&gt;&lt;D xsi:type="xsd:double"&gt;1.4098644&lt;/D&gt;&lt;D xsi:type="xsd:double"&gt;1.6716361&lt;/D&gt;&lt;D xsi:type="xsd:double"&gt;-2.247703&lt;/D&gt;&lt;D xsi:type="xsd:double"&gt;-3.1144202&lt;/D&gt;&lt;D xsi:type="xsd:double"&gt;-1.3277471&lt;/D&gt;&lt;D xsi:type="xsd:double"&gt;-5.6803885&lt;/D&gt;&lt;D xsi:type="xsd:double"&gt;3.3949494&lt;/D&gt;&lt;D xsi:type="xsd:double"&gt;-2.2438705&lt;/D&gt;&lt;D xsi:type="xsd:double"&gt;-0.9193182&lt;/D&gt;&lt;D xsi:type="xsd:double"&gt;5.4156303&lt;/D&gt;&lt;D xsi:type="xsd:double"&gt;0.80833435&lt;/D&gt;&lt;D xsi:type="xsd:double"&gt;1.251483&lt;/D&gt;&lt;D xsi:type="xsd:double"&gt;2.3008823&lt;/D&gt;&lt;D xsi:type="xsd:double"&gt;-0.48442483&lt;/D&gt;&lt;D xsi:type="xsd:double"&gt;-2.41068&lt;/D&gt;&lt;D xsi:type="xsd:double"&gt;-6.766784&lt;/D&gt;&lt;D xsi:type="xsd:double"&gt;-4.7351003&lt;/D&gt;&lt;D xsi:type="xsd:double"&gt;7.8051567&lt;/D&gt;&lt;D xsi:type="xsd:double"&gt;-3.3219457&lt;/D&gt;&lt;D xsi:type="xsd:double"&gt;-0.08389354&lt;/D&gt;&lt;D xsi:type="xsd:double"&gt;-8.701658&lt;/D&gt;&lt;D xsi:type="xsd:double"&gt;-1.6857564&lt;/D&gt;&lt;D xsi:type="xsd:double"&gt;5.8528304&lt;/D&gt;&lt;D xsi:type="xsd:double"&gt;4.0935636&lt;/D&gt;&lt;D xsi:type="xsd:double"&gt;-2.7287304&lt;/D&gt;&lt;D xsi:type="xsd:double"&gt;5.5211782&lt;/D&gt;&lt;D xsi:type="xsd:double"&gt;-5.684084&lt;/D&gt;&lt;D xsi:type="xsd:double"&gt;4.0812016&lt;/D&gt;&lt;D xsi:type="xsd:double"&gt;-0.18393397&lt;/D&gt;&lt;D xsi:type="xsd:double"&gt;-2.742529&lt;/D&gt;&lt;D xsi:type="xsd:double"&gt;-3.829968&lt;/D&gt;&lt;D xsi:type="xsd:double"&gt;4.610622&lt;/D&gt;&lt;D xsi:type="xsd:double"&gt;3.3207178&lt;/D&gt;&lt;D xsi:type="xsd:double"&gt;1.7697334&lt;/D&gt;&lt;D xsi:type="xsd:double"&gt;3.0540228&lt;/D&gt;&lt;D xsi:type="xsd:double"&gt;0.31200647&lt;/D&gt;&lt;D xsi:type="xsd:double"&gt;9.447897&lt;/D&gt;&lt;D xsi:type="xsd:double"&gt;-0.9259403&lt;/D&gt;&lt;D xsi:type="xsd:double"&gt;2.5090933&lt;/D&gt;&lt;D xsi:type="xsd:double"&gt;-0.14189482&lt;/D&gt;&lt;D xsi:type="xsd:double"&gt;3.7862062&lt;/D&gt;&lt;D xsi:type="xsd:double"&gt;0.017178059&lt;/D&gt;&lt;D xsi:type="xsd:double"&gt;-0.068718195&lt;/D&gt;&lt;D xsi:type="xsd:double"&gt;1.6405344&lt;/D&gt;&lt;D xsi:type="xsd:double"&gt;7.090628&lt;/D&gt;&lt;D xsi:type="xsd:double"&gt;-4.842806&lt;/D&gt;&lt;D xsi:type="xsd:double"&gt;-4.555315&lt;/D&gt;&lt;D xsi:type="xsd:double"&gt;5.1513433&lt;/D&gt;&lt;D xsi:type="xsd:double"&gt;-0.71834326&lt;/D&gt;&lt;D xsi:type="xsd:double"&gt;-2.5919616&lt;/D&gt;&lt;D xsi:type="xsd:double"&gt;0.7220864&lt;/D&gt;&lt;D xsi:type="xsd:double"&gt;-1.801014&lt;/D&gt;&lt;D xsi:type="xsd:double"&gt;2.1723628&lt;/D&gt;&lt;D xsi:type="xsd:double"&gt;-9.234577&lt;/D&gt;&lt;D xsi:type="xsd:double"&gt;-2.1781027&lt;/D&gt;&lt;D xsi:type="xsd:double"&gt;-5.674881&lt;/D&gt;&lt;D xsi:type="xsd:double"&gt;7.1593165&lt;/D&gt;&lt;D xsi:type="xsd:double"&gt;4.258251&lt;/D&gt;&lt;D xsi:type="xsd:double"&gt;0.92226267&lt;/D&gt;&lt;D xsi:type="xsd:double"&gt;4.2125225&lt;/D&gt;&lt;D xsi:type="xsd:double"&gt;-4.2476597&lt;/D&gt;&lt;D xsi:type="xsd:double"&gt;4.7121286&lt;/D&gt;&lt;D xsi:type="xsd:double"&gt;0.3289461&lt;/D&gt;&lt;D xsi:type="xsd:double"&gt;-6.0837865&lt;/D&gt;&lt;D xsi:type="xsd:double"&gt;4.8875093&lt;/D&gt;&lt;D xsi:type="xsd:double"&gt;2.6848435&lt;/D&gt;&lt;D xsi:type="xsd:double"&gt;1.6304255&lt;/D&gt;&lt;D xsi:type="xsd:double"&gt;4.1912675&lt;/D&gt;&lt;D xsi:type="xsd:double"&gt;0.58499575&lt;/D&gt;&lt;D xsi:type="xsd:double"&gt;-0.7013321&lt;/D&gt;&lt;D xsi:type="xsd:double"&gt;-35.666157&lt;/D&gt;&lt;D xsi:type="xsd:double"&gt;18.92184&lt;/D&gt;&lt;D xsi:type="xsd:double"&gt;5.1223993&lt;/D&gt;&lt;D xsi:type="xsd:double"&gt;11.3385315&lt;/D&gt;&lt;D xsi:type="xsd:double"&gt;4.1333556&lt;/D&gt;&lt;D xsi:type="xsd:double"&gt;0.7302046&lt;/D&gt;&lt;D xsi:type="xsd:double"&gt;-3.702402&lt;/D&gt;&lt;D xsi:type="xsd:double"&gt;3.882742&lt;/D&gt;&lt;D xsi:type="xsd:double"&gt;7.531309&lt;/D&gt;&lt;D xsi:type="xsd:double"&gt;5.009091&lt;/D&gt;&lt;D xsi:type="xsd:double"&gt;3.2145262&lt;/D&gt;&lt;D xsi:type="xsd:double"&gt;0.82297325&lt;/D&gt;&lt;D xsi:type="xsd:double"&gt;0.043141842&lt;/D&gt;&lt;D xsi:type="xsd:double"&gt;6.9408655&lt;/D&gt;&lt;D xsi:type="xsd:double"&gt;2.6141882&lt;/D&gt;&lt;D xsi:type="xsd:double"&gt;-0.03566742&lt;/D&gt;&lt;D xsi:type="xsd:double"&gt;0.4441738&lt;/D&gt;&lt;D xsi:type="xsd:double"&gt;2.343762&lt;/D&gt;&lt;D xsi:type="xsd:double"&gt;-0.6549895&lt;/D&gt;&lt;D xsi:type="xsd:double"&gt;0.43751&lt;/D&gt;&lt;D xsi:type="xsd:double"&gt;-1.8005013&lt;/D&gt;&lt;D xsi:type="xsd:double"&gt;1.0351062&lt;/D&gt;&lt;D xsi:type="xsd:double"&gt;-2.3806036&lt;/D&gt;&lt;D xsi:type="xsd:double"&gt;-4.256284&lt;/D&gt;&lt;D xsi:type="xsd:double"&gt;-2.2021532&lt;/D&gt;&lt;D xsi:type="xsd:double"&gt;-1.8158197&lt;/D&gt;&lt;D xsi:type="xsd:double"&gt;-3.385079&lt;/D&gt;&lt;D xsi:type="xsd:double"&gt;-8.742678&lt;/D&gt;&lt;D xsi:type="xsd:double"&gt;1.8907547&lt;/D&gt;&lt;D xsi:type="xsd:double"&gt;-0.56232214&lt;/D&gt;&lt;D xsi:type="xsd:double"&gt;-11.950075&lt;/D&gt;&lt;D xsi:type="xsd:double"&gt;4.171157&lt;/D&gt;&lt;D xsi:type="xsd:double"&gt;15.789473&lt;/D&gt;&lt;D xsi:type="xsd:double"&gt;-0.12130737&lt;/D&gt;&lt;D xsi:type="xsd:double"&gt;9.185696&lt;/D&gt;&lt;D xsi:type="xsd:double"&gt;-0.46098828&lt;/D&gt;&lt;D xsi:type="xsd:double"&gt;-2.4555802&lt;/D&gt;&lt;D xsi:type="xsd:double"&gt;7.9135537&lt;/D&gt;&lt;D xsi:type="xsd:double"&gt;-2.270931&lt;/D&gt;&lt;D xsi:type="xsd:double"&gt;-1.1146009&lt;/D&gt;&lt;D xsi:type="xsd:double"&gt;5.3488374&lt;/D&gt;&lt;D xsi:type="xsd:double"&gt;-4.7303677&lt;/D&gt;&lt;D xsi:type="xsd:double"&gt;-2.4711668&lt;/D&gt;&lt;D xsi:type="xsd:double"&gt;-4.380435&lt;/D&gt;&lt;D xsi:type="xsd:double"&gt;8.770061&lt;/D&gt;&lt;D xsi:type="xsd:double"&gt;5.8071733&lt;/D&gt;&lt;D xsi:type="xsd:double"&gt;-2.574098&lt;/D&gt;&lt;/FQL&gt;&lt;FQL&gt;&lt;Q&gt;GLD^FG_TOTAL_RETURNC(-10AY,0,AM)&lt;/Q&gt;&lt;R&gt;121&lt;/R&gt;&lt;C&gt;1&lt;/C&gt;&lt;D xsi:type="xsd:double"&gt;5.3820252&lt;/D&gt;&lt;D xsi:type="xsd:double"&gt;4.7540903&lt;/D&gt;&lt;D xsi:type="xsd:double"&gt;0.69760084&lt;/D&gt;&lt;D xsi:type="xsd:double"&gt;-3.666222&lt;/D&gt;&lt;D xsi:type="xsd:double"&gt;0.60601234&lt;/D&gt;&lt;D xsi:type="xsd:double"&gt;1.8793583&lt;/D&gt;&lt;D xsi:type="xsd:double"&gt;-0.96964836&lt;/D&gt;&lt;D xsi:type="xsd:double"&gt;-1.9344032&lt;/D&gt;&lt;D xsi:type="xsd:double"&gt;-4.5377073&lt;/D&gt;&lt;D xsi:type="xsd:double"&gt;0.78231096&lt;/D&gt;&lt;D xsi:type="xsd:double"&gt;-2.6409029999999998&lt;/D&gt;&lt;D xsi:type="xsd:double"&gt;-2.296561&lt;/D&gt;&lt;D xsi:type="xsd:double"&gt;10.191595&lt;/D&gt;&lt;D xsi:type="xsd:double"&gt;-7.0836363&lt;/D&gt;&lt;D xsi:type="xsd:double"&gt;-0.9876132&lt;/D&gt;&lt;D xsi:type="xsd:double"&gt;0.32373667&lt;/D&gt;&lt;D xsi:type="xsd:double"&gt;0.8198142&lt;/D&gt;&lt;D xsi:type="xsd:double"&gt;-2.3442924&lt;/D&gt;&lt;D xsi:type="xsd:double"&gt;-7.5825987&lt;/D&gt;&lt;D xsi:type="xsd:double"&gt;6.51778&lt;/D&gt;&lt;D xsi:type="xsd:double"&gt;-2.6185513&lt;/D&gt;&lt;D xsi:type="xsd:double"&gt;3.0308604&lt;/D&gt;&lt;D xsi:type="xsd:double"&gt;-8.286995&lt;/D&gt;&lt;D xsi:type="xsd:double"&gt;0.04888773&lt;/D&gt;&lt;D xsi:type="xsd:double"&gt;2.6292682&lt;/D&gt;&lt;D xsi:type="xsd:double"&gt;11.638093&lt;/D&gt;&lt;D xsi:type="xsd:double"&gt;-0.5203903&lt;/D&gt;&lt;D xsi:type="xsd:double"&gt;1.0976791&lt;/D&gt;&lt;D xsi:type="xsd:double"&gt;1.255405&lt;/D&gt;&lt;D xsi:type="xsd:double"&gt;0.61992407&lt;/D&gt;&lt;D xsi:type="xsd:double"&gt;5.195236&lt;/D&gt;&lt;D xsi:type="xsd:double"&gt;1.1159539&lt;/D&gt;&lt;D xsi:type="xsd:double"&gt;-0.08609891&lt;/D&gt;&lt;D xsi:type="xsd:double"&gt;-5.342734&lt;/D&gt;&lt;D xsi:type="xsd:double"&gt;-6.2732754&lt;/D&gt;&lt;D xsi:type="xsd:double"&gt;-4.697573&lt;/D&gt;&lt;D xsi:type="xsd:double"&gt;7.2824955&lt;/D&gt;&lt;D xsi:type="xsd:double"&gt;2.7204394&lt;/D&gt;&lt;D xsi:type="xsd:double"&gt;-0.22701025&lt;/D&gt;&lt;D xsi:type="xsd:double"&gt;3.0673265&lt;/D&gt;&lt;D xsi:type="xsd:double"&gt;-2.591771&lt;/D&gt;&lt;D xsi:type="xsd:double"&gt;0.24341345&lt;/D&gt;&lt;D xsi:type="xsd:double"&gt;-0.14234185&lt;/D&gt;&lt;D xsi:type="xsd:double"&gt;2.8592944&lt;/D&gt;&lt;D xsi:type="xsd:double"&gt;0.4646659&lt;/D&gt;&lt;D xsi:type="xsd:double"&gt;-1.1684477&lt;/D&gt;&lt;D xsi:type="xsd:double"&gt;0.68143606&lt;/D&gt;&lt;D xsi:type="xsd:double"&gt;-1.378125&lt;/D&gt;&lt;D xsi:type="xsd:double"&gt;5.2422643&lt;/D&gt;&lt;D xsi:type="xsd:double"&gt;-0.8956611&lt;/D&gt;&lt;D xsi:type="xsd:double"&gt;1.1653781&lt;/D&gt;&lt;D xsi:type="xsd:double"&gt;-1.5594363&lt;/D&gt;&lt;D xsi:type="xsd:double"&gt;-2.451843&lt;/D&gt;&lt;D xsi:type="xsd:double"&gt;-1.7953336&lt;/D&gt;&lt;D xsi:type="xsd:double"&gt;-3.6064446&lt;/D&gt;&lt;D xsi:type="xsd:double"&gt;-3.2758653&lt;/D&gt;&lt;D xsi:type="xsd:double"&gt;1.1497378&lt;/D&gt;&lt;D xsi:type="xsd:double"&gt;2.555287&lt;/D&gt;&lt;D xsi:type="xsd:double"&gt;-0.5326927&lt;/D&gt;&lt;D xsi:type="xsd:double"&gt;2.5481582&lt;/D&gt;&lt;D xsi:type="xsd:double"&gt;2.1563292&lt;/D&gt;&lt;D xsi:type="xsd:double"&gt;3.4795523&lt;/D&gt;&lt;D xsi:type="xsd:double"&gt;-1.2191236&lt;/D&gt;&lt;D xsi:type="xsd:double"&gt;-3.1055868&lt;/D&gt;&lt;D xsi:type="xsd:double"&gt;0.87412596&lt;/D&gt;&lt;D xsi:type="xsd:double"&gt;8.921349&lt;/D&gt;&lt;D xsi:type="xsd:double"&gt;1.2956619&lt;/D&gt;&lt;D xsi:type="xsd:double"&gt;7.839024&lt;/D&gt;&lt;D xsi:type="xsd:double"&gt;-0.29132366&lt;/D&gt;&lt;D xsi:type="xsd:double"&gt;-2.2400022&lt;/D&gt;&lt;D xsi:type="xsd:double"&gt;-1.9853354&lt;/D&gt;&lt;D xsi:type="xsd:double"&gt;1.6044617&lt;/D&gt;&lt;D xsi:type="xsd:double"&gt;5.1232576&lt;/D&gt;&lt;D xsi:type="xsd:double"&gt;5.1522613&lt;/D&gt;&lt;D xsi:type="xsd:double"&gt;-5.429858&lt;/D&gt;&lt;D xsi:type="xsd:double"&gt;11.647296&lt;/D&gt;&lt;D xsi:type="xsd:double"&gt;-0.07958412&lt;/D&gt;&lt;D xsi:type="xsd:double"&gt;2.0035505&lt;/D&gt;&lt;D xsi:type="xsd:double"&gt;6.4271927&lt;/D&gt;&lt;D xsi:type="xsd:double"&gt;2.7373314&lt;/D&gt;&lt;D xsi:type="xsd:double"&gt;-3.9773703&lt;/D&gt;&lt;D xsi:type="xsd:double"&gt;2.202642&lt;/D&gt;&lt;D xsi:type="xsd:double"&gt;-3.5882235&lt;/D&gt;&lt;D xsi:type="xsd:double"&gt;1.9857168&lt;/D&gt;&lt;D xsi:type="xsd:double"&gt;-0.9962976&lt;/D&gt;&lt;D xsi:type="xsd:double"&gt;-2.748704&lt;/D&gt;&lt;D xsi:type="xsd:double"&gt;-4.322374&lt;/D&gt;&lt;D xsi:type="xsd:double"&gt;2.8366566&lt;/D&gt;&lt;D xsi:type="xsd:double"&gt;5.7932734&lt;/D&gt;&lt;D xsi:type="xsd:double"&gt;-5.6237164&lt;/D&gt;&lt;D xsi:type="xsd:double"&gt;1.4566064&lt;/D&gt;&lt;D xsi:type="xsd:double"&gt;0.10085106&lt;/D&gt;&lt;D xsi:type="xsd:double"&gt;-3.0937016&lt;/D&gt;&lt;D xsi:type="xsd:double"&gt;2.6053548&lt;/D&gt;&lt;D xsi:type="xsd:double"&gt;-0.29206872&lt;/D&gt;&lt;D xsi:type="xsd:double"&gt;1.0102868&lt;/D&gt;&lt;D xsi:type="xsd:double"&gt;1.2546539&lt;/D&gt;&lt;D xsi:type="xsd:double"&gt;4.2083144&lt;/D&gt;&lt;D xsi:type="xsd:double"&gt;1.9743085&lt;/D&gt;&lt;D xsi:type="xsd:double"&gt;-0.8360386&lt;/D&gt;&lt;D xsi:type="xsd:double"&gt;-4.1377726&lt;/D&gt;&lt;D xsi:type="xsd:double"&gt;-1.4870167&lt;/D&gt;&lt;D xsi:type="xsd:double"&gt;-5.6325617&lt;/D&gt;&lt;D xsi:type="xsd:double"&gt;1.3070345&lt;/D&gt;&lt;D xsi:type="xsd:double"&gt;-5.9961977&lt;/D&gt;&lt;D xsi:type="xsd:double"&gt;0.74504614&lt;/D&gt;&lt;D xsi:type="xsd:double"&gt;5.793059&lt;/D&gt;&lt;D xsi:type="xsd:double"&gt;2.5631547&lt;/D&gt;&lt;D xsi:type="xsd:double"&gt;7.395673&lt;/D&gt;&lt;D xsi:type="xsd:double"&gt;-5.600399&lt;/D&gt;&lt;D xsi:type="xsd:double"&gt;9.535885&lt;/D&gt;&lt;D xsi:type="xsd:double"&gt;-0.80220103&lt;/D&gt;&lt;D xsi:type="xsd:double"&gt;-0.44505&lt;/D&gt;&lt;D xsi:type="xsd:double"&gt;-2.851224&lt;/D&gt;&lt;D xsi:type="xsd:double"&gt;2.2334456&lt;/D&gt;&lt;D xsi:type="xsd:double"&gt;-2.3548126&lt;/D&gt;&lt;D xsi:type="xsd:double"&gt;0.41036606&lt;/D&gt;&lt;D xsi:type="xsd:double"&gt;2.4353385&lt;/D&gt;&lt;D xsi:type="xsd:double"&gt;0.86898804&lt;/D&gt;&lt;D xsi:type="xsd:double"&gt;3.0938506&lt;/D&gt;&lt;D xsi:type="xsd:double"&gt;-1.2193263&lt;/D&gt;&lt;/FQL&gt;&lt;FQL&gt;&lt;Q&gt;IWM^P_PRICE(0,-200D)&lt;/Q&gt;&lt;R&gt;201&lt;/R&gt;&lt;C&gt;1&lt;/C&gt;&lt;D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xsi:type="xsd:double"&gt;175.54&lt;/D&gt;&lt;D xsi:type="xsd:double"&gt;177.42&lt;/D&gt;&lt;D xsi:type="xsd:double"&gt;178.26&lt;/D&gt;&lt;D xsi:type="xsd:double"&gt;176.11&lt;/D&gt;&lt;D xsi:type="xsd:double"&gt;177.19&lt;/D&gt;&lt;D xsi:type="xsd:double"&gt;176.12&lt;/D&gt;&lt;D xsi:type="xsd:double"&gt;172.28&lt;/D&gt;&lt;D xsi:type="xsd:double"&gt;174.83&lt;/D&gt;&lt;D xsi:type="xsd:double"&gt;172.72&lt;/D&gt;&lt;D xsi:type="xsd:double"&gt;173.07&lt;/D&gt;&lt;D xsi:type="xsd:double"&gt;174.41&lt;/D&gt;&lt;D xsi:type="xsd:double"&gt;173.53&lt;/D&gt;&lt;D xsi:type="xsd:double"&gt;174.05&lt;/D&gt;&lt;D xsi:type="xsd:double"&gt;174.45&lt;/D&gt;&lt;D xsi:type="xsd:double"&gt;170.4&lt;/D&gt;&lt;D xsi:type="xsd:double"&gt;172.33&lt;/D&gt;&lt;D xsi:type="xsd:double"&gt;171.7&lt;/D&gt;&lt;D xsi:type="xsd:double"&gt;175.3&lt;/D&gt;&lt;D xsi:type="xsd:double"&gt;175.2&lt;/D&gt;&lt;D xsi:type="xsd:double"&gt;173.68&lt;/D&gt;&lt;D xsi:type="xsd:double"&gt;171.39&lt;/D&gt;&lt;D xsi:type="xsd:double"&gt;173.06&lt;/D&gt;&lt;D xsi:type="xsd:double"&gt;177.44&lt;/D&gt;&lt;D xsi:type="xsd:double"&gt;177.56&lt;/D&gt;&lt;D xsi:type="xsd:double"&gt;177.33&lt;/D&gt;&lt;D xsi:type="xsd:double"&gt;178.25&lt;/D&gt;&lt;D xsi:type="xsd:double"&gt;178.02&lt;/D&gt;&lt;D xsi:type="xsd:double"&gt;178.78&lt;/D&gt;&lt;D xsi:type="xsd:double"&gt;176.51&lt;/D&gt;&lt;D xsi:type="xsd:double"&gt;178.17&lt;/D&gt;&lt;D xsi:type="xsd:double"&gt;175.84&lt;/D&gt;&lt;D xsi:type="xsd:double"&gt;177.14&lt;/D&gt;&lt;D xsi:type="xsd:double"&gt;175.75&lt;/D&gt;&lt;D xsi:type="xsd:double"&gt;173.89&lt;/D&gt;&lt;D xsi:type="xsd:double"&gt;173.63&lt;/D&gt;&lt;/FQL&gt;&lt;FQL&gt;&lt;Q&gt;TLT^P_PRICE(0,-200D)&lt;/Q&gt;&lt;R&gt;201&lt;/R&gt;&lt;C&gt;1&lt;/C&gt;&lt;D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xsi:type="xsd:double"&gt;100.53&lt;/D&gt;&lt;D xsi:type="xsd:double"&gt;101.03&lt;/D&gt;&lt;D xsi:type="xsd:double"&gt;100.74&lt;/D&gt;&lt;D xsi:type="xsd:double"&gt;101.1&lt;/D&gt;&lt;D xsi:type="xsd:double"&gt;101.82&lt;/D&gt;&lt;D xsi:type="xsd:double"&gt;102.58&lt;/D&gt;&lt;D xsi:type="xsd:double"&gt;102.88&lt;/D&gt;&lt;D xsi:type="xsd:double"&gt;103.19&lt;/D&gt;&lt;D xsi:type="xsd:double"&gt;104.27&lt;/D&gt;&lt;D xsi:type="xsd:double"&gt;105.15&lt;/D&gt;&lt;D xsi:type="xsd:double"&gt;104.05&lt;/D&gt;&lt;D xsi:type="xsd:double"&gt;103.05&lt;/D&gt;&lt;D xsi:type="xsd:double"&gt;103.42&lt;/D&gt;&lt;D xsi:type="xsd:double"&gt;104.89&lt;/D&gt;&lt;D xsi:type="xsd:double"&gt;105.24&lt;/D&gt;&lt;D xsi:type="xsd:double"&gt;106.29&lt;/D&gt;&lt;D xsi:type="xsd:double"&gt;105.7&lt;/D&gt;&lt;D xsi:type="xsd:double"&gt;103.13&lt;/D&gt;&lt;D xsi:type="xsd:double"&gt;106.46&lt;/D&gt;&lt;D xsi:type="xsd:double"&gt;104.77&lt;/D&gt;&lt;D xsi:type="xsd:double"&gt;105.82&lt;/D&gt;&lt;D xsi:type="xsd:double"&gt;106.96&lt;/D&gt;&lt;D xsi:type="xsd:double"&gt;105.41&lt;/D&gt;&lt;D xsi:type="xsd:double"&gt;104.4&lt;/D&gt;&lt;D xsi:type="xsd:double"&gt;104.99&lt;/D&gt;&lt;D xsi:type="xsd:double"&gt;104.1&lt;/D&gt;&lt;D xsi:type="xsd:double"&gt;104.2&lt;/D&gt;&lt;D xsi:type="xsd:double"&gt;103.83&lt;/D&gt;&lt;D xsi:type="xsd:double"&gt;105.08&lt;/D&gt;&lt;D xsi:type="xsd:double"&gt;106.05&lt;/D&gt;&lt;D xsi:type="xsd:double"&gt;106.89&lt;/D&gt;&lt;D xsi:type="xsd:double"&gt;107&lt;/D&gt;&lt;D xsi:type="xsd:double"&gt;106.78&lt;/D&gt;&lt;D xsi:type="xsd:double"&gt;108.53&lt;/D&gt;&lt;D xsi:type="xsd:double"&gt;108.25&lt;/D&gt;&lt;/FQL&gt;&lt;FQL&gt;&lt;Q&gt;SPY^P_PRICE(0,-200D)&lt;/Q&gt;&lt;R&gt;201&lt;/R&gt;&lt;C&gt;1&lt;/C&gt;&lt;D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xsi:type="xsd:double"&gt;411.09&lt;/D&gt;&lt;D xsi:type="xsd:double"&gt;414.09&lt;/D&gt;&lt;D xsi:type="xsd:double"&gt;418.79&lt;/D&gt;&lt;D xsi:type="xsd:double"&gt;418.62&lt;/D&gt;&lt;D xsi:type="xsd:double"&gt;419.23&lt;/D&gt;&lt;D xsi:type="xsd:double"&gt;415.23&lt;/D&gt;&lt;D xsi:type="xsd:double"&gt;410.25&lt;/D&gt;&lt;D xsi:type="xsd:double"&gt;413.01&lt;/D&gt;&lt;D xsi:type="xsd:double"&gt;411.59&lt;/D&gt;&lt;D xsi:type="xsd:double"&gt;412.13&lt;/D&gt;&lt;D xsi:type="xsd:double"&gt;412.85&lt;/D&gt;&lt;D xsi:type="xsd:double"&gt;410.93&lt;/D&gt;&lt;D xsi:type="xsd:double"&gt;412.74&lt;/D&gt;&lt;D xsi:type="xsd:double"&gt;412.63&lt;/D&gt;&lt;D xsi:type="xsd:double"&gt;405.13&lt;/D&gt;&lt;D xsi:type="xsd:double"&gt;408.02&lt;/D&gt;&lt;D xsi:type="xsd:double"&gt;410.84&lt;/D&gt;&lt;D xsi:type="xsd:double"&gt;415.51&lt;/D&gt;&lt;D xsi:type="xsd:double"&gt;415.93&lt;/D&gt;&lt;D xsi:type="xsd:double"&gt;412.41&lt;/D&gt;&lt;D xsi:type="xsd:double"&gt;404.36&lt;/D&gt;&lt;D xsi:type="xsd:double"&gt;406.08&lt;/D&gt;&lt;D xsi:type="xsd:double"&gt;412.63&lt;/D&gt;&lt;D xsi:type="xsd:double"&gt;412.2&lt;/D&gt;&lt;D xsi:type="xsd:double"&gt;411.88&lt;/D&gt;&lt;D xsi:type="xsd:double"&gt;414.14&lt;/D&gt;&lt;D xsi:type="xsd:double"&gt;414.21&lt;/D&gt;&lt;D xsi:type="xsd:double"&gt;413.94&lt;/D&gt;&lt;D xsi:type="xsd:double"&gt;412.46&lt;/D&gt;&lt;D xsi:type="xsd:double"&gt;413.47&lt;/D&gt;&lt;D xsi:type="xsd:double"&gt;408.05&lt;/D&gt;&lt;D xsi:type="xsd:double"&gt;409.72&lt;/D&gt;&lt;D xsi:type="xsd:double"&gt;409.61&lt;/D&gt;&lt;D xsi:type="xsd:double"&gt;409.19&lt;/D&gt;&lt;D xsi:type="xsd:double"&gt;407.6&lt;/D&gt;&lt;/FQL&gt;&lt;FQL&gt;&lt;Q&gt;EWJ^P_PRICE_RETURNS_PR('52W',2,-10AY,0,AM)&lt;/Q&gt;&lt;R&gt;121&lt;/R&gt;&lt;C&gt;1&lt;/C&gt;&lt;D xsi:type="xsd:double"&gt;23.822212&lt;/D&gt;&lt;D xsi:type="xsd:double"&gt;16.793251&lt;/D&gt;&lt;D xsi:type="xsd:double"&gt;2.5809765&lt;/D&gt;&lt;D xsi:type="xsd:double"&gt;-1.5316725&lt;/D&gt;&lt;D xsi:type="xsd:double"&gt;-0.8357346&lt;/D&gt;&lt;D xsi:type="xsd:double"&gt;9.942066&lt;/D&gt;&lt;D xsi:type="xsd:double"&gt;2.9537797&lt;/D&gt;&lt;D xsi:type="xsd:double"&gt;8.627868&lt;/D&gt;&lt;D xsi:type="xsd:double"&gt;0.11128187&lt;/D&gt;&lt;D xsi:type="xsd:double"&gt;-4.3673697&lt;/D&gt;&lt;D xsi:type="xsd:double"&gt;-3.030312&lt;/D&gt;&lt;D xsi:type="xsd:double"&gt;-2.2915542&lt;/D&gt;&lt;D xsi:type="xsd:double"&gt;-2.1388173&lt;/D&gt;&lt;D xsi:type="xsd:double"&gt;7.8762054&lt;/D&gt;&lt;D xsi:type="xsd:double"&gt;19.800926&lt;/D&gt;&lt;D xsi:t</t>
        </r>
      </text>
    </comment>
    <comment ref="A3" authorId="0" shapeId="0" xr:uid="{7B7167DE-038C-4604-BC93-580465990892}">
      <text>
        <r>
          <rPr>
            <b/>
            <sz val="9"/>
            <color indexed="81"/>
            <rFont val="Tahoma"/>
            <family val="2"/>
          </rPr>
          <t>ype="xsd:double"&gt;20.658756&lt;/D&gt;&lt;D xsi:type="xsd:double"&gt;19.233822&lt;/D&gt;&lt;D xsi:type="xsd:double"&gt;10.5752945&lt;/D&gt;&lt;D xsi:type="xsd:double"&gt;7.0868373&lt;/D&gt;&lt;D xsi:type="xsd:double"&gt;0.3383875&lt;/D&gt;&lt;D xsi:type="xsd:double"&gt;-2.0793736&lt;/D&gt;&lt;D xsi:type="xsd:double"&gt;12.719309&lt;/D&gt;&lt;D xsi:type="xsd:double"&gt;9.133255&lt;/D&gt;&lt;D xsi:type="xsd:double"&gt;8.014607&lt;/D&gt;&lt;D xsi:type="xsd:double"&gt;-0.6124675&lt;/D&gt;&lt;D xsi:type="xsd:double"&gt;-10.5719385&lt;/D&gt;&lt;D xsi:type="xsd:double"&gt;-10.16959&lt;/D&gt;&lt;D xsi:type="xsd:double"&gt;-6.850499&lt;/D&gt;&lt;D xsi:type="xsd:double"&gt;-11.799497&lt;/D&gt;&lt;D xsi:type="xsd:double"&gt;-8.550954&lt;/D&gt;&lt;D xsi:type="xsd:double"&gt;-6.5129223&lt;/D&gt;&lt;D xsi:type="xsd:double"&gt;5.4452777&lt;/D&gt;&lt;D xsi:type="xsd:double"&gt;12.471951&lt;/D&gt;&lt;D xsi:type="xsd:double"&gt;4.2645335&lt;/D&gt;&lt;D xsi:type="xsd:double"&gt;0.86040497&lt;/D&gt;&lt;D xsi:type="xsd:double"&gt;3.388548&lt;/D&gt;&lt;D xsi:type="xsd:double"&gt;14.079094&lt;/D&gt;&lt;D xsi:type="xsd:double"&gt;21.537518&lt;/D&gt;&lt;D xsi:type="xsd:double"&gt;15.079821&lt;/D&gt;&lt;D xsi:type="xsd:double"&gt;8.24399&lt;/D&gt;&lt;D xsi:type="xsd:double"&gt;16.981184&lt;/D&gt;&lt;D xsi:type="xsd:double"&gt;16.306437&lt;/D&gt;&lt;D xsi:type="xsd:double"&gt;16.874718&lt;/D&gt;&lt;D xsi:type="xsd:double"&gt;11.982417&lt;/D&gt;&lt;D xsi:type="xsd:double"&gt;10.065115&lt;/D&gt;&lt;D xsi:type="xsd:double"&gt;16.770245&lt;/D&gt;&lt;D xsi:type="xsd:double"&gt;21.51221&lt;/D&gt;&lt;D xsi:type="xsd:double"&gt;22.410452&lt;/D&gt;&lt;D xsi:type="xsd:double"&gt;29.335571&lt;/D&gt;&lt;D xsi:type="xsd:double"&gt;21.001387&lt;/D&gt;&lt;D xsi:type="xsd:double"&gt;14.545977&lt;/D&gt;&lt;D xsi:type="xsd:double"&gt;19.333803&lt;/D&gt;&lt;D xsi:type="xsd:double"&gt;15.841699&lt;/D&gt;&lt;D xsi:type="xsd:double"&gt;10.443211&lt;/D&gt;&lt;D xsi:type="xsd:double"&gt;9.148085&lt;/D&gt;&lt;D xsi:type="xsd:double"&gt;6.9542646&lt;/D&gt;&lt;D xsi:type="xsd:double"&gt;10.015631&lt;/D&gt;&lt;D xsi:type="xsd:double"&gt;-2.0783424&lt;/D&gt;&lt;D xsi:type="xsd:double"&gt;-7.876551&lt;/D&gt;&lt;D xsi:type="xsd:double"&gt;-15.558201&lt;/D&gt;&lt;D xsi:type="xsd:double"&gt;-16.48345&lt;/D&gt;&lt;D xsi:type="xsd:double"&gt;-8.613396&lt;/D&gt;&lt;D xsi:type="xsd:double"&gt;-7.392269&lt;/D&gt;&lt;D xsi:type="xsd:double"&gt;-7.0650997&lt;/D&gt;&lt;D xsi:type="xsd:double"&gt;-11.436158&lt;/D&gt;&lt;D xsi:type="xsd:double"&gt;-5.4775896&lt;/D&gt;&lt;D xsi:type="xsd:double"&gt;-4.0303946&lt;/D&gt;&lt;D xsi:type="xsd:double"&gt;-6.492859&lt;/D&gt;&lt;D xsi:type="xsd:double"&gt;-3.6446393&lt;/D&gt;&lt;D xsi:type="xsd:double"&gt;6.1492324&lt;/D&gt;&lt;D xsi:type="xsd:double"&gt;11.60109&lt;/D&gt;&lt;D xsi:type="xsd:double"&gt;22.893547&lt;/D&gt;&lt;D xsi:type="xsd:double"&gt;15.064537&lt;/D&gt;&lt;D xsi:type="xsd:double"&gt;5.9802055&lt;/D&gt;&lt;D xsi:type="xsd:double"&gt;-16.027534&lt;/D&gt;&lt;D xsi:type="xsd:double"&gt;-7.0254564&lt;/D&gt;&lt;D xsi:type="xsd:double"&gt;0.8426547&lt;/D&gt;&lt;D xsi:type="xsd:double"&gt;5.9319496&lt;/D&gt;&lt;D xsi:type="xsd:double"&gt;3.2925248&lt;/D&gt;&lt;D xsi:type="xsd:double"&gt;9.896242&lt;/D&gt;&lt;D xsi:type="xsd:double"&gt;5.6025863&lt;/D&gt;&lt;D xsi:type="xsd:double"&gt;4.1234374&lt;/D&gt;&lt;D xsi:type="xsd:double"&gt;10.919655&lt;/D&gt;&lt;D xsi:type="xsd:double"&gt;11.846315&lt;/D&gt;&lt;D xsi:type="xsd:double"&gt;17.387522&lt;/D&gt;&lt;D xsi:type="xsd:double"&gt;26.893509&lt;/D&gt;&lt;D xsi:type="xsd:double"&gt;56.805027&lt;/D&gt;&lt;D xsi:type="xsd:double"&gt;38.46917&lt;/D&gt;&lt;D xsi:type="xsd:double"&gt;30.689991&lt;/D&gt;&lt;D xsi:type="xsd:double"&gt;20.725119&lt;/D&gt;&lt;D xsi:type="xsd:double"&gt;22.805655&lt;/D&gt;&lt;D xsi:type="xsd:double"&gt;18.559896&lt;/D&gt;&lt;D xsi:type="xsd:double"&gt;25.183308&lt;/D&gt;&lt;D xsi:type="xsd:double"&gt;16.740835&lt;/D&gt;&lt;D xsi:type="xsd:double"&gt;8.700132&lt;/D&gt;&lt;D xsi:type="xsd:double"&gt;4.1419864&lt;/D&gt;&lt;D xsi:type="xsd:double"&gt;-4.4038353&lt;/D&gt;&lt;D xsi:type="xsd:double"&gt;-10.204095&lt;/D&gt;&lt;D xsi:type="xsd:double"&gt;-8.405691&lt;/D&gt;&lt;D xsi:type="xsd:double"&gt;-15.18631&lt;/D&gt;&lt;D xsi:type="xsd:double"&gt;-13.390237&lt;/D&gt;&lt;D xsi:type="xsd:double"&gt;-20.199615&lt;/D&gt;&lt;D xsi:type="xsd:double"&gt;-17.071379&lt;/D&gt;&lt;D xsi:type="xsd:double"&gt;-16.390455&lt;/D&gt;&lt;D xsi:type="xsd:double"&gt;-29.775816&lt;/D&gt;&lt;D xsi:type="xsd:double"&gt;-25.680721&lt;/D&gt;&lt;D xsi:type="xsd:double"&gt;-18.326962&lt;/D&gt;&lt;D xsi:type="xsd:double"&gt;-17.76151&lt;/D&gt;&lt;D xsi:type="xsd:double"&gt;-9.915358&lt;/D&gt;&lt;D xsi:type="xsd:double"&gt;-8.533597&lt;/D&gt;&lt;D xsi:type="xsd:double"&gt;-7.1289244&lt;/D&gt;&lt;D xsi:type="xsd:double"&gt;3.3749938&lt;/D&gt;&lt;D xsi:type="xsd:double"&gt;5.9608817&lt;/D&gt;&lt;D xsi:type="xsd:double"&gt;16.742002&lt;/D&gt;&lt;D xsi:type="xsd:double"&gt;15.514922&lt;/D&gt;&lt;D xsi:type="xsd:double"&gt;10.549116&lt;/D&gt;&lt;D xsi:type="xsd:double"&gt;22.135508&lt;/D&gt;&lt;D xsi:type="xsd:double"&gt;18.744553&lt;/D&gt;&lt;D xsi:type="xsd:double"&gt;14.778948&lt;/D&gt;&lt;D xsi:type="xsd:double"&gt;18.172909&lt;/D&gt;&lt;D xsi:type="xsd:double"&gt;16.995478&lt;/D&gt;&lt;/FQL&gt;&lt;FQL&gt;&lt;Q&gt;QQQ^P_PRICE_RETURNS_PR('52W',2,-10AY,0,AM)&lt;/Q&gt;&lt;R&gt;121&lt;/R&gt;&lt;C&gt;1&lt;/C&gt;&lt;D xsi:type="xsd:double"&gt;32.439865&lt;/D&gt;&lt;D xsi:type="xsd:double"&gt;36.878395&lt;/D&gt;&lt;D xsi:type="xsd:double"&gt;33.09697&lt;/D&gt;&lt;D xsi:type="xsd:double"&gt;26.907433&lt;/D&gt;&lt;D xsi:type="xsd:double"&gt;24.31141&lt;/D&gt;&lt;D xsi:type="xsd:double"&gt;33.773827&lt;/D&gt;&lt;D xsi:type="xsd:double"&gt;32.941185&lt;/D&gt;&lt;D xsi:type="xsd:double"&gt;32.055103&lt;/D&gt;&lt;D xsi:type="xsd:double"&gt;27.154505&lt;/D&gt;&lt;D xsi:type="xsd:double"&gt;21.124792&lt;/D&gt;&lt;D xsi:type="xsd:double"&gt;26.168215&lt;/D&gt;&lt;D xsi:type="xsd:double"&gt;21.04429&lt;/D&gt;&lt;D xsi:type="xsd:double"&gt;19.637882&lt;/D&gt;&lt;D xsi:type="xsd:double"&gt;22.518385&lt;/D&gt;&lt;D xsi:type="xsd:double"&gt;23.05913&lt;/D&gt;&lt;D xsi:type="xsd:double"&gt;27.098703&lt;/D&gt;&lt;D xsi:type="xsd:double"&gt;25.178194&lt;/D&gt;&lt;D xsi:type="xsd:double"&gt;20.679462&lt;/D&gt;&lt;D xsi:type="xsd:double"&gt;16.637957&lt;/D&gt;&lt;D xsi:type="xsd:double"&gt;4.6496034&lt;/D&gt;&lt;D xsi:type="xsd:double"&gt;6.607592&lt;/D&gt;&lt;D xsi:type="xsd:double"&gt;16.540586&lt;/D&gt;&lt;D xsi:type="xsd:double"&gt;11.085808&lt;/D&gt;&lt;D xsi:type="xsd:double"&gt;9.165287&lt;/D&gt;&lt;D xsi:type="xsd:double"&gt;0.7697463&lt;/D&gt;&lt;D xsi:type="xsd:double"&gt;-5.4382744&lt;/D&gt;&lt;D xsi:type="xsd:double"&gt;0.07293224&lt;/D&gt;&lt;D xsi:type="xsd:double"&gt;1.3972163&lt;/D&gt;&lt;D xsi:type="xsd:double"&gt;-2.6982963&lt;/D&gt;&lt;D xsi:type="xsd:double"&gt;-0.7154465&lt;/D&gt;&lt;D xsi:type="xsd:double"&gt;2.0533085&lt;/D&gt;&lt;D xsi:type="xsd:double"&gt;16.100157&lt;/D&gt;&lt;D xsi:type="xsd:double"&gt;14.868212&lt;/D&gt;&lt;D xsi:type="xsd:double"&gt;11.1306305&lt;/D&gt;&lt;D xsi:type="xsd:double"&gt;4.9152136&lt;/D&gt;&lt;D xsi:type="xsd:double"&gt;7.932508&lt;/D&gt;&lt;D xsi:type="xsd:double"&gt;20.19658&lt;/D&gt;&lt;D xsi:type="xsd:double"&gt;29.417587&lt;/D&gt;&lt;D xsi:type="xsd:double"&gt;22.820938&lt;/D&gt;&lt;D xsi:type="xsd:double"&gt;21.033455&lt;/D&gt;&lt;D xsi:type="xsd:double"&gt;32.202755&lt;/D&gt;&lt;D xsi:type="xsd:double"&gt;31.193865&lt;/D&gt;&lt;D xsi:type="xsd:double"&gt;28.643942&lt;/D&gt;&lt;D xsi:type="xsd:double"&gt;22.630596&lt;/D&gt;&lt;D xsi:type="xsd:double"&gt;22.399961&lt;/D&gt;&lt;D xsi:type="xsd:double"&gt;26.29739&lt;/D&gt;&lt;D xsi:type="xsd:double"&gt;32.254017&lt;/D&gt;&lt;D xsi:type="xsd:double"&gt;32.20582&lt;/D&gt;&lt;D xsi:type="xsd:double"&gt;38.675606&lt;/D&gt;&lt;D xsi:type="xsd:double"&gt;30.53162&lt;/D&gt;&lt;D xsi:type="xsd:double"&gt;22.651041&lt;/D&gt;&lt;D xsi:type="xsd:double"&gt;23.187447&lt;/D&gt;&lt;D xsi:type="xsd:double"&gt;22.95121&lt;/D&gt;&lt;D xsi:type="xsd:double"&gt;25.614082&lt;/D&gt;&lt;D xsi:type="xsd:double"&gt;25.60774&lt;/D&gt;&lt;D xsi:type="xsd:double"&gt;27.733791&lt;/D&gt;&lt;D xsi:type="xsd:double"&gt;27.918743&lt;/D&gt;&lt;D xsi:type="xsd:double"&gt;18.182278&lt;/D&gt;&lt;D xsi:type="xsd:double"&gt;3.0473113&lt;/D&gt;&lt;D xsi:type="xsd:double"&gt;-5.809766&lt;/D&gt;&lt;D xsi:type="xsd:double"&gt;-3.524077&lt;/D&gt;&lt;D xsi:type="xsd:double"&gt;5.8059216&lt;/D&gt;&lt;D xsi:type="xsd:double"&gt;10.636198&lt;/D&gt;&lt;D xsi:type="xsd:double"&gt;18.579351&lt;/D&gt;&lt;D xsi:type="xsd:double"&gt;6.0159326&lt;/D&gt;&lt;D xsi:type="xsd:double"&gt;8.022345&lt;/D&gt;&lt;D xsi:type="xsd:double"&gt;8.872307&lt;/D&gt;&lt;D xsi:type="xsd:double"&gt;1.5864134&lt;/D&gt;&lt;D xsi:type="xsd:double"&gt;4.8172355&lt;/D&gt;&lt;D xsi:type="xsd:double"&gt;11.935449&lt;/D&gt;&lt;D xsi:type="xsd:double"&gt;26.985764&lt;/D&gt;&lt;D xsi:type="xsd:double"&gt;45.137&lt;/D&gt;&lt;D xsi:type="xsd:double"&gt;39.647175&lt;/D&gt;&lt;D xsi:type="xsd:double"&gt;35.27831&lt;/D&gt;&lt;D xsi:type="xsd:double"&gt;-3.720951&lt;/D&gt;&lt;D xsi:type="xsd:double"&gt;11.564291&lt;/D&gt;&lt;D xsi:type="xsd:double"&gt;27.953518&lt;/D&gt;&lt;D xsi:type="xsd:double"&gt;33.317493&lt;/D&gt;&lt;D xsi:type="xsd:double"&gt;34.21054&lt;/D&gt;&lt;D xsi:type="xsd:double"&gt;50.632786&lt;/D&gt;&lt;D xsi:type="xsd:double"&gt;39.70388&lt;/D&gt;&lt;D xsi:type="xsd:double"&gt;49.240364&lt;/D&gt;&lt;D xsi:type="xsd:double"&gt;44.954716&lt;/D&gt;&lt;D xsi:type="xsd:double"&gt;46.545887&lt;/D&gt;&lt;D xsi:type="xsd:double"&gt;46.398224&lt;/D&gt;&lt;D xsi:type="xsd:double"&gt;40.606056&lt;/D&gt;&lt;D xsi:type="xsd:double"&gt;87.25789&lt;/D&gt;&lt;D xsi:type="xsd:double"&gt;62.23557&lt;/D&gt;&lt;D xsi:type="xsd:double"&gt;43.77197&lt;/D&gt;&lt;D xsi:type="xsd:double"&gt;40.536953&lt;/D&gt;&lt;D xsi:type="xsd:double"&gt;43.516994&lt;/D&gt;&lt;D xsi:type="xsd:double"&gt;33.16307&lt;/D&gt;&lt;D xsi:type="xsd:double"&gt;41.95019&lt;/D&gt;&lt;D xsi:type="xsd:double"&gt;32.34627&lt;/D&gt;&lt;D xsi:type="xsd:double"&gt;37.61035&lt;/D&gt;&lt;D xsi:type="xsd:double"&gt;29.40756&lt;/D&gt;&lt;D xsi:type="xsd:double"&gt;8.28104&lt;/D&gt;&lt;D xsi:type="xsd:double"&gt;2.963984&lt;/D&gt;&lt;D xsi:type="xsd:double"&gt;11.44526&lt;/D&gt;&lt;D xsi:type="xsd:double"&gt;-2.455479&lt;/D&gt;&lt;D xsi:type="xsd:double"&gt;-9.820711&lt;/D&gt;&lt;D xsi:type="xsd:double"&gt;-17.630785&lt;/D&gt;&lt;D xsi:type="xsd:double"&gt;-16.56388&lt;/D&gt;&lt;D xsi:type="xsd:double"&gt;-15.375775&lt;/D&gt;&lt;D xsi:type="xsd:double"&gt;-25.674646&lt;/D&gt;&lt;D xsi:type="xsd:double"&gt;-26.54382&lt;/D&gt;&lt;D xsi:type="xsd:double"&gt;-26.886576&lt;/D&gt;&lt;D xsi:type="xsd:double"&gt;-32.1465&lt;/D&gt;&lt;D xsi:type="xsd:double"&gt;-17.233128&lt;/D&gt;&lt;D xsi:type="xsd:double"&gt;-9.234243&lt;/D&gt;&lt;D xsi:type="xsd:double"&gt;-11.286574&lt;/D&gt;&lt;D xsi:type="xsd:double"&gt;-4.52404&lt;/D&gt;&lt;D xsi:type="xsd:double"&gt;14.457917&lt;/D&gt;&lt;D xsi:type="xsd:double"&gt;28.18364&lt;/D&gt;&lt;D xsi:type="xsd:double"&gt;23.077179&lt;/D&gt;&lt;D xsi:type="xsd:double"&gt;18.35339&lt;/D&gt;&lt;D xsi:type="xsd:double"&gt;28.66311&lt;/D&gt;&lt;D xsi:type="xsd:double"&gt;30.01653&lt;/D&gt;&lt;D xsi:type="xsd:double"&gt;37.337173&lt;/D&gt;&lt;D xsi:type="xsd:double"&gt;54.06289&lt;/D&gt;&lt;D xsi:type="xsd:double"&gt;47.56292&lt;/D&gt;&lt;/FQL&gt;&lt;FQL&gt;&lt;Q&gt;URTH^FG_TOTAL_RETURNC(-10AY,0,AM)&lt;/Q&gt;&lt;R&gt;121&lt;/R&gt;&lt;C&gt;1&lt;/C&gt;&lt;D xsi:type="xsd:double"&gt;0.30412674&lt;/D&gt;&lt;D xsi:type="xsd:double"&gt;0.94571114&lt;/D&gt;&lt;D xsi:type="xsd:double"&gt;0.10726452&lt;/D&gt;&lt;D xsi:type="xsd:double"&gt;1.7359734&lt;/D&gt;&lt;D xsi:type="xsd:double"&gt;0.93392134&lt;/D&gt;&lt;D xsi:type="xsd:double"&gt;3.0471563&lt;/D&gt;&lt;D xsi:type="xsd:double"&gt;1.0496736&lt;/D&gt;&lt;D xsi:type="xsd:double"&gt;-1.4626145&lt;/D&gt;&lt;D xsi:type="xsd:double"&gt;-0.74203014&lt;/D&gt;&lt;D xsi:type="xsd:double"&gt;-2.644837&lt;/D&gt;&lt;D xsi:type="xsd:double"&gt;4.3521643&lt;/D&gt;&lt;D xsi:type="xsd:double"&gt;-0.17235875&lt;/D&gt;&lt;D xsi:type="xsd:double"&gt;-2.0678222&lt;/D&gt;&lt;D xsi:type="xsd:double"&gt;4.7015667&lt;/D&gt;&lt;D xsi:type="xsd:double"&gt;0.95442533&lt;/D&gt;&lt;D xsi:type="xsd:double"&gt;0.27980804&lt;/D&gt;&lt;D xsi:type="xsd:double"&gt;1.8209815&lt;/D&gt;&lt;D xsi:type="xsd:double"&gt;-1.4101863&lt;/D&gt;&lt;D xsi:type="xsd:double"&gt;-1.1980653&lt;/D&gt;&lt;D xsi:type="xsd:double"&gt;-7.100141&lt;/D&gt;&lt;D xsi:type="xsd:double"&gt;-2.2753775&lt;/D&gt;&lt;D xsi:type="xsd:double"&gt;6.791055&lt;/D&gt;&lt;D xsi:type="xsd:double"&gt;-0.2236247&lt;/D&gt;&lt;D xsi:type="xsd:double"&gt;-0.3113389&lt;/D&gt;&lt;D xsi:type="xsd:double"&gt;-8.821022&lt;/D&gt;&lt;D xsi:type="xsd:double"&gt;-0.062316656&lt;/D&gt;&lt;D xsi:type="xsd:double"&gt;6.578338&lt;/D&gt;&lt;D xsi:type="xsd:double"&gt;4.4171333&lt;/D&gt;&lt;D xsi:type="xsd:double"&gt;-2.7594924&lt;/D&gt;&lt;D xsi:type="xsd:double"&gt;4.1591644&lt;/D&gt;&lt;D xsi:type="xsd:double"&gt;0.23789406&lt;/D&gt;&lt;D xsi:type="xsd:double"&gt;2.1499395&lt;/D&gt;&lt;D xsi:type="xsd:double"&gt;-0.9430051&lt;/D&gt;&lt;D xsi:type="xsd:double"&gt;-1.1451483&lt;/D&gt;&lt;D xsi:type="xsd:double"&gt;0.6001353&lt;/D&gt;&lt;D xsi:type="xsd:double"&gt;3.119707&lt;/D&gt;&lt;D xsi:type="xsd:double"&gt;1.4540076&lt;/D&gt;&lt;D xsi:type="xsd:double"&gt;3.4020782&lt;/D&gt;&lt;D xsi:type="xsd:double"&gt;0.2461195&lt;/D&gt;&lt;D xsi:type="xsd:double"&gt;0.24938583&lt;/D&gt;&lt;D xsi:type="xsd:double"&gt;3.7469506&lt;/D&gt;&lt;D xsi:type="xsd:double"&gt;1.1354208&lt;/D&gt;&lt;D xsi:type="xsd:double"&gt;1.6879797&lt;/D&gt;&lt;D xsi:type="xsd:double"&gt;-0.46380758&lt;/D&gt;&lt;D xsi:type="xsd:double"&gt;2.808082&lt;/D&gt;&lt;D xsi:type="xsd:double"&gt;2.2065878&lt;/D&gt;&lt;D xsi:type="xsd:double"&gt;0.93358755&lt;/D&gt;&lt;D xsi:type="xsd:double"&gt;2.8191924&lt;/D&gt;&lt;D xsi:type="xsd:double"&gt;5.8229327&lt;/D&gt;&lt;D xsi:type="xsd:double"&gt;-3.528905&lt;/D&gt;&lt;D xsi:type="xsd:double"&gt;-5.225712&lt;/D&gt;&lt;D xsi:type="xsd:double"&gt;3.4842849&lt;/D&gt;&lt;D xsi:type="xsd:double"&gt;1.5304327&lt;/D&gt;&lt;D xsi:type="xsd:double"&gt;-0.0075936317&lt;/D&gt;&lt;D xsi:type="xsd:double"&gt;1.2090445&lt;/D&gt;&lt;D xsi:type="xsd:double"&gt;0.7803917&lt;/D&gt;&lt;D xsi:type="xsd:double"&gt;2.4715066&lt;/D&gt;&lt;D xsi:type="xsd:double"&gt;-7.254052&lt;/D&gt;&lt;D xsi:type="xsd:double"&gt;-2.9257536&lt;/D&gt;&lt;D xsi:type="xsd:double"&gt;-7.312107&lt;/D&gt;&lt;D xsi:type="xsd:double"&gt;8.329797&lt;/D&gt;&lt;D xsi:type="xsd:double"&gt;5.795002&lt;/D&gt;&lt;D xsi:type="xsd:double"&gt;0.2282381&lt;/D&gt;&lt;D xsi:type="xsd:double"&gt;4.4062376&lt;/D&gt;&lt;D xsi:type="xsd:double"&gt;-3.7186444&lt;/D&gt;&lt;D xsi:type="xsd:double"&gt;4.4750333&lt;/D&gt;&lt;D xsi:type="xsd:double"&gt;1.9011021&lt;/D&gt;&lt;D xsi:type="xsd:double"&gt;-5.618471&lt;/D&gt;&lt;D xsi:type="xsd:double"&gt;5.3702116&lt;/D&gt;&lt;D xsi:type="xsd:double"&gt;1.1060476&lt;/D&gt;&lt;D xsi:type="xsd:double"&gt;2.9279351&lt;/D&gt;&lt;D xsi:type="xsd:double"&gt;3.5731316&lt;/D&gt;&lt;D xsi:type="xsd:double"&gt;2.2847295&lt;/D&gt;&lt;D xsi:type="xsd:double"&gt;0.15883446&lt;/D&gt;&lt;D xsi:type="xsd:double"&gt;-33.20448&lt;/D&gt;&lt;D xsi:type="xsd:double"&gt;23.059797&lt;/D&gt;&lt;D xsi:type="xsd:double"&gt;5.462432&lt;/D&gt;&lt;D xsi:type="xsd:double"&gt;7.8664064&lt;/D&gt;&lt;D xsi:type="xsd:double"&gt;3.3832908&lt;/D&gt;&lt;D xsi:type="xsd:double"&gt;4.173565&lt;/D&gt;&lt;D xsi:type="xsd:double"&gt;-4.0162983&lt;/D&gt;&lt;D xsi:type="xsd:double"&gt;5.996883&lt;/D&gt;&lt;D xsi:type="xsd:double"&gt;5.0029397&lt;/D&gt;&lt;D xsi:type="xsd:double"&gt;4.1635036&lt;/D&gt;&lt;D xsi:type="xsd:double"&gt;3.7973523&lt;/D&gt;&lt;D xsi:type="xsd:double"&gt;1.39575&lt;/D&gt;&lt;D xsi:type="xsd:double"&gt;0.034201145&lt;/D&gt;&lt;D xsi:type="xsd:double"&gt;6.1709404&lt;/D&gt;&lt;D xsi:type="xsd:double"&gt;-0.03220439&lt;/D&gt;&lt;D xsi:type="xsd:double"&gt;1.797092&lt;/D&gt;&lt;D xsi:type="xsd:double"&gt;3.005898&lt;/D&gt;&lt;D xsi:type="xsd:double"&gt;1.3468504&lt;/D&gt;&lt;D xsi:type="xsd:double"&gt;-0.0916481&lt;/D&gt;&lt;D xsi:type="xsd:double"&gt;1.4754295&lt;/D&gt;&lt;D xsi:type="xsd:double"&gt;1.6498327&lt;/D&gt;&lt;D xsi:type="xsd:double"&gt;0.3847003&lt;/D&gt;&lt;D xsi:type="xsd:double"&gt;-6.111479&lt;/D&gt;&lt;D xsi:type="xsd:double"&gt;-3.4630358&lt;/D&gt;&lt;D xsi:type="xsd:double"&gt;3.8335204&lt;/D&gt;&lt;D xsi:type="xsd:double"&gt;-4.3560686&lt;/D&gt;&lt;D xsi:type="xsd:double"&gt;-5.562907&lt;/D&gt;&lt;D xsi:type="xsd:double"&gt;-5.675703&lt;/D&gt;&lt;D xsi:type="xsd:double"&gt;3.856957&lt;/D&gt;&lt;D xsi:type="xsd:double"&gt;3.416264&lt;/D&gt;&lt;D xsi:type="xsd:double"&gt;-10.755688&lt;/D&gt;&lt;D xsi:type="xsd:double"&gt;1.8458843&lt;/D&gt;&lt;D xsi:type="xsd:double"&gt;9.369016&lt;/D&gt;&lt;D xsi:type="xsd:double"&gt;-3.3431947&lt;/D&gt;&lt;D xsi:type="xsd:double"&gt;5.7200193&lt;/D&gt;&lt;D xsi:type="xsd:double"&gt;-0.45807958&lt;/D&gt;&lt;D xsi:type="xsd:double"&gt;-1.8060267&lt;/D&gt;&lt;D xsi:type="xsd:double"&gt;5.42047&lt;/D&gt;&lt;D xsi:type="xsd:double"&gt;-0.1593709&lt;/D&gt;&lt;D xsi:type="xsd:double"&gt;3.3147812&lt;/D&gt;&lt;D xsi:type="xsd:double"&gt;4.6062946&lt;/D&gt;&lt;D xsi:type="xsd:double"&gt;-3.053373&lt;/D&gt;&lt;D xsi:type="xsd:double"&gt;-1.8945873&lt;/D&gt;&lt;D xsi:type="xsd:double"&gt;-3.028798&lt;/D&gt;&lt;D xsi:type="xsd:double"&gt;8.280849&lt;/D&gt;&lt;D xsi:type="xsd:double"&gt;4.955089&lt;/D&gt;&lt;D xsi:type="xsd:double"&gt;1.2686014&lt;/D&gt;&lt;/FQL&gt;&lt;FQL&gt;&lt;Q&gt;TLT^FG_TOTAL_RETURNC(-10AY,0,AM)&lt;/Q&gt;&lt;R&gt;121&lt;/R&gt;&lt;C&gt;1&lt;/C&gt;&lt;D xsi:type="xsd:double"&gt;3.357172&lt;/D&gt;&lt;D xsi:type="xsd:double"&gt;0.13940334&lt;/D&gt;&lt;D xsi:type="xsd:double"&gt;1.7074585&lt;/D&gt;&lt;D xsi:type="xsd:double"&gt;2.7886748&lt;/D&gt;&lt;D xsi:type="xsd:double"&gt;1.812315&lt;/D&gt;&lt;D xsi:type="xsd:double"&gt;-0.8518934&lt;/D&gt;&lt;D xsi:type="xsd:double"&gt;3.6153793&lt;/D&gt;&lt;D xsi:type="xsd:double"&gt;2.0984054&lt;/D&gt;&lt;D xsi:type="xsd:double"&gt;-1.3402283&lt;/D&gt;&lt;D xsi:type="xsd:double"&gt;3.8481832&lt;/D&gt;&lt;D xsi:type="xsd:double"&gt;0.66285133&lt;/D&gt;&lt;D xsi:type="xsd:double"&gt;3.0984282&lt;/D&gt;&lt;D xsi:type="xsd:double"&gt;9.32014&lt;/D&gt;&lt;D xsi:type="xsd:double"&gt;-4.8380556&lt;/D&gt;&lt;D xsi:type="xsd:double"&gt;2.8291345&lt;/D&gt;&lt;D xsi:type="xsd:double"&gt;-2.1430612&lt;/D&gt;&lt;D xsi:type="xsd:double"&gt;-5.9401217&lt;/D&gt;&lt;D xsi:type="xsd:double"&gt;-3.4858346&lt;/D&gt;&lt;D xsi:type="xsd:double"&gt;4.6661377&lt;/D&gt;&lt;D xsi:type="xsd:double"&gt;4.6111226&lt;/D&gt;&lt;D xsi:type="xsd:double"&gt;-3.455609&lt;/D&gt;&lt;D xsi:type="xsd:double"&gt;1.3837576&lt;/D&gt;&lt;D xsi:type="xsd:double"&gt;-1.7174244&lt;/D&gt;&lt;D xsi:type="xsd:double"&gt;0.68160295&lt;/D&gt;&lt;D xsi:type="xsd:double"&gt;3.4692764&lt;/D&gt;&lt;D xsi:type="xsd:double"&gt;5.0902963&lt;/D&gt;&lt;D xsi:type="xsd:double"&gt;-1.315546&lt;/D&gt;&lt;D xsi:type="xsd:double"&gt;-0.66756606&lt;/D&gt;&lt;D xsi:type="xsd:double"&gt;1.8272996&lt;/D&gt;&lt;D xsi:type="xsd:double"&gt;1.5800238&lt;/D&gt;&lt;D xsi:type="xsd:double"&gt;5.1591754&lt;/D&gt;&lt;D xsi:type="xsd:double"&gt;1.0725021&lt;/D&gt;&lt;D xsi:type="xsd:double"&gt;-2.1146715&lt;/D&gt;&lt;D xsi:type="xsd:double"&gt;-2.3894608&lt;/D&gt;&lt;D xsi:type="xsd:double"&gt;-9.331572&lt;/D&gt;&lt;D xsi:type="xsd:double"&gt;-1.6900599&lt;/D&gt;&lt;D xsi:type="xsd:double"&gt;2.617526&lt;/D&gt;&lt;D xsi:type="xsd:double"&gt;-0.17123222&lt;/D&gt;&lt;D xsi:type="xsd:double"&gt;0.01308918&lt;/D&gt;&lt;D xsi:type="xsd:double"&gt;2.7799726&lt;/D&gt;&lt;D xsi:type="xsd:double"&gt;-0.6007135&lt;/D&gt;&lt;D xsi:type="xsd:double"&gt;4.4970393&lt;/D&gt;&lt;D xsi:type="xsd:double"&gt;-1.4320016&lt;/D&gt;&lt;D xsi:type="xsd:double"&gt;1.4992356&lt;/D&gt;&lt;D xsi:type="xsd:double"&gt;-0.65868497&lt;/D&gt;&lt;D xsi:type="xsd:double"&gt;-1.3849199&lt;/D&gt;&lt;D xsi:type="xsd:double"&gt;2.5910974&lt;/D&gt;&lt;D xsi:type="xsd:double"&gt;-1.4679134&lt;/D&gt;&lt;D xsi:type="xsd:double"&gt;-0.8495629&lt;/D&gt;&lt;D xsi:type="xsd:double"&gt;-4.3091655&lt;/D&gt;&lt;D xsi:type="xsd:double"&gt;1.930654&lt;/D&gt;&lt;D xsi:type="xsd:double"&gt;-1.1873305&lt;/D&gt;&lt;D xsi:type="xsd:double"&gt;-0.24386644&lt;/D&gt;&lt;D xsi:type="xsd:double"&gt;2.4344802&lt;/D&gt;&lt;D xsi:type="xsd:double"&gt;-0.8211851&lt;/D&gt;&lt;D xsi:type="xsd:double"&gt;2.5613308&lt;/D&gt;&lt;D xsi:type="xsd:double"&gt;-3.8380265&lt;/D&gt;&lt;D xsi:type="xsd:double"&gt;-2.4971247&lt;/D&gt;&lt;D xsi:type="xsd:double"&gt;1.3157368&lt;/D&gt;&lt;D xsi:type="xsd:double"&gt;5.3354025&lt;/D&gt;&lt;D xsi:type="xsd:double"&gt;-0.33134818&lt;/D&gt;&lt;D xsi:type="xsd:double"&gt;1.2684703&lt;/D&gt;&lt;D xsi:type="xsd:double"&gt;2.9255033&lt;/D&gt;&lt;D xsi:type="xsd:double"&gt;-1.6144753&lt;/D&gt;&lt;D xsi:type="xsd:double"&gt;4.3785334&lt;/D&gt;&lt;D xsi:type="xsd:double"&gt;3.1545997&lt;/D&gt;&lt;D xsi:type="xsd:double"&gt;0.036656857&lt;/D&gt;&lt;D xsi:type="xsd:double"&gt;11.450111&lt;/D&gt;&lt;D xsi:type="xsd:double"&gt;-2.6372135&lt;/D&gt;&lt;D xsi:type="xsd:double"&gt;-1.5060723&lt;/D&gt;&lt;D xsi:type="xsd:double"&gt;0.47639608&lt;/D&gt;&lt;D xsi:type="xsd:double"&gt;-2.1406353&lt;/D&gt;&lt;D xsi:type="xsd:double"&gt;3.2905817&lt;/D&gt;&lt;D xsi:type="xsd:double"&gt;5.2122355&lt;/D&gt;&lt;D xsi:type="xsd:double"&gt;12.298846&lt;/D&gt;&lt;D xsi:type="xsd:double"&gt;2.8210044&lt;/D&gt;&lt;D xsi:type="xsd:double"&gt;-2.7440012&lt;/D&gt;&lt;D xsi:type="xsd:double"&gt;-2.441001&lt;/D&gt;&lt;D xsi:type="xsd:double"&gt;5.3621054&lt;/D&gt;&lt;D xsi:type="xsd:double"&gt;-1.981777&lt;/D&gt;&lt;D xsi:type="xsd:double"&gt;-0.9183943&lt;/D&gt;&lt;D xsi:type="xsd:double"&gt;-3.8400412&lt;/D&gt;&lt;D xsi:type="xsd:double"&gt;1.8554449&lt;/D&gt;&lt;D xsi:type="xsd:double"&gt;-2.3473918&lt;/D&gt;&lt;D xsi:type="xsd:double"&gt;-3.0573785&lt;/D&gt;&lt;D xsi:type="xsd:double"&gt;-6.5486193&lt;/D&gt;&lt;D xsi:type="xsd:double"&gt;-2.9009104&lt;/D&gt;&lt;D xsi:type="xsd:double"&gt;2.0063162&lt;/D&gt;&lt;D xsi:type="xsd:double"&gt;-1.5623152&lt;/D&gt;&lt;D xsi:type="xsd:double"&gt;4.217744&lt;/D&gt;&lt;D xsi:type="xsd:double"&gt;3.7852526&lt;/D&gt;&lt;D xsi:type="xsd:double"&gt;1.4353275&lt;/D&gt;&lt;D xsi:type="xsd:double"&gt;-1.2637556&lt;/D&gt;&lt;D xsi:type="xsd:double"&gt;-2.728802&lt;/D&gt;&lt;D xsi:type="xsd:double"&gt;0.38557053&lt;/D&gt;&lt;D xsi:type="xsd:double"&gt;3.0219078&lt;/D&gt;&lt;D xsi:type="xsd:double"&gt;-3.292483&lt;/D&gt;&lt;D xsi:type="xsd:double"&gt;-4.7057924&lt;/D&gt;&lt;D xsi:type="xsd:double"&gt;-3.6640942&lt;/D&gt;&lt;D xsi:type="xsd:double"&gt;-8.613807&lt;/D&gt;&lt;D xsi:type="xsd:double"&gt;-2.6901782&lt;/D&gt;&lt;D xsi:type="xsd:double"&gt;-1.901406&lt;/D&gt;&lt;D xsi:type="xsd:double"&gt;4.0671945&lt;/D&gt;&lt;D xsi:type="xsd:double"&gt;-5.3236246&lt;/D&gt;&lt;D xsi:type="xsd:double"&gt;-5.4554405&lt;/D&gt;&lt;D xsi:type="xsd:double"&gt;-11.64707&lt;/D&gt;&lt;D xsi:type="xsd:double"&gt;11.088789&lt;/D&gt;&lt;D xsi:type="xsd:double"&gt;-0.5881667&lt;/D&gt;&lt;D xsi:type="xsd:double"&gt;3.4651518&lt;/D&gt;&lt;D xsi:type="xsd:double"&gt;-2.970171&lt;/D&gt;&lt;D xsi:type="xsd:double"&gt;4.2666316&lt;/D&gt;&lt;D xsi:type="xsd:double"&gt;-1.6323209&lt;/D&gt;&lt;D xsi:type="xsd:double"&gt;-2.976489&lt;/D&gt;&lt;D xsi:type="xsd:double"&gt;2.5473714&lt;/D&gt;&lt;D xsi:type="xsd:double"&gt;-1.2805939&lt;/D&gt;&lt;D xsi:type="xsd:double"&gt;-5.8213053&lt;/D&gt;&lt;D xsi:type="xsd:double"&gt;-4.010707&lt;/D&gt;&lt;D xsi:type="xsd:double"&gt;-7.5671616&lt;/D&gt;&lt;D xsi:type="xsd:double"&gt;8.233273&lt;/D&gt;&lt;D xsi:type="xsd:double"&gt;9.0466385&lt;/D&gt;&lt;D xsi:type="xsd:double"&gt;-4.6458483&lt;/D&gt;&lt;/FQL&gt;&lt;FQL&gt;&lt;Q&gt;INDA^P_PRICE(0,-200D)&lt;/Q&gt;&lt;R&gt;201&lt;/R&gt;&lt;C&gt;1&lt;/C&gt;&lt;D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xsi:type="xsd:double"&gt;41.19&lt;/D&gt;&lt;D xsi:type="xsd:double"&gt;41.13&lt;/D&gt;&lt;D xsi:type="xsd:double"&gt;41.26&lt;/D&gt;&lt;D xsi:type="xsd:double"&gt;40.88&lt;/D&gt;&lt;D xsi:type="xsd:double"&gt;40.93&lt;/D&gt;&lt;D xsi:type="xsd:double"&gt;41.23&lt;/D&gt;&lt;D xsi:type="xsd:double"&gt;41.29&lt;/D&gt;&lt;D xsi:type="xsd:double"&gt;41.66&lt;/D&gt;&lt;D xsi:type="xsd:double"&gt;41.32&lt;/D&gt;&lt;D xsi:type="xsd:double"&gt;41.46&lt;/D&gt;&lt;D xsi:type="xsd:double"&gt;41.71&lt;/D&gt;&lt;D xsi:type="xsd:double"&gt;41.47&lt;/D&gt;&lt;D xsi:type="xsd:double"&gt;41.53&lt;/D&gt;&lt;D xsi:type="xsd:double"&gt;41.4&lt;/D&gt;&lt;D xsi:type="xsd:double"&gt;41.26&lt;/D&gt;&lt;D xsi:type="xsd:double"&gt;40.92&lt;/D&gt;&lt;D xsi:type="xsd:double"&gt;41.06&lt;/D&gt;&lt;D xsi:type="xsd:double"&gt;41.12&lt;/D&gt;&lt;D xsi:type="xsd:double"&gt;41.12&lt;/D&gt;&lt;D xsi:type="xsd:double"&gt;40.75&lt;/D&gt;&lt;D xsi:type="xsd:double"&gt;40.26&lt;/D&gt;&lt;D xsi:type="xsd:double"&gt;40.01&lt;/D&gt;&lt;D xsi:type="xsd:double"&gt;40.19&lt;/D&gt;&lt;D xsi:type="xsd:double"&gt;39.88&lt;/D&gt;&lt;D xsi:type="xsd:double"&gt;39.86&lt;/D&gt;&lt;D xsi:type="xsd:double"&gt;39.81&lt;/D&gt;&lt;D xsi:type="xsd:double"&gt;39.94&lt;/D&gt;&lt;D xsi:type="xsd:double"&gt;40.02&lt;/D&gt;&lt;D xsi:type="xsd:double"&gt;40.16&lt;/D&gt;&lt;D xsi:type="xsd:double"&gt;40.35&lt;/D&gt;&lt;D xsi:type="xsd:double"&gt;40.2&lt;/D&gt;&lt;D xsi:type="xsd:double"&gt;40.07&lt;/D&gt;&lt;D xsi:type="xsd:double"&gt;39.93&lt;/D&gt;&lt;D xsi:type="xsd:double"&gt;39.95&lt;/D&gt;&lt;D xsi:type="xsd:double"&gt;39.69&lt;/D&gt;&lt;/FQL&gt;&lt;FQL&gt;&lt;Q&gt;USO^P_PRICE(0,-200D)&lt;/Q&gt;&lt;R&gt;201&lt;/R&gt;&lt;C&gt;1&lt;/C&gt;&lt;D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xsi:type="xsd:double"&gt;65.66&lt;/D&gt;&lt;D xsi:type="xsd:double"&gt;64.87&lt;/D&gt;&lt;D xsi:type="xsd:double"&gt;63.91&lt;/D&gt;&lt;D xsi:type="xsd:double"&gt;63.9&lt;/D&gt;&lt;D xsi:type="xsd:double"&gt;64.04&lt;/D&gt;&lt;D xsi:type="xsd:double"&gt;64.6&lt;/D&gt;&lt;D xsi:type="xsd:double"&gt;62.54&lt;/D&gt;&lt;D xsi:type="xsd:double"&gt;62.99&lt;/D&gt;&lt;D xsi:type="xsd:double"&gt;62.07&lt;/D&gt;&lt;D xsi:type="xsd:double"&gt;63.25&lt;/D&gt;&lt;D xsi:type="xsd:double"&gt;64.39&lt;/D&gt;&lt;D xsi:type="xsd:double"&gt;64.87&lt;/D&gt;&lt;D xsi:type="xsd:double"&gt;64.26&lt;/D&gt;&lt;D xsi:type="xsd:double"&gt;63.03&lt;/D&gt;&lt;D xsi:type="xsd:double"&gt;60.7&lt;/D&gt;&lt;D xsi:type="xsd:double"&gt;60.31&lt;/D&gt;&lt;D xsi:type="xsd:double"&gt;63.05&lt;/D&gt;&lt;D xsi:type="xsd:double"&gt;66.55&lt;/D&gt;&lt;D xsi:type="xsd:double"&gt;67.5&lt;/D&gt;&lt;D xsi:type="xsd:double"&gt;65.81&lt;/D&gt;&lt;D xsi:type="xsd:double"&gt;65.36&lt;/D&gt;&lt;D xsi:type="xsd:double"&gt;67.62&lt;/D&gt;&lt;D xsi:type="xsd:double"&gt;69.25&lt;/D&gt;&lt;D xsi:type="xsd:double"&gt;68.21&lt;/D&gt;&lt;D xsi:type="xsd:double"&gt;67.6&lt;/D&gt;&lt;D xsi:type="xsd:double"&gt;69.3&lt;/D&gt;&lt;D xsi:type="xsd:double"&gt;70.73&lt;/D&gt;&lt;D xsi:type="xsd:double"&gt;70.84&lt;/D&gt;&lt;D xsi:type="xsd:double"&gt;72.09&lt;/D&gt;&lt;D xsi:type="xsd:double"&gt;71.8&lt;/D&gt;&lt;D xsi:type="xsd:double"&gt;72.43&lt;/D&gt;&lt;D xsi:type="xsd:double"&gt;71.07&lt;/D&gt;&lt;D xsi:type="xsd:double"&gt;69.76&lt;/D&gt;&lt;D xsi:type="xsd:double"&gt;70.26&lt;/D&gt;&lt;D xsi:type="xsd:double"&gt;70.24&lt;/D&gt;&lt;/FQL&gt;&lt;FQL&gt;&lt;Q&gt;VWO^P_PRICE(0,-200D)&lt;/Q&gt;&lt;R&gt;201&lt;/R&gt;&lt;C&gt;1&lt;/C&gt;&lt;D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</t>
        </r>
      </text>
    </comment>
    <comment ref="A4" authorId="0" shapeId="0" xr:uid="{61538072-F8D4-4B35-880A-36705655E2CB}">
      <text>
        <r>
          <rPr>
            <b/>
            <sz val="9"/>
            <color indexed="81"/>
            <rFont val="Tahoma"/>
            <family val="2"/>
          </rPr>
          <t>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xsi:type="xsd:double"&gt;39.27&lt;/D&gt;&lt;D xsi:type="xsd:double"&gt;39.55&lt;/D&gt;&lt;D xsi:type="xsd:double"&gt;40.15&lt;/D&gt;&lt;D xsi:type="xsd:double"&gt;39.89&lt;/D&gt;&lt;D xsi:type="xsd:double"&gt;39.91&lt;/D&gt;&lt;D xsi:type="xsd:double"&gt;40.16&lt;/D&gt;&lt;D xsi:type="xsd:double"&gt;40.02&lt;/D&gt;&lt;D xsi:type="xsd:double"&gt;40.3&lt;/D&gt;&lt;D xsi:type="xsd:double"&gt;39.61&lt;/D&gt;&lt;D xsi:type="xsd:double"&gt;40.06&lt;/D&gt;&lt;D xsi:type="xsd:double"&gt;40.22&lt;/D&gt;&lt;D xsi:type="xsd:double"&gt;40.21&lt;/D&gt;&lt;D xsi:type="xsd:double"&gt;40.46&lt;/D&gt;&lt;D xsi:type="xsd:double"&gt;40.45&lt;/D&gt;&lt;D xsi:type="xsd:double"&gt;40.02&lt;/D&gt;&lt;D xsi:type="xsd:double"&gt;39.68&lt;/D&gt;&lt;D xsi:type="xsd:double"&gt;39.69&lt;/D&gt;&lt;D xsi:type="xsd:double"&gt;40.11&lt;/D&gt;&lt;D xsi:type="xsd:double"&gt;40.24&lt;/D&gt;&lt;D xsi:type="xsd:double"&gt;40&lt;/D&gt;&lt;D xsi:type="xsd:double"&gt;39.49&lt;/D&gt;&lt;D xsi:type="xsd:double"&gt;39.22&lt;/D&gt;&lt;D xsi:type="xsd:double"&gt;39.9&lt;/D&gt;&lt;D xsi:type="xsd:double"&gt;39.95&lt;/D&gt;&lt;D xsi:type="xsd:double"&gt;40.33&lt;/D&gt;&lt;D xsi:type="xsd:double"&gt;40.38&lt;/D&gt;&lt;D xsi:type="xsd:double"&gt;40.8&lt;/D&gt;&lt;D xsi:type="xsd:double"&gt;40.88&lt;/D&gt;&lt;D xsi:type="xsd:double"&gt;40.66&lt;/D&gt;&lt;D xsi:type="xsd:double"&gt;40.88&lt;/D&gt;&lt;D xsi:type="xsd:double"&gt;40.39&lt;/D&gt;&lt;D xsi:type="xsd:double"&gt;40.7&lt;/D&gt;&lt;D xsi:type="xsd:double"&gt;40.4&lt;/D&gt;&lt;D xsi:type="xsd:double"&gt;40.49&lt;/D&gt;&lt;D xsi:type="xsd:double"&gt;40.25&lt;/D&gt;&lt;/FQL&gt;&lt;FQL&gt;&lt;Q&gt;EMXC^P_PRICE_RETURNS_PR('52W',2,-10AY,0,AM)&lt;/Q&gt;&lt;R&gt;121&lt;/R&gt;&lt;C&gt;1&lt;/C&gt;&lt;D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xsi:type="xsd:double"&gt;-0.61909556&lt;/D&gt;&lt;D xsi:type="xsd:double"&gt;-2.4651408&lt;/D&gt;&lt;D xsi:type="xsd:double"&gt;-2.6816785&lt;/D&gt;&lt;D xsi:type="xsd:double"&gt;-10.692674&lt;/D&gt;&lt;D xsi:type="xsd:double"&gt;-12.150103&lt;/D&gt;&lt;D xsi:type="xsd:double"&gt;-12.289429&lt;/D&gt;&lt;D xsi:type="xsd:double"&gt;-13.760692&lt;/D&gt;&lt;D xsi:type="xsd:double"&gt;-8.561956&lt;/D&gt;&lt;D xsi:type="xsd:double"&gt;-8.294696&lt;/D&gt;&lt;D xsi:type="xsd:double"&gt;-4.2743025&lt;/D&gt;&lt;D xsi:type="xsd:double"&gt;-7.5494947&lt;/D&gt;&lt;D xsi:type="xsd:double"&gt;5.398011&lt;/D&gt;&lt;D xsi:type="xsd:double"&gt;3.1381845&lt;/D&gt;&lt;D xsi:type="xsd:double"&gt;-5.5583596&lt;/D&gt;&lt;D xsi:type="xsd:double"&gt;-0.8408308&lt;/D&gt;&lt;D xsi:type="xsd:double"&gt;10.491455&lt;/D&gt;&lt;D xsi:type="xsd:double"&gt;8.981001&lt;/D&gt;&lt;D xsi:type="xsd:double"&gt;17.33042&lt;/D&gt;&lt;D xsi:type="xsd:double"&gt;11.037183&lt;/D&gt;&lt;D xsi:type="xsd:double"&gt;3.4903288&lt;/D&gt;&lt;D xsi:type="xsd:double"&gt;-33.121883&lt;/D&gt;&lt;D xsi:type="xsd:double"&gt;-22.157187&lt;/D&gt;&lt;D xsi:type="xsd:double"&gt;-13.990545&lt;/D&gt;&lt;D xsi:type="xsd:double"&gt;-9.499371&lt;/D&gt;&lt;D xsi:type="xsd:double"&gt;-5.656701&lt;/D&gt;&lt;D xsi:type="xsd:double"&gt;3.8756967&lt;/D&gt;&lt;D xsi:type="xsd:double"&gt;-2.4018526&lt;/D&gt;&lt;D xsi:type="xsd:double"&gt;0.7045388&lt;/D&gt;&lt;D xsi:type="xsd:double"&gt;8.956802&lt;/D&gt;&lt;D xsi:type="xsd:double"&gt;10.061407&lt;/D&gt;&lt;D xsi:type="xsd:double"&gt;17.626345&lt;/D&gt;&lt;D xsi:type="xsd:double"&gt;24.845182&lt;/D&gt;&lt;D xsi:type="xsd:double"&gt;87.87893&lt;/D&gt;&lt;D xsi:type="xsd:double"&gt;63.627552&lt;/D&gt;&lt;D xsi:type="xsd:double"&gt;54.617607&lt;/D&gt;&lt;D xsi:type="xsd:double"&gt;44.791042&lt;/D&gt;&lt;D xsi:type="xsd:double"&gt;36.324215&lt;/D&gt;&lt;D xsi:type="xsd:double"&gt;32.069553&lt;/D&gt;&lt;D xsi:type="xsd:double"&gt;39.020515&lt;/D&gt;&lt;D xsi:type="xsd:double"&gt;30.062819&lt;/D&gt;&lt;D xsi:type="xsd:double"&gt;18.069065&lt;/D&gt;&lt;D xsi:type="xsd:double"&gt;10.965288&lt;/D&gt;&lt;D xsi:type="xsd:double"&gt;0.6865263&lt;/D&gt;&lt;D xsi:type="xsd:double"&gt;1.1755586&lt;/D&gt;&lt;D xsi:type="xsd:double"&gt;0.54496527&lt;/D&gt;&lt;D xsi:type="xsd:double"&gt;-6.0792685&lt;/D&gt;&lt;D xsi:type="xsd:double"&gt;-10.313148&lt;/D&gt;&lt;D xsi:type="xsd:double"&gt;-21.509773&lt;/D&gt;&lt;D xsi:type="xsd:double"&gt;-19.164007&lt;/D&gt;&lt;D xsi:type="xsd:double"&gt;-14.567577&lt;/D&gt;&lt;D xsi:type="xsd:double"&gt;-24.598915&lt;/D&gt;&lt;D xsi:type="xsd:double"&gt;-22.78676&lt;/D&gt;&lt;D xsi:type="xsd:double"&gt;-16.862661&lt;/D&gt;&lt;D xsi:type="xsd:double"&gt;-18.65226&lt;/D&gt;&lt;D xsi:type="xsd:double"&gt;-12.471592&lt;/D&gt;&lt;D xsi:type="xsd:double"&gt;-15.228552&lt;/D&gt;&lt;D xsi:type="xsd:double"&gt;-13.177413&lt;/D&gt;&lt;D xsi:type="xsd:double"&gt;-9.46669&lt;/D&gt;&lt;D xsi:type="xsd:double"&gt;-2.9291391&lt;/D&gt;&lt;D xsi:type="xsd:double"&gt;10.986603&lt;/D&gt;&lt;D xsi:type="xsd:double"&gt;12.068605&lt;/D&gt;&lt;D xsi:type="xsd:double"&gt;4.9673676&lt;/D&gt;&lt;D xsi:type="xsd:double"&gt;9.664583&lt;/D&gt;&lt;D xsi:type="xsd:double"&gt;7.616496&lt;/D&gt;&lt;D xsi:type="xsd:double"&gt;9.255468&lt;/D&gt;&lt;D xsi:type="xsd:double"&gt;16.501831&lt;/D&gt;&lt;D xsi:type="xsd:double"&gt;6.5093517&lt;/D&gt;&lt;/FQL&gt;&lt;FQL&gt;&lt;Q&gt;URTH^P_PRICE(0,-200D)&lt;/Q&gt;&lt;R&gt;201&lt;/R&gt;&lt;C&gt;1&lt;/C&gt;&lt;D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xsi:type="xsd:double"&gt;117.91&lt;/D&gt;&lt;D xsi:type="xsd:double"&gt;119.03&lt;/D&gt;&lt;D xsi:type="xsd:double"&gt;120.47&lt;/D&gt;&lt;D xsi:type="xsd:double"&gt;120.39&lt;/D&gt;&lt;D xsi:type="xsd:double"&gt;120.33&lt;/D&gt;&lt;D xsi:type="xsd:double"&gt;119.56&lt;/D&gt;&lt;D xsi:type="xsd:double"&gt;118.43&lt;/D&gt;&lt;D xsi:type="xsd:double"&gt;119.46&lt;/D&gt;&lt;D xsi:type="xsd:double"&gt;118.75&lt;/D&gt;&lt;D xsi:type="xsd:double"&gt;118.92&lt;/D&gt;&lt;D xsi:type="xsd:double"&gt;119.2&lt;/D&gt;&lt;D xsi:type="xsd:double"&gt;118.91&lt;/D&gt;&lt;D xsi:type="xsd:double"&gt;119.4&lt;/D&gt;&lt;D xsi:type="xsd:double"&gt;119.35&lt;/D&gt;&lt;D xsi:type="xsd:double"&gt;117.29&lt;/D&gt;&lt;D xsi:type="xsd:double"&gt;117.86&lt;/D&gt;&lt;D xsi:type="xsd:double"&gt;118.37&lt;/D&gt;&lt;D xsi:type="xsd:double"&gt;119.67&lt;/D&gt;&lt;D xsi:type="xsd:double"&gt;119.79&lt;/D&gt;&lt;D xsi:type="xsd:double"&gt;119.18&lt;/D&gt;&lt;D xsi:type="xsd:double"&gt;117.11&lt;/D&gt;&lt;D xsi:type="xsd:double"&gt;117.49&lt;/D&gt;&lt;D xsi:type="xsd:double"&gt;119.36&lt;/D&gt;&lt;D xsi:type="xsd:double"&gt;119.22&lt;/D&gt;&lt;D xsi:type="xsd:double"&gt;118.97&lt;/D&gt;&lt;D xsi:type="xsd:double"&gt;119.44&lt;/D&gt;&lt;D xsi:type="xsd:double"&gt;119.62&lt;/D&gt;&lt;D xsi:type="xsd:double"&gt;119.31&lt;/D&gt;&lt;D xsi:type="xsd:double"&gt;119.14&lt;/D&gt;&lt;D xsi:type="xsd:double"&gt;119.42&lt;/D&gt;&lt;D xsi:type="xsd:double"&gt;117.84&lt;/D&gt;&lt;D xsi:type="xsd:double"&gt;117.94&lt;/D&gt;&lt;D xsi:type="xsd:double"&gt;117.79&lt;/D&gt;&lt;D xsi:type="xsd:double"&gt;117.68&lt;/D&gt;&lt;D xsi:type="xsd:double"&gt;117.26&lt;/D&gt;&lt;/FQL&gt;&lt;FQL&gt;&lt;Q&gt;DBA^P_PRICE(0,-200D)&lt;/Q&gt;&lt;R&gt;201&lt;/R&gt;&lt;C&gt;1&lt;/C&gt;&lt;D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xsi:type="xsd:double"&gt;20.63&lt;/D&gt;&lt;D xsi:type="xsd:double"&gt;20.74&lt;/D&gt;&lt;D xsi:type="xsd:double"&gt;20.76&lt;/D&gt;&lt;D xsi:type="xsd:double"&gt;20.78&lt;/D&gt;&lt;D xsi:type="xsd:double"&gt;20.7&lt;/D&gt;&lt;D xsi:type="xsd:double"&gt;20.78&lt;/D&gt;&lt;D xsi:type="xsd:double"&gt;20.94&lt;/D&gt;&lt;D xsi:type="xsd:double"&gt;21.09&lt;/D&gt;&lt;D xsi:type="xsd:double"&gt;20.83&lt;/D&gt;&lt;D xsi:type="xsd:double"&gt;20.78&lt;/D&gt;&lt;D xsi:type="xsd:double"&gt;21.03&lt;/D&gt;&lt;D xsi:type="xsd:double"&gt;20.96&lt;/D&gt;&lt;D xsi:type="xsd:double"&gt;20.91&lt;/D&gt;&lt;D xsi:type="xsd:double"&gt;21.03&lt;/D&gt;&lt;D xsi:type="xsd:double"&gt;20.7&lt;/D&gt;&lt;D xsi:type="xsd:double"&gt;20.6&lt;/D&gt;&lt;D xsi:type="xsd:double"&gt;20.54&lt;/D&gt;&lt;D xsi:type="xsd:double"&gt;20.73&lt;/D&gt;&lt;D xsi:type="xsd:double"&gt;20.95&lt;/D&gt;&lt;D xsi:type="xsd:double"&gt;20.98&lt;/D&gt;&lt;D xsi:type="xsd:double"&gt;21.02&lt;/D&gt;&lt;D xsi:type="xsd:double"&gt;20.99&lt;/D&gt;&lt;D xsi:type="xsd:double"&gt;21.06&lt;/D&gt;&lt;D xsi:type="xsd:double"&gt;20.94&lt;/D&gt;&lt;D xsi:type="xsd:double"&gt;21.08&lt;/D&gt;&lt;D xsi:type="xsd:double"&gt;21.11&lt;/D&gt;&lt;D xsi:type="xsd:double"&gt;21.3&lt;/D&gt;&lt;D xsi:type="xsd:double"&gt;21.2&lt;/D&gt;&lt;D xsi:type="xsd:double"&gt;20.91&lt;/D&gt;&lt;D xsi:type="xsd:double"&gt;20.87&lt;/D&gt;&lt;D xsi:type="xsd:double"&gt;20.77&lt;/D&gt;&lt;D xsi:type="xsd:double"&gt;20.84&lt;/D&gt;&lt;D xsi:type="xsd:double"&gt;20.7&lt;/D&gt;&lt;D xsi:type="xsd:double"&gt;20.65&lt;/D&gt;&lt;D xsi:type="xsd:double"&gt;20.45&lt;/D&gt;&lt;/FQL&gt;&lt;FQL&gt;&lt;Q&gt;VWO^JULIAN(P_PRICE(0,-200D).DATES)&lt;/Q&gt;&lt;R&gt;201&lt;/R&gt;&lt;C&gt;1&lt;/C&gt;&lt;D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xsi:type="xsd:long"&gt;45047&lt;/D&gt;&lt;D xsi:type="xsd:long"&gt;45044&lt;/D&gt;&lt;D xsi:type="xsd:long"&gt;45043&lt;/D&gt;&lt;D xsi:type="xsd:long"&gt;45042&lt;/D&gt;&lt;D xsi:type="xsd:long"&gt;45041&lt;/D&gt;&lt;D xsi:type="xsd:long"&gt;45040&lt;/D&gt;&lt;D xsi:type="xsd:long"&gt;45037&lt;/D&gt;&lt;D xsi:type="xsd:long"&gt;45036&lt;/D&gt;&lt;D xsi:type="xsd:long"&gt;45035&lt;/D&gt;&lt;D xsi:type="xsd:long"&gt;45034&lt;/D&gt;&lt;D xsi:type="xsd:long"&gt;45033&lt;/D&gt;&lt;D xsi:type="xsd:long"&gt;45030&lt;/D&gt;&lt;D xsi:type="xsd:long"&gt;45029&lt;/D&gt;&lt;D xsi:type="xsd:long"&gt;45028&lt;/D&gt;&lt;D xsi:type="xsd:long"&gt;45027&lt;/D&gt;&lt;D xsi:type="xsd:long"&gt;45026&lt;/D&gt;&lt;D xsi:type="xsd:long"&gt;45022&lt;/D&gt;&lt;D xsi:type="xsd:long"&gt;45021&lt;/D&gt;&lt;/FQL&gt;&lt;FQL&gt;&lt;Q&gt;VGK^P_PRICE_RETURNS_PR('52W',2,-10AY,0,AM)&lt;/Q&gt;&lt;R&gt;121&lt;/R&gt;&lt;C&gt;1&lt;/C&gt;&lt;D xsi:type="xsd:double"&gt;21.683157&lt;/D&gt;&lt;D xsi:type="xsd:double"&gt;25.290812&lt;/D&gt;&lt;D xsi:type="xsd:double"&gt;21.541203&lt;/D&gt;&lt;D xsi:type="xsd:double"&gt;24.89084&lt;/D&gt;&lt;D xsi:type="xsd:double"&gt;21.152449&lt;/D&gt;&lt;D xsi:type="xsd:double"&gt;31.005264&lt;/D&gt;&lt;D xsi:type="xsd:double"&gt;19.157553&lt;/D&gt;&lt;D xsi:type="xsd:double"&gt;12.522137&lt;/D&gt;&lt;D xsi:type="xsd:double"&gt;6.6841364&lt;/D&gt;&lt;D xsi:type="xsd:double"&gt;-3.3240557&lt;/D&gt;&lt;D xsi:type="xsd:double"&gt;0.7521987&lt;/D&gt;&lt;D xsi:type="xsd:double"&gt;-3.2160342&lt;/D&gt;&lt;D xsi:type="xsd:double"&gt;-6.8168583&lt;/D&gt;&lt;D xsi:type="xsd:double"&gt;-2.5785327&lt;/D&gt;&lt;D xsi:type="xsd:double"&gt;0.4005432&lt;/D&gt;&lt;D xsi:type="xsd:double"&gt;-2.0739317&lt;/D&gt;&lt;D xsi:type="xsd:double"&gt;-1.1971772&lt;/D&gt;&lt;D xsi:type="xsd:double"&gt;-3.3083916&lt;/D&gt;&lt;D xsi:type="xsd:double"&gt;-3.4696043&lt;/D&gt;&lt;D xsi:type="xsd:double"&gt;-7.625002&lt;/D&gt;&lt;D xsi:type="xsd:double"&gt;-10.316306&lt;/D&gt;&lt;D xsi:type="xsd:double"&gt;2.506411&lt;/D&gt;&lt;D xsi:type="xsd:double"&gt;-4.152751&lt;/D&gt;&lt;D xsi:type="xsd:double"&gt;-2.0349562&lt;/D&gt;&lt;D xsi:type="xsd:double"&gt;-10.239565&lt;/D&gt;&lt;D xsi:type="xsd:double"&gt;-15.810776&lt;/D&gt;&lt;D xsi:type="xsd:double"&gt;-11.597908&lt;/D&gt;&lt;D xsi:type="xsd:double"&gt;-8.615101&lt;/D&gt;&lt;D xsi:type="xsd:double"&gt;-13.584781&lt;/D&gt;&lt;D xsi:type="xsd:double"&gt;-8.369774&lt;/D&gt;&lt;D xsi:type="xsd:double"&gt;-11.730761&lt;/D&gt;&lt;D xsi:type="xsd:double"&gt;-1.1394322&lt;/D&gt;&lt;D xsi:type="xsd:double"&gt;3.5835147&lt;/D&gt;&lt;D xsi:type="xsd:double"&gt;-4.83498&lt;/D&gt;&lt;D xsi:type="xsd:double"&gt;-7.0421877&lt;/D&gt;&lt;D xsi:type="xsd:double"&gt;-2.6746154&lt;/D&gt;&lt;D xsi:type="xsd:double"&gt;10.14142&lt;/D&gt;&lt;D xsi:type="xsd:double"&gt;14.012587&lt;/D&gt;&lt;D xsi:type="xsd:double"&gt;10.998022&lt;/D&gt;&lt;D xsi:type="xsd:double"&gt;6.751454&lt;/D&gt;&lt;D xsi:type="xsd:double"&gt;20.355844&lt;/D&gt;&lt;D xsi:type="xsd:double"&gt;13.002359&lt;/D&gt;&lt;D xsi:type="xsd:double"&gt;22.896778&lt;/D&gt;&lt;D xsi:type="xsd:double"&gt;17.83545&lt;/D&gt;&lt;D xsi:type="xsd:double"&gt;21.576763&lt;/D&gt;&lt;D xsi:type="xsd:double"&gt;25.998915&lt;/D&gt;&lt;D xsi:type="xsd:double"&gt;29.988134&lt;/D&gt;&lt;D xsi:type="xsd:double"&gt;27.719557&lt;/D&gt;&lt;D xsi:type="xsd:double"&gt;31.85109&lt;/D&gt;&lt;D xsi:type="xsd:double"&gt;23.284006&lt;/D&gt;&lt;D xsi:type="xsd:double</t>
        </r>
      </text>
    </comment>
    <comment ref="A5" authorId="0" shapeId="0" xr:uid="{147A4437-FD66-4F73-8EEF-3AB560099374}">
      <text>
        <r>
          <rPr>
            <b/>
            <sz val="9"/>
            <color indexed="81"/>
            <rFont val="Tahoma"/>
            <family val="2"/>
          </rPr>
          <t>"&gt;14.1809225&lt;/D&gt;&lt;D xsi:type="xsd:double"&gt;19.689333&lt;/D&gt;&lt;D xsi:type="xsd:double"&gt;8.571792&lt;/D&gt;&lt;D xsi:type="xsd:double"&gt;7.116103&lt;/D&gt;&lt;D xsi:type="xsd:double"&gt;4.8851967&lt;/D&gt;&lt;D xsi:type="xsd:double"&gt;3.1425476&lt;/D&gt;&lt;D xsi:type="xsd:double"&gt;1.8361807&lt;/D&gt;&lt;D xsi:type="xsd:double"&gt;-7.853776&lt;/D&gt;&lt;D xsi:type="xsd:double"&gt;-9.798837&lt;/D&gt;&lt;D xsi:type="xsd:double"&gt;-16.20543&lt;/D&gt;&lt;D xsi:type="xsd:double"&gt;-16.237228&lt;/D&gt;&lt;D xsi:type="xsd:double"&gt;-7.5627146&lt;/D&gt;&lt;D xsi:type="xsd:double"&gt;-3.5492241&lt;/D&gt;&lt;D xsi:type="xsd:double"&gt;-3.825456&lt;/D&gt;&lt;D xsi:type="xsd:double"&gt;-7.244319&lt;/D&gt;&lt;D xsi:type="xsd:double"&gt;1.0366678&lt;/D&gt;&lt;D xsi:type="xsd:double"&gt;-0.678277&lt;/D&gt;&lt;D xsi:type="xsd:double"&gt;-5.010027&lt;/D&gt;&lt;D xsi:type="xsd:double"&gt;-2.485752&lt;/D&gt;&lt;D xsi:type="xsd:double"&gt;10.319937&lt;/D&gt;&lt;D xsi:type="xsd:double"&gt;13.652098&lt;/D&gt;&lt;D xsi:type="xsd:double"&gt;26.603485&lt;/D&gt;&lt;D xsi:type="xsd:double"&gt;18.836248&lt;/D&gt;&lt;D xsi:type="xsd:double"&gt;13.589406&lt;/D&gt;&lt;D xsi:type="xsd:double"&gt;-27.850311&lt;/D&gt;&lt;D xsi:type="xsd:double"&gt;-17.666578&lt;/D&gt;&lt;D xsi:type="xsd:double"&gt;-10.684133&lt;/D&gt;&lt;D xsi:type="xsd:double"&gt;-3.8895726&lt;/D&gt;&lt;D xsi:type="xsd:double"&gt;-0.24513602&lt;/D&gt;&lt;D xsi:type="xsd:double"&gt;5.518985&lt;/D&gt;&lt;D xsi:type="xsd:double"&gt;-1.7698288&lt;/D&gt;&lt;D xsi:type="xsd:double"&gt;-0.62389374&lt;/D&gt;&lt;D xsi:type="xsd:double"&gt;5.146098&lt;/D&gt;&lt;D xsi:type="xsd:double"&gt;5.971396&lt;/D&gt;&lt;D xsi:type="xsd:double"&gt;8.297146&lt;/D&gt;&lt;D xsi:type="xsd:double"&gt;10.411013&lt;/D&gt;&lt;D xsi:type="xsd:double"&gt;71.696&lt;/D&gt;&lt;D xsi:type="xsd:double"&gt;54.3982&lt;/D&gt;&lt;D xsi:type="xsd:double"&gt;50.519573&lt;/D&gt;&lt;D xsi:type="xsd:double"&gt;35.31754&lt;/D&gt;&lt;D xsi:type="xsd:double"&gt;30.523563&lt;/D&gt;&lt;D xsi:type="xsd:double"&gt;32.614372&lt;/D&gt;&lt;D xsi:type="xsd:double"&gt;36.811066&lt;/D&gt;&lt;D xsi:type="xsd:double"&gt;33.496212&lt;/D&gt;&lt;D xsi:type="xsd:double"&gt;20.794773&lt;/D&gt;&lt;D xsi:type="xsd:double"&gt;16.223394&lt;/D&gt;&lt;D xsi:type="xsd:double"&gt;9.130621&lt;/D&gt;&lt;D xsi:type="xsd:double"&gt;4.385376&lt;/D&gt;&lt;D xsi:type="xsd:double"&gt;2.0426273&lt;/D&gt;&lt;D xsi:type="xsd:double"&gt;-5.3890586&lt;/D&gt;&lt;D xsi:type="xsd:double"&gt;-11.790329&lt;/D&gt;&lt;D xsi:type="xsd:double"&gt;-19.4735&lt;/D&gt;&lt;D xsi:type="xsd:double"&gt;-17.609383&lt;/D&gt;&lt;D xsi:type="xsd:double"&gt;-20.633268&lt;/D&gt;&lt;D xsi:type="xsd:double"&gt;-29.65691&lt;/D&gt;&lt;D xsi:type="xsd:double"&gt;-26.690727&lt;/D&gt;&lt;D xsi:type="xsd:double"&gt;-13.973403&lt;/D&gt;&lt;D xsi:type="xsd:double"&gt;-14.958036&lt;/D&gt;&lt;D xsi:type="xsd:double"&gt;-4.88196&lt;/D&gt;&lt;D xsi:type="xsd:double"&gt;-1.1114597&lt;/D&gt;&lt;D xsi:type="xsd:double"&gt;-1.367718&lt;/D&gt;&lt;D xsi:type="xsd:double"&gt;6.7317724&lt;/D&gt;&lt;D xsi:type="xsd:double"&gt;9.656179&lt;/D&gt;&lt;D xsi:type="xsd:double"&gt;18.82217&lt;/D&gt;&lt;D xsi:type="xsd:double"&gt;22.30469&lt;/D&gt;&lt;D xsi:type="xsd:double"&gt;17.705286&lt;/D&gt;&lt;D xsi:type="xsd:double"&gt;25.182093&lt;/D&gt;&lt;D xsi:type="xsd:double"&gt;19.67386&lt;/D&gt;&lt;D xsi:type="xsd:double"&gt;13.695765&lt;/D&gt;&lt;D xsi:type="xsd:double"&gt;19.478394&lt;/D&gt;&lt;D xsi:type="xsd:double"&gt;6.26508&lt;/D&gt;&lt;/FQL&gt;&lt;FQL&gt;&lt;Q&gt;GLD^P_PRICE_RETURNS_PR('52W',2,-10AY,0,AM)&lt;/Q&gt;&lt;R&gt;121&lt;/R&gt;&lt;C&gt;1&lt;/C&gt;&lt;D xsi:type="xsd:double"&gt;-25.378353&lt;/D&gt;&lt;D xsi:type="xsd:double"&gt;-16.406757&lt;/D&gt;&lt;D xsi:type="xsd:double"&gt;-17.777098&lt;/D&gt;&lt;D xsi:type="xsd:double"&gt;-9.585041&lt;/D&gt;&lt;D xsi:type="xsd:double"&gt;-7.5031576&lt;/D&gt;&lt;D xsi:type="xsd:double"&gt;1.4394164&lt;/D&gt;&lt;D xsi:type="xsd:double"&gt;-3.153193&lt;/D&gt;&lt;D xsi:type="xsd:double"&gt;-7.2434244&lt;/D&gt;&lt;D xsi:type="xsd:double"&gt;-7.800865&lt;/D&gt;&lt;D xsi:type="xsd:double"&gt;-7.9027176&lt;/D&gt;&lt;D xsi:type="xsd:double"&gt;-3.7935674&lt;/D&gt;&lt;D xsi:type="xsd:double"&gt;-2.4487317&lt;/D&gt;&lt;D xsi:type="xsd:double"&gt;2.0034552&lt;/D&gt;&lt;D xsi:type="xsd:double"&gt;-9.523439&lt;/D&gt;&lt;D xsi:type="xsd:double"&gt;-11.037594&lt;/D&gt;&lt;D xsi:type="xsd:double"&gt;-7.3529425&lt;/D&gt;&lt;D xsi:type="xsd:double"&gt;-7.2752056&lt;/D&gt;&lt;D xsi:type="xsd:double"&gt;-11.005121&lt;/D&gt;&lt;D xsi:type="xsd:double"&gt;-16.947937&lt;/D&gt;&lt;D xsi:type="xsd:double"&gt;-9.562177&lt;/D&gt;&lt;D xsi:type="xsd:double"&gt;-7.9761863&lt;/D&gt;&lt;D xsi:type="xsd:double"&gt;-5.923051&lt;/D&gt;&lt;D xsi:type="xsd:double"&gt;-11.378801&lt;/D&gt;&lt;D xsi:type="xsd:double"&gt;-9.251374&lt;/D&gt;&lt;D xsi:type="xsd:double"&gt;-16.154278&lt;/D&gt;&lt;D xsi:type="xsd:double"&gt;1.5507221&lt;/D&gt;&lt;D xsi:type="xsd:double"&gt;2.0299196&lt;/D&gt;&lt;D xsi:type="xsd:double"&gt;3.566718&lt;/D&gt;&lt;D xsi:type="xsd:double"&gt;3.2612443&lt;/D&gt;&lt;D xsi:type="xsd:double"&gt;6.395602&lt;/D&gt;&lt;D xsi:type="xsd:double"&gt;20.562971&lt;/D&gt;&lt;D xsi:type="xsd:double"&gt;14.964461&lt;/D&gt;&lt;D xsi:type="xsd:double"&gt;17.95417&lt;/D&gt;&lt;D xsi:type="xsd:double"&gt;8.144629&lt;/D&gt;&lt;D xsi:type="xsd:double"&gt;10.74711&lt;/D&gt;&lt;D xsi:type="xsd:double"&gt;5.4931164&lt;/D&gt;&lt;D xsi:type="xsd:double"&gt;10.276186&lt;/D&gt;&lt;D xsi:type="xsd:double"&gt;1.4673233&lt;/D&gt;&lt;D xsi:type="xsd:double"&gt;1.7665744&lt;/D&gt;&lt;D xsi:type="xsd:double"&gt;2.420032&lt;/D&gt;&lt;D xsi:type="xsd:double"&gt;-0.19268394&lt;/D&gt;&lt;D xsi:type="xsd:double"&gt;-0.56614876&lt;/D&gt;&lt;D xsi:type="xsd:double"&gt;-6.3157916&lt;/D&gt;&lt;D xsi:type="xsd:double"&gt;-3.984034&lt;/D&gt;&lt;D xsi:type="xsd:double"&gt;-3.3942163&lt;/D&gt;&lt;D xsi:type="xsd:double"&gt;0.8027792&lt;/D&gt;&lt;D xsi:type="xsd:double"&gt;6.1364055&lt;/D&gt;&lt;D xsi:type="xsd:double"&gt;12.40822&lt;/D&gt;&lt;D xsi:type="xsd:double"&gt;9.923136&lt;/D&gt;&lt;D xsi:type="xsd:double"&gt;6.0534716&lt;/D&gt;&lt;D xsi:type="xsd:double"&gt;7.5335026&lt;/D&gt;&lt;D xsi:type="xsd:double"&gt;2.7062416&lt;/D&gt;&lt;D xsi:type="xsd:double"&gt;2.853787&lt;/D&gt;&lt;D xsi:type="xsd:double"&gt;1.1940837&lt;/D&gt;&lt;D xsi:type="xsd:double"&gt;-2.7335227&lt;/D&gt;&lt;D xsi:type="xsd:double"&gt;-8.535093&lt;/D&gt;&lt;D xsi:type="xsd:double"&gt;-7.4910345&lt;/D&gt;&lt;D xsi:type="xsd:double"&gt;-4.4417086&lt;/D&gt;&lt;D xsi:type="xsd:double"&gt;-5.594063&lt;/D&gt;&lt;D xsi:type="xsd:double"&gt;-1.321584&lt;/D&gt;&lt;D xsi:type="xsd:double"&gt;-4.714018&lt;/D&gt;&lt;D xsi:type="xsd:double"&gt;-0.6334126&lt;/D&gt;&lt;D xsi:type="xsd:double"&gt;-1.5954912&lt;/D&gt;&lt;D xsi:type="xsd:double"&gt;-4.378283&lt;/D&gt;&lt;D xsi:type="xsd:double"&gt;-1.1180043&lt;/D&gt;&lt;D xsi:type="xsd:double"&gt;9.937525&lt;/D&gt;&lt;D xsi:type="xsd:double"&gt;15.250004&lt;/D&gt;&lt;D xsi:type="xsd:double"&gt;28.493763&lt;/D&gt;&lt;D xsi:type="xsd:double"&gt;26.663149&lt;/D&gt;&lt;D xsi:type="xsd:double"&gt;20.740616&lt;/D&gt;&lt;D xsi:type="xsd:double"&gt;18.884861&lt;/D&gt;&lt;D xsi:type="xsd:double"&gt;17.882406&lt;/D&gt;&lt;D xsi:type="xsd:double"&gt;21.30606&lt;/D&gt;&lt;D xsi:type="xsd:double"&gt;23.710514&lt;/D&gt;&lt;D xsi:type="xsd:double"&gt;18.012428&lt;/D&gt;&lt;D xsi:type="xsd:double"&gt;35.98068&lt;/D&gt;&lt;D xsi:type="xsd:double"&gt;35.73687&lt;/D&gt;&lt;D xsi:type="xsd:double"&gt;26.14032&lt;/D&gt;&lt;D xsi:type="xsd:double"&gt;32.530476&lt;/D&gt;&lt;D xsi:type="xsd:double"&gt;28.40717&lt;/D&gt;&lt;D xsi:type="xsd:double"&gt;21.593035&lt;/D&gt;&lt;D xsi:type="xsd:double"&gt;27.118767&lt;/D&gt;&lt;D xsi:type="xsd:double"&gt;25.039923&lt;/D&gt;&lt;D xsi:type="xsd:double"&gt;25.509108&lt;/D&gt;&lt;D xsi:type="xsd:double"&gt;18.46856&lt;/D&gt;&lt;D xsi:type="xsd:double"&gt;9.32126&lt;/D&gt;&lt;D xsi:type="xsd:double"&gt;10.601497&lt;/D&gt;&lt;D xsi:type="xsd:double"&gt;1.8733859&lt;/D&gt;&lt;D xsi:type="xsd:double"&gt;8.499229&lt;/D&gt;&lt;D xsi:type="xsd:double"&gt;-0.20422935&lt;/D&gt;&lt;D xsi:type="xsd:double"&gt;-4.8651037&lt;/D&gt;&lt;D xsi:type="xsd:double"&gt;-7.3064923&lt;/D&gt;&lt;D xsi:type="xsd:double"&gt;-6.4534607&lt;/D&gt;&lt;D xsi:type="xsd:double"&gt;-6.1846437&lt;/D&gt;&lt;D xsi:type="xsd:double"&gt;-2.8740644&lt;/D&gt;&lt;D xsi:type="xsd:double"&gt;-3.8030148&lt;/D&gt;&lt;D xsi:type="xsd:double"&gt;-2.3904622&lt;/D&gt;&lt;D xsi:type="xsd:double"&gt;5.422187&lt;/D&gt;&lt;D xsi:type="xsd:double"&gt;12.36018&lt;/D&gt;&lt;D xsi:type="xsd:double"&gt;7.932234&lt;/D&gt;&lt;D xsi:type="xsd:double"&gt;-1.8234432&lt;/D&gt;&lt;D xsi:type="xsd:double"&gt;2.4798274&lt;/D&gt;&lt;D xsi:type="xsd:double"&gt;-4.9795985&lt;/D&gt;&lt;D xsi:type="xsd:double"&gt;-3.5322666&lt;/D&gt;&lt;D xsi:type="xsd:double"&gt;-6.4216256&lt;/D&gt;&lt;D xsi:type="xsd:double"&gt;-7.556224&lt;/D&gt;&lt;D xsi:type="xsd:double"&gt;-2.5107563&lt;/D&gt;&lt;D xsi:type="xsd:double"&gt;-1.0120153&lt;/D&gt;&lt;D xsi:type="xsd:double"&gt;4.9915314&lt;/D&gt;&lt;D xsi:type="xsd:double"&gt;-4.8909006&lt;/D&gt;&lt;D xsi:type="xsd:double"&gt;2.1615982&lt;/D&gt;&lt;D xsi:type="xsd:double"&gt;1.2029052&lt;/D&gt;&lt;D xsi:type="xsd:double"&gt;6.133187&lt;/D&gt;&lt;D xsi:type="xsd:double"&gt;4.6634555&lt;/D&gt;&lt;D xsi:type="xsd:double"&gt;13.670671&lt;/D&gt;&lt;D xsi:type="xsd:double"&gt;9.289181&lt;/D&gt;&lt;D xsi:type="xsd:double"&gt;14.720619&lt;/D&gt;&lt;D xsi:type="xsd:double"&gt;18.696081&lt;/D&gt;&lt;D xsi:type="xsd:double"&gt;13.876713&lt;/D&gt;&lt;D xsi:type="xsd:double"&gt;14.098108&lt;/D&gt;&lt;D xsi:type="xsd:double"&gt;4.631734&lt;/D&gt;&lt;/FQL&gt;&lt;FQL&gt;&lt;Q&gt;EWD^FG_TOTAL_RETURNC(-10AY,0,AM)&lt;/Q&gt;&lt;R&gt;121&lt;/R&gt;&lt;C&gt;1&lt;/C&gt;&lt;D xsi:type="xsd:double"&gt;3.491056&lt;/D&gt;&lt;D xsi:type="xsd:double"&gt;-0.8642256&lt;/D&gt;&lt;D xsi:type="xsd:double"&gt;1.0967374&lt;/D&gt;&lt;D xsi:type="xsd:double"&gt;0.11126995&lt;/D&gt;&lt;D xsi:type="xsd:double"&gt;2.8063297&lt;/D&gt;&lt;D xsi:type="xsd:double"&gt;-0.56756735&lt;/D&gt;&lt;D xsi:type="xsd:double"&gt;-2.3652077&lt;/D&gt;&lt;D xsi:type="xsd:double"&gt;-1.8900335&lt;/D&gt;&lt;D xsi:type="xsd:double"&gt;-1.926446&lt;/D&gt;&lt;D xsi:type="xsd:double"&gt;-4.43452&lt;/D&gt;&lt;D xsi:type="xsd:double"&gt;3.2077193&lt;/D&gt;&lt;D xsi:type="xsd:double"&gt;-2.5181174&lt;/D&gt;&lt;D xsi:type="xsd:double"&gt;-2.4010003&lt;/D&gt;&lt;D xsi:type="xsd:double"&gt;9.233225&lt;/D&gt;&lt;D xsi:type="xsd:double"&gt;0.2924919&lt;/D&gt;&lt;D xsi:type="xsd:double"&gt;0.1458168&lt;/D&gt;&lt;D xsi:type="xsd:double"&gt;0.64065456&lt;/D&gt;&lt;D xsi:type="xsd:double"&gt;0.6655097&lt;/D&gt;&lt;D xsi:type="xsd:double"&gt;-4.217929&lt;/D&gt;&lt;D xsi:type="xsd:double"&gt;-6.119913&lt;/D&gt;&lt;D xsi:type="xsd:double"&gt;-4.533416&lt;/D&gt;&lt;D xsi:type="xsd:double"&gt;5.6152463&lt;/D&gt;&lt;D xsi:type="xsd:double"&gt;-2.1660626&lt;/D&gt;&lt;D xsi:type="xsd:double"&gt;-0.38131475&lt;/D&gt;&lt;D xsi:type="xsd:double"&gt;-7.987869&lt;/D&gt;&lt;D xsi:type="xsd:double"&gt;1.5384674&lt;/D&gt;&lt;D xsi:type="xsd:double"&gt;4.3650866&lt;/D&gt;&lt;D xsi:type="xsd:double"&gt;5.530596&lt;/D&gt;&lt;D xsi:type="xsd:double"&gt;-5.633807&lt;/D&gt;&lt;D xsi:type="xsd:double"&gt;5.0055146&lt;/D&gt;&lt;D xsi:type="xsd:double"&gt;-5.0515532&lt;/D&gt;&lt;D xsi:type="xsd:double"&gt;4.7050357&lt;/D&gt;&lt;D xsi:type="xsd:double"&gt;0.34565926&lt;/D&gt;&lt;D xsi:type="xsd:double"&gt;-2.3079574&lt;/D&gt;&lt;D xsi:type="xsd:double"&gt;-3.2087445&lt;/D&gt;&lt;D xsi:type="xsd:double"&gt;3.8428307&lt;/D&gt;&lt;D xsi:type="xsd:double"&gt;4.140353&lt;/D&gt;&lt;D xsi:type="xsd:double"&gt;4.177892&lt;/D&gt;&lt;D xsi:type="xsd:double"&gt;1.617074&lt;/D&gt;&lt;D xsi:type="xsd:double"&gt;-0.31827092&lt;/D&gt;&lt;D xsi:type="xsd:double"&gt;8.876109&lt;/D&gt;&lt;D xsi:type="xsd:double"&gt;0.50166845&lt;/D&gt;&lt;D xsi:type="xsd:double"&gt;2.2381425&lt;/D&gt;&lt;D xsi:type="xsd:double"&gt;-0.35026073&lt;/D&gt;&lt;D xsi:type="xsd:double"&gt;4.686594&lt;/D&gt;&lt;D xsi:type="xsd:double"&gt;0.89535713&lt;/D&gt;&lt;D xsi:type="xsd:double"&gt;-3.9101481&lt;/D&gt;&lt;D xsi:type="xsd:double"&gt;-0.7771075&lt;/D&gt;&lt;D xsi:type="xsd:double"&gt;7.256162&lt;/D&gt;&lt;D xsi:type="xsd:double"&gt;-5.0123215&lt;/D&gt;&lt;D xsi:type="xsd:double"&gt;-5.478668&lt;/D&gt;&lt;D xsi:type="xsd:double"&gt;3.8133025&lt;/D&gt;&lt;D xsi:type="xsd:double"&gt;-0.9403467&lt;/D&gt;&lt;D xsi:type="xsd:double"&gt;-3.9403021&lt;/D&gt;&lt;D xsi:type="xsd:double"&gt;1.7453074&lt;/D&gt;&lt;D xsi:type="xsd:double"&gt;0.12706518&lt;/D&gt;&lt;D xsi:type="xsd:double"&gt;5.3299546&lt;/D&gt;&lt;D xsi:type="xsd:double"&gt;-11.144579&lt;/D&gt;&lt;D xsi:type="xsd:double"&gt;-3.9322019&lt;/D&gt;&lt;D xsi:type="xsd:double"&gt;-4.0005503&lt;/D&gt;&lt;D xsi:type="xsd:double"&gt;7.3556423&lt;/D&gt;&lt;D xsi:type="xsd:double"&gt;3.3230543&lt;/D&gt;&lt;D xsi:type="xsd:double"&gt;0.43103695&lt;/D&gt;&lt;D xsi:type="xsd:double"&gt;7.560253&lt;/D&gt;&lt;D xsi:type="xsd:double"&gt;-8.870477&lt;/D&gt;&lt;D xsi:type="xsd:double"&gt;6.5384865&lt;/D&gt;&lt;D xsi:type="xsd:double"&gt;-0.48939586&lt;/D&gt;&lt;D xsi:type="xsd:double"&gt;-9.311474&lt;/D&gt;&lt;D xsi:type="xsd:double"&gt;7.5921893&lt;/D&gt;&lt;D xsi:type="xsd:double"&gt;5.342746&lt;/D&gt;&lt;D xsi:type="xsd:double"&gt;1.0845304&lt;/D&gt;&lt;D xsi:type="xsd:double"&gt;5.790603&lt;/D&gt;&lt;D xsi:type="xsd:double"&gt;-0.36242604&lt;/D&gt;&lt;D xsi:type="xsd:double"&gt;1.8187284&lt;/D&gt;&lt;D xsi:type="xsd:double"&gt;-36.02263&lt;/D&gt;&lt;D xsi:type="xsd:double"&gt;21.82411&lt;/D&gt;&lt;D xsi:type="xsd:double"&gt;7.1428537&lt;/D&gt;&lt;D xsi:type="xsd:double"&gt;11.973059&lt;/D&gt;&lt;D xsi:type="xsd:double"&gt;10.763335&lt;/D&gt;&lt;D xsi:type="xsd:double"&gt;0.66320896&lt;/D&gt;&lt;D xsi:type="xsd:double"&gt;-1.8332839&lt;/D&gt;&lt;D xsi:type="xsd:double"&gt;6.7114115&lt;/D&gt;&lt;D xsi:type="xsd:double"&gt;6.5080643&lt;/D&gt;&lt;D xsi:type="xsd:double"&gt;2.610755&lt;/D&gt;&lt;D xsi:type="xsd:double"&gt;6.2263727&lt;/D&gt;&lt;D xsi:type="xsd:double"&gt;1.8509746&lt;/D&gt;&lt;D xsi:type="xsd:double"&gt;2.9356956&lt;/D&gt;&lt;D xsi:type="xsd:double"&gt;7.695794&lt;/D&gt;&lt;D xsi:type="xsd:double"&gt;1.0508657&lt;/D&gt;&lt;D xsi:type="xsd:double"&gt;-1.6512156&lt;/D&gt;&lt;D xsi:type="xsd:double"&gt;4.1549444&lt;/D&gt;&lt;D xsi:type="xsd:double"&gt;-1.0388553&lt;/D&gt;&lt;D xsi:type="xsd:double"&gt;-0.73483586&lt;/D&gt;&lt;D xsi:type="xsd:double"&gt;3.1091452&lt;/D&gt;&lt;D xsi:type="xsd:double"&gt;-4.533333&lt;/D&gt;&lt;D xsi:type="xsd:double"&gt;0.9511113&lt;/D&gt;&lt;D xsi:type="xsd:double"&gt;-6.960368&lt;/D&gt;&lt;D xsi:type="xsd:double"&gt;-9.579992&lt;/D&gt;&lt;D xsi:type="xsd:double"&gt;2.1137834&lt;/D&gt;&lt;D xsi:type="xsd:double"&gt;-2.9900372&lt;/D&gt;&lt;D xsi:type="xsd:double"&gt;-5.795574&lt;/D&gt;&lt;D xsi:type="xsd:double"&gt;-11.8951025&lt;/D&gt;&lt;D xsi:type="xsd:double"&gt;5.7478786&lt;/D&gt;&lt;D xsi:type="xsd:double"&gt;-3.860414&lt;/D&gt;&lt;D xsi:type="xsd:double"&gt;-13.491803&lt;/D&gt;&lt;D xsi:type="xsd:double"&gt;5.161524&lt;/D&gt;&lt;D xsi:type="xsd:double"&gt;18.46751&lt;/D&gt;&lt;D xsi:type="xsd:double"&gt;-2.9355705&lt;/D&gt;&lt;D xsi:type="xsd:double"&gt;11.272383&lt;/D&gt;&lt;D xsi:type="xsd:double"&gt;-1.0824323&lt;/D&gt;&lt;D xsi:type="xsd:double"&gt;-4.9663305&lt;/D&gt;&lt;D xsi:type="xsd:double"&gt;7.8535557&lt;/D&gt;&lt;D xsi:type="xsd:double"&gt;-3.1480908&lt;/D&gt;&lt;D xsi:type="xsd:double"&gt;-3.137368&lt;/D&gt;&lt;D xsi:type="xsd:double"&gt;4.4353724&lt;/D&gt;&lt;D xsi:type="xsd:double"&gt;-7.6557755&lt;/D&gt;&lt;D xsi:type="xsd:double"&gt;-1.6943932&lt;/D&gt;&lt;D xsi:type="xsd:double"&gt;-3.016317&lt;/D&gt;&lt;D xsi:type="xsd:double"&gt;13.48778&lt;/D&gt;&lt;D xsi:type="xsd:double"&gt;12.98573&lt;/D&gt;&lt;D xsi:type="xsd:double"&gt;-6.593961&lt;/D&gt;&lt;/FQL&gt;&lt;FQL&gt;&lt;Q&gt;DBA^FG_TOTAL_RETURNC(-10AY,0,AM)&lt;/Q&gt;&lt;R&gt;121&lt;/R&gt;&lt;C&gt;1&lt;/C&gt;&lt;D xsi:type="xsd:double"&gt;-1.5415788&lt;/D&gt;&lt;D xsi:type="xsd:double"&gt;9.765137&lt;/D&gt;&lt;D xsi:type="xsd:double"&gt;4.542041&lt;/D&gt;&lt;D xsi:type="xsd:double"&gt;4.8833013&lt;/D&gt;&lt;D xsi:type="xsd:double"&gt;-3.7315905&lt;/D&gt;&lt;D xsi:type="xsd:double"&gt;-1.1379838&lt;/D&gt;&lt;D xsi:type="xsd:double"&gt;-4.2086363&lt;/D&gt;&lt;D xsi:type="xsd:double"&gt;-2.6286125&lt;/D&gt;&lt;D xsi:type="xsd:double"&gt;-3.1623602&lt;/D&gt;&lt;D xsi:type="xsd:double"&gt;3.2258034&lt;/D&gt;&lt;D xsi:type="xsd:double"&gt;-0.88734627&lt;/D&gt;&lt;D xsi:type="xsd:double"&gt;-1.2456179&lt;/D&gt;&lt;D xsi:type="xsd:double"&gt;-7.449746&lt;/D&gt;&lt;D xsi:type="xsd:double"&gt;-2.1294713&lt;/D&gt;&lt;D xsi:type="xsd:double"&gt;-1.0443866&lt;/D&gt;&lt;D xsi:type="xsd:double"&gt;-2.0228624&lt;/D&gt;&lt;D xsi:type="xsd:double"&gt;-0.22442341&lt;/D&gt;&lt;D xsi:type="xsd:double"&gt;-0.13494492&lt;/D&gt;&lt;D xsi:type="xsd:double"&gt;-0.7207215&lt;/D&gt;&lt;D xsi:type="xsd:double"&gt;-5.399275&lt;/D&gt;&lt;D xsi:type="xsd:double"&gt;-0.76738596&lt;/D&gt;&lt;D xsi:type="xsd:double"&gt;1.8366337&lt;/D&gt;&lt;D xsi:type="xsd:double"&gt;-1.5662074&lt;/D&gt;&lt;D xsi:type="xsd:double"&gt;-1.2536168&lt;/D&gt;&lt;D xsi:type="xsd:double"&gt;-1.7089844&lt;/D&gt;&lt;D xsi:type="xsd:double"&gt;-0.6954789&lt;/D&gt;&lt;D xsi:type="xsd:double"&gt;4.9524784&lt;/D&gt;&lt;D xsi:type="xsd:double"&gt;-2.0495713&lt;/D&gt;&lt;D xsi:type="xsd:double"&gt;1.5571833&lt;/D&gt;&lt;D xsi:type="xsd:double"&gt;5.893624&lt;/D&gt;&lt;D xsi:type="xsd:double"&gt;-6.1990976&lt;/D&gt;&lt;D xsi:type="xsd:double"&gt;1.2542248&lt;/D&gt;&lt;D xsi:type="xsd:double"&gt;-2.4773717&lt;/D&gt;&lt;D xsi:type="xsd:double"&gt;-0.9281814&lt;/D&gt;&lt;D xsi:type="xsd:double"&gt;0&lt;/D&gt;&lt;D xsi:type="xsd:double"&gt;-2.6134133&lt;/D&gt;&lt;D xsi:type="xsd:double"&gt;5.670893&lt;/D&gt;&lt;D xsi:type="xsd:double"&gt;-1.8687189&lt;/D&gt;&lt;D xsi:type="xsd:double"&gt;-1.6113281&lt;/D&gt;&lt;D xsi:type="xsd:double"&gt;-4.2679844&lt;/D&gt;&lt;D xsi:type="xsd:double"&gt;3.7843466&lt;/D&gt;&lt;D xsi:type="xsd:double"&gt;-4.8451605&lt;/D&gt;&lt;D xsi:type="xsd:double"&gt;5.669296&lt;/D&gt;&lt;D xsi:type="xsd:double"&gt;-8.196717&lt;/D&gt;&lt;D xsi:type="xsd:double"&gt;3.1385303&lt;/D&gt;&lt;D xsi:type="xsd:double"&gt;-0.05246997&lt;/D&gt;&lt;D xsi:type="xsd:double"&gt;0.6299257&lt;/D&gt;&lt;D xsi:type="xsd:double"&gt;-3.9645314&lt;/D&gt;&lt;D xsi:type="xsd:double"&gt;1.1406898&lt;/D&gt;&lt;D xsi:type="xsd:double"&gt;2.5778651&lt;/D&gt;&lt;D xsi:type="xsd:double"&gt;-1.2041867&lt;/D&gt;&lt;D xsi:type="xsd:double"&gt;-0.42395592&lt;/D&gt;&lt;D xsi:type="xsd:double"&gt;2.6609898&lt;/D&gt;&lt;D xsi:type="xsd:double"&gt;-5.5987654&lt;/D&gt;&lt;D xsi:type="xsd:double"&gt;-4.008782&lt;/D&gt;&lt;D xsi:type="xsd:double"&gt;-2.8032005&lt;/D&gt;&lt;D xsi:type="xsd:double"&gt;0.5297184&lt;/D&gt;&lt;D xsi:type="xsd:double"&gt;3.395784&lt;/D&gt;&lt;D xsi:type="xsd:double"&gt;-2.8312564&lt;/D&gt;&lt;D xsi:type="xsd:double"&gt;-0.9324014&lt;/D&gt;&lt;D xsi:type="xsd:double"&gt;2.1316528&lt;/D&gt;&lt;D xsi:type="xsd:double"&gt;-2.4447024&lt;/D&gt;&lt;D xsi:type="xsd:double"&gt;0&lt;/D&gt;&lt;D xsi:type="xsd:double"&gt;-1.7899811&lt;/D&gt;&lt;D xsi:type="xsd:double"&gt;-2.12636&lt;/D&gt;&lt;D xsi:type="xsd:double"&gt;2.8553605&lt;/D&gt;&lt;D xsi:type="xsd:double"&gt;-0.060349703&lt;/D&gt;&lt;D xsi:type="xsd:double"&gt;-9.782606&lt;/D&gt;&lt;D xsi:type="xsd:double"&gt;3.9491296&lt;/D&gt;&lt;D xsi:type="xsd:double"&gt;2.2536993&lt;/D&gt;&lt;D xsi:type="xsd:double"&gt;0.94459057&lt;/D&gt;&lt;D xsi:type="xsd:double"&gt;3.0391097&lt;/D&gt;&lt;D xsi:type="xsd:double"&gt;0.9225011&lt;/D&gt;&lt;D xsi:type="xsd:double"&gt;-2.681291&lt;/D&gt;&lt;D xsi:type="xsd:double"&gt;-10.20664&lt;/D&gt;&lt;D xsi:type="xsd:double"&gt;-5.439329&lt;/D&gt;&lt;D xsi:type="xsd:double"&gt;-0.3687322&lt;/D&gt;&lt;D xsi:type="xsd:double"&gt;-0.07402301&lt;/D&gt;&lt;D xsi:type="xsd:double"&gt;1.7037034&lt;/D&gt;&lt;D xsi:type="xsd:double"&gt;4.0786624&lt;/D&gt;&lt;D xsi:type="xsd:double"&gt;2.3093104&lt;/D&gt;&lt;D xsi:type="xsd:double"&gt;2.188778&lt;/D&gt;&lt;D xsi:type="xsd:double"&gt;3.8152695&lt;/D&gt;&lt;D xsi:type="xsd:double"&gt;1.7408133&lt;/D&gt;&lt;D xsi:type="xsd:double"&gt;2.7249694&lt;/D&gt;&lt;D xsi:type="xsd:double"&gt;7.156086&lt;/D&gt;&lt;D xsi:type="xsd:double"&gt;-2.7633905&lt;/D&gt;&lt;D xsi:type="xsd:double"&gt;7.8152776&lt;/D&gt;&lt;D xsi:type="xsd:double"&gt;0.9884715&lt;/D&gt;&lt;D xsi:type="xsd:double"&gt;-2.6644886&lt;/D&gt;&lt;D xsi:type="xsd:double"&gt;5.195534&lt;/D&gt;&lt;D xsi:type="xsd:double"&gt;0.63728094&lt;/D&gt;&lt;D xsi:type="xsd:double"&gt;-0.79156756&lt;/D&gt;&lt;D xsi:type="xsd:double"&gt;0.95745325&lt;/D&gt;&lt;D xsi:type="xsd:double"&gt;7.0073724&lt;/D&gt;&lt;D xsi:type="xsd:double"&gt;-1.8709958&lt;/D&gt;&lt;D xsi:type="xsd:double"&gt;1.1038542&lt;/D&gt;&lt;D xsi:type="xsd:double"&gt;6.2034726&lt;/D&gt;&lt;D xsi:type="xsd:double"&gt;3.87851&lt;/D&gt;&lt;D xsi:type="xsd:double"&gt;0.44984818&lt;/D&gt;&lt;D xsi:type="xsd:double"&gt;0.49260855&lt;/D&gt;&lt;D xsi:type="xsd:double"&gt;-7.9322696&lt;/D&gt;&lt;D xsi:type="xsd:double"&gt;-6.5827727&lt;/D&gt;&lt;D xsi:type="xsd:double"&gt;6.4766884&lt;/D&gt;&lt;D xsi:type="xsd:double"&gt;-1.4111876&lt;/D&gt;&lt;D xsi:type="xsd:double"&gt;-1.0365307&lt;/D&gt;&lt;D xsi:type="xsd:double"&gt;-0.84788203&lt;/D&gt;&lt;D xsi:type="xsd:double"&gt;2.107799&lt;/D&gt;&lt;D xsi:type="xsd:double"&gt;-4.059416&lt;/D&gt;&lt;D xsi:type="xsd:double"&gt;6.0887575&lt;/D&gt;&lt;D xsi:type="xsd:double"&gt;-4.377431&lt;/D&gt;&lt;D xsi:type="xsd:double"&gt;6.510687&lt;/D&gt;&lt;D xsi:type="xsd:double"&gt;-0.9551108&lt;/D&gt;&lt;D xsi:type="xsd:double"&gt;3.8090706&lt;/D&gt;&lt;D xsi:type="xsd:double"&gt;2.2294402&lt;/D&gt;&lt;D xsi:type="xsd:double"&gt;-2.8623402&lt;/D&gt;&lt;D xsi:type="xsd:double"&gt;2.2450924&lt;/D&gt;&lt;D xsi:type="xsd:double"&gt;0.32022&lt;/D&gt;&lt;D xsi:type="xsd:double"&gt;0.6383896&lt;/D&gt;&lt;D xsi:type="xsd:double"&gt;-1.0217011&lt;/D&gt;&lt;D xsi:type="xsd:double"&gt;2.1541476&lt;/D&gt;&lt;/FQL&gt;&lt;FQL&gt;&lt;Q&gt;VWO^JULIAN(FG_TOTAL_RETURNC(-10AY,0,AM).DATES)&lt;/Q&gt;&lt;R&gt;121&lt;/R&gt;&lt;C&gt;1&lt;/C&gt;&lt;D xsi:type="xsd:long"&gt;41662&lt;/D&gt;&lt;D xsi:type="xsd:long"&gt;41691&lt;/D&gt;&lt;D xsi:type="xsd:long"&gt;41719&lt;/D&gt;&lt;D xsi:type="xsd:long"&gt;41752&lt;/D&gt;&lt;D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xsi:type="xsd:long"&gt;45314&lt;/D&gt;&lt;/FQL&gt;&lt;FQL&gt;&lt;Q&gt;EWJ^P_PRICE(0,-200D)&lt;/Q&gt;&lt;R&gt;201&lt;/R&gt;&lt;C&gt;1&lt;/C&gt;&lt;D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xsi:type="xsd:double"&gt;59.71&lt;/D&gt;&lt;D xsi:type="xsd:double"&gt;60.35&lt;/D&gt;&lt;D xsi:type="xsd:double"&gt;61.23&lt;/D&gt;&lt;D xsi:type="xsd:double"&gt;60.96&lt;/D&gt;&lt;D xsi:type="xsd:double"&gt;60.86&lt;/D&gt;&lt;D xsi:type="xsd:double"&gt;60.85&lt;/D&gt;&lt;D xsi:type="xsd:double"&gt;60.44&lt;/D&gt;&lt;D xsi:type="xsd:double"&gt;60.56&lt;/D&gt;&lt;D xsi:type="xsd:double"&gt;60.2&lt;/D&gt;&lt;D xsi:type="xsd:double"&gt;59.91&lt;/D&gt;&lt;D xsi:type="xsd:double"&gt;59.74&lt;/D&gt;&lt;D xsi:type="xsd:double"&gt;60.04&lt;/D&gt;&lt;D xsi:type="xsd:double"&gt;59.4&lt;/D&gt;&lt;D xsi:type="xsd:double"&gt;59.53&lt;/D&gt;&lt;D xsi:type="xsd:double"&gt;58.74&lt;/D&gt;&lt;D xsi:type="xsd:double"&gt;58.63&lt;/D&gt;&lt;D xsi:type="xsd:double"&gt;58.28&lt;/D&gt;&lt;D xsi:type="xsd:double"&gt;58.77&lt;/D&gt;&lt;D xsi:type="xsd:double"&gt;58.84&lt;/D&gt;&lt;D xsi:type="xsd:double"&gt;59.31&lt;/D&gt;&lt;D xsi:type="xsd:double"&gt;58.36&lt;/D&gt;&lt;D xsi:type="xsd:double"&gt;58.57&lt;/D&gt;&lt;D xsi:type="xsd:double"&gt;58.98&lt;/D&gt;&lt;D xsi:type="xsd:double"&gt;59.01&lt;/D&gt;&lt;D xsi:type="xsd:double"&gt;58.68&lt;/D&gt;&lt;D xsi:type="xsd:double"&gt;58.49&lt;/D&gt;&lt;D xsi:type="xsd:double"&gt;58.96&lt;/D&gt;&lt;D xsi:type="xsd:double"&gt;58.61&lt;/D&gt;&lt;D xsi:type="xsd:double"&gt;58.44&lt;/D&gt;&lt;D xsi:type="xsd:double"&gt;58.88&lt;/D&gt;&lt;D xsi:type="xsd:double"&gt;58.07&lt;/D&gt;&lt;D xsi:type="xsd:double"&gt;57.88&lt;/D&gt;&lt;D xsi:type="xsd:double"&gt;57.69&lt;/D&gt;&lt;D xsi:type="xsd:double"&gt;57.81&lt;/D&gt;&lt;D xsi:type="xsd:double"&gt;58.06&lt;/D&gt;&lt;/FQL&gt;&lt;FQL&gt;&lt;Q&gt;QQQ^P_PRICE(0,-200D)&lt;/Q&gt;&lt;R&gt;201&lt;/R&gt;&lt;C&gt;1&lt;/C&gt;&lt;D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</t>
        </r>
      </text>
    </comment>
    <comment ref="A6" authorId="0" shapeId="0" xr:uid="{2713C785-013C-4EA2-9930-8AE047593CFD}">
      <text>
        <r>
          <rPr>
            <b/>
            <sz val="9"/>
            <color indexed="81"/>
            <rFont val="Tahoma"/>
            <family val="2"/>
          </rPr>
          <t>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xsi:type="xsd:double"&gt;331.65&lt;/D&gt;&lt;D xsi:type="xsd:double"&gt;333.36&lt;/D&gt;&lt;D xsi:type="xsd:double"&gt;337.64&lt;/D&gt;&lt;D xsi:type="xsd:double"&gt;336.51&lt;/D&gt;&lt;D xsi:type="xsd:double"&gt;337.27&lt;/D&gt;&lt;D xsi:type="xsd:double"&gt;331.12&lt;/D&gt;&lt;D xsi:type="xsd:double"&gt;327.16&lt;/D&gt;&lt;D xsi:type="xsd:double"&gt;326.79&lt;/D&gt;&lt;D xsi:type="xsd:double"&gt;325.03&lt;/D&gt;&lt;D xsi:type="xsd:double"&gt;326.2&lt;/D&gt;&lt;D xsi:type="xsd:double"&gt;325.14&lt;/D&gt;&lt;D xsi:type="xsd:double"&gt;321.64&lt;/D&gt;&lt;D xsi:type="xsd:double"&gt;323.69&lt;/D&gt;&lt;D xsi:type="xsd:double"&gt;322.89&lt;/D&gt;&lt;D xsi:type="xsd:double"&gt;316.17&lt;/D&gt;&lt;D xsi:type="xsd:double"&gt;317.29&lt;/D&gt;&lt;D xsi:type="xsd:double"&gt;319.38&lt;/D&gt;&lt;D xsi:type="xsd:double"&gt;322.19&lt;/D&gt;&lt;D xsi:type="xsd:double"&gt;322.56&lt;/D&gt;&lt;D xsi:type="xsd:double"&gt;320.35&lt;/D&gt;&lt;D xsi:type="xsd:double"&gt;311.87&lt;/D&gt;&lt;D xsi:type="xsd:double"&gt;309.99&lt;/D&gt;&lt;D xsi:type="xsd:double"&gt;315.95&lt;/D&gt;&lt;D xsi:type="xsd:double"&gt;316.61&lt;/D&gt;&lt;D xsi:type="xsd:double"&gt;316.28&lt;/D&gt;&lt;D xsi:type="xsd:double"&gt;318.71&lt;/D&gt;&lt;D xsi:type="xsd:double"&gt;318.86&lt;/D&gt;&lt;D xsi:type="xsd:double"&gt;318.84&lt;/D&gt;&lt;D xsi:type="xsd:double"&gt;318.57&lt;/D&gt;&lt;D xsi:type="xsd:double"&gt;319.17&lt;/D&gt;&lt;D xsi:type="xsd:double"&gt;313.04&lt;/D&gt;&lt;D xsi:type="xsd:double"&gt;315.83&lt;/D&gt;&lt;D xsi:type="xsd:double"&gt;317.87&lt;/D&gt;&lt;D xsi:type="xsd:double"&gt;318.05&lt;/D&gt;&lt;D xsi:type="xsd:double"&gt;315.92&lt;/D&gt;&lt;/FQL&gt;&lt;FQL&gt;&lt;Q&gt;URTH^P_PRICE_RETURNS_PR('52W',2,-10AY,0,AM)&lt;/Q&gt;&lt;R&gt;121&lt;/R&gt;&lt;C&gt;1&lt;/C&gt;&lt;D xsi:type="xsd:double"&gt;18.989658&lt;/D&gt;&lt;D xsi:type="xsd:double"&gt;21.227146&lt;/D&gt;&lt;D xsi:type="xsd:double"&gt;18.018543&lt;/D&gt;&lt;D xsi:type="xsd:double"&gt;18.850649&lt;/D&gt;&lt;D xsi:type="xsd:double"&gt;13.549864&lt;/D&gt;&lt;D xsi:type="xsd:double"&gt;20.521152&lt;/D&gt;&lt;D xsi:type="xsd:double"&gt;17.602169&lt;/D&gt;&lt;D xsi:type="xsd:double"&gt;14.900684&lt;/D&gt;&lt;D xsi:type="xsd:double"&gt;10.703314&lt;/D&gt;&lt;D xsi:type="xsd:double"&gt;6.0213923&lt;/D&gt;&lt;D xsi:type="xsd:double"&gt;7.999146&lt;/D&gt;&lt;D xsi:type="xsd:double"&gt;7.505977&lt;/D&gt;&lt;D xsi:type="xsd:double"&gt;4.963708&lt;/D&gt;&lt;D xsi:type="xsd:double"&gt;8.869076&lt;/D&gt;&lt;D xsi:type="xsd:double"&gt;9.790373&lt;/D&gt;&lt;D xsi:type="xsd:double"&gt;8.21892&lt;/D&gt;&lt;D xsi:type="xsd:double"&gt;9.268832&lt;/D&gt;&lt;D xsi:type="xsd:double"&gt;4.447806&lt;/D&gt;&lt;D xsi:type="xsd:double"&gt;2.1244764&lt;/D&gt;&lt;D xsi:type="xsd:double"&gt;-4.583782&lt;/D&gt;&lt;D xsi:type="xsd:double"&gt;-5.205637&lt;/D&gt;&lt;D xsi:type="xsd:double"&gt;3.9820433&lt;/D&gt;&lt;D xsi:type="xsd:double"&gt;-0.57751536&lt;/D&gt;&lt;D xsi:type="xsd:double"&gt;-0.7159233&lt;/D&gt;&lt;D xsi:type="xsd:double"&gt;-8.1569195&lt;/D&gt;&lt;D xsi:type="xsd:double"&gt;-11.768228&lt;/D&gt;&lt;D xsi:type="xsd:double"&gt;-6.853056&lt;/D&gt;&lt;D xsi:type="xsd:double"&gt;-2.5830925&lt;/D&gt;&lt;D xsi:type="xsd:double"&gt;-7.373172&lt;/D&gt;&lt;D xsi:type="xsd:double"&gt;-2.140659&lt;/D&gt;&lt;D xsi:type="xsd:double"&gt;-0.3675282&lt;/D&gt;&lt;D xsi:type="xsd:double"&gt;9.167123&lt;/D&gt;&lt;D xsi:type="xsd:double"&gt;10.6554985&lt;/D&gt;&lt;D xsi:type="xsd:double"&gt;4.6852946&lt;/D&gt;&lt;D xsi:type="xsd:double"&gt;3.2777905&lt;/D&gt;&lt;D xsi:type="xsd:double"&gt;6.832373&lt;/D&gt;&lt;D xsi:type="xsd:double"&gt;18.871403&lt;/D&gt;&lt;D xsi:type="xsd:double"&gt;22.992146&lt;/D&gt;&lt;D xsi:type="xsd:double"&gt;15.684724&lt;/D&gt;&lt;D xsi:type="xsd:double"&gt;11.520254&lt;/D&gt;&lt;D xsi:type="xsd:double"&gt;18.498838&lt;/D&gt;&lt;D xsi:type="xsd:double"&gt;15.058804&lt;/D&gt;&lt;D xsi:type="xsd:double"&gt;17.000973&lt;/D&gt;&lt;D xsi:type="xsd:double"&gt;13.736653&lt;/D&gt;&lt;D xsi:type="xsd:double"&gt;17.283106&lt;/D&gt;&lt;D xsi:type="xsd:double"&gt;22.045982&lt;/D&gt;&lt;D xsi:type="xsd:double"&gt;22.399569&lt;/D&gt;&lt;D xsi:type="xsd:double"&gt;22.559977&lt;/D&gt;&lt;D xsi:type="xsd:double"&gt;27.35139&lt;/D&gt;&lt;D xsi:type="xsd:double"&gt;18.815088&lt;/D&gt;&lt;D xsi:type="xsd:double"&gt;12.329698&lt;/D&gt;&lt;D xsi:type="xsd:double"&gt;15.954399&lt;/D&gt;&lt;D xsi:type="xsd:double"&gt;13.477087&lt;/D&gt;&lt;D xsi:type="xsd:double"&gt;12.5578165&lt;/D&gt;&lt;D xsi:type="xsd:double"&gt;11.666166&lt;/D&gt;&lt;D xsi:type="xsd:double"&gt;13.062&lt;/D&gt;&lt;D xsi:type="xsd:double"&gt;13.028896&lt;/D&gt;&lt;D xsi:type="xsd:double"&gt;2.2606492&lt;/D&gt;&lt;D xsi:type="xsd:double"&gt;-1.6494334&lt;/D&gt;&lt;D xsi:type="xsd:double"&gt;-11.148805&lt;/D&gt;&lt;D xsi:type="xsd:double"&gt;-9.24015&lt;/D&gt;&lt;D xsi:type="xsd:double"&gt;0.934577&lt;/D&gt;&lt;D xsi:type="xsd:double"&gt;3.5825253&lt;/D&gt;&lt;D xsi:type="xsd:double"&gt;6.197262&lt;/D&gt;&lt;D xsi:type="xsd:double"&gt;0.7069111&lt;/D&gt;&lt;D xsi:type="xsd:double"&gt;5.7233095&lt;/D&gt;&lt;D xsi:type="xsd:double"&gt;5.941081&lt;/D&gt;&lt;D xsi:type="xsd:double"&gt;-0.7854521&lt;/D&gt;&lt;D xsi:type="xsd:double"&gt;2.021122&lt;/D&gt;&lt;D xsi:type="xsd:double"&gt;11.217284&lt;/D&gt;&lt;D xsi:type="xsd:double"&gt;16.982662&lt;/D&gt;&lt;D xsi:type="xsd:double"&gt;31.772732&lt;/D&gt;&lt;D xsi:type="xsd:double"&gt;24.419487&lt;/D&gt;&lt;D xsi:type="xsd:double"&gt;18.453466&lt;/D&gt;&lt;D xsi:type="xsd:double"&gt;-21.499979&lt;/D&gt;&lt;D xsi:type="xsd:double"&gt;-7.4748993&lt;/D&gt;&lt;D xsi:type="xsd:double"&gt;0.16807318&lt;/D&gt;&lt;D xsi:type="xsd:double"&gt;4.6378493&lt;/D&gt;&lt;D xsi:type="xsd:double"&gt;6.159854&lt;/D&gt;&lt;D xsi:type="xsd:double"&gt;14.313423&lt;/D&gt;&lt;D xsi:type="xsd:double"&gt;6.735897&lt;/D&gt;&lt;D xsi:type="xsd:double"&gt;11.899054&lt;/D&gt;&lt;D xsi:type="xsd:double"&gt;14.1549225&lt;/D&gt;&lt;D xsi:type="xsd:double"&gt;14.805614&lt;/D&gt;&lt;D xsi:type="xsd:double"&gt;16.41096&lt;/D&gt;&lt;D xsi:type="xsd:double"&gt;17.942165&lt;/D&gt;&lt;D xsi:type="xsd:double"&gt;76.63235&lt;/D&gt;&lt;D xsi:type="xsd:double"&gt;52.391136&lt;/D&gt;&lt;D xsi:type="xsd:double"&gt;44.48453&lt;/D&gt;&lt;D xsi:type="xsd:double"&gt;36.323666&lt;/D&gt;&lt;D xsi:type="xsd:double"&gt;35.82604&lt;/D&gt;&lt;D xsi:type="xsd:double"&gt;32.140423&lt;/D&gt;&lt;D xsi:type="xsd:double"&gt;37.543488&lt;/D&gt;&lt;D xsi:type="xsd:double"&gt;32.309853&lt;/D&gt;&lt;D xsi:type="xsd:double"&gt;27.47147&lt;/D&gt;&lt;D xsi:type="xsd:double"&gt;22.847116&lt;/D&gt;&lt;D xsi:type="xsd:double"&gt;10.6879&lt;/D&gt;&lt;D xsi:type="xsd:double"&gt;5.794966&lt;/D&gt;&lt;D xsi:type="xsd:double"&gt;9.813082&lt;/D&gt;&lt;D xsi:type="xsd:double"&gt;-0.028818846&lt;/D&gt;&lt;D xsi:type="xsd:double"&gt;-6.548059&lt;/D&gt;&lt;D xsi:type="xsd:double"&gt;-13.408243&lt;/D&gt;&lt;D xsi:type="xsd:double"&gt;-11.874235&lt;/D&gt;&lt;D xsi:type="xsd:double"&gt;-10.910064&lt;/D&gt;&lt;D xsi:type="xsd:double"&gt;-20.41937&lt;/D&gt;&lt;D xsi:type="xsd:double"&gt;-20.074648&lt;/D&gt;&lt;D xsi:type="xsd:double"&gt;-14.063513&lt;/D&gt;&lt;D xsi:type="xsd:double"&gt;-17.25486&lt;/D&gt;&lt;D xsi:type="xsd:double"&gt;-6.827605&lt;/D&gt;&lt;D xsi:type="xsd:double"&gt;-3.927374&lt;/D&gt;&lt;D xsi:type="xsd:double"&gt;-9.145414&lt;/D&gt;&lt;D xsi:type="xsd:double"&gt;-2.3288608&lt;/D&gt;&lt;D xsi:type="xsd:double"&gt;5.8714986&lt;/D&gt;&lt;D xsi:type="xsd:double"&gt;15.962589&lt;/D&gt;&lt;D xsi:type="xsd:double"&gt;15.838659&lt;/D&gt;&lt;D xsi:type="xsd:double"&gt;9.492409&lt;/D&gt;&lt;D xsi:type="xsd:double"&gt;17.69712&lt;/D&gt;&lt;D xsi:type="xsd:double"&gt;14.602936&lt;/D&gt;&lt;D xsi:type="xsd:double"&gt;14.334881&lt;/D&gt;&lt;D xsi:type="xsd:double"&gt;23.826122&lt;/D&gt;&lt;D xsi:type="xsd:double"&gt;18.016232&lt;/D&gt;&lt;/FQL&gt;&lt;FQL&gt;&lt;Q&gt;TLT^P_PRICE_RETURNS_PR('52W',2,-10AY,0,AM)&lt;/Q&gt;&lt;R&gt;121&lt;/R&gt;&lt;C&gt;1&lt;/C&gt;&lt;D xsi:type="xsd:double"&gt;-8.354628&lt;/D&gt;&lt;D xsi:type="xsd:double"&gt;-5.974579&lt;/D&gt;&lt;D xsi:type="xsd:double"&gt;-4.8089147&lt;/D&gt;&lt;D xsi:type="xsd:double"&gt;-6.549448&lt;/D&gt;&lt;D xsi:type="xsd:double"&gt;-0.29343963&lt;/D&gt;&lt;D xsi:type="xsd:double"&gt;6.115484&lt;/D&gt;&lt;D xsi:type="xsd:double"&gt;9.200287&lt;/D&gt;&lt;D xsi:type="xsd:double"&gt;17.383158&lt;/D&gt;&lt;D xsi:type="xsd:double"&gt;12.746811&lt;/D&gt;&lt;D xsi:type="xsd:double"&gt;13.954103&lt;/D&gt;&lt;D xsi:type="xsd:double"&gt;20.355427&lt;/D&gt;&lt;D xsi:type="xsd:double"&gt;22.866047&lt;/D&gt;&lt;D xsi:type="xsd:double"&gt;29.954529&lt;/D&gt;&lt;D xsi:type="xsd:double"&gt;23.495102&lt;/D&gt;&lt;D xsi:type="xsd:double"&gt;24.857044&lt;/D&gt;&lt;D xsi:type="xsd:double"&gt;18.866491&lt;/D&gt;&lt;D xsi:type="xsd:double"&gt;10.403252&lt;/D&gt;&lt;D xsi:type="xsd:double"&gt;6.898153&lt;/D&gt;&lt;D xsi:type="xsd:double"&gt;7.9821825&lt;/D&gt;&lt;D xsi:type="xsd:double"&gt;11.256254&lt;/D&gt;&lt;D xsi:type="xsd:double"&gt;8.26745&lt;/D&gt;&lt;D xsi:type="xsd:double"&gt;5.6981564&lt;/D&gt;&lt;D xsi:type="xsd:double"&gt;3.1988144&lt;/D&gt;&lt;D xsi:type="xsd:double"&gt;0.7796407&lt;/D&gt;&lt;D xsi:type="xsd:double"&gt;-3.2865584&lt;/D&gt;&lt;D xsi:type="xsd:double"&gt;5.33756&lt;/D&gt;&lt;D xsi:type="xsd:double"&gt;1.0917664&lt;/D&gt;&lt;D xsi:type="xsd:double"&gt;3.0579329&lt;/D&gt;&lt;D xsi:type="xsd:double"&gt;11.090016&lt;/D&gt;&lt;D xsi:type="xsd:double"&gt;16.920937&lt;/D&gt;&lt;D xsi:type="xsd:double"&gt;18.935204&lt;/D&gt;&lt;D xsi:type="xsd:double"&gt;13.498068&lt;/D&gt;&lt;D xsi:type="xsd:double"&gt;15.07448&lt;/D&gt;&lt;D xsi:type="xsd:double"&gt;10.03257&lt;/D&gt;&lt;D xsi:type="xsd:double"&gt;2.2084713&lt;/D&gt;&lt;D xsi:type="xsd:double"&gt;-0.199157&lt;/D&gt;&lt;D xsi:type="xsd:double"&gt;-1.0206878&lt;/D&gt;&lt;D xsi:type="xsd:double"&gt;-5.9762535&lt;/D&gt;&lt;D xsi:type="xsd:double"&gt;-4.710346&lt;/D&gt;&lt;D xsi:type="xsd:double"&gt;-1.655978&lt;/D&gt;&lt;D xsi:type="xsd:double"&gt;-3.7541091&lt;/D&gt;&lt;D xsi:type="xsd:double"&gt;-0.99027157&lt;/D&gt;&lt;D xsi:type="xsd:double"&gt;-7.0352674&lt;/D&gt;&lt;D xsi:type="xsd:double"&gt;-6.80418&lt;/D&gt;&lt;D xsi:type="xsd:double"&gt;-5.5077133&lt;/D&gt;&lt;D xsi:type="xsd:double"&gt;-4.4445696&lt;/D&gt;&lt;D xsi:type="xsd:double"&gt;7.7011347&lt;/D&gt;&lt;D xsi:type="xsd:double"&gt;8.585798&lt;/D&gt;&lt;D xsi:type="xsd:double"&gt;4.703748&lt;/D&gt;&lt;D xsi:type="xsd:double"&gt;0.3637433&lt;/D&gt;&lt;D xsi:type="xsd:double"&gt;2.2880316&lt;/D&gt;&lt;D xsi:type="xsd:double"&gt;-1.6602755&lt;/D&gt;&lt;D xsi:type="xsd:double"&gt;-1.3072312&lt;/D&gt;&lt;D xsi:type="xsd:double"&gt;-3.300625&lt;/D&gt;&lt;D xsi:type="xsd:double"&gt;-2.6557028&lt;/D&gt;&lt;D xsi:type="xsd:double"&gt;-1.6370833&lt;/D&gt;&lt;D xsi:type="xsd:double"&gt;-4.5127273&lt;/D&gt;&lt;D xsi:type="xsd:double"&gt;-5.8589697&lt;/D&gt;&lt;D xsi:type="xsd:double"&gt;-7.029271&lt;/D&gt;&lt;D xsi:type="xsd:double"&gt;-0.4743576&lt;/D&gt;&lt;D xsi:type="xsd:double"&gt;-0.09049177&lt;/D&gt;&lt;D xsi:type="xsd:double"&gt;6.6721797&lt;/D&gt;&lt;D xsi:type="xsd:double"&gt;6.68509&lt;/D&gt;&lt;D xsi:type="xsd:double"&gt;6.3034534&lt;/D&gt;&lt;D xsi:type="xsd:double"&gt;11.229253&lt;/D&gt;&lt;D xsi:type="xsd:double"&gt;12.001896&lt;/D&gt;&lt;D xsi:type="xsd:double"&gt;12.9800205&lt;/D&gt;&lt;D xsi:type="xsd:double"&gt;22.771763&lt;/D&gt;&lt;D xsi:type="xsd:double"&gt;24.304867&lt;/D&gt;&lt;D xsi:type="xsd:double"&gt;25.568342&lt;/D&gt;&lt;D xsi:type="xsd:double"&gt;24.658012&lt;/D&gt;&lt;D xsi:type="xsd:double"&gt;15.689874&lt;/D&gt;&lt;D xsi:type="xsd:double"&gt;19.894016&lt;/D&gt;&lt;D xsi:type="xsd:double"&gt;25.305248&lt;/D&gt;&lt;D xsi:type="xsd:double"&gt;35.906994&lt;/D&gt;&lt;D xsi:type="xsd:double"&gt;42.034042&lt;/D&gt;&lt;D xsi:type="xsd:double"&gt;33.830486&lt;/D&gt;&lt;D xsi:type="xsd:double"&gt;25.163115&lt;/D&gt;&lt;D xsi:type="xsd:double"&gt;31.826174&lt;/D&gt;&lt;D xsi:type="xsd:double"&gt;17.061388&lt;/D&gt;&lt;D xsi:type="xsd:double"&gt;17.985332&lt;/D&gt;&lt;D xsi:type="xsd:double"&gt;15.189468&lt;/D&gt;&lt;D xsi:type="xsd:double"&gt;16.77047&lt;/D&gt;&lt;D xsi:type="xsd:double"&gt;16.523754&lt;/D&gt;&lt;D xsi:type="xsd:double"&gt;10.1282835&lt;/D&gt;&lt;D xsi:type="xsd:double"&gt;-2.8622568&lt;/D&gt;&lt;D xsi:type="xsd:double"&gt;-16.00994&lt;/D&gt;&lt;D xsi:type="xsd:double"&gt;-16.67543&lt;/D&gt;&lt;D xsi:type="xsd:double"&gt;-15.155631&lt;/D&gt;&lt;D xsi:type="xsd:double"&gt;-9.906703&lt;/D&gt;&lt;D xsi:type="xsd:double"&gt;-11.25505&lt;/D&gt;&lt;D xsi:type="xsd:double"&gt;-8.161222&lt;/D&gt;&lt;D xsi:type="xsd:double"&gt;-8.481341&lt;/D&gt;&lt;D xsi:type="xsd:double"&gt;-6.8578424&lt;/D&gt;&lt;D xsi:type="xsd:double"&gt;-8.759719&lt;/D&gt;&lt;D xsi:type="xsd:double"&gt;-3.742987&lt;/D&gt;&lt;D xsi:type="xsd:double"&gt;-3.665632&lt;/D&gt;&lt;D xsi:type="xsd:double"&gt;-2.0828724&lt;/D&gt;&lt;D xsi:type="xsd:double"&gt;-2.8524816&lt;/D&gt;&lt;D xsi:type="xsd:double"&gt;-13.171328&lt;/D&gt;&lt;D xsi:type="xsd:double"&gt;-13.9639435&lt;/D&gt;&lt;D xsi:type="xsd:double"&gt;-19.015556&lt;/D&gt;&lt;D xsi:type="xsd:double"&gt;-19.338726&lt;/D&gt;&lt;D xsi:type="xsd:double"&gt;-24.206459&lt;/D&gt;&lt;D xsi:type="xsd:double"&gt;-27.42415&lt;/D&gt;&lt;D xsi:type="xsd:double"&gt;-33.352238&lt;/D&gt;&lt;D xsi:type="xsd:double"&gt;-27.049578&lt;/D&gt;&lt;D xsi:type="xsd:double"&gt;-29.605902&lt;/D&gt;&lt;D xsi:type="xsd:double"&gt;-24.686981&lt;/D&gt;&lt;D xsi:type="xsd:double"&gt;-23.315275&lt;/D&gt;&lt;D xsi:type="xsd:double"&gt;-17.002314&lt;/D&gt;&lt;D xsi:type="xsd:double"&gt;-11.223966&lt;/D&gt;&lt;D xsi:type="xsd:double"&gt;-10.924524&lt;/D&gt;&lt;D xsi:type="xsd:double"&gt;-6.8849564&lt;/D&gt;&lt;D xsi:type="xsd:double"&gt;-10.185003&lt;/D&gt;&lt;D xsi:type="xsd:double"&gt;-12.13426&lt;/D&gt;&lt;D xsi:type="xsd:double"&gt;-10.427189&lt;/D&gt;&lt;D xsi:type="xsd:double"&gt;-6.672168&lt;/D&gt;&lt;D xsi:type="xsd:double"&gt;-7.485175&lt;/D&gt;&lt;D xsi:type="xsd:double"&gt;-1.7207444&lt;/D&gt;&lt;D xsi:type="xsd:double"&gt;-8.0775795&lt;/D&gt;&lt;/FQL&gt;&lt;FQL&gt;&lt;Q&gt;SPY^P_PRICE_RETURNS_PR('52W',2,-10AY,0,AM)&lt;/Q&gt;&lt;R&gt;121&lt;/R&gt;&lt;C&gt;1&lt;/C&gt;&lt;D xsi:type="xsd:double"&gt;24.844086&lt;/D&gt;&lt;D xsi:type="xsd:double"&gt;24.718678&lt;/D&gt;&lt;D xsi:type="xsd:double"&gt;23.05994&lt;/D&gt;&lt;D xsi:type="xsd:double"&gt;21.199953&lt;/D&gt;&lt;D xsi:type="xsd:double"&gt;17.369461&lt;/D&gt;&lt;D xsi:type="xsd:double"&gt;25.561655&lt;/D&gt;&lt;D xsi:type="xsd:double"&gt;19.750023&lt;/D&gt;&lt;D xsi:type="xsd:double"&gt;22.308804&lt;/D&gt;&lt;D xsi:type="xsd:double"&gt;18.78822&lt;/D&gt;&lt;D xsi:type="xsd:double"&gt;13.832259&lt;/D&gt;&lt;D xsi:type="xsd:double"&gt;17.11147&lt;/D&gt;&lt;D xsi:type="xsd:double"&gt;16.039192&lt;/D&gt;&lt;D xsi:type="xsd:double"&gt;14.32358&lt;/D&gt;&lt;D xsi:type="xsd:double"&gt;17.098736&lt;/D&gt;&lt;D xsi:type="xsd:double"&gt;14.983475&lt;/D&gt;&lt;D xsi:type="xsd:double"&gt;14.847636&lt;/D&gt;&lt;D xsi:type="xsd:double"&gt;14.535368&lt;/D&gt;&lt;D xsi:type="xsd:double"&gt;10.374605&lt;/D&gt;&lt;D xsi:type="xsd:double"&gt;7.8862786&lt;/D&gt;&lt;D xsi:type="xsd:double"&gt;1.0070086&lt;/D&gt;&lt;D xsi:type="xsd:double"&gt;-0.24779439&lt;/D&gt;&lt;D xsi:type="xsd:double"&gt;8.608699&lt;/D&gt;&lt;D xsi:type="xsd:double"&gt;3.2042265&lt;/D&gt;&lt;D xsi:type="xsd:double"&gt;1.2313843&lt;/D&gt;&lt;D xsi:type="xsd:double"&gt;-5.635345&lt;/D&gt;&lt;D xsi:type="xsd:double"&gt;-7.047987&lt;/D&gt;&lt;D xsi:type="xsd:double"&gt;-1.1495948&lt;/D&gt;&lt;D xsi:type="xsd:double"&gt;1.3486743&lt;/D&gt;&lt;D xsi:type="xsd:double"&gt;-1.5776515&lt;/D&gt;&lt;D xsi:type="xsd:double"&gt;1.5951395&lt;/D&gt;&lt;D xsi:type="xsd:double"&gt;5.025792&lt;/D&gt;&lt;D xsi:type="xsd:double"&gt;13.222111&lt;/D&gt;&lt;D xsi:type="xsd:double"&gt;13.981509&lt;/D&gt;&lt;D xsi:type="xsd:double"&gt;8.305502&lt;/D&gt;&lt;D xsi:type="xsd:double"&gt;7.849157&lt;/D&gt;&lt;D xsi:type="xsd:double"&gt;11.9133835&lt;/D&gt;&lt;D xsi:type="xsd:double"&gt;21.254147&lt;/D&gt;&lt;D xsi:type="xsd:double"&gt;25.584816&lt;/D&gt;&lt;D xsi:type="xsd:double"&gt;17.55278&lt;/D&gt;&lt;D xsi:type="xsd:double"&gt;14.585662&lt;/D&gt;&lt;D xsi:type="xsd:double"&gt;19.400978&lt;/D&gt;&lt;D xsi:type="xsd:double"&gt;17.679989&lt;/D&gt;&lt;D xsi:type="xsd:double"&gt;16.480946&lt;/D&gt;&lt;D xsi:type="xsd:double"&gt;13.960945&lt;/D&gt;&lt;D xsi:type="xsd:double"&gt;17.179321&lt;/D&gt;&lt;D xsi:type="xsd:double"&gt;22.111916&lt;/D&gt;&lt;D xsi:type="xsd:double"&gt;20.146406&lt;/D&gt;&lt;D xsi:type="xsd:double"&gt;20.995378&lt;/D&gt;&lt;D xsi:type="xsd:double"&gt;27.69643&lt;/D&gt;&lt;D xsi:type="xsd:double"&gt;18.439781&lt;/D&gt;&lt;D xsi:type="xsd:double"&gt;12.362469&lt;/D&gt;&lt;D xsi:type="xsd:double"&gt;15.795267&lt;/D&gt;&lt;D xsi:type="xsd:double"&gt;16.043865&lt;/D&gt;&lt;D xsi:type="xsd:double"&gt;15.245974&lt;/D&gt;&lt;D xsi:type="xsd:double"&gt;15.612912&lt;/D&gt;&lt;D xsi:type="xsd:double"&gt;19.038033&lt;/D&gt;&lt;D xsi:type="xsd:double"&gt;19.214594&lt;/D&gt;&lt;D xsi:type="xsd:double"&gt;8.779216&lt;/D&gt;&lt;D xsi:type="xsd:double"&gt;3.1897545&lt;/D&gt;&lt;D xsi:type="xsd:double"&gt;-8.325476&lt;/D&gt;&lt;D xsi:type="xsd:double"&gt;-5.2395287&lt;/D&gt;&lt;D xsi:type="xsd:double"&gt;5.206275&lt;/D&gt;&lt;D xsi:type="xsd:double"&gt;7.97534&lt;/D&gt;&lt;D xsi:type="xsd:double"&gt;12.013542&lt;/D&gt;&lt;D xsi:type="xsd:double"&gt;5.225706&lt;/D&gt;&lt;D xsi:type="xsd:double"&gt;9.337902&lt;/D&gt;&lt;D xsi:type="xsd:double"&gt;9.207069&lt;/D&gt;&lt;D xsi:type="xsd:double"&gt;1.6537428&lt;/D&gt;&lt;D xsi:type="xsd:double"&gt;4.1731&lt;/D&gt;&lt;D xsi:type="xsd:double"&gt;11.793577&lt;/D&gt;&lt;D xsi:type="xsd:double"&gt;19.68156&lt;/D&gt;&lt;D xsi:type="xsd:double"&gt;35.97728&lt;/D&gt;&lt;D xsi:type="xsd:double"&gt;28.315533&lt;/D&gt;&lt;D xsi:type="xsd:double"&gt;22.481882&lt;/D&gt;&lt;D xsi:type="xsd:double"&gt;-18.508112&lt;/D&gt;&lt;D xsi:type="xsd:double"&gt;-2.7389228&lt;/D&gt;&lt;D xsi:type="xsd:double"&gt;5.576086&lt;/D&gt;&lt;D xsi:type="xsd:double"&gt;8.289289&lt;/D&gt;&lt;D xsi:type="xsd:double"&gt;9.822834&lt;/D&gt;&lt;D xsi:type="xsd:double"&gt;18.43258&lt;/D&gt;&lt;D xsi:type="xsd:double"&gt;10.318971&lt;/D&gt;&lt;D xsi:type="xsd:double"&gt;17.572712&lt;/D&gt;&lt;D xsi:type="xsd:double"&gt;17.213356&lt;/D&gt;&lt;D xsi:type="xsd:double"&gt;16.607285&lt;/D&gt;&lt;D xsi:type="xsd:double"&gt;17.754364&lt;/D&gt;&lt;D xsi:type="xsd:double"&gt;18.410456&lt;/D&gt;&lt;D xsi:type="xsd:double"&gt;77.52148&lt;/D&gt;&lt;D xsi:type="xsd:double"&gt;51.73557&lt;/D&gt;&lt;D xsi:type="xsd:double"&gt;42.98512&lt;/D&gt;&lt;D xsi:type="xsd:double"&gt;37.459816&lt;/D&gt;&lt;D xsi:type="xsd:double"&gt;38.265907&lt;/D&gt;&lt;D xsi:type="xsd:double"&gt;33.72613&lt;/D&gt;&lt;D xsi:type="xsd:double"&gt;39.309193&lt;/D&gt;&lt;D xsi:type="xsd:double"&gt;33.353127&lt;/D&gt;&lt;D xsi:type="xsd:double"&gt;32.834995&lt;/D&gt;&lt;D xsi:type="xsd:double"&gt;29.753077&lt;/D&gt;&lt;D xsi:type="xsd:double"&gt;15.520096&lt;/D&gt;&lt;D xsi:type="xsd:double"&gt;10.35577&lt;/D&gt;&lt;D xsi:type="xsd:double"&gt;15.450454&lt;/D&gt;&lt;D xsi:type="xsd:double"&gt;4.7091246&lt;/D&gt;&lt;D xsi:type="xsd:double"&gt;-3.0755103&lt;/D&gt;&lt;D xsi:type="xsd:double"&gt;-9.264517&lt;/D&gt;&lt;D xsi:type="xsd:double"&gt;-7.977581&lt;/D&gt;&lt;D xsi:type="xsd:double"&gt;-6.4913454&lt;/D&gt;&lt;D xsi:type="xsd:double"&gt;-15.715801&lt;/D&gt;&lt;D xsi:type="xsd:double"&gt;-16.231209&lt;/D&gt;&lt;D xsi:type="xsd:double"&gt;-12.7440815&lt;/D&gt;&lt;D xsi:type="xsd:double"&gt;-17.30991&lt;/D&gt;&lt;D xsi:type="xsd:double"&gt;-7.0396185&lt;/D&gt;&lt;D xsi:type="xsd:double"&gt;-3.5008073&lt;/D&gt;&lt;D xsi:type="xsd:double"&gt;-9.896153&lt;/D&gt;&lt;D xsi:type="xsd:double"&gt;-4.297203&lt;/D&gt;&lt;D xsi:type="xsd:double"&gt;6.106484&lt;/D&gt;&lt;D xsi:type="xsd:double"&gt;16.47594&lt;/D&gt;&lt;D xsi:type="xsd:double"&gt;15.2565365&lt;/D&gt;&lt;D xsi:type="xsd:double"&gt;9.2108135&lt;/D&gt;&lt;D xsi:type="xsd:double"&gt;16.84699&lt;/D&gt;&lt;D xsi:type="xsd:double"&gt;14.121771&lt;/D&gt;&lt;D xsi:type="xsd:double"&gt;15.592897&lt;/D&gt;&lt;D xsi:type="xsd:double"&gt;26.31365&lt;/D&gt;&lt;D xsi:type="xsd:double"&gt;22.877193&lt;/D&gt;&lt;/FQL&gt;&lt;FQL&gt;&lt;Q&gt;EWJ^FG_TOTAL_RETURNC(-10AY,0,AM)&lt;/Q&gt;&lt;R&gt;121&lt;/R&gt;&lt;C&gt;1&lt;/C&gt;&lt;D xsi:type="xsd:double"&gt;-0.5033612&lt;/D&gt;&lt;D xsi:type="xsd:double"&gt;-2.9510915&lt;/D&gt;&lt;D xsi:type="xsd:double"&gt;-5.4735003&lt;/D&gt;&lt;D xsi:type="xsd:double"&gt;2.2977948&lt;/D&gt;&lt;D xsi:type="xsd:double"&gt;2.3360252&lt;/D&gt;&lt;D xsi:type="xsd:double"&gt;6.1457396&lt;/D&gt;&lt;D xsi:type="xsd:double"&gt;1.184094&lt;/D&gt;&lt;D xsi:type="xsd:double"&gt;-1.8930018&lt;/D&gt;&lt;D xsi:type="xsd:double"&gt;-1.1744976&lt;/D&gt;&lt;D xsi:type="xsd:double"&gt;-4.753816&lt;/D&gt;&lt;D xsi:type="xsd:double"&gt;3.6987543&lt;/D&gt;&lt;D xsi:type="xsd:double"&gt;-0.5786419&lt;/D&gt;&lt;D xsi:type="xsd:double"&gt;-0.3478229&lt;/D&gt;&lt;D xsi:type="xsd:double"&gt;6.9808006&lt;/D&gt;&lt;D xsi:type="xsd:double"&gt;4.9755216&lt;/D&gt;&lt;D xsi:type="xsd:double"&gt;3.0303001&lt;/D&gt;&lt;D xsi:type="xsd:double"&gt;0.1508236&lt;/D&gt;&lt;D xsi:type="xsd:double"&gt;-0.60240626&lt;/D&gt;&lt;D xsi:type="xsd:double"&gt;-2.0080864&lt;/D&gt;&lt;D xsi:type="xsd:double"&gt;-7.381505&lt;/D&gt;&lt;D xsi:type="xsd:double"&gt;-4.2785225&lt;/D&gt;&lt;D xsi:type="xsd:double"&gt;9.64067&lt;/D&gt;&lt;D xsi:type="xsd:double"&gt;0.3996849&lt;/D&gt;&lt;D xsi:type="xsd:double"&gt;-1.5977323&lt;/D&gt;&lt;D xsi:type="xsd:double"&gt;-7.986963&lt;/D&gt;&lt;D xsi:type="xsd:double"&gt;-4.074401&lt;/D&gt;&lt;D xsi:type="xsd:double"&gt;5.447829&lt;/D&gt;&lt;D xsi:type="xsd:double"&gt;6.917691&lt;/D&gt;&lt;D xsi:type="xsd:double"&gt;-5.2416086&lt;/D&gt;&lt;D xsi:type="xsd:double"&gt;3.058529&lt;/D&gt;&lt;D xsi:type="xsd:double"&gt;0.25359392&lt;/D&gt;&lt;D xsi:type="xsd:double"&gt;4.384494&lt;/D&gt;&lt;D xsi:type="xsd:double"&gt;2.1001577&lt;/D&gt;&lt;D xsi:type="xsd:double"&gt;-0.55380464&lt;/D&gt;&lt;D xsi:type="xsd:double"&gt;-0.73587894&lt;/D&gt;&lt;D xsi:type="xsd:double"&gt;0.8687973&lt;/D&gt;&lt;D xsi:type="xsd:double"&gt;1.5273333&lt;/D&gt;&lt;D xsi:type="xsd:double"&gt;2.1971464&lt;/D&gt;&lt;D xsi:type="xsd:double"&gt;-0.1549542&lt;/D&gt;&lt;D xsi:type="xsd:double"&gt;-0.17458797&lt;/D&gt;&lt;D xsi:type="xsd:double"&gt;3.16751&lt;/D&gt;&lt;D xsi:type="xsd:double"&gt;2.4640918&lt;/D&gt;&lt;D xsi:type="xsd:double"&gt;0.57353973&lt;/D&gt;&lt;D xsi:type="xsd:double"&gt;0.18395185&lt;/D&gt;&lt;D xsi:type="xsd:double"&gt;1.7811298&lt;/D&gt;&lt;D xsi:type="xsd:double"&gt;4.023087&lt;/D&gt;&lt;D xsi:type="xsd:double"&gt;3.2951832&lt;/D&gt;&lt;D xsi:type="xsd:double"&gt;1.4306426&lt;/D&gt;&lt;D xsi:type="xsd:double"&gt;7.465422&lt;/D&gt;&lt;D xsi:type="xsd:double"&gt;-4.388273&lt;/D&gt;&lt;D xsi:type="xsd:double"&gt;-5.481678&lt;/D&gt;&lt;D xsi:type="xsd:double"&gt;3.9979458&lt;/D&gt;&lt;D xsi:type="xsd:double"&gt;0.14848709&lt;/D&gt;&lt;D xsi:type="xsd:double"&gt;-2.238679&lt;/D&gt;&lt;D xsi:type="xsd:double"&gt;-0.6793499&lt;/D&gt;&lt;D xsi:type="xsd:double"&gt;-1.8296838&lt;/D&gt;&lt;D xsi:type="xsd:double"&gt;4.581082&lt;/D&gt;&lt;D xsi:type="xsd:double"&gt;-7.3117914&lt;/D&gt;&lt;D xsi:type="xsd:double"&gt;-2.821201&lt;/D&gt;&lt;D xsi:type="xsd:double"&gt;-7.460886&lt;/D&gt;&lt;D xsi:type="xsd:double"&gt;6.786144&lt;/D&gt;&lt;D xsi:type="xsd:double"&gt;3.111446&lt;/D&gt;&lt;D xsi:type="xsd:double"&gt;-0.73153377&lt;/D&gt;&lt;D xsi:type="xsd:double"&gt;2.1739125&lt;/D&gt;&lt;D xsi:type="xsd:double"&gt;-4.5618415&lt;/D&gt;&lt;D xsi:type="xsd:double"&gt;3.8248062&lt;/D&gt;&lt;D xsi:type="xsd:double"&gt;1.3404369&lt;/D&gt;&lt;D xsi:type="xsd:double"&gt;-4.348612&lt;/D&gt;&lt;D xsi:type="xsd:double"&gt;7.7666163&lt;/D&gt;&lt;D xsi:type="xsd:double"&gt;2.1093369&lt;/D&gt;&lt;D xsi:type="xsd:double"&gt;2.5477648&lt;/D&gt;&lt;D xsi:type="xsd:double"&gt;1.5272975&lt;/D&gt;&lt;D xsi:type="xsd:double"&gt;-0.016736984&lt;/D&gt;&lt;D xsi:type="xsd:double"&gt;-5.237615&lt;/D&gt;&lt;D xsi:type="xsd:double"&gt;-21.172523&lt;/D&gt;&lt;D xsi:type="xsd:double"&gt;13.127243&lt;/D&gt;&lt;D xsi:type="xsd:double"&gt;4.29703&lt;/D&gt;&lt;D xsi:type="xsd:double"&gt;8.246565&lt;/D&gt;&lt;D xsi:type="xsd:double"&gt;-1.1845887&lt;/D&gt;&lt;D xsi:type="xsd:double"&gt;3.0774713&lt;/D&gt;&lt;D xsi:type="xsd:double"&gt;2.2391915&lt;/D&gt;&lt;D xsi:type="xsd:double"&gt;0.6791115&lt;/D&gt;&lt;D xsi:type="xsd:double"&gt;9.241152&lt;/D&gt;&lt;D xsi:type="xsd:double"&gt;2.3755193&lt;/D&gt;&lt;D xsi:type="xsd:double"&gt;4.8138022&lt;/D&gt;&lt;D xsi:type="xsd:double"&gt;2.556336&lt;/D&gt;&lt;D xsi:type="xsd:double"&gt;-2.5911927&lt;/D&gt;&lt;D xsi:type="xsd:double"&gt;-0.101196766&lt;/D&gt;&lt;D xsi:type="xsd:double"&gt;-1.6931951&lt;/D&gt;&lt;D xsi:type="xsd:double"&gt;0.12601614&lt;/D&gt;&lt;D xsi:type="xsd:double"&gt;0.5183697&lt;/D&gt;&lt;D xsi:type="xsd:double"&gt;-0.4862249&lt;/D&gt;&lt;D xsi:type="xsd:double"&gt;7.9508424&lt;/D&gt;&lt;D xsi:type="xsd:double"&gt;-6.158286&lt;/D&gt;&lt;D xsi:type="xsd:double"&gt;1.7684817&lt;/D&gt;&lt;D xsi:type="xsd:double"&gt;-1.9174039&lt;/D&gt;&lt;D xsi:type="xsd:double"&gt;-3.8427353&lt;/D&gt;&lt;D xsi:type="xsd:double"&gt;-3.6105514&lt;/D&gt;&lt;D xsi:type="xsd:double"&gt;-0.64030886&lt;/D&gt;&lt;D xsi:type="xsd:double"&gt;-8.313197&lt;/D&gt;&lt;D xsi:type="xsd:double"&gt;1.2827277&lt;/D&gt;&lt;D xsi:type="xsd:double"&gt;-7.746041&lt;/D&gt;&lt;D xsi:type="xsd:double"&gt;3.8739085&lt;/D&gt;&lt;D xsi:type="xsd:double"&gt;0.8957863&lt;/D&gt;&lt;D xsi:type="xsd:double"&gt;-9.331399&lt;/D&gt;&lt;D xsi:type="xsd:double"&gt;-1.4988005&lt;/D&gt;&lt;D xsi:type="xsd:double"&gt;12.761211&lt;/D&gt;&lt;D xsi:type="xsd:double"&gt;-1.2383521&lt;/D&gt;&lt;D xsi:type="xsd:double"&gt;5.331385&lt;/D&gt;&lt;D xsi:type="xsd:double"&gt;-2.132082&lt;/D&gt;&lt;D xsi:type="xsd:double"&gt;0.885582&lt;/D&gt;&lt;D xsi:type="xsd:double"&gt;3.599012&lt;/D&gt;&lt;D xsi:type="xsd:double"&gt;2.2708058&lt;/D&gt;&lt;D xsi:type="xsd:double"&gt;1.640451&lt;/D&gt;&lt;D xsi:type="xsd:double"&gt;2.4626493&lt;/D&gt;&lt;D xsi:type="xsd:double"&gt;-3.140521&lt;/D&gt;&lt;D xsi:type="xsd:double"&gt;2.233243&lt;/D&gt;&lt;D xsi:type="xsd:double"&gt;-6.1650457&lt;/D&gt;&lt;D xsi:type="xsd:double"&gt;7.7599525&lt;/D&gt;&lt;D xsi:type="xsd:double"&gt;2.772665&lt;/D&gt;&lt;D xsi:type="xsd:double"&gt;4.358113&lt;/D&gt;&lt;/FQL&gt;&lt;FQL&gt;&lt;Q&gt;QQQ^FG_TOTAL_RETURNC(-10AY,0,AM)&lt;/Q&gt;&lt;R&gt;121&lt;/R&gt;&lt;C&gt;1&lt;/C&gt;&lt;D xsi:type="xsd:double"&gt;1.2241125&lt;/D&gt;&lt;D xsi:type="xsd:double"&gt;1.638782&lt;/D&gt;&lt;D xsi:type="xsd:double"&gt;-0.395751&lt;/D&gt;&lt;D xsi:type="xsd:double"&gt;-2.5168538&lt;/D&gt;&lt;D xsi:type="xsd:double"&gt;3.596127&lt;/D&gt;&lt;D xsi:type="xsd:double"&gt;3.514862&lt;/D&gt;&lt;D xsi:type="xsd:double"&gt;4.781759&lt;/D&gt;&lt;D xsi:type="xsd:double"&gt;1.8749952&lt;/D&gt;&lt;D xsi:type="xsd:double"&gt;-0.0353992&lt;/D&gt;&lt;D xsi:type="xsd:double"&gt;-0.97185373&lt;/D&gt;&lt;D xsi:type="xsd:double"&gt;6.1848283&lt;/D&gt;&lt;D xsi:type="xsd:double"&gt;0.6993294&lt;/D&gt;&lt;D xsi:type="xsd:double"&gt;0.04798174&lt;/D&gt;&lt;D xsi:type="xsd:double"&gt;4.085934&lt;/D&gt;&lt;D xsi:type="xsd:double"&gt;0.043845177&lt;/D&gt;&lt;D xsi:type="xsd:double"&gt;0.6831646&lt;/D&gt;&lt;D xsi:type="xsd:double"&gt;1.2928724&lt;/D&gt;&lt;D xsi:type="xsd:double"&gt;0.5216241&lt;/D&gt;&lt;D xsi:type="xsd:double"&gt;1.2726784&lt;/D&gt;&lt;D xsi:type="xsd:double"&gt;-8.734399&lt;/D&gt;&lt;D xsi:type="xsd:double"&gt;1.9893885&lt;/D&gt;&lt;D xsi:type="xsd:double"&gt;8.254946&lt;/D&gt;&lt;D xsi:type="xsd:double"&gt;1.2147546&lt;/D&gt;&lt;D xsi:type="xsd:double"&gt;-1.041621&lt;/D&gt;&lt;D xsi:type="xsd:double"&gt;-7.8501043&lt;/D&gt;&lt;D xsi:type="xsd:double"&gt;-2.1104336&lt;/D&gt;&lt;D xsi:type="xsd:double"&gt;5.874574&lt;/D&gt;&lt;D xsi:type="xsd:double"&gt;1.6320109&lt;/D&gt;&lt;D xsi:type="xsd:double"&gt;-2.431643&lt;/D&gt;&lt;D xsi:type="xsd:double"&gt;2.5700927&lt;/D&gt;&lt;D xsi:type="xsd:double"&gt;4.486537&lt;/D&gt;&lt;D xsi:type="xsd:double"&gt;3.44038&lt;/D&gt;&lt;D xsi:type="xsd:double"&gt;0.9071708&lt;/D&gt;&lt;D xsi:type="xsd:double"&gt;-0.15211701&lt;/D&gt;&lt;D xsi:type="xsd:double"&gt;0.22852421&lt;/D&gt;&lt;D xsi:type="xsd:double"&gt;1.8043637&lt;/D&gt;&lt;D xsi:type="xsd:double"&gt;2.6206374&lt;/D&gt;&lt;D xsi:type="xsd:double"&gt;5.399263&lt;/D&gt;&lt;D xsi:type="xsd:double"&gt;0.47795773&lt;/D&gt;&lt;D xsi:type="xsd:double"&gt;1.687634&lt;/D&gt;&lt;D xsi:type="xsd:double"&gt;4.9637914&lt;/D&gt;&lt;D xsi:type="xsd:double"&gt;1.7873287&lt;/D&gt;&lt;D xsi:type="xsd:double"&gt;2.0319939&lt;/D&gt;&lt;D xsi:type="xsd:double"&gt;-0.9853542&lt;/D&gt;&lt;D xsi:type="xsd:double"&gt;1.3642788&lt;/D&gt;&lt;D xsi:type="xsd:double"&gt;2.3697376&lt;/D&gt;&lt;D xsi:type="xsd:double"&gt;5.3810716&lt;/D&gt;&lt;D xsi:type="xsd:double"&gt;1.2889504&lt;/D&gt;&lt;D xsi:type="xsd:double"&gt;7.7143073&lt;/D&gt;&lt;D xsi:type="xsd:double"&gt;-0.79051256&lt;/D&gt;&lt;D xsi:type="xsd:double"&gt;-5.588192&lt;/D&gt;&lt;D xsi:type="xsd:double"&gt;2.1323562&lt;/D&gt;&lt;D xsi:type="xsd:double"&gt;4.7624946&lt;/D&gt;&lt;D xsi:type="xsd:double"&gt;3.5942435&lt;/D&gt;&lt;D xsi:type="xsd:double"&gt;2.4184346&lt;/D&gt;&lt;D xsi:type="xsd:double"&gt;0.6905794&lt;/D&gt;&lt;D xsi:type="xsd:double"&gt;1.6095161&lt;/D&gt;&lt;D xsi:type="xsd:double"&gt;-5.5137396&lt;/D&gt;&lt;D xsi:type="xsd:double"&gt;-8.114499&lt;/D&gt;&lt;D xsi:type="xsd:double"&gt;-7.3111&lt;/D&gt;&lt;D xsi:type="xsd:double"&gt;10.20211&lt;/D&gt;&lt;D xsi:type="xsd:double"&gt;6.6234946&lt;/D&gt;&lt;D xsi:type="xsd:double"&gt;3.4671903&lt;/D&gt;&lt;D xsi:type="xsd:double"&gt;6.5804243&lt;/D&gt;&lt;D xsi:type="xsd:double"&gt;-6.3370285&lt;/D&gt;&lt;D xsi:type="xsd:double"&gt;5.7896256&lt;/D&gt;&lt;D xsi:type="xsd:double"&gt;2.995181&lt;/D&gt;&lt;D xsi:type="xsd:double"&gt;-6.047779&lt;/D&gt;&lt;D xsi:type="xsd:double"&gt;4.8410773&lt;/D&gt;&lt;D xsi:type="xsd:double"&gt;0.90289116&lt;/D&gt;&lt;D xsi:type="xsd:double"&gt;4.9994826&lt;/D&gt;&lt;D xsi:type="xsd:double"&gt;5.1715016&lt;/D&gt;&lt;D xsi:type="xsd:double"&gt;6.0337067&lt;/D&gt;&lt;D xsi:type="xsd:double"&gt;2.5290608&lt;/D&gt;&lt;D xsi:type="xsd:double"&gt;-25.81635&lt;/D&gt;&lt;D xsi:type="xsd:double"&gt;23.50111&lt;/D&gt;&lt;D xsi:type="xsd:double"&gt;9.09177&lt;/D&gt;&lt;D xsi:type="xsd:double"&gt;8.537781&lt;/D&gt;&lt;D xsi:type="xsd:double"&gt;3.6851048&lt;/D&gt;&lt;D xsi:type="xsd:double"&gt;9.247696&lt;/D&gt;&lt;D xsi:type="xsd:double"&gt;-6.1470213&lt;/D&gt;&lt;D xsi:type="xsd:double"&gt;7.7907324&lt;/D&gt;&lt;D xsi:type="xsd:double"&gt;1.9842744&lt;/D&gt;&lt;D xsi:type="xsd:double"&gt;6.325972&lt;/D&gt;&lt;D xsi:type="xsd:double"&gt;5.58728&lt;/D&gt;&lt;D xsi:type="xsd:double"&gt;-1.2107432&lt;/D&gt;&lt;D xsi:type="xsd:double"&gt;-1.2028873&lt;/D&gt;&lt;D xsi:type="xsd:double"&gt;6.9983006&lt;/D&gt;&lt;D xsi:type="xsd:double"&gt;-3.6562383&lt;/D&gt;&lt;D xsi:type="xsd:double"&gt;6.4617753&lt;/D&gt;&lt;D xsi:type="xsd:double"&gt;5.8837175&lt;/D&gt;&lt;D xsi:type="xsd:double"&gt;1.3661027&lt;/D&gt;&lt;D xsi:type="xsd:double"&gt;0.046122074&lt;/D&gt;&lt;D xsi:type="xsd:double"&gt;0.3002882&lt;/D&gt;&lt;D xsi:type="xsd:double"&gt;6.249666&lt;/D&gt;&lt;D xsi:type="xsd:double"&gt;-0.011980534&lt;/D&gt;&lt;D xsi:type="xsd:double"&gt;-11.395246&lt;/D&gt;&lt;D xsi:type="xsd:double"&gt;-6.3322783&lt;/D&gt;&lt;D xsi:type="xsd:double"&gt;6.9351673&lt;/D&gt;&lt;D xsi:type="xsd:double"&gt;-7.512146&lt;/D&gt;&lt;D xsi:type="xsd:double"&gt;-9.809458&lt;/D&gt;&lt;D xsi:type="xsd:double"&gt;-2.7584672&lt;/D&gt;&lt;D xsi:type="xsd:double"&gt;6.017196&lt;/D&gt;&lt;D xsi:type="xsd:double"&gt;4.0100694&lt;/D&gt;&lt;D xsi:type="xsd:double"&gt;-12.129617&lt;/D&gt;&lt;D xsi:type="xsd:double"&gt;-0.032663345&lt;/D&gt;&lt;D xsi:type="xsd:double"&gt;4.8652887&lt;/D&gt;&lt;D xsi:type="xsd:double"&gt;-7.2053194&lt;/D&gt;&lt;D xsi:type="xsd:double"&gt;8.078993&lt;/D&gt;&lt;D xsi:type="xsd:double"&gt;2.7201056&lt;/D&gt;&lt;D xsi:type="xsd:double"&gt;4.5172334&lt;/D&gt;&lt;D xsi:type="xsd:double"&gt;2.214682&lt;/D&gt;&lt;D xsi:type="xsd:double"&gt;5.290425&lt;/D&gt;&lt;D xsi:type="xsd:double"&gt;8.902681&lt;/D&gt;&lt;D xsi:type="xsd:double"&gt;3.6106348&lt;/D&gt;&lt;D xsi:type="xsd:double"&gt;-1.7357528&lt;/D&gt;&lt;D xsi:type="xsd:double"&gt;-2.8942108&lt;/D&gt;&lt;D xsi:type="xsd:double"&gt;-0.62585473&lt;/D&gt;&lt;D xsi:type="xsd:double"&gt;9.669065&lt;/D&gt;&lt;D xsi:type="xsd:double"&gt;4.904592&lt;/D&gt;&lt;D xsi:type="xsd:double"&gt;3.7519217&lt;/D&gt;&lt;/FQL&gt;&lt;FQL&gt;&lt;Q&gt;EMXC^P_PRICE(0,-200D)&lt;/Q&gt;&lt;R&gt;201&lt;/R&gt;&lt;C&gt;1&lt;/C&gt;&lt;D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xsi:type="xsd:double"&gt;51.19&lt;/D&gt;&lt;D xsi:type="xsd:double"&gt;50.32&lt;/D&gt;&lt;D xsi:type="xsd:double"&gt;50.05&lt;/D&gt;&lt;D xsi:type="xsd:double"&gt;50.14&lt;/D&gt;&lt;D xsi:type="xsd:double"&gt;50.61&lt;/D&gt;&lt;D xsi:type="xsd:double"&gt;50.38&lt;/D&gt;&lt;D xsi:type="xsd:double"&gt;50.26&lt;/D&gt;&lt;D xsi:type="xsd:double"&gt;50.22&lt;/D&gt;&lt;D xsi:type="xsd:double"&gt;49.7&lt;/D&gt;&lt;D xsi:type="xsd:double"&gt;50.02&lt;/D&gt;&lt;D xsi:type="xsd:double"&gt;49.57&lt;/D&gt;&lt;D xsi:type="xsd:double"&gt;49.9&lt;/D&gt;&lt;D xsi:type="xsd:double"&gt;50.33&lt;/D&gt;&lt;D xsi:type="xsd:double"&gt;50.2&lt;/D&gt;&lt;D xsi:type="xsd:double"&gt;50.32&lt;/D&gt;&lt;D xsi:type="xsd:double"&gt;50.32&lt;/D&gt;&lt;D xsi:type="xsd:double"&gt;49.67&lt;/D&gt;&lt;D xsi:type="xsd:double"&gt;49.43&lt;/D&gt;&lt;D xsi:type="xsd:double"&gt;49.45&lt;/D&gt;&lt;D xsi:type="xsd:double"&gt;49.75&lt;/D&gt;&lt;D xsi:type="xsd:double"&gt;49.9&lt;/D&gt;&lt;D xsi:type="xsd:double"&gt;49.67&lt;/D&gt;&lt;D xsi:type="xsd:double"&gt;48.97&lt;/D&gt;&lt;D xsi:type="xsd:double"&gt;48.83&lt;/D&gt;&lt;D xsi:type="xsd:double"&gt;49.6&lt;/D&gt;&lt;D xsi:type="xsd:double"&gt;49.53&lt;/D&gt;&lt;D xsi:type="xsd:double"&gt;49.77&lt;/D&gt;&lt;D xsi:type="xsd:double"&gt;49.715&lt;/D&gt;&lt;D xsi:type="xsd:double"&gt;50.23&lt;/D&gt;&lt;D xsi:type="xsd:double"&gt;50.28&lt;/D&gt;&lt;D xsi:type="xsd:double"&gt;50.4&lt;/D&gt;&lt;D xsi:type="xsd:double"&gt;50.64&lt;/D&gt;&lt;D xsi:type="xsd:double"&gt;50.07&lt;/D&gt;&lt;D xsi:type="xsd:double"&gt;49.99&lt;/D&gt;&lt;D xsi:type="xsd:double"&gt;49.55&lt;/D&gt;&lt;D xsi:type="xsd:double"&gt;49.37&lt;/D&gt;&lt;D xsi:type="xsd:double"&gt;49.36&lt;/D&gt;&lt;/FQL&gt;&lt;FQL&gt;&lt;Q&gt;CPALM-FDS^MAX(FG_PRICE(0,-5AY))&lt;/Q&gt;&lt;R&gt;1&lt;/R&gt;&lt;C&gt;1&lt;/C&gt;&lt;D xsi:type="xsd:double"&gt;8163&lt;/D&gt;&lt;/FQL&gt;&lt;FQL&gt;&lt;Q&gt;W-FDS^FG_PRICE_CHANGE(0,-3AM)&lt;/Q&gt;&lt;R&gt;1&lt;/R&gt;&lt;C&gt;1&lt;/C&gt;&lt;D xsi:type="xsd:double"&gt;1.57513835674756&lt;/D&gt;&lt;/FQL&gt;&lt;FQL&gt;&lt;Q&gt;NI-FDS^MAX(FG_PRICE(0,-5AY))&lt;/Q&gt;&lt;R&gt;1&lt;/R&gt;&lt;C&gt;1&lt;/C&gt;&lt;D xsi:type="xsd:double"&gt;48241&lt;/D&gt;&lt;/FQL&gt;&lt;FQL&gt;&lt;Q&gt;PLATI-FDS^FG_PRICE_CHANGE(0,-3AM)&lt;/Q&gt;&lt;R&gt;1&lt;/R&gt;&lt;C&gt;1&lt;/C&gt;&lt;D xsi:type="xsd:double"&gt;0.331858407079655&lt;/D&gt;&lt;/FQL&gt;&lt;FQL&gt;&lt;Q&gt;COPP-FDS^MAX(FG_PRICE(0,-5AY))&lt;/Q&gt;&lt;R&gt;1&lt;/R&gt;&lt;C&gt;1&lt;/C&gt;&lt;D xsi:type="xsd:double"&gt;4.929&lt;/D&gt;&lt;/FQL&gt;&lt;FQL&gt;&lt;Q&gt;TIOS-FDS^FG_PRICE_CHANGE(0,-3AM)&lt;/Q&gt;&lt;R&gt;1&lt;/R&gt;&lt;C&gt;1&lt;/C&gt;&lt;D xsi:type="xsd:doub</t>
        </r>
      </text>
    </comment>
    <comment ref="A7" authorId="0" shapeId="0" xr:uid="{2E0014BF-9772-4138-B5B2-FCA57FE21AAB}">
      <text>
        <r>
          <rPr>
            <b/>
            <sz val="9"/>
            <color indexed="81"/>
            <rFont val="Tahoma"/>
            <family val="2"/>
          </rPr>
          <t>le"&gt;14.3267201350781&lt;/D&gt;&lt;/FQL&gt;&lt;FQL&gt;&lt;Q&gt;FC0000US^FG_PRICE(0)&lt;/Q&gt;&lt;R&gt;1&lt;/R&gt;&lt;C&gt;1&lt;/C&gt;&lt;D xsi:type="xsd:double"&gt;365.82245&lt;/D&gt;&lt;/FQL&gt;&lt;FQL&gt;&lt;Q&gt;FC0000JP^FG_PRICE(0)&lt;/Q&gt;&lt;R&gt;1&lt;/R&gt;&lt;C&gt;1&lt;/C&gt;&lt;D xsi:type="xsd:double"&gt;171.16547&lt;/D&gt;&lt;/FQL&gt;&lt;FQL&gt;&lt;Q&gt;FC0000AU^FG_PRICE(0)&lt;/Q&gt;&lt;R&gt;1&lt;/R&gt;&lt;C&gt;1&lt;/C&gt;&lt;D xsi:type="xsd:double"&gt;343.8447&lt;/D&gt;&lt;/FQL&gt;&lt;FQL&gt;&lt;Q&gt;EWD^FG_PRICE_MAVG(0,,,,200)&lt;/Q&gt;&lt;R&gt;1&lt;/R&gt;&lt;C&gt;1&lt;/C&gt;&lt;D xsi:type="xsd:double"&gt;35.09175&lt;/D&gt;&lt;/FQL&gt;&lt;FQL&gt;&lt;Q&gt;SPY^FG_PRICE_MAVG(0,,,,200)&lt;/Q&gt;&lt;R&gt;1&lt;/R&gt;&lt;C&gt;1&lt;/C&gt;&lt;D xsi:type="xsd:double"&gt;440.03445&lt;/D&gt;&lt;/FQL&gt;&lt;FQL&gt;&lt;Q&gt;EWL^FG_PRICE_MAVG(0,,,,200)&lt;/Q&gt;&lt;R&gt;1&lt;/R&gt;&lt;C&gt;1&lt;/C&gt;&lt;D xsi:type="xsd:double"&gt;45.95275&lt;/D&gt;&lt;/FQL&gt;&lt;FQL&gt;&lt;Q&gt;EWC^FG_PRICE_MAVG(0,,,,200)&lt;/Q&gt;&lt;R&gt;1&lt;/R&gt;&lt;C&gt;1&lt;/C&gt;&lt;D xsi:type="xsd:double"&gt;34.58745&lt;/D&gt;&lt;/FQL&gt;&lt;FQL&gt;&lt;Q&gt;EWI^FG_COMPANY_NAME&lt;/Q&gt;&lt;R&gt;1&lt;/R&gt;&lt;C&gt;1&lt;/C&gt;&lt;D xsi:type="xsd:string"&gt;iShares MSCI Italy ETF&lt;/D&gt;&lt;/FQL&gt;&lt;FQL&gt;&lt;Q&gt;EWJ^FG_COMPANY_NAME&lt;/Q&gt;&lt;R&gt;1&lt;/R&gt;&lt;C&gt;1&lt;/C&gt;&lt;D xsi:type="xsd:string"&gt;iShares MSCI Japan ETF&lt;/D&gt;&lt;/FQL&gt;&lt;FQL&gt;&lt;Q&gt;EWL^FG_COMPANY_NAME&lt;/Q&gt;&lt;R&gt;1&lt;/R&gt;&lt;C&gt;1&lt;/C&gt;&lt;D xsi:type="xsd:string"&gt;iShares MSCI Switzerland ETF&lt;/D&gt;&lt;/FQL&gt;&lt;FQL&gt;&lt;Q&gt;IWM^FG_TOTAL_RETURNC(0,-6AM)&lt;/Q&gt;&lt;R&gt;1&lt;/R&gt;&lt;C&gt;1&lt;/C&gt;&lt;D xsi:type="xsd:double"&gt;1.6341686&lt;/D&gt;&lt;/FQL&gt;&lt;FQL&gt;&lt;Q&gt;INDA^P_PRICE(0)/P_PRICE_LOW_PR(0,,,USD,,,"PRICE","INTRA","52W")-1&lt;/Q&gt;&lt;R&gt;1&lt;/R&gt;&lt;C&gt;1&lt;/C&gt;&lt;D xsi:type="xsd:double"&gt;0.28902423&lt;/D&gt;&lt;/FQL&gt;&lt;FQL&gt;&lt;Q&gt;VGK^P_PRICE(0)/P_PRICE_HIGH_PR(0,,,USD,,,"PRICE","INTRA","52W")&lt;/Q&gt;&lt;R&gt;1&lt;/R&gt;&lt;C&gt;1&lt;/C&gt;&lt;D xsi:type="xsd:double"&gt;0.96202725&lt;/D&gt;&lt;/FQL&gt;&lt;FQL&gt;&lt;Q&gt;EWD^FG_TOTAL_RETURNC(0,-3AM)&lt;/Q&gt;&lt;R&gt;1&lt;/R&gt;&lt;C&gt;1&lt;/C&gt;&lt;D xsi:type="xsd:double"&gt;19.769882&lt;/D&gt;&lt;/FQL&gt;&lt;FQL&gt;&lt;Q&gt;SPY^P_PRICE(0)/P_PRICE_HIGH_PR(0,,,USD,,,"PRICE","INTRA","52W")&lt;/Q&gt;&lt;R&gt;1&lt;/R&gt;&lt;C&gt;1&lt;/C&gt;&lt;D xsi:type="xsd:double"&gt;0.99925804&lt;/D&gt;&lt;/FQL&gt;&lt;FQL&gt;&lt;Q&gt;EWL^P_PRICE(0)/P_PRICE_LOW_PR(0,,,USD,,,"PRICE","INTRA","52W")-1&lt;/Q&gt;&lt;R&gt;1&lt;/R&gt;&lt;C&gt;1&lt;/C&gt;&lt;D xsi:type="xsd:double"&gt;0.11985564&lt;/D&gt;&lt;/FQL&gt;&lt;FQL&gt;&lt;Q&gt;EWG^FG_TOTAL_RETURNC(0,-6AM)&lt;/Q&gt;&lt;R&gt;1&lt;/R&gt;&lt;C&gt;1&lt;/C&gt;&lt;D xsi:type="xsd:double"&gt;-0.85392&lt;/D&gt;&lt;/FQL&gt;&lt;FQL&gt;&lt;Q&gt;ENZL^P_PRICE(0)/P_PRICE_LOW_PR(0,,,USD,,,"PRICE","INTRA","52W")-1&lt;/Q&gt;&lt;R&gt;1&lt;/R&gt;&lt;C&gt;1&lt;/C&gt;&lt;D xsi:type="xsd:double"&gt;0.12892723&lt;/D&gt;&lt;/FQL&gt;&lt;FQL&gt;&lt;Q&gt;SPY^FMA_PCT_ABOVE_MAVG(200,0,,,,"PORTAGG")&lt;/Q&gt;&lt;R&gt;1&lt;/R&gt;&lt;C&gt;1&lt;/C&gt;&lt;D xsi:type="xsd:double"&gt;68.5258964143426&lt;/D&gt;&lt;/FQL&gt;&lt;FQL&gt;&lt;Q&gt;VGK^PERCENT_CHANGE(FMA_EPS(+1,0,,,,"PORTAGG","MEAN"),FMA_EPS(+1,-3AM,,,,"PORTAGG","MEAN"))&lt;/Q&gt;&lt;R&gt;1&lt;/R&gt;&lt;C&gt;1&lt;/C&gt;&lt;D xsi:type="xsd:double"&gt;2.13111087902791&lt;/D&gt;&lt;/FQL&gt;&lt;FQL&gt;&lt;Q&gt;UUP^P_PRICE(0,-200D)&lt;/Q&gt;&lt;R&gt;201&lt;/R&gt;&lt;C&gt;1&lt;/C&gt;&lt;D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xsi:type="xsd:double"&gt;28.47&lt;/D&gt;&lt;D xsi:type="xsd:double"&gt;28.37&lt;/D&gt;&lt;D xsi:type="xsd:double"&gt;28.29&lt;/D&gt;&lt;D xsi:type="xsd:double"&gt;28.27&lt;/D&gt;&lt;D xsi:type="xsd:double"&gt;28.35&lt;/D&gt;&lt;D xsi:type="xsd:double"&gt;28.14&lt;/D&gt;&lt;D xsi:type="xsd:double"&gt;28.09&lt;/D&gt;&lt;D xsi:type="xsd:double"&gt;28.02&lt;/D&gt;&lt;D xsi:type="xsd:double"&gt;28.1&lt;/D&gt;&lt;D xsi:type="xsd:double"&gt;27.92&lt;/D&gt;&lt;D xsi:type="xsd:double"&gt;27.74&lt;/D&gt;&lt;D xsi:type="xsd:double"&gt;27.79&lt;/D&gt;&lt;D xsi:type="xsd:double"&gt;27.7&lt;/D&gt;&lt;D xsi:type="xsd:double"&gt;27.66&lt;/D&gt;&lt;D xsi:type="xsd:double"&gt;27.7&lt;/D&gt;&lt;D xsi:type="xsd:double"&gt;27.67&lt;/D&gt;&lt;D xsi:type="xsd:double"&gt;27.82&lt;/D&gt;&lt;D xsi:type="xsd:double"&gt;27.89&lt;/D&gt;&lt;D xsi:type="xsd:double"&gt;27.75&lt;/D&gt;&lt;D xsi:type="xsd:double"&gt;27.71&lt;/D&gt;&lt;D xsi:type="xsd:double"&gt;27.7&lt;/D&gt;&lt;D xsi:type="xsd:double"&gt;27.79&lt;/D&gt;&lt;D xsi:type="xsd:double"&gt;27.66&lt;/D&gt;&lt;D xsi:type="xsd:double"&gt;27.75&lt;/D&gt;&lt;D xsi:type="xsd:double"&gt;27.78&lt;/D&gt;&lt;D xsi:type="xsd:double"&gt;27.78&lt;/D&gt;&lt;D xsi:type="xsd:double"&gt;27.72&lt;/D&gt;&lt;D xsi:type="xsd:double"&gt;27.82&lt;/D&gt;&lt;D xsi:type="xsd:double"&gt;27.68&lt;/D&gt;&lt;D xsi:type="xsd:double"&gt;27.52&lt;/D&gt;&lt;D xsi:type="xsd:double"&gt;27.65&lt;/D&gt;&lt;D xsi:type="xsd:double"&gt;27.8&lt;/D&gt;&lt;D xsi:type="xsd:double"&gt;27.9&lt;/D&gt;&lt;D xsi:type="xsd:double"&gt;27.74&lt;/D&gt;&lt;D xsi:type="xsd:double"&gt;27.72&lt;/D&gt;&lt;/FQL&gt;&lt;FQL&gt;&lt;Q&gt;CPALM-FDS^FG_PRICE(0)/MAX(FG_PRICE(0,-1AY))&lt;/Q&gt;&lt;R&gt;1&lt;/R&gt;&lt;C&gt;1&lt;/C&gt;&lt;D xsi:type="xsd:double"&gt;0.907788305985671&lt;/D&gt;&lt;/FQL&gt;&lt;FQL&gt;&lt;Q&gt;W-FDS^FG_PRICE_CHANGE(0,-1AM)&lt;/Q&gt;&lt;R&gt;1&lt;/R&gt;&lt;C&gt;1&lt;/C&gt;&lt;D xsi:type="xsd:double"&gt;-3.20486815415821&lt;/D&gt;&lt;/FQL&gt;&lt;FQL&gt;&lt;Q&gt;NI-FDS^FG_PRICE(0)/MAX(FG_PRICE(0,-1AY))&lt;/Q&gt;&lt;R&gt;1&lt;/R&gt;&lt;C&gt;1&lt;/C&gt;&lt;D xsi:type="xsd:double"&gt;0.532601463739188&lt;/D&gt;&lt;/FQL&gt;&lt;FQL&gt;&lt;Q&gt;PLATI-FDS^FG_PRICE_CHANGE(0,-1AM)&lt;/Q&gt;&lt;R&gt;1&lt;/R&gt;&lt;C&gt;1&lt;/C&gt;&lt;D xsi:type="xsd:double"&gt;-8.10536980749746&lt;/D&gt;&lt;/FQL&gt;&lt;FQL&gt;&lt;Q&gt;COPP-FDS^FG_PRICE(0)/MAX(FG_PRICE(0,-1AY))&lt;/Q&gt;&lt;R&gt;1&lt;/R&gt;&lt;C&gt;1&lt;/C&gt;&lt;D xsi:type="xsd:double"&gt;0.882118584485587&lt;/D&gt;&lt;/FQL&gt;&lt;FQL&gt;&lt;Q&gt;TIOS-FDS^FG_PRICE_CHANGE(0,-1AM)&lt;/Q&gt;&lt;R&gt;1&lt;/R&gt;&lt;C&gt;1&lt;/C&gt;&lt;D xsi:type="xsd:double"&gt;-0.073789846517136&lt;/D&gt;&lt;/FQL&gt;&lt;FQL&gt;&lt;Q&gt;EWD^FG_PRICE_MAVG(0,,,,60)&lt;/Q&gt;&lt;R&gt;1&lt;/R&gt;&lt;C&gt;1&lt;/C&gt;&lt;D xsi:type="xsd:double"&gt;36.270332&lt;/D&gt;&lt;/FQL&gt;&lt;FQL&gt;&lt;Q&gt;SPY^FG_PRICE_MAVG(0,,,,60)&lt;/Q&gt;&lt;R&gt;1&lt;/R&gt;&lt;C&gt;1&lt;/C&gt;&lt;D xsi:type="xsd:double"&gt;458.09317&lt;/D&gt;&lt;/FQL&gt;&lt;FQL&gt;&lt;Q&gt;EWL^FG_PRICE_MAVG(0,,,,60)&lt;/Q&gt;&lt;R&gt;1&lt;/R&gt;&lt;C&gt;1&lt;/C&gt;&lt;D xsi:type="xsd:double"&gt;45.66&lt;/D&gt;&lt;/FQL&gt;&lt;FQL&gt;&lt;Q&gt;EWC^FG_PRICE_MAVG(0,,,,60)&lt;/Q&gt;&lt;R&gt;1&lt;/R&gt;&lt;C&gt;1&lt;/C&gt;&lt;D xsi:type="xsd:double"&gt;34.984165&lt;/D&gt;&lt;/FQL&gt;&lt;FQL&gt;&lt;Q&gt;EWD^FG_COMPANY_NAME&lt;/Q&gt;&lt;R&gt;1&lt;/R&gt;&lt;C&gt;1&lt;/C&gt;&lt;D xsi:type="xsd:string"&gt;iShares MSCI Sweden ETF&lt;/D&gt;&lt;/FQL&gt;&lt;FQL&gt;&lt;Q&gt;EWG^FG_COMPANY_NAME&lt;/Q&gt;&lt;R&gt;1&lt;/R&gt;&lt;C&gt;1&lt;/C&gt;&lt;D xsi:type="xsd:string"&gt;iShares MSCI Germany ETF&lt;/D&gt;&lt;/FQL&gt;&lt;FQL&gt;&lt;Q&gt;IWM^FG_TOTAL_RETURNC(0,-3AM)&lt;/Q&gt;&lt;R&gt;1&lt;/R&gt;&lt;C&gt;1&lt;/C&gt;&lt;D xsi:type="xsd:double"&gt;19.192112&lt;/D&gt;&lt;/FQL&gt;&lt;FQL&gt;&lt;Q&gt;INDA^P_PRICE(0)/P_PRICE_HIGH_PR(0,,,USD,,,"PRICE","INTRA","52W")&lt;/Q&gt;&lt;R&gt;1&lt;/R&gt;&lt;C&gt;1&lt;/C&gt;&lt;D xsi:type="xsd:double"&gt;0.9697211&lt;/D&gt;&lt;/FQL&gt;&lt;FQL&gt;&lt;Q&gt;EWJ^FG_TOTAL_RETURNC(0,-3AM)&lt;/Q&gt;&lt;R&gt;1&lt;/R&gt;&lt;C&gt;1&lt;/C&gt;&lt;D xsi:type="xsd:double"&gt;15.574288&lt;/D&gt;&lt;/FQL&gt;&lt;FQL&gt;&lt;Q&gt;VGK^FG_TOTAL_RETURNC(0,-6AM)&lt;/Q&gt;&lt;R&gt;1&lt;/R&gt;&lt;C&gt;1&lt;/C&gt;&lt;D xsi:type="xsd:double"&gt;-0.38306713&lt;/D&gt;&lt;/FQL&gt;&lt;FQL&gt;&lt;Q&gt;EWN^P_PRICE(0)/P_PRICE_LOW_PR(0,,,USD,,,"PRICE","INTRA","52W")-1&lt;/Q&gt;&lt;R&gt;1&lt;/R&gt;&lt;C&gt;1&lt;/C&gt;&lt;D xsi:type="xsd:double"&gt;0.21851754&lt;/D&gt;&lt;/FQL&gt;&lt;FQL&gt;&lt;Q&gt;SPY^FG_TOTAL_RETURNC(0,-6AM)&lt;/Q&gt;&lt;R&gt;1&lt;/R&gt;&lt;C&gt;1&lt;/C&gt;&lt;D xsi:type="xsd:double"&gt;8.047128&lt;/D&gt;&lt;/FQL&gt;&lt;FQL&gt;&lt;Q&gt;EWG^FG_TOTAL_RETURNC(0,-3AM)&lt;/Q&gt;&lt;R&gt;1&lt;/R&gt;&lt;C&gt;1&lt;/C&gt;&lt;D xsi:type="xsd:double"&gt;14.127803&lt;/D&gt;&lt;/FQL&gt;&lt;FQL&gt;&lt;Q&gt;ENZL^P_PRICE(0)/P_PRICE_HIGH_PR(0,,,USD,,,"PRICE","INTRA","52W")&lt;/Q&gt;&lt;R&gt;1&lt;/R&gt;&lt;C&gt;1&lt;/C&gt;&lt;D xsi:type="xsd:double"&gt;0.8682287&lt;/D&gt;&lt;/FQL&gt;&lt;FQL&gt;&lt;Q&gt;QQQ^PERCENT_CHANGE(FMA_EPS(+1,0,,,,"PORTAGG","MEAN"),FMA_EPS(+1,-1AM,,,,"PORTAGG","MEAN"))&lt;/Q&gt;&lt;R&gt;1&lt;/R&gt;&lt;C&gt;1&lt;/C&gt;&lt;D xsi:type="xsd:double"&gt;0.0138182180655791&lt;/D&gt;&lt;/FQL&gt;&lt;FQL&gt;&lt;Q&gt;EWJ^PERCENT_CHANGE(FMA_EPS(+1,0,,,,"PORTAGG","MEAN"),FMA_EPS(+1,-3AM,,,,"PORTAGG","MEAN"))&lt;/Q&gt;&lt;R&gt;1&lt;/R&gt;&lt;C&gt;1&lt;/C&gt;&lt;D xsi:type="xsd:double"&gt;3.70695813063528&lt;/D&gt;&lt;/FQL&gt;&lt;FQL&gt;&lt;Q&gt;VGK^PERCENT_CHANGE(FMA_EPS(+1,0,,,,"PORTAGG","MEAN"),FMA_EPS(+1,-1AM,,,,"PORTAGG","MEAN"))&lt;/Q&gt;&lt;R&gt;1&lt;/R&gt;&lt;C&gt;1&lt;/C&gt;&lt;D xsi:type="xsd:double"&gt;-0.27959135033297&lt;/D&gt;&lt;/FQL&gt;&lt;FQL&gt;&lt;Q&gt;EWN^FMA_PCT_ABOVE_MAVG(200,0,,,,"PORTAGG")&lt;/Q&gt;&lt;R&gt;1&lt;/R&gt;&lt;C&gt;1&lt;/C&gt;&lt;D xsi:type="xsd:double"&gt;45.2830188679245&lt;/D&gt;&lt;/FQL&gt;&lt;FQL&gt;&lt;Q&gt;EWG^FMA_PCT_ABOVE_MAVG(200,0,,,,"PORTAGG")&lt;/Q&gt;&lt;R&gt;1&lt;/R&gt;&lt;C&gt;1&lt;/C&gt;&lt;D xsi:type="xsd:double"&gt;50.8474576271186&lt;/D&gt;&lt;/FQL&gt;&lt;FQL&gt;&lt;Q&gt;FXI^SIZE(FG_CONSTITUENTS)&lt;/Q&gt;&lt;R&gt;1&lt;/R&gt;&lt;C&gt;1&lt;/C&gt;&lt;D xsi:type="xsd:long"&gt;51&lt;/D&gt;&lt;/FQL&gt;&lt;FQL&gt;&lt;Q&gt;EMXC^FMA_COS_DOWN("EPS","1M",+1,0,,,"PORTAGG","MEANR")&lt;/Q&gt;&lt;R&gt;1&lt;/R&gt;&lt;C&gt;1&lt;/C&gt;&lt;D xsi:type="xsd:double"&gt;273&lt;/D&gt;&lt;/FQL&gt;&lt;FQL&gt;&lt;Q&gt;URTH^SIZE(FG_CONSTITUENTS)&lt;/Q&gt;&lt;R&gt;1&lt;/R&gt;&lt;C&gt;1&lt;/C&gt;&lt;D xsi:type="xsd:long"&gt;1484&lt;/D&gt;&lt;/FQL&gt;&lt;FQL&gt;&lt;Q&gt;VGK^FMA_COS_UP("EPS","1M",+1,0,,,"PORTAGG","MEANR")&lt;/Q&gt;&lt;R&gt;1&lt;/R&gt;&lt;C&gt;1&lt;/C&gt;&lt;D xsi:type="xsd:double"&gt;383&lt;/D&gt;&lt;/FQL&gt;&lt;FQL&gt;&lt;Q&gt;EWQ^SIZE(FG_CONSTITUENTS)&lt;/Q&gt;&lt;R&gt;1&lt;/R&gt;&lt;C&gt;1&lt;/C&gt;&lt;D xsi:type="xsd:long"&gt;63&lt;/D&gt;&lt;/FQL&gt;&lt;FQL&gt;&lt;Q&gt;QQQ^FMA_COS_UP("EPS","1M",+1,0,,,"PORTAGG","MEANR")&lt;/Q&gt;&lt;R&gt;1&lt;/R&gt;&lt;C&gt;1&lt;/C&gt;&lt;D xsi:type="xsd:double"&gt;39&lt;/D&gt;&lt;/FQL&gt;&lt;FQL&gt;&lt;Q&gt;EWG^SIZE(FG_CONSTITUENTS)&lt;/Q&gt;&lt;R&gt;1&lt;/R&gt;&lt;C&gt;1&lt;/C&gt;&lt;D xsi:type="xsd:long"&gt;59&lt;/D&gt;&lt;/FQL&gt;&lt;FQL&gt;&lt;Q&gt;EWA^FMA_COS_UP("EPS","1M",+1,0,,,"PORTAGG","MEANR")&lt;/Q&gt;&lt;R&gt;1&lt;/R&gt;&lt;C&gt;1&lt;/C&gt;&lt;D xsi:type="xsd:double"&gt;26&lt;/D&gt;&lt;/FQL&gt;&lt;FQL&gt;&lt;Q&gt;EWU^FG_COMPANY_NAME&lt;/Q&gt;&lt;R&gt;1&lt;/R&gt;&lt;C&gt;1&lt;/C&gt;&lt;D xsi:type="xsd:string"&gt;iShares MSCI United Kingdom ETF&lt;/D&gt;&lt;/FQL&gt;&lt;FQL&gt;&lt;Q&gt;FXI^FG_TOTAL_RETURNC(0,-6AM)&lt;/Q&gt;&lt;R&gt;1&lt;/R&gt;&lt;C&gt;1&lt;/C&gt;&lt;D xsi:type="xsd:double"&gt;-17.826832&lt;/D&gt;&lt;/FQL&gt;&lt;FQL&gt;&lt;Q&gt;EMXC^FG_TOTAL_RETURNC(0,-6AM)&lt;/Q&gt;&lt;R&gt;1&lt;/R&gt;&lt;C&gt;1&lt;/C&gt;&lt;D xsi:type="xsd:double"&gt;2.2006512&lt;/D&gt;&lt;/FQL&gt;&lt;FQL&gt;&lt;Q&gt;USO^FG_TOTAL_RETURNC(0,-3AM)&lt;/Q&gt;&lt;R&gt;1&lt;/R&gt;&lt;C&gt;1&lt;/C&gt;&lt;D xsi:type="xsd:double"&gt;-11.699831&lt;/D&gt;&lt;/FQL&gt;&lt;FQL&gt;&lt;Q&gt;QQQ^P_PRICE(0)/P_PRICE_HIGH_PR(0,,,USD,,,"PRICE","INTRA","52W")&lt;/Q&gt;&lt;R&gt;1&lt;/R&gt;&lt;C&gt;1&lt;/C&gt;&lt;D xsi:type="xsd:double"&gt;0.9970628&lt;/D&gt;&lt;/FQL&gt;&lt;FQL&gt;&lt;Q&gt;UUP^FG_TOTAL_RETURNC(0,-3AM)&lt;/Q&gt;&lt;R&gt;1&lt;/R&gt;&lt;C&gt;1&lt;/C&gt;&lt;D xsi:type="xsd:double"&gt;-0.4593432&lt;/D&gt;&lt;/FQL&gt;&lt;FQL&gt;&lt;Q&gt;VWO^FG_TOTAL_RETURNC(0,-3AM)&lt;/Q&gt;&lt;R&gt;1&lt;/R&gt;&lt;C&gt;1&lt;/C&gt;&lt;D xsi:type="xsd:double"&gt;6.7972064&lt;/D&gt;&lt;/FQL&gt;&lt;FQL&gt;&lt;Q&gt;EWJ^P_PRICE(0)/P_PRICE_LOW_PR(0,,,USD,,,"PRICE","INTRA","52W")-1&lt;/Q&gt;&lt;R&gt;1&lt;/R&gt;&lt;C&gt;1&lt;/C&gt;&lt;D xsi:type="xsd:double"&gt;0.21143794&lt;/D&gt;&lt;/FQL&gt;&lt;FQL&gt;&lt;Q&gt;DBA^P_PRICE(0)/P_PRICE_HIGH_PR(0,,,USD,,,"PRICE","INTRA","52W")&lt;/Q&gt;&lt;R&gt;1&lt;/R&gt;&lt;C&gt;1&lt;/C&gt;&lt;D xsi:type="xsd:double"&gt;0.9488662&lt;/D&gt;&lt;/FQL&gt;&lt;FQL&gt;&lt;Q&gt;EWI^P_PRICE_RETURNS_PR('52W',2,-10AY,0,AM)&lt;/Q&gt;&lt;R&gt;121&lt;/R&gt;&lt;C&gt;1&lt;/C&gt;&lt;D xsi:type="xsd:double"&gt;15.6317&lt;/D&gt;&lt;D xsi:type="xsd:double"&gt;34.490227&lt;/D&gt;&lt;D xsi:type="xsd:double"&gt;41.124557&lt;/D&gt;&lt;D xsi:type="xsd:double"&gt;43.36375&lt;/D&gt;&lt;D xsi:type="xsd:double"&gt;30.626179&lt;/D&gt;&lt;D xsi:type="xsd:double"&gt;51.27592&lt;/D&gt;&lt;D xsi:type="xsd:double"&gt;33.86668&lt;/D&gt;&lt;D xsi:type="xsd:double"&gt;16.93567&lt;/D&gt;&lt;D xsi:type="xsd:double"&gt;10.7109785&lt;/D&gt;&lt;D xsi:type="xsd:double"&gt;-3.9180338&lt;/D&gt;&lt;D xsi:type="xsd:double"&gt;-0.62915087&lt;/D&gt;&lt;D xsi:type="xsd:double"&gt;-6.280339&lt;/D&gt;&lt;D xsi:type="xsd:double"&gt;-13.612824&lt;/D&gt;&lt;D xsi:type="xsd:double"&gt;-8.418965&lt;/D&gt;&lt;D xsi:type="xsd:double"&gt;-9.615517&lt;/D&gt;&lt;D xsi:type="xsd:double"&gt;-14.112621&lt;/D&gt;&lt;D xsi:type="xsd:double"&gt;-3.1716228&lt;/D&gt;&lt;D xsi:type="xsd:double"&gt;-8.5733529999999991&lt;/D&gt;&lt;D xsi:type="xsd:double"&gt;-5.3614674&lt;/D&gt;&lt;D xsi:type="xsd:double"&gt;-5.003375&lt;/D&gt;&lt;D xsi:type="xsd:double"&gt;-7.4431124&lt;/D&gt;&lt;D xsi:type="xsd:double"&gt;5.8309436&lt;/D&gt;&lt;D xsi:type="xsd:double"&gt;-2.1036446&lt;/D&gt;&lt;D xsi:type="xsd:double"&gt;3.092146&lt;/D&gt;&lt;D xsi:type="xsd:double"&gt;-10.12355&lt;/D&gt;&lt;D xsi:type="xsd:double"&gt;-23.173672&lt;/D&gt;&lt;D xsi:type="xsd:double"&gt;-16.76169&lt;/D&gt;&lt;D xsi:type="xsd:double"&gt;-14.532357&lt;/D&gt;&lt;D xsi:type="xsd:double"&gt;-23.8038&lt;/D&gt;&lt;D xsi:type="xsd:double"&gt;-20.201445&lt;/D&gt;&lt;D xsi:type="xsd:double"&gt;-27.028322&lt;/D&gt;&lt;D xsi:type="xsd:double"&gt;-20.477926&lt;/D&gt;&lt;D xsi:type="xsd:double"&gt;-19.374275&lt;/D&gt;&lt;D xsi:type="xsd:double"&gt;-23.263227&lt;/D&gt;&lt;D xsi:type="xsd:double"&gt;-22.356247&lt;/D&gt;&lt;D xsi:type="xsd:double"&gt;-11.171997&lt;/D&gt;&lt;D xsi:type="xsd:double"&gt;3.9668202&lt;/D&gt;&lt;D xsi:type="xsd:double"&gt;8.663738&lt;/D&gt;&lt;D xsi:type="xsd:double"&gt;8.562696&lt;/D&gt;&lt;D xsi:type="xsd:double"&gt;3.4668326&lt;/D&gt;&lt;D xsi:type="xsd:double"&gt;26.35535&lt;/D&gt;&lt;D xsi:type="xsd:double"&gt;16.185057&lt;/D&gt;&lt;D xsi:type="xsd:double"&gt;36.418987&lt;/D&gt;&lt;D xsi:type="xsd:double"&gt;36.76964&lt;/D&gt;&lt;D xsi:type="xsd:double"&gt;45.06966&lt;/D&gt;&lt;D xsi:type="xsd:double"&gt;40.25172&lt;/D&gt;&lt;D xsi:type="xsd:double"&gt;48.147095&lt;/D&gt;&lt;D xsi:type="xsd:double"&gt;31.971205&lt;/D&gt;&lt;D xsi:type="xsd:double"&gt;41.11754&lt;/D&gt;&lt;D xsi:type="xsd:double"&gt;41.63183&lt;/D&gt;&lt;D xsi:type="xsd:double"&gt;26.813866&lt;/D&gt;&lt;D xsi:type="xsd:double"&gt;39.924576&lt;/D&gt;&lt;D xsi:type="xsd:double"&gt;12.984133&lt;/D&gt;&lt;D xsi:type="xsd:double"&gt;9.498572&lt;/D&gt;&lt;D xsi:type="xsd:double"&gt;3.1917334&lt;/D&gt;&lt;D xsi:type="xsd:double"&gt;-5.5204153&lt;/D&gt;&lt;D xsi:type="xsd:double"&gt;-4.3923974&lt;/D&gt;&lt;D xsi:type="xsd:double"&gt;-14.399367&lt;/D&gt;&lt;D xsi:type="xsd:double"&gt;-16.982126&lt;/D&gt;&lt;D xsi:type="xsd:double"&gt;-18.98328&lt;/D&gt;&lt;D xsi:type="xsd:double"&gt;-21.706373&lt;/D&gt;&lt;D xsi:type="xsd:double"&gt;-13.2368145&lt;/D&gt;&lt;D xsi:type="xsd:double"&gt;-9.347135&lt;/D&gt;&lt;D xsi:type="xsd:double"&gt;-13.572269&lt;/D&gt;&lt;D xsi:type="xsd:double"&gt;-12.694019&lt;/D&gt;&lt;D xsi:type="xsd:double"&gt;0.6480336&lt;/D&gt;&lt;D xsi:type="xsd:double"&gt;1.1945724&lt;/D&gt;&lt;D xsi:type="xsd:double"&gt;-1.5424788&lt;/D&gt;&lt;D xsi:type="xsd:double"&gt;-0.6776273&lt;/D&gt;&lt;D xsi:type="xsd:double"&gt;17.292463&lt;/D&gt;&lt;D xsi:type="xsd:double"&gt;22.958935&lt;/D&gt;&lt;D xsi:type="xsd:double"&gt;29.758953&lt;/D&gt;&lt;D xsi:type="xsd:double"&gt;19.81411&lt;/D&gt;&lt;D xsi:type="xsd:double"&gt;16.861689&lt;/D&gt;&lt;D xsi:type="xsd:double"&gt;-28.792637&lt;/D&gt;&lt;D xsi:type="xsd:double"&gt;-27.052385&lt;/D&gt;&lt;D xsi:type="xsd:double"&gt;-19.51313&lt;/D&gt;&lt;D xsi:type="xsd:double"&gt;-9.412551&lt;/D&gt;&lt;D xsi:type="xsd:double"&gt;-6.121832&lt;/D&gt;&lt;D xsi:type="xsd:double"&gt;-0.7678807&lt;/D&gt;&lt;D xsi:type="xsd:double"&gt;-11.102873&lt;/D&gt;&lt;D xsi:type="xsd:double"&gt;-10.412902&lt;/D&gt;&lt;D xsi:type="xsd:double"&gt;-1.7793834&lt;/D&gt;&lt;D xsi:type="xsd:double"&gt;1.0918021&lt;/D&gt;&lt;D xsi:type="xsd:double"&gt;1.7071605&lt;/D&gt;&lt;D xsi:type="xsd:double"&gt;3.8347602&lt;/D&gt;&lt;D xsi:type="xsd:double"&gt;67.43745&lt;/D&gt;&lt;D xsi:type="xsd:double"&gt;65.2995&lt;/D&gt;&lt;D xsi:type="xsd:double"&gt;63.216187&lt;/D&gt;&lt;D xsi:type="xsd:double"&gt;34.800957&lt;/D&gt;&lt;D xsi:type="xsd:double"&gt;26.188923&lt;/D&gt;&lt;D xsi:type="xsd:double"&gt;31.054592&lt;/D&gt;&lt;D xsi:type="xsd:double"&gt;38.90034&lt;/D&gt;&lt;D xsi:type="xsd:double"&gt;38.00423&lt;/D&gt;&lt;D xsi:type="xsd:double"&gt;19.590927&lt;/D&gt;&lt;D xsi:type="xsd:double"&gt;13.146055&lt;/D&gt;&lt;D xsi:type="xsd:double"&gt;11.726928&lt;/D&gt;&lt;D xsi:type="xsd:double"&gt;5.7786345&lt;/D&gt;&lt;D xsi:type="xsd:double"&gt;-5.4049373&lt;/D&gt;&lt;D xsi:type="xsd:double"&gt;-8.480674&lt;/D&gt;&lt;D xsi:type="xsd:double"&gt;-12.616146&lt;/D&gt;&lt;D xsi:type="xsd:double"&gt;-21.33972&lt;/D&gt;&lt;D xsi:type="xsd:double"&gt;-23.823154&lt;/D&gt;&lt;D xsi:type="xsd:double"&gt;-23.932611&lt;/D&gt;&lt;D xsi:type="xsd:double"&gt;-30.053335&lt;/D&gt;&lt;D xsi:type="xsd:double"&gt;-27.777815&lt;/D&gt;&lt;D xsi:type="xsd:double"&gt;-12.758833&lt;/D&gt;&lt;D xsi:type="xsd:double"&gt;-13.064199&lt;/D&gt;&lt;D xsi:type="xsd:double"&gt;-4.4513645&lt;/D&gt;&lt;D xsi:type="xsd:double"&gt;0.8649349&lt;/D&gt;&lt;D xsi:type="xsd:double"&gt;7.7762246&lt;/D&gt;&lt;D xsi:type="xsd:double"&gt;14.7589445&lt;/D&gt;&lt;D xsi:type="xsd:double"&gt;14.636028&lt;/D&gt;&lt;D xsi:type="xsd:double"&gt;30.077993&lt;/D&gt;&lt;D xsi:type="xsd:double"&gt;47.998833&lt;/D&gt;&lt;D xsi:type="xsd:double"&gt;37.18214&lt;/D&gt;&lt;D xsi:type="xsd:double"&gt;40.31769&lt;/D&gt;&lt;D xsi:type="xsd:double"&gt;34.352337&lt;/D&gt;&lt;D xsi:type="xsd:double"&gt;23.24828&lt;/D&gt;&lt;D xsi:type="xsd:double"&gt;30.55321&lt;/D&gt;&lt;D xsi:type="xsd:double"&gt;15.873396&lt;/D&gt;&lt;/FQL&gt;&lt;FQL&gt;&lt;Q&gt;CPALM-FDS^FG_PRICE_CHANGE(0,-1AY)&lt;/Q&gt;&lt;R&gt;1&lt;/R&gt;&lt;C&gt;1&lt;/C&gt;&lt;D xsi:type="xsd:double"&gt;1.1068211068211&lt;/D&gt;&lt;/FQL&gt;&lt;FQL&gt;&lt;Q&gt;W-FDS^FG_PRICE_MAVG(0,,,,30)&lt;/Q&gt;&lt;R&gt;1&lt;/R&gt;&lt;C&gt;1&lt;/C&gt;&lt;D xsi:type="xsd:double"&gt;6.0695&lt;/D&gt;&lt;/FQL&gt;&lt;FQL&gt;&lt;Q&gt;NI-FDS^FG_PRICE_CHANGE(0,-1AY)&lt;/Q&gt;&lt;R&gt;1&lt;/R&gt;&lt;C&gt;1&lt;/C&gt;&lt;D xsi:type="xsd:double"&gt;-42.0976491862568&lt;/D&gt;&lt;/FQL&gt;&lt;FQL&gt;&lt;Q&gt;PLATI-FDS^FG_PRICE_MAVG(0,,,,30)&lt;/Q&gt;&lt;R&gt;1&lt;/R&gt;&lt;C&gt;1&lt;/C&gt;&lt;D xsi:type="xsd:double"&gt;949.2&lt;/D&gt;&lt;/FQL&gt;&lt;FQL&gt;&lt;Q&gt;COPP-FDS^FG_PRICE_CHANGE(0,-1AY)&lt;/Q&gt;&lt;R&gt;1&lt;/R&gt;&lt;C&gt;1&lt;/C&gt;&lt;D xsi:type="xsd:double"&gt;-11.5185707569346&lt;/D&gt;&lt;/FQL&gt;&lt;FQL&gt;&lt;Q&gt;TIOS-FDS^FG_PRICE_MAVG(0,,,,30)&lt;/Q&gt;&lt;R&gt;1&lt;/R&gt;&lt;C&gt;1&lt;/C&gt;&lt;D xsi:type="xsd:double"&gt;136.89267&lt;/D&gt;&lt;/FQL&gt;&lt;FQL&gt;&lt;Q&gt;EWD^FG_PRICE_MAVG(0,,,,30)&lt;/Q&gt;&lt;R&gt;1&lt;/R&gt;&lt;C&gt;1&lt;/C&gt;&lt;D xsi:type="xsd:double"&gt;38.192665&lt;/D&gt;&lt;/FQL&gt;&lt;FQL&gt;&lt;Q&gt;SPY^FG_PRICE_MAVG(0,,,,30)&lt;/Q&gt;&lt;R&gt;1&lt;/R&gt;&lt;C&gt;1&lt;/C&gt;&lt;D xsi:type="xsd:double"&gt;473.09567&lt;/D&gt;&lt;/FQL&gt;&lt;FQL&gt;&lt;Q&gt;EWL^FG_PRICE_MAVG(0,,,,30)&lt;/Q&gt;&lt;R&gt;1&lt;/R&gt;&lt;C&gt;1&lt;/C&gt;&lt;D xsi:type="xsd:double"&gt;47.313&lt;/D&gt;&lt;/FQL&gt;&lt;FQL&gt;&lt;Q&gt;EWC^FG_PRICE_MAVG(0,,,,30)&lt;/Q&gt;&lt;R&gt;1&lt;/R&gt;&lt;C&gt;1&lt;/C&gt;&lt;D xsi:type="xsd:double"&gt;36.122665&lt;/D&gt;&lt;/FQL&gt;&lt;FQL&gt;&lt;Q&gt;EWN^FG_COMPANY_NAME&lt;/Q&gt;&lt;R&gt;1&lt;/R&gt;&lt;C&gt;1&lt;/C&gt;&lt;D xsi:type="xsd:string"&gt;iShares MSCI Netherlands ETF&lt;/D&gt;&lt;/FQL&gt;&lt;FQL&gt;&lt;Q&gt;EWC^FG_COMPANY_NAME&lt;/Q&gt;&lt;R&gt;1&lt;/R&gt;&lt;C&gt;1&lt;/C&gt;&lt;D xsi:type="xsd:string"&gt;iShares MSCI Canada ETF&lt;/D&gt;&lt;/FQL&gt;&lt;FQL&gt;&lt;Q&gt;QQQ^P_PRICE(0)/P_PRICE_LOW_PR(0,,,USD,,,"PRICE","INTRA","52W")-1&lt;/Q&gt;&lt;R&gt;1&lt;/R&gt;&lt;C&gt;1&lt;/C&gt;&lt;D xsi:type="xsd:double"&gt;0.5060816&lt;/D&gt;&lt;/FQL&gt;&lt;FQL&gt;&lt;Q&gt;INDA^FG_TOTAL_RETURNC(0,-6AM)&lt;/Q&gt;&lt;R&gt;1&lt;/R&gt;&lt;C&gt;1&lt;/C&gt;&lt;D xsi:type="xsd:double"&gt;9.738504&lt;/D&gt;&lt;/FQL&gt;&lt;FQL&gt;&lt;Q&gt;URTH^P_PRICE(0)/P_PRICE_LOW_PR(0,,,USD,,,"PRICE","INTRA","52W")-1&lt;/Q&gt;&lt;R&gt;1&lt;/R&gt;&lt;C&gt;1&lt;/C&gt;&lt;D xsi:type="xsd:double"&gt;0.2249726&lt;/D&gt;&lt;/FQL&gt;&lt;FQL&gt;&lt;Q&gt;EWN^P_PRICE(0)/P_PRICE_HIGH_PR(0,,,USD,,,"PRICE","INTRA","52W")&lt;/Q&gt;&lt;R&gt;1&lt;/R&gt;&lt;C&gt;1&lt;/C&gt;&lt;D xsi:type="xsd:double"&gt;0.96952426&lt;/D&gt;&lt;/FQL&gt;&lt;FQL&gt;&lt;Q&gt;SPY^FG_TOTAL_RETURNC(0,-3AM)&lt;/Q&gt;&lt;R&gt;1&lt;/R&gt;&lt;C&gt;1&lt;/C&gt;&lt;D xsi:type="xsd:double"&gt;15.784895&lt;/D&gt;&lt;/FQL&gt;&lt;FQL&gt;&lt;Q&gt;EWL^P_PRICE(0)/P_PRICE_HIGH_PR(0,,,USD,,,"PRICE","INTRA","52W")&lt;/Q&gt;&lt;R&gt;1&lt;/R&gt;&lt;C&gt;1&lt;/C&gt;&lt;D xsi:type="xsd:double"&gt;0.9508531&lt;/D&gt;&lt;/FQL&gt;&lt;FQL&gt;&lt;Q&gt;EWC^P_PRICE(0)/P_PRICE_LOW_PR(0,,,USD,,,"PRICE","INTRA","52W")-1&lt;/Q&gt;&lt;R&gt;1&lt;/R&gt;&lt;C&gt;1&lt;/C&gt;&lt;D xsi:type="xsd:double"&gt;0.15218079&lt;/D&gt;&lt;/FQL&gt;&lt;FQL&gt;&lt;Q&gt;ENZL^FG_TOTAL_RETURNC(0,-6AM)&lt;/Q&gt;&lt;R&gt;1&lt;/R&gt;&lt;C&gt;1&lt;/C&gt;&lt;D xsi:type="xsd:double"&gt;-3.7183404&lt;/D&gt;&lt;/FQL&gt;&lt;FQL&gt;&lt;Q&gt;QQQ^FMA_PCT_ABOVE_MAVG(200,0,,,,"PORTAGG")&lt;/Q&gt;&lt;R&gt;1&lt;/R&gt;&lt;C&gt;1&lt;/C&gt;&lt;D xsi:type="xsd:double"&gt;80.3921568627451&lt;/D&gt;&lt;/FQL&gt;&lt;FQL&gt;&lt;Q&gt;VGK^FMA_PCT_ABOVE_MAVG(200,0,,,,"PORTAGG")&lt;/Q&gt;&lt;R&gt;1&lt;/R&gt;&lt;C&gt;1&lt;/C&gt;&lt;D xsi:type="xsd:double"&gt;64.5440251572327&lt;/D&gt;&lt;/FQL&gt;&lt;FQL&gt;&lt;Q&gt;EWQ^PERCENT_CHANGE(FMA_EPS(+1,0,,,,"PORTAGG","MEAN"),FMA_EPS(+1,-3AM,,,,"PORTAGG","MEAN"))&lt;/Q&gt;&lt;R&gt;1&lt;/R&gt;&lt;C&gt;1&lt;/C&gt;&lt;D xsi:type="xsd:double"&gt;-1.42206542985628&lt;/D&gt;&lt;/FQL&gt;&lt;FQL&gt;&lt;Q&gt;EWU^PERCENT_CHANGE(FMA_EPS(+1,0,,,,"PORTAGG","MEAN"),FMA_EPS(+1,-1AM,,,,"PORTAGG","MEAN"))&lt;/Q&gt;&lt;R&gt;1&lt;/R&gt;&lt;C&gt;1&lt;/C&gt;&lt;D xsi:type="xsd:double"&gt;-1.63028060823515&lt;/D&gt;&lt;/FQL&gt;&lt;FQL&gt;&lt;Q&gt;EWC^PERCENT_CHANGE(FMA_EPS(+1,0,,,,"PORTAGG","MEAN"),FMA_EPS(+1,-3AM,,,,"PORTAGG","MEAN"))&lt;/Q&gt;&lt;R&gt;1&lt;/R&gt;&lt;C&gt;1&lt;/C&gt;&lt;D xsi:type="xsd:double"&gt;-2.94301902293941&lt;/D&gt;&lt;/FQL&gt;&lt;FQL&gt;&lt;Q&gt;FXI^FMA_COS_DOWN("EPS","1M",+1,0,,,"PORTAGG","MEANR")&lt;/Q&gt;&lt;R&gt;1&lt;/R&gt;&lt;C&gt;1&lt;/C&gt;&lt;D xsi:type="xsd:double"&gt;23&lt;/D&gt;&lt;/FQL&gt;&lt;FQL&gt;&lt;Q&gt;EMXC^FMA_COS_UP("EPS","1M",+1,0,,,"PORTAGG","MEANR")&lt;/Q&gt;&lt;R&gt;1&lt;/R&gt;&lt;C&gt;1&lt;/C&gt;&lt;D xsi:type="xsd:double"&gt;227&lt;/D&gt;&lt;/FQL&gt;&lt;FQL&gt;&lt;Q&gt;EWI^SIZE(FG_CONSTITUENTS)&lt;/Q&gt;&lt;R&gt;1&lt;/R&gt;&lt;C&gt;1&lt;/C&gt;&lt;D xsi:type="xsd:long"&gt;26&lt;/D&gt;&lt;/FQL&gt;&lt;FQL&gt;&lt;Q&gt;EWU^SIZE(FG_CONSTITUENTS)&lt;/Q&gt;&lt;R&gt;1&lt;/R&gt;&lt;C&gt;1&lt;/C&gt;&lt;D xsi:type="xsd:long"&gt;84&lt;/D&gt;&lt;/FQL&gt;&lt;FQL&gt;&lt;Q&gt;ENZL^SIZE(FG_CONSTITUENTS)&lt;/Q&gt;&lt;R&gt;1&lt;/R&gt;&lt;C&gt;1&lt;/C&gt;&lt;D xsi:type="xsd:long"&gt;16&lt;/D&gt;&lt;/FQL&gt;&lt;FQL&gt;&lt;Q&gt;FXI^FG_TOTAL_RETURNC(0,-3AM)&lt;/Q&gt;&lt;R&gt;1&lt;/R&gt;&lt;C&gt;1&lt;/C&gt;&lt;D xsi:type="xsd:double"&gt;-10.113943&lt;/D&gt;&lt;/FQL&gt;&lt;FQL&gt;&lt;Q&gt;TLT^P_PRICE(0)/P_PRICE_HIGH_PR(0,,,USD,,,"PRICE","INTRA","52W")&lt;/Q&gt;&lt;R&gt;1&lt;/R&gt;&lt;C&gt;1&lt;/C&gt;&lt;D xsi:type="xsd:double"&gt;0.8586949&lt;/D&gt;&lt;/FQL&gt;&lt;FQL&gt;&lt;Q&gt;INDA^FG_TOTAL_RETURNC(0,-3AM)&lt;/Q&gt;&lt;R&gt;1&lt;/R&gt;&lt;C&gt;1&lt;/C&gt;&lt;D xsi:type="xsd:double"&gt;11.600184&lt;/D&gt;&lt;/FQL&gt;&lt;FQL&gt;&lt;Q&gt;VGK^FG_TOTAL_RETURNC(0,-3AM)&lt;/Q&gt;&lt;R&gt;1&lt;/R&gt;&lt;C&gt;1&lt;/C&gt;&lt;D xsi:type="xsd:double"&gt;12.124073&lt;/D&gt;&lt;/FQL&gt;&lt;FQL&gt;&lt;Q&gt;FXI^FMA_COS_UP("EPS","1M",+1,0,,,"PORTAGG","MEANR")&lt;/Q&gt;&lt;R&gt;1&lt;/R&gt;&lt;C&gt;1&lt;/C&gt;&lt;D xsi:type="xsd:double"&gt;17&lt;/D&gt;&lt;/FQL&gt;&lt;FQL&gt;&lt;Q&gt;INDA^SIZE(FG_CONSTITUENTS)&lt;/Q&gt;&lt;R&gt;1&lt;/R&gt;&lt;C&gt;1&lt;/C&gt;&lt;D xsi:type="xsd:long"&gt;133&lt;/D&gt;&lt;/FQL&gt;&lt;FQL&gt;&lt;Q&gt;URTH^FMA_COS_DOWN("EPS","1M",+1,0,,,"PORTAGG","MEANR")&lt;/Q&gt;&lt;R&gt;1&lt;/R&gt;&lt;C&gt;1&lt;/C&gt;&lt;D xsi:type="xsd:double"&gt;583&lt;/D&gt;&lt;/FQL&gt;&lt;FQL&gt;&lt;Q&gt;EWI^FMA_COS_DOWN("EPS","1M",+1,0,,,"PORTAGG","MEANR")&lt;/Q&gt;&lt;R&gt;1&lt;/R&gt;&lt;C&gt;1&lt;/C&gt;&lt;D xsi:type="xsd:double"&gt;11&lt;/D&gt;&lt;/FQL&gt;&lt;FQL&gt;&lt;Q&gt;EWQ^FMA_COS_DOWN("EPS","1M",+1,0,,,"PORTAGG","MEANR")&lt;/Q&gt;&lt;R&gt;1&lt;/R&gt;&lt;C&gt;1&lt;/C&gt;&lt;D xsi:type="xsd:double"&gt;29&lt;/D&gt;&lt;/FQL&gt;&lt;FQL&gt;&lt;Q&gt;EWU^FMA_COS_DOWN("EPS","1M",+1,0,,,"PORTAGG","MEANR")&lt;/Q&gt;&lt;R&gt;1&lt;/R&gt;&lt;C&gt;1&lt;/C&gt;&lt;D xsi:type="xsd:double"&gt;36&lt;/D&gt;&lt;/FQL&gt;&lt;FQL&gt;&lt;Q&gt;EWG^FMA_COS_DOWN("EPS","1M",+1,0,,,"PORTAGG","MEANR")&lt;/Q&gt;&lt;R&gt;1&lt;/R&gt;&lt;C&gt;1&lt;/C&gt;&lt;D xsi:type="xsd:double"&gt;31&lt;/D&gt;&lt;/FQL&gt;&lt;FQL&gt;&lt;Q&gt;ENZL^FMA_COS_DOWN("EPS","1M",+1,0,,,"PORTAGG","MEANR")&lt;/Q&gt;&lt;R&gt;1&lt;/R&gt;&lt;C&gt;1&lt;/C&gt;&lt;D xsi:type="xsd:double"&gt;1&lt;/D&gt;&lt;/FQL&gt;&lt;FQL&gt;&lt;Q&gt;EMXC^FG_TOTAL_RETURNC(0,-3AM)&lt;/Q&gt;&lt;R&gt;1&lt;/R&gt;&lt;C&gt;1&lt;/C&gt;&lt;D xsi:type="xsd:double"&gt;11.757016&lt;/D&gt;&lt;/FQL&gt;&lt;FQL&gt;&lt;Q&gt;VWO^FG_TOTAL_RETURNC(0,-1AM)&lt;/Q&gt;&lt;R&gt;1&lt;/R&gt;&lt;C&gt;1&lt;/C&gt;&lt;D xsi:type="xsd:double"&gt;-1.7883718&lt;/D&gt;&lt;/FQL&gt;&lt;FQL&gt;&lt;Q&gt;URTH^FG_TOTAL_RETURNC(0,-3AM)&lt;/Q&gt;&lt;R&gt;1&lt;/R&gt;&lt;C&gt;1&lt;/C&gt;&lt;D xsi:type="xsd:double"&gt;15.087986&lt;/D&gt;&lt;/FQL&gt;&lt;FQL&gt;&lt;Q&gt;EWI^P_PRICE(0)/P_PRICE_HIGH_PR(0,,,USD,,,"PRICE","INTRA","52W")&lt;/Q&gt;&lt;R&gt;1&lt;/R&gt;&lt;C&gt;1&lt;/C&gt;&lt;D xsi:type="xsd:double"&gt;0.9644108&lt;/D&gt;&lt;/FQL&gt;&lt;FQL&gt;&lt;Q&gt;EWN^FG_TOTAL_RETURNC(0,-3AM)&lt;/Q&gt;&lt;R&gt;1&lt;/R&gt;&lt;C&gt;1&lt;/C&gt;&lt;D xsi:type="xsd:double"&gt;20.905363&lt;/D&gt;&lt;/FQL&gt;&lt;FQL&gt;&lt;Q&gt;EMXC^FMA_PCT_ABOVE_MAVG(200,0,,,,"PORTAGG")&lt;/Q&gt;&lt;R&gt;1&lt;/R&gt;&lt;C&gt;1&lt;/C&gt;&lt;D xsi:type="xsd:double"&gt;58.4569732937685&lt;/D&gt;&lt;/FQL&gt;&lt;FQL&gt;&lt;Q&gt;EWL^PERCENT_CHANGE(FMA_EPS(+1,0,,,,"PORTAGG","MEAN"),FMA_EPS(+1,-1AM,,,,"PORTAGG","MEAN"))&lt;/Q&gt;&lt;R&gt;1&lt;/R&gt;&lt;C&gt;1&lt;/C&gt;&lt;D xsi:type="xsd:double"&gt;-2.09408622053679&lt;/D&gt;&lt;/FQL&gt;&lt;FQL&gt;&lt;Q&gt;INDA^FMA_COS_UP("EPS","1M",+1,0,,,"PORTAGG","MEANR")&lt;/Q&gt;&lt;R&gt;1&lt;/R&gt;&lt;C&gt;1&lt;/C&gt;&lt;D xsi:type="xsd:double"&gt;41&lt;/D&gt;&lt;/FQL&gt;&lt;FQL&gt;&lt;Q&gt;TLT^FG_TOTAL_RETURNC(0,-3AM)&lt;/Q&gt;&lt;R&gt;1&lt;/R&gt;&lt;C&gt;1&lt;/C&gt;&lt;D xsi:type="xsd:double"&gt;12.541485&lt;/D&gt;&lt;/FQL&gt;&lt;FQL&gt;&lt;Q&gt;OIL^P_PRICE_RETURNS_PR('52W',2,-10AY,0,AM)&lt;/Q&gt;&lt;R&gt;121&lt;/R&gt;&lt;C&gt;1&lt;/C&gt;&lt;D xsi:type="xsd:double"&gt;2.8886676&lt;/D&gt;&lt;D xsi:type="xsd:double"&gt;11.614645&lt;/D&gt;&lt;D xsi:type="xsd:double"&gt;11.549759&lt;/D&gt;&lt;D xsi:type="xsd:double"&gt;19.38492&lt;/D&gt;&lt;D xsi:type="xsd:double"&gt;18.403137&lt;/D&gt;&lt;D xsi:type="xsd:double"&gt;21.515549&lt;/D&gt;&lt;D xsi:type="xsd:double"&gt;5.730033&lt;/D&gt;&lt;D xsi:type="xsd:double"&gt;-1.9923091&lt;/D&gt;&lt;D xsi:type="xsd:double"&gt;-4.176414&lt;/D&gt;&lt;D xsi:type="xsd:double"&gt;-10.156054&lt;/D&gt;&lt;D xsi:type="xsd:double"&gt;-14.485634&lt;/D&gt;&lt;D xsi:type="xsd:double"&gt;-36.45485&lt;/D&gt;&lt;D xsi:type="xsd:double"&gt;-46.090855&lt;/D&gt;&lt;D xsi:type="xsd:double"&gt;-44.77958&lt;/D&gt;&lt;D xsi:type="xsd:double"&gt;-47.57437&lt;/D&gt;&lt;D xsi:type="xsd:double"&gt;-42.261703&lt;/D&gt;&lt;D xsi:type="xsd:double"&gt;-42.324757&lt;/D&gt;&lt;D xsi:type="xsd:double"&gt;-44.3133&lt;/D&gt;&lt;D xsi:type="xsd:double"&gt;-53.85349&lt;/D&gt;&lt;D xsi:type="xsd:double"&gt;-59.307156&lt;/D&gt;&lt;D xsi:type="xsd:double"&gt;-54.535465&lt;/D&gt;&lt;D xsi:type="xsd:double"&gt;-50.007057&lt;/D&gt;&lt;D xsi:type="xsd:double"&gt;-50.100204&lt;/D&gt;&lt;D xsi:type="xsd:double"&gt;-43.418797&lt;/D&gt;&lt;D xsi:type="xsd:double"&gt;-42.25181&lt;/D&gt;&lt;D xsi:type="xsd:double"&gt;-47.340332&lt;/D&gt;&lt;D xsi:type="xsd:double"&gt;-33.604557&lt;/D&gt;&lt;D xsi:type="xsd:double"&gt;-37.337856&lt;/D&gt;&lt;D xsi:type="xsd:double"&gt;-34.865387&lt;/D&gt;&lt;D xsi:type="xsd:double"&gt;-32.524086&lt;/D&gt;&lt;D xsi:type="xsd:double"&gt;-29.28505&lt;/D&gt;&lt;D xsi:type="xsd:double"&gt;-6.7055345&lt;/D&gt;&lt;D xsi:type="xsd:double"&gt;-20.238995&lt;/D&gt;&lt;D xsi:type="xsd:double"&gt;-10.045224&lt;/D&gt;&lt;D xsi:type="xsd:double"&gt;-9.548855&lt;/D&gt;&lt;D xsi:type="xsd:double"&gt;13.417398&lt;/D&gt;&lt;D xsi:type="xsd:double"&gt;30.733765&lt;/D&gt;&lt;D xsi:type="xsd:double"&gt;34.046112&lt;/D&gt;&lt;D xsi:type="xsd:double"&gt;0.17902851&lt;/D&gt;&lt;D xsi:type="xsd:double"&gt;-3.6236465&lt;/D&gt;&lt;D xsi:type="xsd:double"&gt;-9.654558&lt;/D&gt;&lt;D xsi:type="xsd:double"&gt;-25.504858&lt;/D&gt;&lt;D xsi:type="xsd:double"&gt;-11.369503&lt;/D&gt;&lt;D xsi:type="xsd:double"&gt;-9.468752&lt;/D&gt;&lt;D xsi:type="xsd:double"&gt;-1.1711121&lt;/D&gt;&lt;D xsi:type="xsd:double"&gt;-8.019143&lt;/D&gt;&lt;D xsi:type="xsd:double"&gt;8.024502&lt;/D&gt;&lt;D xsi:type="xsd:double"&gt;1.5841246&lt;/D&gt;&lt;D xsi:type="xsd:double"&gt;13.389122&lt;/D&gt;&lt;D xsi:type="xsd:double"&gt;11.488092&lt;/D&gt;&lt;D xsi:type="xsd:double"&gt;31.685184&lt;/D&gt;&lt;D xsi:type="xsd:double"&gt;35.092342&lt;/D&gt;&lt;D xsi:type="xsd:double"&gt;41.830063&lt;/D&gt;&lt;D xsi:type="xsd:double"&gt;56.91415&lt;/D&gt;&lt;D xsi:type="xsd:double"&gt;49.27113&lt;/D&gt;&lt;D xsi:type="xsd:double"&gt;44.25268&lt;/D&gt;&lt;D xsi:type="xsd:double"&gt;45.02307&lt;/D&gt;&lt;D xsi:type="xsd:double"&gt;35.426163&lt;/D&gt;&lt;D xsi:type="xsd:double"&gt;-6.2142076&lt;/D&gt;&lt;D xsi:type="xsd:double"&gt;-16.403044&lt;/D&gt;&lt;D xsi:type="xsd:double"&gt;-12.98787&lt;/D&gt;&lt;D xsi:type="xsd:double"&gt;-3.1244934&lt;/D&gt;&lt;D xsi:type="xsd:double"&gt;-5.425948&lt;/D&gt;&lt;D xsi:type="xsd:double"&gt;-2.7104497&lt;/D&gt;&lt;D xsi:type="xsd:double"&gt;-18.730873&lt;/D&gt;&lt;D xsi:type="xsd:double"&gt;-11.2925415&lt;/D&gt;&lt;D xsi:type="xsd:double"&gt;-14.968264&lt;/D&gt;&lt;D xsi:type="xsd:double"&gt;-22.037815&lt;/D&gt;&lt;D xsi:type="xsd:double"&gt;-19.659096&lt;/D&gt;&lt;D xsi:type="xsd:double"&gt;-16.982943&lt;/D&gt;&lt;D xsi:type="xsd:double"&gt;5.68316&lt;/D&gt;&lt;D xsi:type="xsd:double"&gt;32.65661&lt;/D&gt;&lt;D xsi:type="xsd:double"&gt;6.3539743&lt;/D&gt;&lt;D xsi:type="xsd:double"&gt;-4.7937336&lt;/D&gt;&lt;D xsi:type="xsd:double"&gt;-54.76719&lt;/D&gt;&lt;D xsi:type="xsd:double"&gt;-58.909206&lt;/D&gt;&lt;D xsi:type="xsd:double"&gt;-43.568356&lt;/D&gt;&lt;D xsi:type="xsd:double"&gt;-29.253138&lt;/D&gt;&lt;D xsi:type="xsd:double"&gt;-27.54256&lt;/D&gt;&lt;D xsi:type="xsd:double"&gt;-23.356337&lt;/D&gt;&lt;D xsi:type="xsd:double"&gt;-32.37737&lt;/D&gt;&lt;D xsi:type="xsd:double"&gt;-31.307877&lt;/D&gt;&lt;D xsi:type="xsd:double"&gt;-29.514069&lt;/D&gt;&lt;D xsi:type="xsd:double"&gt;-25.786972&lt;/D&gt;&lt;D xsi:type="xsd:double"&gt;-15.754527&lt;/D&gt;&lt;D xsi:type="xsd:double"&gt;5.31168&lt;/D&gt;&lt;D xsi:type="xsd:double"&gt;108.82354&lt;/D&gt;&lt;D xsi:type="xsd:double"&gt;124.23389&lt;/D&gt;&lt;D xsi:type="xsd:double"&gt;76.567635&lt;/D&gt;&lt;D xsi:type="xsd:double"&gt;73.602&lt;/D&gt;&lt;D xsi:type="xsd:double"&gt;69.359886&lt;/D&gt;&lt;D xsi:type="xsd:double"&gt;53.40394&lt;/D&gt;&lt;D xsi:type="xsd:double"&gt;86.40764&lt;/D&gt;&lt;D xsi:type="xsd:double"&gt;105.72097&lt;/D&gt;&lt;D xsi:type="xsd:double"&gt;91.482124&lt;/D&gt;&lt;D xsi:type="xsd:double"&gt;63.361477&lt;/D&gt;&lt;D xsi:type="xsd:double"&gt;71.26783&lt;/D&gt;&lt;D xsi:type="xsd:double"&gt;60.10102&lt;/D&gt;&lt;D xsi:type="xsd:double"&gt;109.68308&lt;/D&gt;&lt;D xsi:type="xsd:double"&gt;80.61674&lt;/D&gt;&lt;D xsi:type="xsd:double"&gt;86.062515&lt;/D&gt;&lt;D xsi:type="xsd:double"&gt;58.400154&lt;/D&gt;&lt;D xsi:type="xsd:double"&gt;50.310123&lt;/D&gt;&lt;D xsi:type="xsd:double"&gt;68.73737&lt;/D&gt;&lt;D xsi:type="xsd:double"&gt;26.880598&lt;/D&gt;&lt;D xsi:type="xsd:double"&gt;23.679817&lt;/D&gt;&lt;D xsi:type="xsd:double"&gt;21.097862&lt;/D&gt;&lt;D xsi:type="xsd:double"&gt;31.111109&lt;/D&gt;&lt;D xsi:type="xsd:double"&gt;18.4492&lt;/D&gt;&lt;D xsi:type="xsd:double"&gt;1.1917233&lt;/D&gt;&lt;D xsi:type="xsd:double"&gt;-25.554996&lt;/D&gt;&lt;D xsi:type="xsd:double"&gt;-12.883067&lt;/D&gt;&lt;D xsi:type="xsd:double"&gt;-19.68137&lt;/D&gt;&lt;D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xsi:type="xsd:string"&gt;@NA&lt;/D&gt;&lt;/FQL&gt;&lt;FQL&gt;&lt;Q&gt;CPALM-FDS^FG_PRICE_CHANGE(0,-6AM)&lt;/Q&gt;&lt;R&gt;1&lt;/R&gt;&lt;C&gt;1&lt;/C&gt;&lt;D xsi:type="xsd:double"&gt;-1.62784873528675&lt;/D&gt;&lt;/FQL&gt;&lt;FQL&gt;&lt;Q&gt;W-FDS^FG_PRICE(0)&lt;/Q&gt;&lt;R&gt;1&lt;/R&gt;&lt;C&gt;1&lt;/C&gt;&lt;D xsi:type="xsd:double"&gt;5.965&lt;/D&gt;&lt;/FQL&gt;&lt;FQL&gt;&lt;Q&gt;NI-FDS^FG_PRICE_CHANGE(0,-6AM)&lt;/Q&gt;&lt;R&gt;1&lt;/R&gt;&lt;C&gt;1&lt;/C&gt;&lt;D xsi:type="xsd:double"&gt;-23.0658337337818&lt;/D&gt;&lt;/FQL&gt;&lt;FQL&gt;&lt;Q&gt;PLATI-FDS^FG_PRICE(0)&lt;/Q&gt;&lt;R&gt;1&lt;/R&gt;&lt;C&gt;1&lt;/C&gt;&lt;D xsi:type="xsd:double"&gt;907&lt;/D&gt;&lt;/FQL&gt;&lt;FQL&gt;&lt;Q&gt;COPP-FDS^FG_PRICE_CHANGE(0,-6AM)&lt;/Q&gt;&lt;R&gt;1&lt;/R&gt;&lt;C&gt;1&lt;/C&gt;&lt;D xsi:type="xsd:double"&gt;-1.02550617933211&lt;/D&gt;&lt;/FQL&gt;&lt;FQL&gt;&lt;Q&gt;TIOS-FDS^FG_PRICE(0)&lt;/Q&gt;&lt;R&gt;1&lt;/R&gt;&lt;C&gt;1&lt;/C&gt;&lt;D xsi:type="xsd:double"&gt;135.42&lt;/D&gt;&lt;/FQL&gt;&lt;FQL&gt;&lt;Q&gt;EWD^FG_PRICE(0)&lt;/Q&gt;&lt;R&gt;1&lt;/R&gt;&lt;C&gt;1&lt;/C&gt;&lt;D xsi:type="xsd:double"&gt;36.83&lt;/D&gt;&lt;/FQL&gt;&lt;FQL&gt;&lt;Q&gt;SPY^FG_PRICE(0)&lt;/Q&gt;&lt;R&gt;1&lt;/R&gt;&lt;C&gt;1&lt;/C&gt;&lt;D xsi:type="xsd:double"&gt;484.86&lt;/D&gt;&lt;/FQL&gt;&lt;FQL&gt;&lt;Q&gt;EWL^FG_PRICE(0)&lt;/Q&gt;&lt;R&gt;1&lt;/R&gt;&lt;C&gt;1&lt;/C&gt;&lt;D xsi:type="xsd:double"&gt;46.53&lt;/D&gt;&lt;/FQL&gt;&lt;FQL&gt;&lt;Q&gt;EWC^FG_PRICE(0)&lt;/Q&gt;&lt;R&gt;1&lt;/R&gt;&lt;C&gt;1&lt;/C&gt;&lt;D xsi:type="xsd:double"&gt;36.19&lt;/D&gt;&lt;/FQL&gt;&lt;FQL&gt;&lt;Q&gt;EWQ^FG_COMPANY_NAME&lt;/Q&gt;&lt;R&gt;1&lt;/R&gt;&lt;C&gt;1&lt;/C&gt;&lt;D xsi:type="xsd:string"&gt;iShares MSCI France ETF&lt;/D&gt;&lt;/FQL&gt;&lt;FQL&gt;&lt;Q&gt;EWA^FG_COMPANY_NAME&lt;/Q&gt;&lt;R&gt;1&lt;/R&gt;&lt;C&gt;1&lt;/C&gt;&lt;D xsi:type="xsd:string"&gt;iShares MSCI Australia ETF&lt;/D&gt;&lt;/FQL&gt;&lt;FQL&gt;&lt;Q&gt;URTH^P_PRICE(0)/P_PRICE_HIGH_PR(0,,,USD,,,"PRICE","INTRA","52W")&lt;/Q&gt;&lt;R&gt;1&lt;/R&gt;&lt;C&gt;1&lt;/C&gt;&lt;D xsi:type="xsd:double"&gt;0.9981393&lt;/D&gt;&lt;/FQL&gt;&lt;FQL&gt;&lt;Q&gt;EWN^FG_TOTAL_RETURNC(0,-6AM)&lt;/Q&gt;&lt;R&gt;1&lt;/R&gt;&lt;C&gt;1&lt;/C&gt;&lt;D xsi:type="xsd:double"&gt;0.9599447&lt;/D&gt;&lt;/FQL&gt;&lt;FQL&gt;&lt;Q&gt;EWL^FG_TOTAL_RETURNC(0,-6AM)&lt;/Q&gt;&lt;R&gt;1&lt;/R&gt;&lt;C&gt;1&lt;/C&gt;&lt;D xsi:type="xsd:double"&gt;-1.876843&lt;/D&gt;&lt;/FQL&gt;&lt;FQL&gt;&lt;Q&gt;ENZL^FG_TOTAL_RETURNC(0,-3AM)&lt;/Q&gt;&lt;R&gt;1&lt;/R&gt;&lt;C&gt;1&lt;/C&gt;&lt;D xsi:type="xsd:double"&gt;12.473655&lt;/D&gt;&lt;/FQL&gt;&lt;FQL&gt;&lt;Q&gt;EMXC^PERCENT_CHANGE(FMA_EPS(+1,0,,,,"PORTAGG","MEAN"),FMA_EPS(+1,-3AM,,,,"PORTAGG","MEAN"))&lt;/Q&gt;&lt;R&gt;1&lt;/R&gt;&lt;C&gt;1&lt;/C&gt;&lt;D xsi:type="xsd:double"&gt;0.485963810321842&lt;/D&gt;&lt;/FQL&gt;&lt;FQL&gt;&lt;Q&gt;EWJ^PERCENT_CHANGE(FMA_EPS(+1,0,,,,"PORTAGG","MEAN"),FMA_EPS(+1,-1AM,,,,"PORTAGG","MEAN"))&lt;/Q&gt;&lt;R&gt;1&lt;/R&gt;&lt;C&gt;1&lt;/C&gt;&lt;D xsi:type="xsd:double"&gt;-2.94688985109829&lt;/D&gt;&lt;/FQL&gt;&lt;FQL&gt;&lt;Q&gt;EWI^PERCENT_CHANGE(FMA_EPS(+1,0,,,,"PORTAGG","MEAN"),FMA_EPS(+1,-3AM,,,,"PORTAGG","MEAN"))&lt;/Q&gt;&lt;R&gt;1&lt;/R&gt;&lt;C&gt;1&lt;/C&gt;&lt;D xsi:type="xsd:double"&gt;-0.23026345203514&lt;/D&gt;&lt;/FQL&gt;&lt;FQL&gt;&lt;Q&gt;EWQ^PERCENT_CHANGE(FMA_EPS(+1,0,,,,"PORTAGG","MEAN"),FMA_EPS(+1,-1AM,,,,"PORTAGG","MEAN"))&lt;/Q&gt;&lt;R&gt;1&lt;/R&gt;&lt;C&gt;1&lt;/C&gt;&lt;D xsi:type="xsd:double"&gt;-1.84153225645767&lt;/D&gt;&lt;/FQL&gt;&lt;FQL&gt;&lt;Q&gt;EWU^FMA_PCT_ABOVE_MAVG(200,0,,,,"PORTAGG")&lt;/Q&gt;&lt;R&gt;1&lt;/R&gt;&lt;C&gt;1&lt;/C&gt;&lt;D xsi:type="xsd:double"&gt;50.6024096385542&lt;/D&gt;&lt;/FQL&gt;&lt;FQL&gt;&lt;Q&gt;FXI^FG_TOTAL_RETURNC(0,-1AM)&lt;/Q&gt;&lt;R&gt;1&lt;/R&gt;&lt;C&gt;1&lt;/C&gt;&lt;D xsi:type="xsd:double"&gt;-4.078084&lt;/D&gt;&lt;/FQL&gt;&lt;FQL&gt;&lt;Q&gt;TLT^FG_TOTAL_RETURNC(0,-6AM)&lt;/Q&gt;&lt;R&gt;1&lt;/R&gt;&lt;C&gt;1&lt;/C&gt;&lt;D xsi:type="xsd:double"&gt;-5.959618&lt;/D&gt;&lt;/FQL&gt;&lt;FQL&gt;&lt;Q&gt;USO^FG_TOTAL_RETURNC(0,-1AM)&lt;/Q&gt;&lt;R&gt;1&lt;/R&gt;&lt;C&gt;1&lt;/C&gt;&lt;D xsi:type="xsd:double"&gt;1.4121413&lt;/D&gt;&lt;/FQL&gt;&lt;FQL&gt;&lt;Q&gt;QQQ^FG_TOTAL_RETURNC(0,-6AM)&lt;/Q&gt;&lt;R&gt;1&lt;/R&gt;&lt;C&gt;1&lt;/C&gt;&lt;D xsi:type="xsd:double"&gt;13.184988&lt;/D&gt;&lt;/FQL&gt;&lt;FQL&gt;&lt;Q&gt;UUP^FG_TOTAL_RETURNC(0,-1AM)&lt;/Q&gt;&lt;R&gt;1&lt;/R&gt;&lt;C&gt;1&lt;/C&gt;&lt;D xsi:type="xsd:double"&gt;2.3204446&lt;/D&gt;&lt;/FQL&gt;&lt;FQL&gt;&lt;Q&gt;EWC^FG_TOTAL_RETURNC(0,-6AM)&lt;/Q&gt;&lt;R&gt;1&lt;/R&gt;&lt;C&gt;1&lt;/C&gt;&lt;D xsi:type="xsd:double"&gt;2.4667382&lt;/D&gt;&lt;/FQL&gt;&lt;FQL&gt;&lt;Q&gt;EWI^PERCENT_CHANGE(FMA_EPS(+1,0,,,,"PORTAGG","MEAN"),FMA_EPS(+1,-1AM,,,,"PORTAGG","MEAN"))&lt;/Q&gt;&lt;R&gt;1&lt;/R&gt;&lt;C&gt;1&lt;/C&gt;&lt;D xsi:type="xsd:double"&gt;-1.75707811783771&lt;/D&gt;&lt;/FQL&gt;&lt;FQL&gt;&lt;Q&gt;URTH^FMA_COS_UP("EPS","1M",+1,0,,,"PORTAGG","MEANR")&lt;/Q&gt;&lt;R&gt;1&lt;/R&gt;&lt;C&gt;1&lt;/C&gt;&lt;D xsi:type="xsd:double"&gt;535&lt;/D&gt;&lt;/FQL&gt;&lt;FQL&gt;&lt;Q&gt;EWL^SIZE(FG_CONSTITUENTS)&lt;/Q&gt;&lt;R&gt;1&lt;/R&gt;&lt;C&gt;1&lt;/C&gt;&lt;D xsi:type="xsd:long"&gt;46&lt;/D&gt;&lt;/FQL&gt;&lt;FQL&gt;&lt;Q&gt;EWJ^FG_TOTAL_RETURNC(0,-6AM)&lt;/Q&gt;&lt;R&gt;1&lt;/R&gt;&lt;C&gt;1&lt;/C&gt;&lt;D xsi:type="xsd:double"&gt;7.3891044&lt;/D&gt;&lt;/FQL&gt;&lt;FQL&gt;&lt;Q&gt;UUP^P_PRICE_RETURNS_PR('52W',2,-10AY,0,AM)&lt;/Q&gt;&lt;R&gt;121&lt;/R&gt;&lt;C&gt;1&lt;/C&gt;&lt;D xsi:type="xsd:double"&gt;-1.0994017&lt;/D&gt;&lt;D xs</t>
        </r>
      </text>
    </comment>
    <comment ref="A8" authorId="0" shapeId="0" xr:uid="{71FE3B37-622B-49B3-94C5-F72CB20452C7}">
      <text>
        <r>
          <rPr>
            <b/>
            <sz val="9"/>
            <color indexed="81"/>
            <rFont val="Tahoma"/>
            <family val="2"/>
          </rPr>
          <t>i:type="xsd:double"&gt;-3.1503081&lt;/D&gt;&lt;D xsi:type="xsd:double"&gt;-4.8125744&lt;/D&gt;&lt;D xsi:type="xsd:double"&gt;-5.3167877&lt;/D&gt;&lt;D xsi:type="xsd:double"&gt;-5.5408955&lt;/D&gt;&lt;D xsi:type="xsd:double"&gt;-4.2077007&lt;/D&gt;&lt;D xsi:type="xsd:double"&gt;-2.8841853&lt;/D&gt;&lt;D xsi:type="xsd:double"&gt;-0.4085362&lt;/D&gt;&lt;D xsi:type="xsd:double"&gt;3.8248897&lt;/D&gt;&lt;D xsi:type="xsd:double"&gt;6.8351984&lt;/D&gt;&lt;D xsi:type="xsd:double"&gt;7.540679&lt;/D&gt;&lt;D xsi:type="xsd:double"&gt;10.592043&lt;/D&gt;&lt;D xsi:type="xsd:double"&gt;16.767014&lt;/D&gt;&lt;D xsi:type="xsd:double"&gt;16.310406&lt;/D&gt;&lt;D xsi:type="xsd:double"&gt;18.956697&lt;/D&gt;&lt;D xsi:type="xsd:double"&gt;19.887697&lt;/D&gt;&lt;D xsi:type="xsd:double"&gt;17.910444&lt;/D&gt;&lt;D xsi:type="xsd:double"&gt;16.915894&lt;/D&gt;&lt;D xsi:type="xsd:double"&gt;17.911839&lt;/D&gt;&lt;D xsi:type="xsd:double"&gt;13.293743&lt;/D&gt;&lt;D xsi:type="xsd:double"&gt;11.495781&lt;/D&gt;&lt;D xsi:type="xsd:double"&gt;10.867655&lt;/D&gt;&lt;D xsi:type="xsd:double"&gt;10.741687&lt;/D&gt;&lt;D xsi:type="xsd:double"&gt;6.8172336&lt;/D&gt;&lt;D xsi:type="xsd:double"&gt;3.4814&lt;/D&gt;&lt;D xsi:type="xsd:double"&gt;0.958848&lt;/D&gt;&lt;D xsi:type="xsd:double"&gt;-2.427566&lt;/D&gt;&lt;D xsi:type="xsd:double"&gt;-4.494381&lt;/D&gt;&lt;D xsi:type="xsd:double"&gt;-2.3734212&lt;/D&gt;&lt;D xsi:type="xsd:double"&gt;-3.4772217&lt;/D&gt;&lt;D xsi:type="xsd:double"&gt;-1.1760116&lt;/D&gt;&lt;D xsi:type="xsd:double"&gt;-1.4919341&lt;/D&gt;&lt;D xsi:type="xsd:double"&gt;-1.7515957&lt;/D&gt;&lt;D xsi:type="xsd:double"&gt;3.1136274&lt;/D&gt;&lt;D xsi:type="xsd:double"&gt;1.1932254&lt;/D&gt;&lt;D xsi:type="xsd:double"&gt;4.267812&lt;/D&gt;&lt;D xsi:type="xsd:double"&gt;0.11600256&lt;/D&gt;&lt;D xsi:type="xsd:double"&gt;3.2053828&lt;/D&gt;&lt;D xsi:type="xsd:double"&gt;3.3306599&lt;/D&gt;&lt;D xsi:type="xsd:double"&gt;5.303955&lt;/D&gt;&lt;D xsi:type="xsd:double"&gt;1.9448876&lt;/D&gt;&lt;D xsi:type="xsd:double"&gt;4.1407824&lt;/D&gt;&lt;D xsi:type="xsd:double"&gt;-3.030306&lt;/D&gt;&lt;D xsi:type="xsd:double"&gt;-1.1870682&lt;/D&gt;&lt;D xsi:type="xsd:double"&gt;-2.9995918&lt;/D&gt;&lt;D xsi:type="xsd:double"&gt;-4.392159&lt;/D&gt;&lt;D xsi:type="xsd:double"&gt;-7.2330656&lt;/D&gt;&lt;D xsi:type="xsd:double"&gt;-8.844555&lt;/D&gt;&lt;D xsi:type="xsd:double"&gt;-9.106952&lt;/D&gt;&lt;D xsi:type="xsd:double"&gt;-9.807521&lt;/D&gt;&lt;D xsi:type="xsd:double"&gt;-8.962631&lt;/D&gt;&lt;D xsi:type="xsd:double"&gt;-7.429105&lt;/D&gt;&lt;D xsi:type="xsd:double"&gt;-1.695782&lt;/D&gt;&lt;D xsi:type="xsd:double"&gt;-1.2147486&lt;/D&gt;&lt;D xsi:type="xsd:double"&gt;2.8519988&lt;/D&gt;&lt;D xsi:type="xsd:double"&gt;4.987228&lt;/D&gt;&lt;D xsi:type="xsd:double"&gt;4.4409394&lt;/D&gt;&lt;D xsi:type="xsd:double"&gt;4.7748446&lt;/D&gt;&lt;D xsi:type="xsd:double"&gt;6.8252444&lt;/D&gt;&lt;D xsi:type="xsd:double"&gt;6.924975&lt;/D&gt;&lt;D xsi:type="xsd:double"&gt;9.635555&lt;/D&gt;&lt;D xsi:type="xsd:double"&gt;10.864365&lt;/D&gt;&lt;D xsi:type="xsd:double"&gt;10.972584&lt;/D&gt;&lt;D xsi:type="xsd:double"&gt;10.77689&lt;/D&gt;&lt;D xsi:type="xsd:double"&gt;7.7474236&lt;/D&gt;&lt;D xsi:type="xsd:double"&gt;4.9627066&lt;/D&gt;&lt;D xsi:type="xsd:double"&gt;7.025552&lt;/D&gt;&lt;D xsi:type="xsd:double"&gt;5.870199&lt;/D&gt;&lt;D xsi:type="xsd:double"&gt;8.683931&lt;/D&gt;&lt;D xsi:type="xsd:double"&gt;5.4365754&lt;/D&gt;&lt;D xsi:type="xsd:double"&gt;5.346799&lt;/D&gt;&lt;D xsi:type="xsd:double"&gt;4.3767333&lt;/D&gt;&lt;D xsi:type="xsd:double"&gt;5.403614&lt;/D&gt;&lt;D xsi:type="xsd:double"&gt;6.3643217&lt;/D&gt;&lt;D xsi:type="xsd:double"&gt;10.582876&lt;/D&gt;&lt;D xsi:type="xsd:double"&gt;6.175673&lt;/D&gt;&lt;D xsi:type="xsd:double"&gt;4.322636&lt;/D&gt;&lt;D xsi:type="xsd:double"&gt;2.7896643&lt;/D&gt;&lt;D xsi:type="xsd:double"&gt;-1.2732446&lt;/D&gt;&lt;D xsi:type="xsd:double"&gt;-3.767395&lt;/D&gt;&lt;D xsi:type="xsd:double"&gt;-3.1213462&lt;/D&gt;&lt;D xsi:type="xsd:double"&gt;-4.050803&lt;/D&gt;&lt;D xsi:type="xsd:double"&gt;-5.350155&lt;/D&gt;&lt;D xsi:type="xsd:double"&gt;-7.349581&lt;/D&gt;&lt;D xsi:type="xsd:double"&gt;-7.382041&lt;/D&gt;&lt;D xsi:type="xsd:double"&gt;-9.429747&lt;/D&gt;&lt;D xsi:type="xsd:double"&gt;-11.047554&lt;/D&gt;&lt;D xsi:type="xsd:double"&gt;-10.209322&lt;/D&gt;&lt;D xsi:type="xsd:double"&gt;-9.996283&lt;/D&gt;&lt;D xsi:type="xsd:double"&gt;-5.5449305&lt;/D&gt;&lt;D xsi:type="xsd:double"&gt;-2.459979&lt;/D&gt;&lt;D xsi:type="xsd:double"&gt;-0.8340001&lt;/D&gt;&lt;D xsi:type="xsd:double"&gt;-2.1159887&lt;/D&gt;&lt;D xsi:type="xsd:double"&gt;0.07967949&lt;/D&gt;&lt;D xsi:type="xsd:double"&gt;3.6043286&lt;/D&gt;&lt;D xsi:type="xsd:double"&gt;5.7542086&lt;/D&gt;&lt;D xsi:type="xsd:double"&gt;5.4343343&lt;/D&gt;&lt;D xsi:type="xsd:double"&gt;6.0082316&lt;/D&gt;&lt;D xsi:type="xsd:double"&gt;5.988753&lt;/D&gt;&lt;D xsi:type="xsd:double"&gt;10.004067&lt;/D&gt;&lt;D xsi:type="xsd:double"&gt;12.675476&lt;/D&gt;&lt;D xsi:type="xsd:double"&gt;12.71255&lt;/D&gt;&lt;D xsi:type="xsd:double"&gt;14.056873&lt;/D&gt;&lt;D xsi:type="xsd:double"&gt;16.339611&lt;/D&gt;&lt;D xsi:type="xsd:double"&gt;21.377098&lt;/D&gt;&lt;D xsi:type="xsd:double"&gt;19.626545&lt;/D&gt;&lt;D xsi:type="xsd:double"&gt;10.475445&lt;/D&gt;&lt;D xsi:type="xsd:double"&gt;9.700001&lt;/D&gt;&lt;D xsi:type="xsd:double"&gt;8.244503&lt;/D&gt;&lt;D xsi:type="xsd:double"&gt;10.747075&lt;/D&gt;&lt;D xsi:type="xsd:double"&gt;6.578517&lt;/D&gt;&lt;D xsi:type="xsd:double"&gt;4.104829&lt;/D&gt;&lt;D xsi:type="xsd:double"&gt;4.8707724&lt;/D&gt;&lt;D xsi:type="xsd:double"&gt;2.7265072&lt;/D&gt;&lt;D xsi:type="xsd:double"&gt;-1.1022687&lt;/D&gt;&lt;D xsi:type="xsd:double"&gt;-0.19797683&lt;/D&gt;&lt;D xsi:type="xsd:double"&gt;-0.20292401&lt;/D&gt;&lt;D xsi:type="xsd:double"&gt;-0.5286157&lt;/D&gt;&lt;D xsi:type="xsd:double"&gt;2.485311&lt;/D&gt;&lt;D xsi:type="xsd:double"&gt;3.1918526&lt;/D&gt;&lt;D xsi:type="xsd:double"&gt;7.545936&lt;/D&gt;&lt;/FQL&gt;&lt;FQL&gt;&lt;Q&gt;CPALM-FDS^FG_PRICE_CHANGE(0,-3AM)&lt;/Q&gt;&lt;R&gt;1&lt;/R&gt;&lt;C&gt;1&lt;/C&gt;&lt;D xsi:type="xsd:double"&gt;6.39219934994584&lt;/D&gt;&lt;/FQL&gt;&lt;FQL&gt;&lt;Q&gt;PASP-FDS^MAX(FG_PRICE(0,-5AY))&lt;/Q&gt;&lt;R&gt;1&lt;/R&gt;&lt;C&gt;1&lt;/C&gt;&lt;D xsi:type="xsd:double"&gt;3158.12&lt;/D&gt;&lt;/FQL&gt;&lt;FQL&gt;&lt;Q&gt;NI-FDS^FG_PRICE_CHANGE(0,-3AM)&lt;/Q&gt;&lt;R&gt;1&lt;/R&gt;&lt;C&gt;1&lt;/C&gt;&lt;D xsi:type="xsd:double"&gt;-11.7176730079956&lt;/D&gt;&lt;/FQL&gt;&lt;FQL&gt;&lt;Q&gt;BRENT-FDS^MAX(FG_PRICE(0,-5AY))&lt;/Q&gt;&lt;R&gt;1&lt;/R&gt;&lt;C&gt;1&lt;/C&gt;&lt;D xsi:type="xsd:double"&gt;140.85&lt;/D&gt;&lt;/FQL&gt;&lt;FQL&gt;&lt;Q&gt;COPP-FDS^FG_PRICE_CHANGE(0,-3AM)&lt;/Q&gt;&lt;R&gt;1&lt;/R&gt;&lt;C&gt;1&lt;/C&gt;&lt;D xsi:type="xsd:double"&gt;5.34564791491743&lt;/D&gt;&lt;/FQL&gt;&lt;FQL&gt;&lt;Q&gt;FC0000GB^FG_PRICE(0)&lt;/Q&gt;&lt;R&gt;1&lt;/R&gt;&lt;C&gt;1&lt;/C&gt;&lt;D xsi:type="xsd:double"&gt;116.88543&lt;/D&gt;&lt;/FQL&gt;&lt;FQL&gt;&lt;Q&gt;FC0000GR^FG_PRICE(0)&lt;/Q&gt;&lt;R&gt;1&lt;/R&gt;&lt;C&gt;1&lt;/C&gt;&lt;D xsi:type="xsd:double"&gt;9.301108&lt;/D&gt;&lt;/FQL&gt;&lt;FQL&gt;&lt;Q&gt;FC0000NZ^FG_PRICE(0)&lt;/Q&gt;&lt;R&gt;1&lt;/R&gt;&lt;C&gt;1&lt;/C&gt;&lt;D xsi:type="xsd:double"&gt;389.04752&lt;/D&gt;&lt;/FQL&gt;&lt;FQL&gt;&lt;Q&gt;EWN^FG_PRICE_MAVG(0,,,,200)&lt;/Q&gt;&lt;R&gt;1&lt;/R&gt;&lt;C&gt;1&lt;/C&gt;&lt;D xsi:type="xsd:double"&gt;41.68178&lt;/D&gt;&lt;/FQL&gt;&lt;FQL&gt;&lt;Q&gt;QQQ^FG_PRICE_MAVG(0,,,,200)&lt;/Q&gt;&lt;R&gt;1&lt;/R&gt;&lt;C&gt;1&lt;/C&gt;&lt;D xsi:type="xsd:double"&gt;366.6176&lt;/D&gt;&lt;/FQL&gt;&lt;FQL&gt;&lt;Q&gt;EWJ^FG_PRICE_MAVG(0,,,,200)&lt;/Q&gt;&lt;R&gt;1&lt;/R&gt;&lt;C&gt;1&lt;/C&gt;&lt;D xsi:type="xsd:double"&gt;61.3713&lt;/D&gt;&lt;/FQL&gt;&lt;FQL&gt;&lt;Q&gt;EWA^FG_PRICE_MAVG(0,,,,200)&lt;/Q&gt;&lt;R&gt;1&lt;/R&gt;&lt;C&gt;1&lt;/C&gt;&lt;D xsi:type="xsd:double"&gt;22.50115&lt;/D&gt;&lt;/FQL&gt;&lt;FQL&gt;&lt;Q&gt;ENZL^FG_COMPANY_NAME&lt;/Q&gt;&lt;R&gt;1&lt;/R&gt;&lt;C&gt;1&lt;/C&gt;&lt;D xsi:type="xsd:string"&gt;iShares MSCI New Zealand ETF&lt;/D&gt;&lt;/FQL&gt;&lt;FQL&gt;&lt;Q&gt;SPY^P_PRICE(0)/P_PRICE_LOW_PR(0,,,USD,,,"PRICE","INTRA","52W")-1&lt;/Q&gt;&lt;R&gt;1&lt;/R&gt;&lt;C&gt;1&lt;/C&gt;&lt;D xsi:type="xsd:double"&gt;0.27376854&lt;/D&gt;&lt;/FQL&gt;&lt;FQL&gt;&lt;Q&gt;URTH^FG_TOTAL_RETURNC(0,-6AM)&lt;/Q&gt;&lt;R&gt;1&lt;/R&gt;&lt;C&gt;1&lt;/C&gt;&lt;D xsi:type="xsd:double"&gt;6.1447144&lt;/D&gt;&lt;/FQL&gt;&lt;FQL&gt;&lt;Q&gt;EWI^P_PRICE(0)/P_PRICE_LOW_PR(0,,,USD,,,"PRICE","INTRA","52W")-1&lt;/Q&gt;&lt;R&gt;1&lt;/R&gt;&lt;C&gt;1&lt;/C&gt;&lt;D xsi:type="xsd:double"&gt;0.18792677&lt;/D&gt;&lt;/FQL&gt;&lt;FQL&gt;&lt;Q&gt;EWL^FG_TOTAL_RETURNC(0,-3AM)&lt;/Q&gt;&lt;R&gt;1&lt;/R&gt;&lt;C&gt;1&lt;/C&gt;&lt;D xsi:type="xsd:double"&gt;10.339106&lt;/D&gt;&lt;/FQL&gt;&lt;FQL&gt;&lt;Q&gt;EWC^P_PRICE(0)/P_PRICE_HIGH_PR(0,,,USD,,,"PRICE","INTRA","52W")&lt;/Q&gt;&lt;R&gt;1&lt;/R&gt;&lt;C&gt;1&lt;/C&gt;&lt;D xsi:type="xsd:double"&gt;0.97837245&lt;/D&gt;&lt;/FQL&gt;&lt;FQL&gt;&lt;Q&gt;FXI^PERCENT_CHANGE(FMA_EPS(+1,0,,,,"PORTAGG","MEAN"),FMA_EPS(+1,-3AM,,,,"PORTAGG","MEAN"))&lt;/Q&gt;&lt;R&gt;1&lt;/R&gt;&lt;C&gt;1&lt;/C&gt;&lt;D xsi:type="xsd:double"&gt;-5.32816672786005&lt;/D&gt;&lt;/FQL&gt;&lt;FQL&gt;&lt;Q&gt;EMXC^PERCENT_CHANGE(FMA_EPS(+1,0,,,,"PORTAGG","MEAN"),FMA_EPS(+1,-1AM,,,,"PORTAGG","MEAN"))&lt;/Q&gt;&lt;R&gt;1&lt;/R&gt;&lt;C&gt;1&lt;/C&gt;&lt;D xsi:type="xsd:double"&gt;-1.03909626173999&lt;/D&gt;&lt;/FQL&gt;&lt;FQL&gt;&lt;Q&gt;EWJ^FMA_PCT_ABOVE_MAVG(200,0,,,,"PORTAGG")&lt;/Q&gt;&lt;R&gt;1&lt;/R&gt;&lt;C&gt;1&lt;/C&gt;&lt;D xsi:type="xsd:double"&gt;73.8938053097345&lt;/D&gt;&lt;/FQL&gt;&lt;FQL&gt;&lt;Q&gt;EWQ^FMA_PCT_ABOVE_MAVG(200,0,,,,"PORTAGG")&lt;/Q&gt;&lt;R&gt;1&lt;/R&gt;&lt;C&gt;1&lt;/C&gt;&lt;D xsi:type="xsd:double"&gt;66.1290322580645&lt;/D&gt;&lt;/FQL&gt;&lt;FQL&gt;&lt;Q&gt;EWL^PERCENT_CHANGE(FMA_EPS(+1,0,,,,"PORTAGG","MEAN"),FMA_EPS(+1,-3AM,,,,"PORTAGG","MEAN"))&lt;/Q&gt;&lt;R&gt;1&lt;/R&gt;&lt;C&gt;1&lt;/C&gt;&lt;D xsi:type="xsd:double"&gt;-0.511292603310681&lt;/D&gt;&lt;/FQL&gt;&lt;FQL&gt;&lt;Q&gt;EWC^PERCENT_CHANGE(FMA_EPS(+1,0,,,,"PORTAGG","MEAN"),FMA_EPS(+1,-1AM,,,,"PORTAGG","MEAN"))&lt;/Q&gt;&lt;R&gt;1&lt;/R&gt;&lt;C&gt;1&lt;/C&gt;&lt;D xsi:type="xsd:double"&gt;-2.0384392612853&lt;/D&gt;&lt;/FQL&gt;&lt;FQL&gt;&lt;Q&gt;IWM^SIZE(FG_CONSTITUENTS)&lt;/Q&gt;&lt;R&gt;1&lt;/R&gt;&lt;C&gt;1&lt;/C&gt;&lt;D xsi:type="xsd:long"&gt;1956&lt;/D&gt;&lt;/FQL&gt;&lt;FQL&gt;&lt;Q&gt;INDA^FMA_COS_DOWN("EPS","1M",+1,0,,,"PORTAGG","MEANR")&lt;/Q&gt;&lt;R&gt;1&lt;/R&gt;&lt;C&gt;1&lt;/C&gt;&lt;D xsi:type="xsd:double"&gt;67&lt;/D&gt;&lt;/FQL&gt;&lt;FQL&gt;&lt;Q&gt;EWI^FMA_COS_UP("EPS","1M",+1,0,,,"PORTAGG","MEANR")&lt;/Q&gt;&lt;R&gt;1&lt;/R&gt;&lt;C&gt;1&lt;/C&gt;&lt;D xsi:type="xsd:double"&gt;8&lt;/D&gt;&lt;/FQL&gt;&lt;FQL&gt;&lt;Q&gt;EWU^FMA_COS_UP("EPS","1M",+1,0,,,"PORTAGG","MEANR")&lt;/Q&gt;&lt;R&gt;1&lt;/R&gt;&lt;C&gt;1&lt;/C&gt;&lt;D xsi:type="xsd:double"&gt;37&lt;/D&gt;&lt;/FQL&gt;&lt;FQL&gt;&lt;Q&gt;ENZL^FMA_COS_UP("EPS","1M",+1,0,,,"PORTAGG","MEANR")&lt;/Q&gt;&lt;R&gt;1&lt;/R&gt;&lt;C&gt;1&lt;/C&gt;&lt;D xsi:type="xsd:double"&gt;2&lt;/D&gt;&lt;/FQL&gt;&lt;FQL&gt;&lt;Q&gt;EWJ^P_PRICE(0)/P_PRICE_HIGH_PR(0,,,USD,,,"PRICE","INTRA","52W")&lt;/Q&gt;&lt;R&gt;1&lt;/R&gt;&lt;C&gt;1&lt;/C&gt;&lt;D xsi:type="xsd:double"&gt;0.98863125&lt;/D&gt;&lt;/FQL&gt;&lt;FQL&gt;&lt;Q&gt;EMXC^FG_TOTAL_RETURNC(0,-1AM)&lt;/Q&gt;&lt;R&gt;1&lt;/R&gt;&lt;C&gt;1&lt;/C&gt;&lt;D xsi:type="xsd:double"&gt;-1.303947&lt;/D&gt;&lt;/FQL&gt;&lt;FQL&gt;&lt;Q&gt;EWN^FG_PRICE_MAVG(0,,,,60)&lt;/Q&gt;&lt;R&gt;1&lt;/R&gt;&lt;C&gt;1&lt;/C&gt;&lt;D xsi:type="xsd:double"&gt;42.210533&lt;/D&gt;&lt;/FQL&gt;&lt;FQL&gt;&lt;Q&gt;QQQ^FG_PRICE_MAVG(0,,,,60)&lt;/Q&gt;&lt;R&gt;1&lt;/R&gt;&lt;C&gt;1&lt;/C&gt;&lt;D xsi:type="xsd:double"&gt;392.03482&lt;/D&gt;&lt;/FQL&gt;&lt;FQL&gt;&lt;Q&gt;EWJ^FG_PRICE_MAVG(0,,,,60)&lt;/Q&gt;&lt;R&gt;1&lt;/R&gt;&lt;C&gt;1&lt;/C&gt;&lt;D xsi:type="xsd:double"&gt;62.697&lt;/D&gt;&lt;/FQL&gt;&lt;FQL&gt;&lt;Q&gt;EWA^FG_PRICE_MAVG(0,,,,60)&lt;/Q&gt;&lt;R&gt;1&lt;/R&gt;&lt;C&gt;1&lt;/C&gt;&lt;D xsi:type="xsd:double"&gt;22.811832&lt;/D&gt;&lt;/FQL&gt;&lt;FQL&gt;&lt;Q&gt;EWC^FMA_PCT_ABOVE_MAVG(200,0,,,,"PORTAGG")&lt;/Q&gt;&lt;R&gt;1&lt;/R&gt;&lt;C&gt;1&lt;/C&gt;&lt;D xsi:type="xsd:double"&gt;59.5505617977528&lt;/D&gt;&lt;/FQL&gt;&lt;FQL&gt;&lt;Q&gt;EWD^SIZE(FG_CONSTITUENTS)&lt;/Q&gt;&lt;R&gt;1&lt;/R&gt;&lt;C&gt;1&lt;/C&gt;&lt;D xsi:type="xsd:long"&gt;45&lt;/D&gt;&lt;/FQL&gt;&lt;FQL&gt;&lt;Q&gt;QQQ^FG_TOTAL_RETURNC(0,-3AM)&lt;/Q&gt;&lt;R&gt;1&lt;/R&gt;&lt;C&gt;1&lt;/C&gt;&lt;D xsi:type="xsd:double"&gt;19.364405&lt;/D&gt;&lt;/FQL&gt;&lt;FQL&gt;&lt;Q&gt;VWO^P_PRICE_RETURNS_PR('52W',2,-10AY,0,AM)&lt;/Q&gt;&lt;R&gt;121&lt;/R&gt;&lt;C&gt;1&lt;/C&gt;&lt;D xsi:type="xsd:double"&gt;-10.611439&lt;/D&gt;&lt;D xsi:type="xsd:double"&gt;-7.603979&lt;/D&gt;&lt;D xsi:type="xsd:double"&gt;-5.872011&lt;/D&gt;&lt;D xsi:type="xsd:double"&gt;-0.8479774&lt;/D&gt;&lt;D xsi:type="xsd:double"&gt;2.1710157&lt;/D&gt;&lt;D xsi:type="xsd:double"&gt;18.190134&lt;/D&gt;&lt;D xsi:type="xsd:double"&gt;13.934875&lt;/D&gt;&lt;D xsi:type="xsd:double"&gt;20.812393&lt;/D&gt;&lt;D xsi:type="xsd:double"&gt;5.1992297&lt;/D&gt;&lt;D xsi:type="xsd:double"&gt;0.67020655&lt;/D&gt;&lt;D xsi:type="xsd:double"&gt;7.8945756&lt;/D&gt;&lt;D xsi:type="xsd:double"&gt;1.3266444&lt;/D&gt;&lt;D xsi:type="xsd:double"&gt;9.991371&lt;/D&gt;&lt;D xsi:type="xsd:double"&gt;8.778393&lt;/D&gt;&lt;D xsi:type="xsd:double"&gt;8.551741&lt;/D&gt;&lt;D xsi:type="xsd:double"&gt;11.466241&lt;/D&gt;&lt;D xsi:type="xsd:double"&gt;5.1752806&lt;/D&gt;&lt;D xsi:type="xsd:double"&gt;0.22749901&lt;/D&gt;&lt;D xsi:type="xsd:double"&gt;-10.916269&lt;/D&gt;&lt;D xsi:type="xsd:double"&gt;-23.123276&lt;/D&gt;&lt;D xsi:type="xsd:double"&gt;-20.713335&lt;/D&gt;&lt;D xsi:type="xsd:double"&gt;-8.75197&lt;/D&gt;&lt;D xsi:type="xsd:double"&gt;-16.583145&lt;/D&gt;&lt;D xsi:type="xsd:double"&gt;-13.190025&lt;/D&gt;&lt;D xsi:type="xsd:double"&gt;-27.514713&lt;/D&gt;&lt;D xsi:type="xsd:double"&gt;-23.412943&lt;/D&gt;&lt;D xsi:type="xsd:double"&gt;-14.451992&lt;/D&gt;&lt;D xsi:type="xsd:double"&gt;-18.446636&lt;/D&gt;&lt;D xsi:type="xsd:double"&gt;-23.31137&lt;/D&gt;&lt;D xsi:type="xsd:double"&gt;-13.189769&lt;/D&gt;&lt;D xsi:type="xsd:double"&gt;-3.5237312&lt;/D&gt;&lt;D xsi:type="xsd:double"&gt;14.285707&lt;/D&gt;&lt;D xsi:type="xsd:double"&gt;17.850662&lt;/D&gt;&lt;D xsi:type="xsd:double"&gt;10.324025&lt;/D&gt;&lt;D xsi:type="xsd:double"&gt;5.0535917&lt;/D&gt;&lt;D xsi:type="xsd:double"&gt;7.4273944&lt;/D&gt;&lt;D xsi:type="xsd:double"&gt;30.196201&lt;/D&gt;&lt;D xsi:type="xsd:double"&gt;32.09597&lt;/D&gt;&lt;D xsi:type="xsd:double"&gt;21.490692&lt;/D&gt;&lt;D xsi:type="xsd:double"&gt;15.864611&lt;/D&gt;&lt;D xsi:type="xsd:double"&gt;27.440369&lt;/D&gt;&lt;D xsi:type="xsd:double"&gt;17.68403&lt;/D&gt;&lt;D xsi:type="xsd:double"&gt;19.19136&lt;/D&gt;&lt;D xsi:type="xsd:double"&gt;19.040024&lt;/D&gt;&lt;D xsi:type="xsd:double"&gt;18.55377&lt;/D&gt;&lt;D xsi:type="xsd:double"&gt;19.546593&lt;/D&gt;&lt;D xsi:type="xsd:double"&gt;29.859138&lt;/D&gt;&lt;D xsi:type="xsd:double"&gt;33.538853&lt;/D&gt;&lt;D xsi:type="xsd:double"&gt;36.59797&lt;/D&gt;&lt;D xsi:type="xsd:double"&gt;25.854946&lt;/D&gt;&lt;D xsi:type="xsd:double"&gt;17.005968&lt;/D&gt;&lt;D xsi:type="xsd:double"&gt;18.303658&lt;/D&gt;&lt;D xsi:type="xsd:double"&gt;13.973009&lt;/D&gt;&lt;D xsi:type="xsd:double"&gt;8.077919&lt;/D&gt;&lt;D xsi:type="xsd:double"&gt;2.9290438&lt;/D&gt;&lt;D xsi:type="xsd:double"&gt;-2.5901556&lt;/D&gt;&lt;D xsi:type="xsd:double"&gt;-4.734373&lt;/D&gt;&lt;D xsi:type="xsd:double"&gt;-12.06305&lt;/D&gt;&lt;D xsi:type="xsd:double"&gt;-13.601339&lt;/D&gt;&lt;D xsi:type="xsd:double"&gt;-14.280855&lt;/D&gt;&lt;D xsi:type="xsd:double"&gt;-17.354017&lt;/D&gt;&lt;D xsi:type="xsd:double"&gt;-10.235065&lt;/D&gt;&lt;D xsi:type="xsd:double"&gt;-7.6675773&lt;/D&gt;&lt;D xsi:type="xsd:double"&gt;-1.7286897&lt;/D&gt;&lt;D xsi:type="xsd:double"&gt;-9.624558&lt;/D&gt;&lt;D xsi:type="xsd:double"&gt;2.494204&lt;/D&gt;&lt;D xsi:type="xsd:double"&gt;2.5627732&lt;/D&gt;&lt;D xsi:type="xsd:double"&gt;-2.906984&lt;/D&gt;&lt;D xsi:type="xsd:double"&gt;2.3861885&lt;/D&gt;&lt;D xsi:type="xsd:double"&gt;12.544001&lt;/D&gt;&lt;D xsi:type="xsd:double"&gt;11.400175&lt;/D&gt;&lt;D xsi:type="xsd:double"&gt;21.649277&lt;/D&gt;&lt;D xsi:type="xsd:double"&gt;14.692366&lt;/D&gt;&lt;D xsi:type="xsd:double"&gt;8.088791&lt;/D&gt;&lt;D xsi:type="xsd:double"&gt;-24.552757&lt;/D&gt;&lt;D xsi:type="xsd:double"&gt;-17.091835&lt;/D&gt;&lt;D xsi:type="xsd:double"&gt;-7.2726545&lt;/D&gt;&lt;D xsi:type="xsd:double"&gt;-1.3689995&lt;/D&gt;&lt;D xsi:type="xsd:double"&gt;3.8892627&lt;/D&gt;&lt;D xsi:type="xsd:double"&gt;12.725377&lt;/D&gt;&lt;D xsi:type="xsd:double"&gt;5.7781577&lt;/D&gt;&lt;D xsi:type="xsd:double"&gt;11.946106&lt;/D&gt;&lt;D xsi:type="xsd:double"&gt;16.678692&lt;/D&gt;&lt;D xsi:type="xsd:double"&gt;13.739956&lt;/D&gt;&lt;D xsi:type="xsd:double"&gt;22.563755&lt;/D&gt;&lt;D xsi:type="xsd:double"&gt;29.569853&lt;/D&gt;&lt;D xsi:type="xsd:double"&gt;73.640656&lt;/D&gt;&lt;D xsi:type="xsd:double"&gt;54.992294&lt;/D&gt;&lt;D xsi:type="xsd:double"&gt;44.47974&lt;/D&gt;&lt;D xsi:type="xsd:double"&gt;35.74718&lt;/D&gt;&lt;D xsi:type="xsd:double"&gt;23.6032&lt;/D&gt;&lt;D xsi:type="xsd:double"&gt;16.42934&lt;/D&gt;&lt;D xsi:type="xsd:double"&gt;23.200512&lt;/D&gt;&lt;D xsi:type="xsd:double"&gt;17.248558&lt;/D&gt;&lt;D xsi:type="xsd:double"&gt;7.978487&lt;/D&gt;&lt;D xsi:type="xsd:double"&gt;2.5868416&lt;/D&gt;&lt;D xsi:type="xsd:double"&gt;-6.296486&lt;/D&gt;&lt;D xsi:type="xsd:double"&gt;-9.193021&lt;/D&gt;&lt;D xsi:type="xsd:double"&gt;-8.324307&lt;/D&gt;&lt;D xsi:type="xsd:double"&gt;-14.816273&lt;/D&gt;&lt;D xsi:type="xsd:double"&gt;-16.137177&lt;/D&gt;&lt;D xsi:type="xsd:double"&gt;-20.787668&lt;/D&gt;&lt;D xsi:type="xsd:double"&gt;-20.41129&lt;/D&gt;&lt;D xsi:type="xsd:double"&gt;-14.543581&lt;/D&gt;&lt;D xsi:type="xsd:double"&gt;-23.847652&lt;/D&gt;&lt;D xsi:type="xsd:double"&gt;-26.789904&lt;/D&gt;&lt;D xsi:type="xsd:double"&gt;-20.428299&lt;/D&gt;&lt;D xsi:type="xsd:double"&gt;-18.012571&lt;/D&gt;&lt;D xsi:type="xsd:double"&gt;-10.318851&lt;/D&gt;&lt;D xsi:type="xsd:double"&gt;-13.634336&lt;/D&gt;&lt;D xsi:type="xsd:double"&gt;-10.520333&lt;/D&gt;&lt;D xsi:type="xsd:double"&gt;-5.579591&lt;/D&gt;&lt;D xsi:type="xsd:double"&gt;-3.3343256&lt;/D&gt;&lt;D xsi:type="xsd:double"&gt;0.7331729&lt;/D&gt;&lt;D xsi:type="xsd:double"&gt;3.9956927&lt;/D&gt;&lt;D xsi:type="xsd:double"&gt;0.89832544&lt;/D&gt;&lt;D xsi:type="xsd:double"&gt;6.456208&lt;/D&gt;&lt;D xsi:type="xsd:double"&gt;6.101918&lt;/D&gt;&lt;D xsi:type="xsd:double"&gt;7.7876687&lt;/D&gt;&lt;D xsi:type="xsd:double"&gt;7.445979&lt;/D&gt;&lt;D xsi:type="xsd:double"&gt;-4.263675&lt;/D&gt;&lt;/FQL&gt;&lt;FQL&gt;&lt;Q&gt;CPALM-FDS^FG_PRICE_CHANGE(0,-1AM)&lt;/Q&gt;&lt;R&gt;1&lt;/R&gt;&lt;C&gt;1&lt;/C&gt;&lt;D xsi:type="xsd:double"&gt;6.82621702474844&lt;/D&gt;&lt;/FQL&gt;&lt;FQL&gt;&lt;Q&gt;PASP-FDS^FG_PRICE(0)/MAX(FG_PRICE(0,-1AY))&lt;/Q&gt;&lt;R&gt;1&lt;/R&gt;&lt;C&gt;1&lt;/C&gt;&lt;D xsi:type="xsd:double"&gt;0.535816618911175&lt;/D&gt;&lt;/FQL&gt;&lt;FQL&gt;&lt;Q&gt;NI-FDS^FG_PRICE_CHANGE(0,-1AM)&lt;/Q&gt;&lt;R&gt;1&lt;/R&gt;&lt;C&gt;1&lt;/C&gt;&lt;D xsi:type="xsd:double"&gt;-2.13936430317848&lt;/D&gt;&lt;/FQL&gt;&lt;FQL&gt;&lt;Q&gt;BRENT-FDS^FG_PRICE(0)/MAX(FG_PRICE(0,-1AY))&lt;/Q&gt;&lt;R&gt;1&lt;/R&gt;&lt;C&gt;1&lt;/C&gt;&lt;D xsi:type="xsd:double"&gt;0.870614479821537&lt;/D&gt;&lt;/FQL&gt;&lt;FQL&gt;&lt;Q&gt;COPP-FDS^FG_PRICE_CHANGE(0,-1AM)&lt;/Q&gt;&lt;R&gt;1&lt;/R&gt;&lt;C&gt;1&lt;/C&gt;&lt;D xsi:type="xsd:double"&gt;-3.37568989860096&lt;/D&gt;&lt;/FQL&gt;&lt;FQL&gt;&lt;Q&gt;EWI^FG_TOTAL_RETURNC(-10AY,0,AM)&lt;/Q&gt;&lt;R&gt;121&lt;/R&gt;&lt;C&gt;1&lt;/C&gt;&lt;D xsi:type="xsd:double"&gt;5.8475733&lt;/D&gt;&lt;D xsi:type="xsd:double"&gt;2.979517&lt;/D&gt;&lt;D xsi:type="xsd:double"&gt;1.8685937&lt;/D&gt;&lt;D xsi:type="xsd:double"&gt;5.7988167&lt;/D&gt;&lt;D xsi:type="xsd:double"&gt;-5.257261&lt;/D&gt;&lt;D xsi:type="xsd:double"&gt;5.54899&lt;/D&gt;&lt;D xsi:type="xsd:double"&gt;-5.0076904&lt;/D&gt;&lt;D xsi:type="xsd:double"&gt;-6.14925&lt;/D&gt;&lt;D xsi:type="xsd:double"&gt;-0.6997466&lt;/D&gt;&lt;D xsi:type="xsd:double"&gt;-6.278026&lt;/D&gt;&lt;D xsi:type="xsd:double"&gt;1.093638&lt;/D&gt;&lt;D xsi:type="xsd:double"&gt;-4.887825&lt;/D&gt;&lt;D xsi:type="xsd:double"&gt;-2.4337888&lt;/D&gt;&lt;D xsi:type="xsd:double"&gt;9.17095&lt;/D&gt;&lt;D xsi:type="xsd:double"&gt;0.5376339&lt;/D&gt;&lt;D xsi:type="xsd:double"&gt;0.53476095&lt;/D&gt;&lt;D xsi:type="xsd:double"&gt;4.9202085&lt;/D&gt;&lt;D xsi:type="xsd:double"&gt;1.4575481&lt;/D&gt;&lt;D xsi:type="xsd:double"&gt;-1.6705453&lt;/D&gt;&lt;D xsi:type="xsd:double"&gt;-5.494505&lt;/D&gt;&lt;D xsi:type="xsd:double"&gt;-3.55677&lt;/D&gt;&lt;D xsi:type="xsd:double"&gt;7.1631193&lt;/D&gt;&lt;D xsi:type="xsd:double"&gt;-6.4857664&lt;/D&gt;&lt;D xsi:type="xsd:double"&gt;0.16019344&lt;/D&gt;&lt;D xsi:type="xsd:double"&gt;-12.756902&lt;/D&gt;&lt;D xsi:type="xsd:double"&gt;-9.017062&lt;/D&gt;&lt;D xsi:type="xsd:double"&gt;8.928574&lt;/D&gt;&lt;D xsi:type="xsd:double"&gt;2.5409818&lt;/D&gt;&lt;D xsi:type="xsd:double"&gt;-5.8353367&lt;/D&gt;&lt;D xsi:type="xsd:double"&gt;6.254196&lt;/D&gt;&lt;D xsi:type="xsd:double"&gt;-10.024654&lt;/D&gt;&lt;D xsi:type="xsd:double"&gt;2.92238&lt;/D&gt;&lt;D xsi:type="xsd:double"&gt;-2.2182763&lt;/D&gt;&lt;D xsi:type="xsd:double"&gt;1.7241359&lt;/D&gt;&lt;D xsi:type="xsd:double"&gt;-5.129349&lt;/D&gt;&lt;D xsi:type="xsd:double"&gt;14.587855&lt;/D&gt;&lt;D xsi:type="xsd:double"&gt;2.1118045&lt;/D&gt;&lt;D xsi:type="xsd:double"&gt;-4.906726&lt;/D&gt;&lt;D xsi:type="xsd:double"&gt;8.827293&lt;/D&gt;&lt;D xsi:type="xsd:double"&gt;-2.1159887&lt;/D&gt;&lt;D xsi:type="xsd:double"&gt;14.81185&lt;/D&gt;&lt;D xsi:type="xsd:double"&gt;-2.2981644&lt;/D&gt;&lt;D xsi:type="xsd:double"&gt;5.7412744&lt;/D&gt;&lt;D xsi:type="xsd:double"&gt;3.0927777&lt;/D&gt;&lt;D xsi:type="xsd:double"&gt;5.033338&lt;/D&gt;&lt;D xsi:type="xsd:double"&gt;-2.8879702&lt;/D&gt;&lt;D xsi:type="xsd:double"&gt;0.58823824&lt;/D&gt;&lt;D xsi:type="xsd:double"&gt;0.38836002&lt;/D&gt;&lt;D xsi:type="xsd:double"&gt;10.60853&lt;/D&gt;&lt;D xsi:type="xsd:double"&gt;-4.5601726&lt;/D&gt;&lt;D xsi:type="xsd:double"&gt;-2.5585651&lt;/D&gt;&lt;D xsi:type="xsd:double"&gt;8.003796&lt;/D&gt;&lt;D xsi:type="xsd:double"&gt;-7.2934985&lt;/D&gt;&lt;D xsi:type="xsd:double"&gt;-5.415499&lt;/D&gt;&lt;D xsi:type="xsd:double"&gt;-0.2403915&lt;/D&gt;&lt;D xsi:type="xsd:double"&gt;-5.6110144&lt;/D&gt;&lt;D xsi:type="xsd:double"&gt;6.017506&lt;/D&gt;&lt;D xsi:type="xsd:double"&gt;-12.831098&lt;/D&gt;&lt;D xsi:type="xsd:double"&gt;-2.446729&lt;/D&gt;&lt;D xsi:type="xsd:double"&gt;-2.2865415&lt;/D&gt;&lt;D xsi:type="xsd:double"&gt;7.169807&lt;/D&gt;&lt;D xsi:type="xsd:double"&gt;4.0688634&lt;/D&gt;&lt;D xsi:type="xsd:double"&gt;3.5338402&lt;/D&gt;&lt;D xsi:type="xsd:double"&gt;2.9048681&lt;/D&gt;&lt;D xsi:type="xsd:double"&gt;-6.3514414&lt;/D&gt;&lt;D xsi:type="xsd:double"&gt;7.690847&lt;/D&gt;&lt;D xsi:type="xsd:double"&gt;1.5568376&lt;/D&gt;&lt;D xsi:type="xsd:double"&gt;-8.163988&lt;/D&gt;&lt;D xsi:type="xsd:double"&gt;6.948757&lt;/D&gt;&lt;D xsi:type="xsd:double"&gt;2.9401183&lt;/D&gt;&lt;D xsi:type="xsd:double"&gt;2.6798368&lt;/D&gt;&lt;D xsi:type="xsd:double"&gt;2.7018666&lt;/D&gt;&lt;D xsi:type="xsd:double"&gt;-1.0437727&lt;/D&gt;&lt;D xsi:type="xsd:double"&gt;1.1228323&lt;/D&gt;&lt;D xsi:type="xsd:double"&gt;-36.675636&lt;/D&gt;&lt;D xsi:type="xsd:double"&gt;5.419767&lt;/D&gt;&lt;D xsi:type="xsd:double"&gt;5.0403237&lt;/D&gt;&lt;D xsi:type="xsd:double"&gt;19.228697&lt;/D&gt;&lt;D xsi:type="xsd:double"&gt;5.2460313&lt;/D&gt;&lt;D xsi:type="xsd:double"&gt;-1.0046303&lt;/D&gt;&lt;D xsi:type="xsd:double"&gt;-6.049967&lt;/D&gt;&lt;D xsi:type="xsd:double"&gt;3.7390947&lt;/D&gt;&lt;D xsi:type="xsd:double"&gt;12.57509&lt;/D&gt;&lt;D xsi:type="xsd:double"&gt;5.7040453&lt;/D&gt;&lt;D xsi:type="xsd:double"&gt;-0.6107867&lt;/D&gt;&lt;D xsi:type="xsd:double"&gt;3.4141302&lt;/D&gt;&lt;D xsi:type="xsd:double"&gt;2.1129012&lt;/D&gt;&lt;D xsi:type="xsd:double"&gt;4.073715&lt;/D&gt;&lt;D xsi:type="xsd:double"&gt;2.9201746&lt;/D&gt;&lt;D xsi:type="xsd:double"&gt;-0.766629&lt;/D&gt;&lt;D xsi:type="xsd:double"&gt;-1.4778316&lt;/D&gt;&lt;D xsi:type="xsd:double"&gt;2.8125048&lt;/D&gt;&lt;D xsi:type="xsd:double"&gt;-0.4255414&lt;/D&gt;&lt;D xsi:type="xsd:double"&gt;1.8315077&lt;/D&gt;&lt;D xsi:type="xsd:double"&gt;-1.2589991&lt;/D&gt;&lt;D xsi:type="xsd:double"&gt;0.007545948&lt;/D&gt;&lt;D xsi:type="xsd:double"&gt;-0.21551847&lt;/D&gt;&lt;D xsi:type="xsd:double"&gt;-3.702563&lt;/D&gt;&lt;D xsi:type="xsd:double"&gt;-8.683109&lt;/D&gt;&lt;D xsi:type="xsd:double"&gt;-0.5614042&lt;/D&gt;&lt;D xsi:type="xsd:double"&gt;-0.49399734&lt;/D&gt;&lt;D xsi:type="xsd:double"&gt;-10.6731415&lt;/D&gt;&lt;D xsi:type="xsd:double"&gt;-5.4828167&lt;/D&gt;&lt;D xsi:type="xsd:double"&gt;3.6363602&lt;/D&gt;&lt;D xsi:type="xsd:double"&gt;-8.437765&lt;/D&gt;&lt;D xsi:type="xsd:double"&gt;5.018246&lt;/D&gt;&lt;D xsi:type="xsd:double"&gt;19.417894&lt;/D&gt;&lt;D xsi:type="xsd:double"&gt;-0.34249425&lt;/D&gt;&lt;D xsi:type="xsd:double"&gt;9.670246&lt;/D&gt;&lt;D xsi:type="xsd:double"&gt;1.6553998&lt;/D&gt;&lt;D xsi:type="xsd:double"&gt;-2.426052&lt;/D&gt;&lt;D xsi:type="xsd:double"&gt;7.935965&lt;/D&gt;&lt;D xsi:type="xsd:double"&gt;-2.4929047&lt;/D&gt;&lt;D xsi:type="xsd:double"&gt;1.3595581&lt;/D&gt;&lt;D xsi:type="xsd:double"&gt;7.8181148&lt;/D&gt;&lt;D xsi:type="xsd:double"&gt;-4.1868925&lt;/D&gt;&lt;D xsi:type="xsd:double"&gt;-1.773274&lt;/D&gt;&lt;D xsi:type="xsd:double"&gt;-4.12637&lt;/D&gt;&lt;D xsi:type="xsd:double"&gt;8.910561&lt;/D&gt;&lt;D xsi:type="xsd:double"&gt;5.513406&lt;/D&gt;&lt;D xsi:type="xsd:double"&gt;-2.0444393&lt;/D&gt;&lt;/FQL&gt;&lt;FQL&gt;&lt;Q&gt;CPALM-FDS^FG_PRICE_MAVG(0,,,,30)&lt;/Q&gt;&lt;R&gt;1&lt;/R&gt;&lt;C&gt;1&lt;/C&gt;&lt;D xsi:type="xsd:double"&gt;3717.3&lt;/D&gt;&lt;/FQL&gt;&lt;FQL&gt;&lt;Q&gt;PASP-FDS^FG_PRICE_CHANGE(0,-1AY)&lt;/Q&gt;&lt;R&gt;1&lt;/R&gt;&lt;C&gt;1&lt;/C&gt;&lt;D xsi:type="xsd:double"&gt;-45.7971014492754&lt;/D&gt;&lt;/FQL&gt;&lt;FQL&gt;&lt;Q&gt;NI-FDS^FG_PRICE_MAVG(0,,,,30)&lt;/Q&gt;&lt;R&gt;1&lt;/R&gt;&lt;C&gt;1&lt;/C&gt;&lt;D xsi:type="xsd:double"&gt;16220&lt;/D&gt;&lt;/FQL&gt;&lt;FQL&gt;&lt;Q&gt;BRENT-FDS^FG_PRICE_CHANGE(0,-1AY)&lt;/Q&gt;&lt;R&gt;1&lt;/R&gt;&lt;C&gt;1&lt;/C&gt;&lt;D xsi:type="xsd:double"&gt;-4.04559678140367&lt;/D&gt;&lt;/FQL&gt;&lt;FQL&gt;&lt;Q&gt;COPP-FDS^FG_PRICE_MAVG(0,,,,30)&lt;/Q&gt;&lt;R&gt;1&lt;/R&gt;&lt;C&gt;1&lt;/C&gt;&lt;D xsi:type="xsd:double"&gt;3.8258&lt;/D&gt;&lt;/FQL&gt;&lt;FQL&gt;&lt;Q&gt;EWN^FG_PRICE_MAVG(0,,,,30)&lt;/Q&gt;&lt;R&gt;1&lt;/R&gt;&lt;C&gt;1&lt;/C&gt;&lt;D xsi:type="xsd:double"&gt;43.8329&lt;/D&gt;&lt;/FQL&gt;&lt;FQL&gt;&lt;Q&gt;QQQ^FG_PRICE_MAVG(0,,,,30)&lt;/Q&gt;&lt;R&gt;1&lt;/R&gt;&lt;C&gt;1&lt;/C&gt;&lt;D xsi:type="xsd:double"&gt;406.85565&lt;/D&gt;&lt;/FQL&gt;&lt;FQL&gt;&lt;Q&gt;EWJ^FG_PRICE_MAVG(0,,,,30)&lt;/Q&gt;&lt;R&gt;1&lt;/R&gt;&lt;C&gt;1&lt;/C&gt;&lt;D xsi:type="xsd:double"&gt;64.154&lt;/D&gt;&lt;/FQL&gt;&lt;FQL&gt;&lt;Q&gt;EWA^FG_PRICE_MAVG(0,,,,30)&lt;/Q&gt;&lt;R&gt;1&lt;/R&gt;&lt;C&gt;1&lt;/C&gt;&lt;D xsi:type="xsd:double"&gt;23.729&lt;/D&gt;&lt;/FQL&gt;&lt;FQL&gt;&lt;Q&gt;FXI^P_PRICE(0)/P_PRICE_LOW_PR(0,,,USD,,,"PRICE","INTRA","52W")-1&lt;/Q&gt;&lt;R&gt;1&lt;/R&gt;&lt;C&gt;1&lt;/C&gt;&lt;D xsi:type="xsd:double"&gt;0.05992329&lt;/D&gt;&lt;/FQL&gt;&lt;FQL&gt;&lt;Q&gt;VWO^P_PRICE(0)/P_PRICE_LOW_PR(0,,,USD,,,"PRICE","INTRA","52W")-1&lt;/Q&gt;&lt;R&gt;1&lt;/R&gt;&lt;C&gt;1&lt;/C&gt;&lt;D xsi:type="xsd:double"&gt;0.055666804&lt;/D&gt;&lt;/FQL&gt;&lt;FQL&gt;&lt;Q&gt;EWI^FG_TOTAL_RETURNC(0,-6AM)&lt;/Q&gt;&lt;R&gt;1&lt;/R&gt;&lt;C&gt;1&lt;/C&gt;&lt;D xsi:type="xsd:double"&gt;1.5688419&lt;/D&gt;&lt;/FQL&gt;&lt;FQL&gt;&lt;Q&gt;EWQ^P_PRICE(0)/P_PRICE_LOW_PR(0,,,USD,,,"PRICE","INTRA","52W")-1&lt;/Q&gt;&lt;R&gt;1&lt;/R&gt;&lt;C&gt;1&lt;/C&gt;&lt;D xsi:type="xsd:double"&gt;0.121806264&lt;/D&gt;&lt;/FQL&gt;&lt;FQL&gt;&lt;Q&gt;EWC^FG_TOTAL_RETURNC(0,-3AM)&lt;/Q&gt;&lt;R&gt;1&lt;/R&gt;&lt;C&gt;1&lt;/C&gt;&lt;D xsi:type="xsd:double"&gt;13.184488&lt;/D&gt;&lt;/FQL&gt;&lt;FQL&gt;&lt;Q&gt;FXI^PERCENT_CHANGE(FMA_EPS(+1,0,,,,"PORTAGG","MEAN"),FMA_EPS(+1,-1AM,,,,"PORTAGG","MEAN"))&lt;/Q&gt;&lt;R&gt;1&lt;/R&gt;&lt;C&gt;1&lt;/C&gt;&lt;D xsi:type="xsd:double"&gt;-3.42934681225637&lt;/D&gt;&lt;/FQL&gt;&lt;FQL&gt;&lt;Q&gt;INDA^PERCENT_CHANGE(FMA_EPS(+1,0,,,,"PORTAGG","MEAN"),FMA_EPS(+1,-3AM,,,,"PORTAGG","MEAN"))&lt;/Q&gt;&lt;R&gt;1&lt;/R&gt;&lt;C&gt;1&lt;/C&gt;&lt;D xsi:type="xsd:double"&gt;-1.11868298443792&lt;/D&gt;&lt;/FQL&gt;&lt;FQL&gt;&lt;Q&gt;URTH^PERCENT_CHANGE(FMA_EPS(+1,0,,,,"PORTAGG","MEAN"),FMA_EPS(+1,-1AM,,,,"PORTAGG","MEAN"))&lt;/Q&gt;&lt;R&gt;1&lt;/R&gt;&lt;C&gt;1&lt;/C&gt;&lt;D xsi:type="xsd:double"&gt;-1.06217986937887&lt;/D&gt;&lt;/FQL&gt;&lt;FQL&gt;&lt;Q&gt;EWI^FMA_PCT_ABOVE_MAVG(200,0,,,,"PORTAGG")&lt;/Q&gt;&lt;R&gt;1&lt;/R&gt;&lt;C&gt;1&lt;/C&gt;&lt;D xsi:type="xsd:double"&gt;76&lt;/D&gt;&lt;/FQL&gt;&lt;FQL&gt;&lt;Q&gt;EWL^FMA_PCT_ABOVE_MAVG(200,0,,,,"PORTAGG")&lt;/Q&gt;&lt;R&gt;1&lt;/R&gt;&lt;C&gt;1&lt;/C&gt;&lt;D xsi:type="xsd:double"&gt;51.1111111111111&lt;/D&gt;&lt;/FQL&gt;&lt;FQL&gt;&lt;Q&gt;EWA^PERCENT_CHANGE(FMA_EPS(+1,0,,,,"PORTAGG","MEAN"),FMA_EPS(+1,-3AM,,,,"PORTAGG","MEAN"))&lt;/Q&gt;&lt;R&gt;1&lt;/R&gt;&lt;C&gt;1&lt;/C&gt;&lt;D xsi:type="xsd:double"&gt;1.68939068844742&lt;/D&gt;&lt;/FQL&gt;&lt;FQL&gt;&lt;Q&gt;IWM^FMA_COS_DOWN("EPS","1M",+1,0,,,"PORTAGG","MEANR")&lt;/Q&gt;&lt;R&gt;1&lt;/R&gt;&lt;C&gt;1&lt;/C&gt;&lt;D xsi:type="xsd:double"&gt;351&lt;/D&gt;&lt;/FQL&gt;&lt;FQL&gt;&lt;Q&gt;SPY^SIZE(FG_CONSTITUENTS)&lt;/Q&gt;&lt;R&gt;1&lt;/R&gt;&lt;C&gt;1&lt;/C&gt;&lt;D xsi:type="xsd:long"&gt;504&lt;/D&gt;&lt;/FQL&gt;&lt;FQL&gt;&lt;Q&gt;VWO^SIZE(FG_CONSTITUENTS)&lt;/Q&gt;&lt;R&gt;1&lt;/R&gt;&lt;C&gt;1&lt;/C&gt;&lt;D xsi:type="xsd:long"&gt;4695&lt;/D&gt;&lt;/FQL&gt;&lt;FQL&gt;&lt;Q&gt;EWC^SIZE(FG_CONSTITUENTS)&lt;/Q&gt;&lt;R&gt;1&lt;/R&gt;&lt;C&gt;1&lt;/C&gt;&lt;D xsi:type="xsd:long"&gt;89&lt;/D&gt;&lt;/FQL&gt;&lt;FQL&gt;&lt;Q&gt;VWO^FMA_COS_UP("EPS","1M",+1,0,,,"PORTAGG","MEANR")&lt;/Q&gt;&lt;R&gt;1&lt;/R&gt;&lt;C&gt;1&lt;/C&gt;&lt;D xsi:type="xsd:double"&gt;728&lt;/D&gt;&lt;/FQL&gt;&lt;FQL&gt;&lt;Q&gt;QQQ^FMA_COS_DOWN("EPS","1M",+1,0,,,"PORTAGG","MEANR")&lt;/Q&gt;&lt;R&gt;1&lt;/R&gt;&lt;C&gt;1&lt;/C&gt;&lt;D xsi:type="xsd:double"&gt;23&lt;/D&gt;&lt;/FQL&gt;&lt;FQL&gt;&lt;Q&gt;EWL^FMA_COS_UP("EPS","1M",+1,0,,,"PORTAGG","MEANR")&lt;/Q&gt;&lt;R&gt;1&lt;/R&gt;&lt;C&gt;1&lt;/C&gt;&lt;D xsi:type="xsd:double"&gt;12&lt;/D&gt;&lt;/FQL&gt;&lt;FQL&gt;&lt;Q&gt;DBA^FG_TOTAL_RETURNC(0,-3AM)&lt;/Q&gt;&lt;R&gt;1&lt;/R&gt;&lt;C&gt;1&lt;/C&gt;&lt;D xsi:type="xsd:double"&gt;1.7559171&lt;/D&gt;&lt;/FQL&gt;&lt;FQL&gt;&lt;Q&gt;UUP^P_PRICE(0)/P_PRICE_HIGH_PR(0,,,USD,,,"PRICE","INTRA","52W")&lt;/Q&gt;&lt;R&gt;1&lt;/R&gt;&lt;C&gt;1&lt;/C&gt;&lt;D xsi:type="xsd:double"&gt;0.92093486&lt;/D&gt;&lt;/FQL&gt;&lt;FQL&gt;&lt;Q&gt;GLD^FG_TOTAL_RETURNC(0,-3AM)&lt;/Q&gt;&lt;R&gt;1&lt;/R&gt;&lt;C&gt;1&lt;/C&gt;&lt;D xsi:type="xsd:double"&gt;2.7217507&lt;/D&gt;&lt;/FQL&gt;&lt;FQL&gt;&lt;Q&gt;IWM^FMA_PCT_ABOVE_MAVG(200,0,,,,"PORTAGG")&lt;/Q&gt;&lt;R&gt;1&lt;/R&gt;&lt;C&gt;1&lt;/C&gt;&lt;D xsi:type="xsd:double"&gt;59.0909090909091&lt;/D&gt;&lt;/FQL&gt;&lt;FQL&gt;&lt;Q&gt;FC0000CA^FG_PRICE(0)&lt;/Q&gt;&lt;R&gt;1&lt;/R&gt;&lt;C&gt;1&lt;/C&gt;&lt;D xsi:type="xsd:double"&gt;277.89963&lt;/D&gt;&lt;/FQL&gt;&lt;FQL&gt;&lt;Q&gt;EWD^FG_TOTAL_RETURNC(0,-6AM)&lt;/Q&gt;&lt;R&gt;1&lt;/R&gt;&lt;C&gt;1&lt;/C&gt;&lt;D xsi:type="xsd:double"&gt;5.44703&lt;/D&gt;&lt;/FQL&gt;&lt;FQL&gt;&lt;Q&gt;QQQ^PERCENT_CHANGE(FMA_EPS(+1,0,,,,"PORTAGG","MEAN"),FMA_EPS(+1,-3AM,,,,"PORTAGG","MEAN"))&lt;/Q&gt;&lt;R&gt;1&lt;/R&gt;&lt;C&gt;1&lt;/C&gt;&lt;D xsi:type="xsd:double"&gt;1.23012472805758&lt;/D&gt;&lt;/FQL&gt;&lt;FQL&gt;&lt;Q&gt;EWG^PERCENT_CHANGE(FMA_EPS(+1,0,,,,"PORTAGG","MEAN"),FMA_EPS(+1,-3AM,,,,"PORTAGG","MEAN"))&lt;/Q&gt;&lt;R&gt;1&lt;/R&gt;&lt;C&gt;1&lt;/C&gt;&lt;D xsi:type="xsd:double"&gt;-0.120229080268066&lt;/D&gt;&lt;/FQL&gt;&lt;FQL&gt;&lt;Q&gt;EWN^FMA_COS_DOWN("EPS","1M",+1,0,,,"PORTAGG","MEANR")&lt;/Q&gt;&lt;R&gt;1&lt;/R&gt;&lt;C&gt;1&lt;/C&gt;&lt;D xsi:type="xsd:double"&gt;24&lt;/D&gt;&lt;/FQL&gt;&lt;FQL&gt;&lt;Q&gt;EWA^FMA_COS_DOWN("EPS","1M",+1,0,,,"PORTAGG","MEANR")&lt;/Q&gt;&lt;R&gt;1&lt;/R&gt;&lt;C&gt;1&lt;/C&gt;&lt;D xsi:type="xsd:double"&gt;20&lt;/D&gt;&lt;/FQL&gt;&lt;FQL&gt;&lt;Q&gt;FXI^P_PRICE(0)/P_PRICE_HIGH_PR(0,,,USD,,,"PRICE","INTRA","52W")&lt;/Q&gt;&lt;R&gt;1&lt;/R&gt;&lt;C&gt;1&lt;/C&gt;&lt;D xsi:type="xsd:double"&gt;0.66247195&lt;/D&gt;&lt;/FQL&gt;&lt;FQL&gt;&lt;Q&gt;USO^FG_TOTAL_RETURNC(0,-6AM)&lt;/Q&gt;&lt;R&gt;1&lt;/R&gt;&lt;C&gt;1&lt;/C&gt;&lt;D xsi:type="xsd:double"&gt;0.9711623&lt;/D&gt;&lt;/FQL&gt;&lt;FQL&gt;&lt;Q&gt;DBA^FG_TOTAL_RETURNC(0,-1AM)&lt;/Q&gt;&lt;R&gt;1&lt;/R&gt;&lt;C&gt;1&lt;/C&gt;&lt;D xsi:type="xsd:double"&gt;2.1541476&lt;/D&gt;&lt;/FQL&gt;&lt;FQL&gt;&lt;Q&gt;GLD^FG_TOTAL_RETURNC(0,-1AM)&lt;/Q&gt;&lt;R&gt;1&lt;/R&gt;&lt;C&gt;1&lt;/C&gt;&lt;D xsi:type="xsd:double"&gt;-1.2193263&lt;/D&gt;&lt;/FQL&gt;&lt;FQL&gt;&lt;Q&gt;VWO^FG_TOTAL_RETURNC(0,-6AM)&lt;/Q&gt;&lt;R&gt;1&lt;/R&gt;&lt;C&gt;1&lt;/C&gt;&lt;D xsi:type="xsd:double"&gt;-1.4993668&lt;/D&gt;&lt;/FQL&gt;&lt;FQL&gt;&lt;Q&gt;EWU^PERCENT_CHANGE(FMA_EPS(+1,0,,,,"PORTAGG","MEAN"),FMA_EPS(+1,-3AM,,,,"PORTAGG","MEAN"))&lt;/Q&gt;&lt;R&gt;1&lt;/R&gt;&lt;C&gt;1&lt;/C&gt;&lt;D xsi:type="xsd:double"&gt;-3.60704885307133&lt;/D&gt;&lt;/FQL&gt;&lt;FQL&gt;&lt;Q&gt;ENZL^FMA_PCT_ABOVE_MAVG(200,0,,,,"PORTAGG")&lt;/Q&gt;&lt;R&gt;1&lt;/R&gt;&lt;C&gt;1&lt;/C&gt;&lt;D xsi:type="xsd:double"&gt;43.75&lt;/D&gt;&lt;/FQL&gt;&lt;FQL&gt;&lt;Q&gt;EWN^FMA_COS_UP("EPS","1M",+1,0,,,"PORTAGG","MEANR")&lt;/Q&gt;&lt;R&gt;1&lt;/R&gt;&lt;C&gt;1&lt;/C&gt;&lt;D xsi:type="xsd:double"&gt;13&lt;/D&gt;&lt;/FQL&gt;&lt;FQL&gt;&lt;Q&gt;EWJ^FMA_COS_UP("EPS","1M",+1,0,,,"PORTAGG","MEANR")&lt;/Q&gt;&lt;R&gt;1&lt;/R&gt;&lt;C&gt;1&lt;/C&gt;&lt;D xsi:type="xsd:double"&gt;90&lt;/D&gt;&lt;/FQL&gt;&lt;FQL&gt;&lt;Q&gt;VGK^FG_TOTAL_RETURNC(0,-1AM)&lt;/Q&gt;&lt;R&gt;1&lt;/R&gt;&lt;C&gt;1&lt;/C&gt;&lt;D xsi:type="xsd:double"&gt;-2.574098&lt;/D&gt;&lt;/FQL&gt;&lt;FQL&gt;&lt;Q&gt;URTH^PERCENT_CHANGE(FMA_EPS(+1,0,,,,"PORTAGG","MEAN"),FMA_EPS(+1,-3AM,,,,"PORTAGG","MEAN"))&lt;/Q&gt;&lt;R&gt;1&lt;/R&gt;&lt;C&gt;1&lt;/C&gt;&lt;D xsi:type="xsd:double"&gt;-0.823389296597765&lt;/D&gt;&lt;/FQL&gt;&lt;FQL&gt;&lt;Q&gt;EWQ^FMA_COS_UP("EPS","1M",+1,0,,,"PORTAGG","MEANR")&lt;/Q&gt;&lt;R&gt;1&lt;/R&gt;&lt;C&gt;1&lt;/C&gt;&lt;D xsi:type="xsd:double"&gt;20&lt;/D&gt;&lt;/FQL&gt;&lt;FQL&gt;&lt;Q&gt;EMXC^FG_TOTAL_RETURNC(-10AY,0,AM)&lt;/Q&gt;&lt;R&gt;121&lt;/R&gt;&lt;C&gt;1&lt;/C&gt;&lt;D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xsi:type="xsd:double"&gt;0.6596446&lt;/D&gt;&lt;D xsi:type="xsd:double"&gt;1.497078&lt;/D&gt;&lt;D xsi:type="xsd:double"&gt;0.8123636&lt;/D&gt;&lt;D xsi:type="xsd:double"&gt;2.612698&lt;/D&gt;&lt;D xsi:type="xsd:double"&gt;-0.5428076&lt;/D&gt;&lt;D xsi:type="xsd:double"&gt;8.247625&lt;/D&gt;&lt;D xsi:type="xsd:double"&gt;-1.7212391&lt;/D&gt;&lt;D xsi:type="xsd:double"&gt;-3.650421&lt;/D&gt;&lt;D xsi:type="xsd:double"&gt;-0.7578552&lt;/D&gt;&lt;D xsi:type="xsd:double"&gt;-3.8163543&lt;/D&gt;&lt;D xsi:type="xsd:double"&gt;-4.9279156&lt;/D&gt;&lt;D xsi:type="xsd:double"&gt;1.6400218&lt;/D&gt;&lt;D xsi:type="xsd:double"&gt;-1.210171&lt;/D&gt;&lt;D xsi:type="xsd:double"&gt;1.449573&lt;/D&gt;&lt;D xsi:type="xsd:double"&gt;-7.6484203&lt;/D&gt;&lt;D xsi:type="xsd:double"&gt;0.9381175&lt;/D&gt;&lt;D xsi:type="xsd:double"&gt;-1.114434&lt;/D&gt;&lt;D xsi:type="xsd:double"&gt;6.8773627&lt;/D&gt;&lt;D xsi:type="xsd:double"&gt;2.5614262&lt;/D&gt;&lt;D xsi:type="xsd:double"&gt;-1.1776686&lt;/D&gt;&lt;D xsi:type="xsd:double"&gt;2.9176116&lt;/D&gt;&lt;D xsi:type="xsd:double"&gt;-7.10721&lt;/D&gt;&lt;D xsi:type="xsd:double"&gt;7.451296&lt;/D&gt;&lt;D xsi:type="xsd:double"&gt;0.32663345&lt;/D&gt;&lt;D xsi:type="xsd:double"&gt;-9.540063&lt;/D&gt;&lt;D xsi:type="xsd:double"&gt;6.51716&lt;/D&gt;&lt;D xsi:type="xsd:double"&gt;2.9058695&lt;/D&gt;&lt;D xsi:type="xsd:double"&gt;0.5469799&lt;/D&gt;&lt;D xsi:type="xsd:double"&gt;5.4146767&lt;/D&gt;&lt;D xsi:type="xsd:double"&gt;1.1448026&lt;/D&gt;&lt;D xsi:type="xsd:double"&gt;-5.4186344&lt;/D&gt;&lt;D xsi:type="xsd:double"&gt;-35.456993&lt;/D&gt;&lt;D xsi:type="xsd:double"&gt;19.790995&lt;/D&gt;&lt;D xsi:type="xsd:double"&gt;3.829527&lt;/D&gt;&lt;D xsi:type="xsd:double"&gt;11.765039&lt;/D&gt;&lt;D xsi:type="xsd:double"&gt;4.586518&lt;/D&gt;&lt;D xsi:type="xsd:double"&gt;1.888454&lt;/D&gt;&lt;D xsi:type="xsd:double"&gt;-2.1678924999999998&lt;/D&gt;&lt;D xsi:type="xsd:double"&gt;6.1812043&lt;/D&gt;&lt;D xsi:type="xsd:double"&gt;8.786308&lt;/D&gt;&lt;D xsi:type="xsd:double"&gt;6.483376&lt;/D&gt;&lt;D xsi:type="xsd:double"&gt;8.749366&lt;/D&gt;&lt;D xsi:type="xsd:double"&gt;-0.2164185&lt;/D&gt;&lt;D xsi:type="xsd:double"&gt;-2.8695345&lt;/D&gt;&lt;D xsi:type="xsd:double"&gt;4.328406&lt;/D&gt;&lt;D xsi:type="xsd:double"&gt;-0.82318187&lt;/D&gt;&lt;D xsi:type="xsd:double"&gt;3.5385013&lt;/D&gt;&lt;D xsi:type="xsd:double"&gt;-1.5293002&lt;/D&gt;&lt;D xsi:type="xsd:double"&gt;-1.2914777&lt;/D&gt;&lt;D xsi:type="xsd:double"&gt;2.9811144&lt;/D&gt;&lt;D xsi:type="xsd:double"&gt;-1.4152467&lt;/D&gt;&lt;D xsi:type="xsd:double"&gt;-0.48939586&lt;/D&gt;&lt;D xsi:type="xsd:double"&gt;0.07665157&lt;/D&gt;&lt;D xsi:type="xsd:double"&gt;0.26926994&lt;/D&gt;&lt;D xsi:type="xsd:double"&gt;-1.3251603&lt;/D&gt;&lt;D xsi:type="xsd:double"&gt;-3.474903&lt;/D&gt;&lt;D xsi:type="xsd:double"&gt;-3.6521733&lt;/D&gt;&lt;D xsi:type="xsd:double"&gt;-4.205781&lt;/D&gt;&lt;D xsi:type="xsd:double"&gt;-9.387398&lt;/D&gt;&lt;D xsi:type="xsd:double"&gt;1.595974&lt;/D&gt;&lt;D xsi:type="xsd:double"&gt;4.1339397&lt;/D&gt;&lt;D xsi:type="xsd:double"&gt;-9.110761&lt;/D&gt;&lt;D xsi:type="xsd:double"&gt;1.201129&lt;/D&gt;&lt;D xsi:type="xsd:double"&gt;6.8838954&lt;/D&gt;&lt;D xsi:type="xsd:double"&gt;-2.0775676&lt;/D&gt;&lt;D xsi:type="xsd:double"&gt;7.887566&lt;/D&gt;&lt;D xsi:type="xsd:double"&gt;-4.4332085&lt;/D&gt;&lt;D xsi:type="xsd:double"&gt;-1.1393726&lt;/D&gt;&lt;D xsi:type="xsd:double"&gt;1.9345522&lt;/D&gt;&lt;D xsi:type="xsd:double"&gt;1.231575&lt;/D&gt;&lt;D xsi:type="xsd:double"&gt;3.6025047&lt;/D&gt;&lt;D xsi:type="xsd:double"&gt;3.1801462&lt;/D&gt;&lt;D xsi:type="xsd:double"&gt;-3.0257463&lt;/D&gt;&lt;D xsi:type="xsd:double"&gt;-2.306199&lt;/D&gt;&lt;D xsi:type="xsd:double"&gt;-3.4715354&lt;/D&gt;&lt;D xsi:type="xsd:double"&gt;7.7887416&lt;/D&gt;&lt;D xsi:type="xsd:double"&gt;5.0513506&lt;/D&gt;&lt;D xsi:type="xsd:double"&gt;-1.303947&lt;/D&gt;&lt;/FQL&gt;&lt;FQL&gt;&lt;Q&gt;CPALM-FDS^FG_PRICE(0)&lt;/Q&gt;&lt;R&gt;1&lt;/R&gt;&lt;C&gt;1&lt;/C&gt;&lt;D xsi:type="xsd:double"&gt;3928&lt;/D&gt;&lt;/FQL&gt;&lt;FQL&gt;&lt;Q&gt;PASP-FDS^FG_PRICE_CHANGE(0,-6AM)&lt;/Q&gt;&lt;R&gt;1&lt;/R&gt;&lt;C&gt;1&lt;/C&gt;&lt;D xsi:type="xsd:double"&gt;-28.6259541984733&lt;/D&gt;&lt;/FQL&gt;&lt;FQL&gt;&lt;Q&gt;NI-FDS^FG_PRICE(0)&lt;/Q&gt;&lt;R&gt;1&lt;/R&gt;&lt;C&gt;1&lt;/C&gt;&lt;D xsi:type="xsd:double"&gt;16010&lt;/D&gt;&lt;/FQL&gt;&lt;FQL&gt;&lt;Q&gt;BRENT-FDS^FG_PRICE_CHANGE(0,-6AM)&lt;/Q&gt;&lt;R&gt;1&lt;/R&gt;&lt;C&gt;1&lt;/C&gt;&lt;D xsi:type="xsd:double"&gt;6.52605459057072&lt;/D&gt;&lt;/FQL&gt;&lt;FQL&gt;&lt;Q&gt;COPP-FDS^FG_PRICE(0)&lt;/Q&gt;&lt;R&gt;1&lt;/R&gt;&lt;C&gt;1&lt;/C&gt;&lt;D xsi:type="xsd:double"&gt;3.764&lt;/D&gt;&lt;/FQL&gt;&lt;FQL&gt;&lt;Q&gt;EWN^FG_PRICE(0)&lt;/Q&gt;&lt;R&gt;1&lt;/R&gt;&lt;C&gt;1&lt;/C&gt;&lt;D xsi:type="xsd:double"&gt;44.22&lt;/D&gt;&lt;/FQL&gt;&lt;FQL&gt;&lt;Q&gt;QQQ^FG_PRICE(0)&lt;/Q&gt;&lt;R&gt;1&lt;/R&gt;&lt;C&gt;1&lt;/C&gt;&lt;D xsi:type="xsd:double"&gt;423.48&lt;/D&gt;&lt;/FQL&gt;&lt;FQL&gt;&lt;Q&gt;EWJ^FG_PRICE(0)&lt;/Q&gt;&lt;R&gt;1&lt;/R&gt;&lt;C&gt;1&lt;/C&gt;&lt;D xsi:type="xsd:double"&gt;66.09&lt;/D&gt;&lt;/FQL&gt;&lt;FQL&gt;&lt;Q&gt;EWA^FG_PRICE(0)&lt;/Q&gt;&lt;R&gt;1&lt;/R&gt;&lt;C&gt;1&lt;/C&gt;&lt;D xsi:type="xsd:double"&gt;23.48&lt;/D&gt;&lt;/FQL&gt;&lt;FQL&gt;&lt;Q&gt;EMXC^P_PRICE(0)/P_PRICE_LOW_PR(0,,,USD,,,"PRICE","INTRA","52W")-1&lt;/Q&gt;&lt;R&gt;1&lt;/R&gt;&lt;C&gt;1&lt;/C&gt;&lt;D xsi:type="xsd:double"&gt;0.15644503&lt;/D&gt;&lt;/FQL&gt;&lt;FQL&gt;&lt;Q&gt;EWI^FG_TOTAL_RETURNC(0,-3AM)&lt;/Q&gt;&lt;R&gt;1&lt;/R&gt;&lt;C&gt;1&lt;/C&gt;&lt;D xsi:type="xsd:double"&gt;12.565875&lt;/D&gt;&lt;/FQL&gt;&lt;FQL&gt;&lt;Q&gt;EWQ^P_PRICE(0)/P_PRICE_HIGH_PR(0,,,USD,,,"PRICE","INTRA","52W")&lt;/Q&gt;&lt;R&gt;1&lt;/R&gt;&lt;C&gt;1&lt;/C&gt;&lt;D xsi:type="xsd:double"&gt;0.9451814&lt;/D&gt;&lt;/FQL&gt;&lt;FQL&gt;&lt;Q&gt;EWA^P_PRICE(0)/P_PRICE_LOW_PR(0,,,USD,,,"PRICE","INTRA","52W")-1&lt;/Q&gt;&lt;R&gt;1&lt;/R&gt;&lt;C&gt;1&lt;/C&gt;&lt;D xsi:type="xsd:double"&gt;0.14760506&lt;/D&gt;&lt;/FQL&gt;&lt;FQL&gt;&lt;Q&gt;FXI^FMA_PCT_ABOVE_MAVG(200,0,,,,"PORTAGG")&lt;/Q&gt;&lt;R&gt;1&lt;/R&gt;&lt;C&gt;1&lt;/C&gt;&lt;D xsi:type="xsd:double"&gt;7.84313725490196&lt;/D&gt;&lt;/FQL&gt;&lt;FQL&gt;&lt;Q&gt;URTH^FMA_PCT_ABOVE_MAVG(200,0,,,,"PORTAGG")&lt;/Q&gt;&lt;R&gt;1&lt;/R&gt;&lt;C&gt;1&lt;/C&gt;&lt;D xsi:type="xsd:double"&gt;64.116452268111&lt;/D&gt;&lt;/FQL&gt;&lt;FQL&gt;&lt;Q&gt;EWD^PERCENT_CHANGE(FMA_EPS(+1,0,,,,"PORTAGG","MEAN"),FMA_EPS(+1,-3AM,,,,"PORTAGG","MEAN"))&lt;/Q&gt;&lt;R&gt;1&lt;/R&gt;&lt;C&gt;1&lt;/C&gt;&lt;D xsi:type="xsd:double"&gt;-5.99423781159711&lt;/D&gt;&lt;/FQL&gt;&lt;FQL&gt;&lt;Q&gt;SPY^PERCENT_CHANGE(FMA_EPS(+1,0,,,,"PORTAGG","MEAN"),FMA_EPS(+1,-1AM,,,,"PORTAGG","MEAN"))&lt;/Q&gt;&lt;R&gt;1&lt;/R&gt;&lt;C&gt;1&lt;/C&gt;&lt;D xsi:type="xsd:double"&gt;-0.442544599235732&lt;/D&gt;&lt;/FQL&gt;&lt;FQL&gt;&lt;Q&gt;EWA^PERCENT_CHANGE(FMA_EPS(+1,0,,,,"PORTAGG","MEAN"),FMA_EPS(+1,-1AM,,,,"PORTAGG","MEAN"))&lt;/Q&gt;&lt;R&gt;1&lt;/R&gt;&lt;C&gt;1&lt;/C&gt;&lt;D xsi:type="xsd:double"&gt;-1.52557640161734&lt;/D&gt;&lt;/FQL&gt;&lt;FQL&gt;&lt;Q&gt;IWM^FMA_COS_UP("EPS","1M",+1,0,,,"PORTAGG","MEANR")&lt;/Q&gt;&lt;R&gt;1&lt;/R&gt;&lt;C&gt;1&lt;/C&gt;&lt;D xsi:type="xsd:double"&gt;340&lt;/D&gt;&lt;/FQL&gt;&lt;FQL&gt;&lt;Q&gt;VWO^FMA_COS_DOWN("EPS","1M",+1,0,,,"PORTAGG","MEANR")&lt;/Q&gt;&lt;R&gt;1&lt;/R&gt;&lt;C&gt;1&lt;/C&gt;&lt;D xsi:type="xsd:double"&gt;1280&lt;/D&gt;&lt;/FQL&gt;&lt;FQL&gt;&lt;Q&gt;EWD^FMA_COS_DOWN("EPS","1M",+1,0,,,"PORTAGG","MEANR")&lt;/Q&gt;&lt;R&gt;1&lt;/R&gt;&lt;C&gt;1&lt;/C&gt;&lt;D xsi:type="xsd:double"&gt;20&lt;/D&gt;&lt;/FQL&gt;&lt;FQL&gt;&lt;Q&gt;SPY^FMA_COS_DOWN("EPS","1M",+1,0,,,"PORTAGG","MEANR")&lt;/Q&gt;&lt;R&gt;1&lt;/R&gt;&lt;C&gt;1&lt;/C&gt;&lt;D xsi:type="xsd:double"&gt;154&lt;/D&gt;&lt;/FQL&gt;&lt;FQL&gt;&lt;Q&gt;EWL^FMA_COS_DOWN("EPS","1M",+1,0,,,"PORTAGG","MEANR")&lt;/Q&gt;&lt;R&gt;1&lt;/R&gt;&lt;C&gt;1&lt;/C&gt;&lt;D xsi:type="xsd:double"&gt;30&lt;/D&gt;&lt;/FQL&gt;&lt;FQL&gt;&lt;Q&gt;EWC^FMA_COS_DOWN("EPS","1M",+1,0,,,"PORTAGG","MEANR")&lt;/Q&gt;&lt;R&gt;1&lt;/R&gt;&lt;C&gt;1&lt;/C&gt;&lt;D xsi:type="xsd:double"&gt;33&lt;/D&gt;&lt;/FQL&gt;&lt;FQL&gt;&lt;Q&gt;TLT^FG_TOTAL_RETURNC(0,-1AM)&lt;/Q&gt;&lt;R&gt;1&lt;/R&gt;&lt;C&gt;1&lt;/C&gt;&lt;D xsi:type="xsd:double"&gt;-4.6458483&lt;/D&gt;&lt;/FQL&gt;&lt;FQL&gt;&lt;Q&gt;DBA^FG_TOTAL_RETURNC(0,-6AM)&lt;/Q&gt;&lt;R&gt;1&lt;/R&gt;&lt;C&gt;1&lt;/C&gt;&lt;D xsi:type="xsd:double"&gt;1.3860583&lt;/D&gt;&lt;/FQL&gt;&lt;FQL&gt;&lt;Q&gt;QQQ^FG_TOTAL_RETURNC(0,-1AM)&lt;/Q&gt;&lt;R&gt;1&lt;/R&gt;&lt;C&gt;1&lt;/C&gt;&lt;D xsi:type="xsd:double"&gt;3.7519217&lt;/D&gt;&lt;/FQL&gt;&lt;FQL&gt;&lt;Q&gt;GLD^FG_TOTAL_RETURNC(0,-6AM)&lt;/Q&gt;&lt;R&gt;1&lt;/R&gt;&lt;C&gt;1&lt;/C&gt;&lt;D xsi:type="xsd:double"&gt;3.1672&lt;/D&gt;&lt;/FQL&gt;&lt;FQL&gt;&lt;Q&gt;SPY^FG_TOTAL_RETURNC(0,-1AM)&lt;/Q&gt;&lt;R&gt;1&lt;/R&gt;&lt;C&gt;1&lt;/C&gt;&lt;D xsi:type="xsd:double"&gt;2.3667216&lt;/D&gt;&lt;/FQL&gt;&lt;FQL&gt;&lt;Q&gt;EWC^FMA_COS_UP("EPS","1M",+1,0,,,"PORTAGG","MEANR")&lt;/Q&gt;&lt;R&gt;1&lt;/R&gt;&lt;C&gt;1&lt;/C&gt;&lt;D xsi:type="xsd:double"&gt;24&lt;/D&gt;&lt;/FQL&gt;&lt;FQL&gt;&lt;Q&gt;EWA^FG_TOTAL_RETURNC(0,-6AM)&lt;/Q&gt;&lt;R&gt;1&lt;/R&gt;&lt;C&gt;1&lt;/C&gt;&lt;D xsi:type="xsd:double"&gt;3.5599232&lt;/D&gt;&lt;/FQL&gt;&lt;FQL&gt;&lt;Q&gt;VGK^SIZE(FG_CONSTITUENTS)&lt;/Q&gt;&lt;R&gt;1&lt;/R&gt;&lt;C&gt;1&lt;/C&gt;&lt;D xsi:type="xsd:long"&gt;1294&lt;/D&gt;&lt;/FQL&gt;&lt;FQL&gt;&lt;Q&gt;EWD^FMA_COS_UP("EPS","1M",+1,0,,,"PORTAGG","MEANR"</t>
        </r>
      </text>
    </comment>
    <comment ref="A9" authorId="0" shapeId="0" xr:uid="{F1F248CD-0D7E-4C2A-A03C-1E6238A4450A}">
      <text>
        <r>
          <rPr>
            <b/>
            <sz val="9"/>
            <color indexed="81"/>
            <rFont val="Tahoma"/>
            <family val="2"/>
          </rPr>
          <t>)&lt;/Q&gt;&lt;R&gt;1&lt;/R&gt;&lt;C&gt;1&lt;/C&gt;&lt;D xsi:type="xsd:double"&gt;11&lt;/D&gt;&lt;/FQL&gt;&lt;FQL&gt;&lt;Q&gt;QQQ^SIZE(FG_CONSTITUENTS)&lt;/Q&gt;&lt;R&gt;1&lt;/R&gt;&lt;C&gt;1&lt;/C&gt;&lt;D xsi:type="xsd:long"&gt;102&lt;/D&gt;&lt;/FQL&gt;&lt;FQL&gt;&lt;Q&gt;EWA^SIZE(FG_CONSTITUENTS)&lt;/Q&gt;&lt;R&gt;1&lt;/R&gt;&lt;C&gt;1&lt;/C&gt;&lt;D xsi:type="xsd:long"&gt;59&lt;/D&gt;&lt;/FQL&gt;&lt;FQL&gt;&lt;Q&gt;EWJ^FG_TOTAL_RETURNC(0,-1AM)&lt;/Q&gt;&lt;R&gt;1&lt;/R&gt;&lt;C&gt;1&lt;/C&gt;&lt;D xsi:type="xsd:double"&gt;4.358113&lt;/D&gt;&lt;/FQL&gt;&lt;FQL&gt;&lt;Q&gt;VWO^P_PRICE(0)/P_PRICE_HIGH_PR(0,,,USD,,,"PRICE","INTRA","52W")&lt;/Q&gt;&lt;R&gt;1&lt;/R&gt;&lt;C&gt;1&lt;/C&gt;&lt;D xsi:type="xsd:double"&gt;0.9149601&lt;/D&gt;&lt;/FQL&gt;&lt;FQL&gt;&lt;Q&gt;VWO^PERCENT_CHANGE(FMA_EPS(+1,0,,,,"PORTAGG","MEAN"),FMA_EPS(+1,-1AM,,,,"PORTAGG","MEAN"))&lt;/Q&gt;&lt;R&gt;1&lt;/R&gt;&lt;C&gt;1&lt;/C&gt;&lt;D xsi:type="xsd:double"&gt;-2.12835915837633&lt;/D&gt;&lt;/FQL&gt;&lt;FQL&gt;&lt;Q&gt;EWJ^SIZE(FG_CONSTITUENTS)&lt;/Q&gt;&lt;R&gt;1&lt;/R&gt;&lt;C&gt;1&lt;/C&gt;&lt;D xsi:type="xsd:long"&gt;226&lt;/D&gt;&lt;/FQL&gt;&lt;FQL&gt;&lt;Q&gt;FC0000CH^FG_PRICE(0)&lt;/Q&gt;&lt;R&gt;1&lt;/R&gt;&lt;C&gt;1&lt;/C&gt;&lt;D xsi:type="xsd:double"&gt;324.733&lt;/D&gt;&lt;/FQL&gt;&lt;FQL&gt;&lt;Q&gt;EWG^FG_PRICE(0)&lt;/Q&gt;&lt;R&gt;1&lt;/R&gt;&lt;C&gt;1&lt;/C&gt;&lt;D xsi:type="xsd:double"&gt;28.85&lt;/D&gt;&lt;/FQL&gt;&lt;FQL&gt;&lt;Q&gt;VGK^P_PRICE(0)/P_PRICE_LOW_PR(0,,,USD,,,"PRICE","INTRA","52W")-1&lt;/Q&gt;&lt;R&gt;1&lt;/R&gt;&lt;C&gt;1&lt;/C&gt;&lt;D xsi:type="xsd:double"&gt;0.13421726&lt;/D&gt;&lt;/FQL&gt;&lt;FQL&gt;&lt;Q&gt;EWG^P_PRICE(0)/P_PRICE_HIGH_PR(0,,,USD,,,"PRICE","INTRA","52W")&lt;/Q&gt;&lt;R&gt;1&lt;/R&gt;&lt;C&gt;1&lt;/C&gt;&lt;D xsi:type="xsd:double"&gt;0.96488297&lt;/D&gt;&lt;/FQL&gt;&lt;FQL&gt;&lt;Q&gt;EWA^FG_TOTAL_RETURNC(0,-3AM)&lt;/Q&gt;&lt;R&gt;1&lt;/R&gt;&lt;C&gt;1&lt;/C&gt;&lt;D xsi:type="xsd:double"&gt;15.935003&lt;/D&gt;&lt;/FQL&gt;&lt;FQL&gt;&lt;Q&gt;EMXC^SIZE(FG_CONSTITUENTS)&lt;/Q&gt;&lt;R&gt;1&lt;/R&gt;&lt;C&gt;1&lt;/C&gt;&lt;D xsi:type="xsd:long"&gt;701&lt;/D&gt;&lt;/FQL&gt;&lt;FQL&gt;&lt;Q&gt;EWJ^FMA_COS_DOWN("EPS","1M",+1,0,,,"PORTAGG","MEANR")&lt;/Q&gt;&lt;R&gt;1&lt;/R&gt;&lt;C&gt;1&lt;/C&gt;&lt;D xsi:type="xsd:double"&gt;95&lt;/D&gt;&lt;/FQL&gt;&lt;FQL&gt;&lt;Q&gt;VGK^FMA_COS_DOWN("EPS","1M",+1,0,,,"PORTAGG","MEANR")&lt;/Q&gt;&lt;R&gt;1&lt;/R&gt;&lt;C&gt;1&lt;/C&gt;&lt;D xsi:type="xsd:double"&gt;379&lt;/D&gt;&lt;/FQL&gt;&lt;FQL&gt;&lt;Q&gt;SPY^FG_COMPANY_NAME&lt;/Q&gt;&lt;R&gt;1&lt;/R&gt;&lt;C&gt;1&lt;/C&gt;&lt;D xsi:type="xsd:string"&gt;SPDR S&amp;amp;P 500 ETF Trust&lt;/D&gt;&lt;/FQL&gt;&lt;FQL&gt;&lt;Q&gt;EMXC^P_PRICE(0)/P_PRICE_HIGH_PR(0,,,USD,,,"PRICE","INTRA","52W")&lt;/Q&gt;&lt;R&gt;1&lt;/R&gt;&lt;C&gt;1&lt;/C&gt;&lt;D xsi:type="xsd:double"&gt;0.96429217&lt;/D&gt;&lt;/FQL&gt;&lt;FQL&gt;&lt;Q&gt;UUP^FG_TOTAL_RETURNC(0,-6AM)&lt;/Q&gt;&lt;R&gt;1&lt;/R&gt;&lt;C&gt;1&lt;/C&gt;&lt;D xsi:type="xsd:double"&gt;5.6996584&lt;/D&gt;&lt;/FQL&gt;&lt;FQL&gt;&lt;Q&gt;EWN^PERCENT_CHANGE(FMA_EPS(+1,0,,,,"PORTAGG","MEAN"),FMA_EPS(+1,-1AM,,,,"PORTAGG","MEAN"))&lt;/Q&gt;&lt;R&gt;1&lt;/R&gt;&lt;C&gt;1&lt;/C&gt;&lt;D xsi:type="xsd:double"&gt;-0.967977680475362&lt;/D&gt;&lt;/FQL&gt;&lt;FQL&gt;&lt;Q&gt;EWG^PERCENT_CHANGE(FMA_EPS(+1,0,,,,"PORTAGG","MEAN"),FMA_EPS(+1,-1AM,,,,"PORTAGG","MEAN"))&lt;/Q&gt;&lt;R&gt;1&lt;/R&gt;&lt;C&gt;1&lt;/C&gt;&lt;D xsi:type="xsd:double"&gt;-1.8409355062554&lt;/D&gt;&lt;/FQL&gt;&lt;FQL&gt;&lt;Q&gt;QQQ^FG_COMPANY_NAME&lt;/Q&gt;&lt;R&gt;1&lt;/R&gt;&lt;C&gt;1&lt;/C&gt;&lt;D xsi:type="xsd:string"&gt;Invesco QQQ Trust Series I&lt;/D&gt;&lt;/FQL&gt;&lt;FQL&gt;&lt;Q&gt;SPY^PERCENT_CHANGE(FMA_EPS(+1,0,,,,"PORTAGG","MEAN"),FMA_EPS(+1,-3AM,,,,"PORTAGG","MEAN"))&lt;/Q&gt;&lt;R&gt;1&lt;/R&gt;&lt;C&gt;1&lt;/C&gt;&lt;D xsi:type="xsd:double"&gt;-1.36402561754431&lt;/D&gt;&lt;/FQL&gt;&lt;FQL&gt;&lt;Q&gt;EWG^FMA_COS_UP("EPS","1M",+1,0,,,"PORTAGG","MEANR")&lt;/Q&gt;&lt;R&gt;1&lt;/R&gt;&lt;C&gt;1&lt;/C&gt;&lt;D xsi:type="xsd:double"&gt;16&lt;/D&gt;&lt;/FQL&gt;&lt;FQL&gt;&lt;Q&gt;OIL^FG_TOTAL_RETURNC(-10AY,0,AM)&lt;/Q&gt;&lt;R&gt;121&lt;/R&gt;&lt;C&gt;1&lt;/C&gt;&lt;D xsi:type="xsd:double"&gt;-1.9780219&lt;/D&gt;&lt;D xsi:type="xsd:double"&gt;5.039966&lt;/D&gt;&lt;D xsi:type="xsd:double"&gt;-1.334101&lt;/D&gt;&lt;D xsi:type="xsd:double"&gt;3.2451391&lt;/D&gt;&lt;D xsi:type="xsd:double"&gt;3.0178785&lt;/D&gt;&lt;D xsi:type="xsd:double"&gt;3.028965&lt;/D&gt;&lt;D xsi:type="xsd:double"&gt;-3.1866908&lt;/D&gt;&lt;D xsi:type="xsd:double"&gt;-6.7715826&lt;/D&gt;&lt;D xsi:type="xsd:double"&gt;-2.6272&lt;/D&gt;&lt;D xsi:type="xsd:double"&gt;-10.035408&lt;/D&gt;&lt;D xsi:type="xsd:double"&gt;-5.468851&lt;/D&gt;&lt;D xsi:type="xsd:double"&gt;-23.629057&lt;/D&gt;&lt;D xsi:type="xsd:double"&gt;-16.842102&lt;/D&gt;&lt;D xsi:type="xsd:double"&gt;7.594931&lt;/D&gt;&lt;D xsi:type="xsd:double"&gt;-6.3277245&lt;/D&gt;&lt;D xsi:type="xsd:double"&gt;13.707722&lt;/D&gt;&lt;D xsi:type="xsd:double"&gt;2.5640965&lt;/D&gt;&lt;D xsi:type="xsd:double"&gt;-0.19230247&lt;/D&gt;&lt;D xsi:type="xsd:double"&gt;-19.772642&lt;/D&gt;&lt;D xsi:type="xsd:double"&gt;-17.62333&lt;/D&gt;&lt;D xsi:type="xsd:double"&gt;8.571434&lt;/D&gt;&lt;D xsi:type="xsd:double"&gt;-1.0746479&lt;/D&gt;&lt;D xsi:type="xsd:double"&gt;-5.6449833&lt;/D&gt;&lt;D xsi:type="xsd:double"&gt;-13.403261&lt;/D&gt;&lt;D xsi:type="xsd:double"&gt;-14.973492&lt;/D&gt;&lt;D xsi:type="xsd:double"&gt;-2.0629823&lt;/D&gt;&lt;D xsi:type="xsd:double"&gt;18.105804&lt;/D&gt;&lt;D xsi:type="xsd:double"&gt;6.065309&lt;/D&gt;&lt;D xsi:type="xsd:double"&gt;7.8662395&lt;/D&gt;&lt;D xsi:type="xsd:double"&gt;3.3953428&lt;/D&gt;&lt;D xsi:type="xsd:double"&gt;-13.535124&lt;/D&gt;&lt;D xsi:type="xsd:double"&gt;5.6803107&lt;/D&gt;&lt;D xsi:type="xsd:double"&gt;-7.178128&lt;/D&gt;&lt;D xsi:type="xsd:double"&gt;12.513887&lt;/D&gt;&lt;D xsi:type="xsd:double"&gt;-5.9215965&lt;/D&gt;&lt;D xsi:type="xsd:double"&gt;8.584332&lt;/D&gt;&lt;D xsi:type="xsd:double"&gt;-1.9917965&lt;/D&gt;&lt;D xsi:type="xsd:double"&gt;0.4184127&lt;/D&gt;&lt;D xsi:type="xsd:double"&gt;-11.733925&lt;/D&gt;&lt;D xsi:type="xsd:double"&gt;2.2341847&lt;/D&gt;&lt;D xsi:type="xsd:double"&gt;0.9234905&lt;/D&gt;&lt;D xsi:type="xsd:double"&gt;-14.744449&lt;/D&gt;&lt;D xsi:type="xsd:double"&gt;5.1816583&lt;/D&gt;&lt;D xsi:type="xsd:double"&gt;5.5758&lt;/D&gt;&lt;D xsi:type="xsd:double"&gt;4.8671007&lt;/D&gt;&lt;D xsi:type="xsd:double"&gt;1.184988&lt;/D&gt;&lt;D xsi:type="xsd:double"&gt;10.865331&lt;/D&gt;&lt;D xsi:type="xsd:double"&gt;1.3456583&lt;/D&gt;&lt;D xsi:type="xsd:double"&gt;9.848106&lt;/D&gt;&lt;D xsi:type="xsd:double"&gt;-1.2651563&lt;/D&gt;&lt;D xsi:type="xsd:double"&gt;4.256284&lt;/D&gt;&lt;D xsi:type="xsd:double"&gt;4.8793435&lt;/D&gt;&lt;D xsi:type="xsd:double"&gt;5.957043&lt;/D&gt;&lt;D xsi:type="xsd:double"&gt;-5.414754&lt;/D&gt;&lt;D xsi:type="xsd:double"&gt;-0.21924376&lt;/D&gt;&lt;D xsi:type="xsd:double"&gt;2.0263672&lt;/D&gt;&lt;D xsi:type="xsd:double"&gt;5.2883387&lt;/D&gt;&lt;D xsi:type="xsd:double"&gt;-5.3863583&lt;/D&gt;&lt;D xsi:type="xsd:double"&gt;-23.223156&lt;/D&gt;&lt;D xsi:type="xsd:double"&gt;-10.707021&lt;/D&gt;&lt;D xsi:type="xsd:double"&gt;15.670645&lt;/D&gt;&lt;D xsi:type="xsd:double"&gt;8.195698&lt;/D&gt;&lt;D xsi:type="xsd:double"&gt;1.0135055&lt;/D&gt;&lt;D xsi:type="xsd:double"&gt;10.448444&lt;/D&gt;&lt;D xsi:type="xsd:double"&gt;-11.490643&lt;/D&gt;&lt;D xsi:type="xsd:double"&gt;-0.95773935&lt;/D&gt;&lt;D xsi:type="xsd:double"&gt;-0.29771328&lt;/D&gt;&lt;D xsi:type="xsd:double"&gt;-6.456113&lt;/D&gt;&lt;D xsi:type="xsd:double"&gt;8.500814&lt;/D&gt;&lt;D xsi:type="xsd:double"&gt;-2.2347867&lt;/D&gt;&lt;D xsi:type="xsd:double"&gt;3.848374&lt;/D&gt;&lt;D xsi:type="xsd:double"&gt;5.489552&lt;/D&gt;&lt;D xsi:type="xsd:double"&gt;-7.2640896&lt;/D&gt;&lt;D xsi:type="xsd:double"&gt;-3.6103725&lt;/D&gt;&lt;D xsi:type="xsd:double"&gt;-51.77647&lt;/D&gt;&lt;D xsi:type="xsd:double"&gt;0.33456087&lt;/D&gt;&lt;D xsi:type="xsd:double"&gt;28.064192&lt;/D&gt;&lt;D xsi:type="xsd:double"&gt;17.854082&lt;/D&gt;&lt;D xsi:type="xsd:double"&gt;2.1129727&lt;/D&gt;&lt;D xsi:type="xsd:double"&gt;2.2903562&lt;/D&gt;&lt;D xsi:type="xsd:double"&gt;-7.397479&lt;/D&gt;&lt;D xsi:type="xsd:double"&gt;-0.68857074&lt;/D&gt;&lt;D xsi:type="xsd:double"&gt;6.5602303&lt;/D&gt;&lt;D xsi:type="xsd:double"&gt;11.067545&lt;/D&gt;&lt;D xsi:type="xsd:double"&gt;7.2704673&lt;/D&gt;&lt;D xsi:type="xsd:double"&gt;18.248177&lt;/D&gt;&lt;D xsi:type="xsd:double"&gt;-4.377097&lt;/D&gt;&lt;D xsi:type="xsd:double"&gt;7.7388406&lt;/D&gt;&lt;D xsi:type="xsd:double"&gt;2.902174&lt;/D&gt;&lt;D xsi:type="xsd:double"&gt;13.553715&lt;/D&gt;&lt;D xsi:type="xsd:double"&gt;-0.3822446&lt;/D&gt;&lt;D xsi:type="xsd:double"&gt;-7.346755&lt;/D&gt;&lt;D xsi:type="xsd:double"&gt;12.525261&lt;/D&gt;&lt;D xsi:type="xsd:double"&gt;12.073601&lt;/D&gt;&lt;D xsi:type="xsd:double"&gt;-3.0036032&lt;/D&gt;&lt;D xsi:type="xsd:double"&gt;-5.243593&lt;/D&gt;&lt;D xsi:type="xsd:double"&gt;14.074076&lt;/D&gt;&lt;D xsi:type="xsd:double"&gt;8.976316&lt;/D&gt;&lt;D xsi:type="xsd:double"&gt;25.236584&lt;/D&gt;&lt;D xsi:type="xsd:double"&gt;-8.200396&lt;/D&gt;&lt;D xsi:type="xsd:double"&gt;7.164645&lt;/D&gt;&lt;D xsi:type="xsd:double"&gt;-3.3285975&lt;/D&gt;&lt;D xsi:type="xsd:double"&gt;-6.0008764&lt;/D&gt;&lt;D xsi:type="xsd:double"&gt;4.599428&lt;/D&gt;&lt;D xsi:type="xsd:double"&gt;-15.387612&lt;/D&gt;&lt;D xsi:type="xsd:double"&gt;8.633841&lt;/D&gt;&lt;D xsi:type="xsd:double"&gt;-4.49304&lt;/D&gt;&lt;D xsi:type="xsd:double"&gt;2.5915504&lt;/D&gt;&lt;D xsi:type="xsd:double"&gt;3.0574918&lt;/D&gt;&lt;D xsi:type="xsd:double"&gt;-6.900996&lt;/D&gt;&lt;D xsi:type="xsd:double"&gt;-7.8656077&lt;/D&gt;&lt;D xsi:type="xsd:double"&gt;10.078502&lt;/D&gt;&lt;D xsi:type="xsd:double"&gt;-3.579235&lt;/D&gt;&lt;D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xsi:type="xsd:string"&gt;@NA&lt;/D&gt;&lt;/FQL&gt;&lt;FQL&gt;&lt;Q&gt;W-FDS^MAX(FG_PRICE(0,-5AY))&lt;/Q&gt;&lt;R&gt;1&lt;/R&gt;&lt;C&gt;1&lt;/C&gt;&lt;D xsi:type="xsd:double"&gt;14.2525&lt;/D&gt;&lt;/FQL&gt;&lt;FQL&gt;&lt;Q&gt;PASP-FDS^FG_PRICE_CHANGE(0,-3AM)&lt;/Q&gt;&lt;R&gt;1&lt;/R&gt;&lt;C&gt;1&lt;/C&gt;&lt;D xsi:type="xsd:double"&gt;-16.8888888888889&lt;/D&gt;&lt;/FQL&gt;&lt;FQL&gt;&lt;Q&gt;PLATI-FDS^MAX(FG_PRICE(0,-5AY))&lt;/Q&gt;&lt;R&gt;1&lt;/R&gt;&lt;C&gt;1&lt;/C&gt;&lt;D xsi:type="xsd:double"&gt;1272.59&lt;/D&gt;&lt;/FQL&gt;&lt;FQL&gt;&lt;Q&gt;BRENT-FDS^FG_PRICE_CHANGE(0,-3AM)&lt;/Q&gt;&lt;R&gt;1&lt;/R&gt;&lt;C&gt;1&lt;/C&gt;&lt;D xsi:type="xsd:double"&gt;-9.18129892109161&lt;/D&gt;&lt;/FQL&gt;&lt;FQL&gt;&lt;Q&gt;TIOS-FDS^MAX(FG_PRICE(0,-5AY))&lt;/Q&gt;&lt;R&gt;1&lt;/R&gt;&lt;C&gt;1&lt;/C&gt;&lt;D xsi:type="xsd:double"&gt;219.77&lt;/D&gt;&lt;/FQL&gt;&lt;FQL&gt;&lt;Q&gt;EWI^FG_PRICE_MAVG(0,,,,200)&lt;/Q&gt;&lt;R&gt;1&lt;/R&gt;&lt;C&gt;1&lt;/C&gt;&lt;D xsi:type="xsd:double"&gt;31.7333&lt;/D&gt;&lt;/FQL&gt;&lt;FQL&gt;&lt;Q&gt;EWQ^FG_PRICE_MAVG(0,,,,200)&lt;/Q&gt;&lt;R&gt;1&lt;/R&gt;&lt;C&gt;1&lt;/C&gt;&lt;D xsi:type="xsd:double"&gt;37.569023&lt;/D&gt;&lt;/FQL&gt;&lt;FQL&gt;&lt;Q&gt;EWU^FG_PRICE_MAVG(0,,,,200)&lt;/Q&gt;&lt;R&gt;1&lt;/R&gt;&lt;C&gt;1&lt;/C&gt;&lt;D xsi:type="xsd:double"&gt;32.35645&lt;/D&gt;&lt;/FQL&gt;&lt;FQL&gt;&lt;Q&gt;EWG^FG_PRICE_MAVG(0,,,,200)&lt;/Q&gt;&lt;R&gt;1&lt;/R&gt;&lt;C&gt;1&lt;/C&gt;&lt;D xsi:type="xsd:double"&gt;28.02675&lt;/D&gt;&lt;/FQL&gt;&lt;FQL&gt;&lt;Q&gt;ENZL^FG_PRICE_MAVG(0,,,,200)&lt;/Q&gt;&lt;R&gt;1&lt;/R&gt;&lt;C&gt;1&lt;/C&gt;&lt;D xsi:type="xsd:double"&gt;46.970894&lt;/D&gt;&lt;/FQL&gt;&lt;FQL&gt;&lt;Q&gt;EWD^P_PRICE(0)/P_PRICE_LOW_PR(0,,,USD,,,"PRICE","INTRA","52W")-1&lt;/Q&gt;&lt;R&gt;1&lt;/R&gt;&lt;C&gt;1&lt;/C&gt;&lt;D xsi:type="xsd:double"&gt;0.20026076&lt;/D&gt;&lt;/FQL&gt;&lt;FQL&gt;&lt;Q&gt;EWQ^FG_TOTAL_RETURNC(0,-6AM)&lt;/Q&gt;&lt;R&gt;1&lt;/R&gt;&lt;C&gt;1&lt;/C&gt;&lt;D xsi:type="xsd:double"&gt;-3.611648&lt;/D&gt;&lt;/FQL&gt;&lt;FQL&gt;&lt;Q&gt;EWU^P_PRICE(0)/P_PRICE_LOW_PR(0,,,USD,,,"PRICE","INTRA","52W")-1&lt;/Q&gt;&lt;R&gt;1&lt;/R&gt;&lt;C&gt;1&lt;/C&gt;&lt;D xsi:type="xsd:double"&gt;0.06666672&lt;/D&gt;&lt;/FQL&gt;&lt;FQL&gt;&lt;Q&gt;EWA^P_PRICE(0)/P_PRICE_HIGH_PR(0,,,USD,,,"PRICE","INTRA","52W")&lt;/Q&gt;&lt;R&gt;1&lt;/R&gt;&lt;C&gt;1&lt;/C&gt;&lt;D xsi:type="xsd:double"&gt;0.93100715&lt;/D&gt;&lt;/FQL&gt;&lt;FQL&gt;&lt;Q&gt;IWM^PERCENT_CHANGE(FMA_EPS(+1,0,,,,"PORTAGG","MEAN"),FMA_EPS(+1,-3AM,,,,"PORTAGG","MEAN"))&lt;/Q&gt;&lt;R&gt;1&lt;/R&gt;&lt;C&gt;1&lt;/C&gt;&lt;D xsi:type="xsd:double"&gt;-9.25291349651962&lt;/D&gt;&lt;/FQL&gt;&lt;FQL&gt;&lt;Q&gt;INDA^PERCENT_CHANGE(FMA_EPS(+1,0,,,,"PORTAGG","MEAN"),FMA_EPS(+1,-1AM,,,,"PORTAGG","MEAN"))&lt;/Q&gt;&lt;R&gt;1&lt;/R&gt;&lt;C&gt;1&lt;/C&gt;&lt;D xsi:type="xsd:double"&gt;-0.445172704205354&lt;/D&gt;&lt;/FQL&gt;&lt;FQL&gt;&lt;Q&gt;VWO^PERCENT_CHANGE(FMA_EPS(+1,0,,,,"PORTAGG","MEAN"),FMA_EPS(+1,-3AM,,,,"PORTAGG","MEAN"))&lt;/Q&gt;&lt;R&gt;1&lt;/R&gt;&lt;C&gt;1&lt;/C&gt;&lt;D xsi:type="xsd:double"&gt;0.305103662247655&lt;/D&gt;&lt;/FQL&gt;&lt;FQL&gt;&lt;Q&gt;EWD^PERCENT_CHANGE(FMA_EPS(+1,0,,,,"PORTAGG","MEAN"),FMA_EPS(+1,-1AM,,,,"PORTAGG","MEAN"))&lt;/Q&gt;&lt;R&gt;1&lt;/R&gt;&lt;C&gt;1&lt;/C&gt;&lt;D xsi:type="xsd:double"&gt;-5.30658079005561&lt;/D&gt;&lt;/FQL&gt;&lt;FQL&gt;&lt;Q&gt;EWA^FMA_PCT_ABOVE_MAVG(200,0,,,,"PORTAGG")&lt;/Q&gt;&lt;R&gt;1&lt;/R&gt;&lt;C&gt;1&lt;/C&gt;&lt;D xsi:type="xsd:double"&gt;57.6271186440678&lt;/D&gt;&lt;/FQL&gt;&lt;FQL&gt;&lt;Q&gt;SPY^FMA_COS_UP("EPS","1M",+1,0,,,"PORTAGG","MEANR")&lt;/Q&gt;&lt;R&gt;1&lt;/R&gt;&lt;C&gt;1&lt;/C&gt;&lt;D xsi:type="xsd:double"&gt;204&lt;/D&gt;&lt;/FQL&gt;&lt;FQL&gt;&lt;Q&gt;EWQ^FG_TOTAL_RETURNC(0,-3AM)&lt;/Q&gt;&lt;R&gt;1&lt;/R&gt;&lt;C&gt;1&lt;/C&gt;&lt;D xsi:type="xsd:double"&gt;10.739887&lt;/D&gt;&lt;/FQL&gt;&lt;FQL&gt;&lt;Q&gt;EWU^P_PRICE(0)/P_PRICE_HIGH_PR(0,,,USD,,,"PRICE","INTRA","52W")&lt;/Q&gt;&lt;R&gt;1&lt;/R&gt;&lt;C&gt;1&lt;/C&gt;&lt;D xsi:type="xsd:double"&gt;0.93993247&lt;/D&gt;&lt;/FQL&gt;&lt;FQL&gt;&lt;Q&gt;INDA^FMA_PCT_ABOVE_MAVG(200,0,,,,"PORTAGG")&lt;/Q&gt;&lt;R&gt;1&lt;/R&gt;&lt;C&gt;1&lt;/C&gt;&lt;D xsi:type="xsd:double"&gt;85.4961832061069&lt;/D&gt;&lt;/FQL&gt;&lt;FQL&gt;&lt;Q&gt;EWD^FMA_PCT_ABOVE_MAVG(200,0,,,,"PORTAGG")&lt;/Q&gt;&lt;R&gt;1&lt;/R&gt;&lt;C&gt;1&lt;/C&gt;&lt;D xsi:type="xsd:double"&gt;67.4418604651163&lt;/D&gt;&lt;/FQL&gt;&lt;FQL&gt;&lt;Q&gt;ENZL^PERCENT_CHANGE(FMA_EPS(+1,0,,,,"PORTAGG","MEAN"),FMA_EPS(+1,-3AM,,,,"PORTAGG","MEAN"))&lt;/Q&gt;&lt;R&gt;1&lt;/R&gt;&lt;C&gt;1&lt;/C&gt;&lt;D xsi:type="xsd:double"&gt;-6.36892912759188&lt;/D&gt;&lt;/FQL&gt;&lt;FQL&gt;&lt;Q&gt;USO^P_PRICE(0)/P_PRICE_HIGH_PR(0,,,USD,,,"PRICE","INTRA","52W")&lt;/Q&gt;&lt;R&gt;1&lt;/R&gt;&lt;C&gt;1&lt;/C&gt;&lt;D xsi:type="xsd:double"&gt;0.8363549&lt;/D&gt;&lt;/FQL&gt;&lt;FQL&gt;&lt;Q&gt;EWN^PERCENT_CHANGE(FMA_EPS(+1,0,,,,"PORTAGG","MEAN"),FMA_EPS(+1,-3AM,,,,"PORTAGG","MEAN"))&lt;/Q&gt;&lt;R&gt;1&lt;/R&gt;&lt;C&gt;1&lt;/C&gt;&lt;D xsi:type="xsd:double"&gt;1.2667841733908&lt;/D&gt;&lt;/FQL&gt;&lt;FQL&gt;&lt;Q&gt;EWN^SIZE(FG_CONSTITUENTS)&lt;/Q&gt;&lt;R&gt;1&lt;/R&gt;&lt;C&gt;1&lt;/C&gt;&lt;D xsi:type="xsd:long"&gt;55&lt;/D&gt;&lt;/FQL&gt;&lt;FQL&gt;&lt;Q&gt;UUP^FG_TOTAL_RETURNC(-10AY,0,AM)&lt;/Q&gt;&lt;R&gt;121&lt;/R&gt;&lt;C&gt;1&lt;/C&gt;&lt;D xsi:type="xsd:double"&gt;-0.13876557&lt;/D&gt;&lt;D xsi:type="xsd:double"&gt;-0.32422543&lt;/D&gt;&lt;D xsi:type="xsd:double"&gt;-0.23234487&lt;/D&gt;&lt;D xsi:type="xsd:double"&gt;-0.46575665&lt;/D&gt;&lt;D xsi:type="xsd:double"&gt;0.5147338&lt;/D&gt;&lt;D xsi:type="xsd:double"&gt;-0.37243962&lt;/D&gt;&lt;D xsi:type="xsd:double"&gt;0.7009387&lt;/D&gt;&lt;D xsi:type="xsd:double"&gt;1.809752&lt;/D&gt;&lt;D xsi:type="xsd:double"&gt;2.689147&lt;/D&gt;&lt;D xsi:type="xsd:double"&gt;1.2871623&lt;/D&gt;&lt;D xsi:type="xsd:double"&gt;2.8045535&lt;/D&gt;&lt;D xsi:type="xsd:double"&gt;1.9181609&lt;/D&gt;&lt;D xsi:type="xsd:double"&gt;5.4370522&lt;/D&gt;&lt;D xsi:type="xsd:double"&gt;-0.7139981&lt;/D&gt;&lt;D xsi:type="xsd:double"&gt;2.037561&lt;/D&gt;&lt;D xsi:type="xsd:double"&gt;0.31323433&lt;/D&gt;&lt;D xsi:type="xsd:double"&gt;-1.3270915&lt;/D&gt;&lt;D xsi:type="xsd:double"&gt;-1.0284841&lt;/D&gt;&lt;D xsi:type="xsd:double"&gt;1.5587449&lt;/D&gt;&lt;D xsi:type="xsd:double"&gt;-2.4006307&lt;/D&gt;&lt;D xsi:type="xsd:double"&gt;1.2903333&lt;/D&gt;&lt;D xsi:type="xsd:double"&gt;0.7165551&lt;/D&gt;&lt;D xsi:type="xsd:double"&gt;2.6877522&lt;/D&gt;&lt;D xsi:type="xsd:double"&gt;-1.6936064&lt;/D&gt;&lt;D xsi:type="xsd:double"&gt;1.2529373&lt;/D&gt;&lt;D xsi:type="xsd:double"&gt;-2.2815168&lt;/D&gt;&lt;D xsi:type="xsd:double"&gt;-1.385045&lt;/D&gt;&lt;D xsi:type="xsd:double"&gt;-1.0834694&lt;/D&gt;&lt;D xsi:type="xsd:double"&gt;0.12170076&lt;/D&gt;&lt;D xsi:type="xsd:double"&gt;-2.1474898&lt;/D&gt;&lt;D xsi:type="xsd:double"&gt;4.3892264&lt;/D&gt;&lt;D xsi:type="xsd:double"&gt;-3.0940056&lt;/D&gt;&lt;D xsi:type="xsd:double"&gt;1.0233283&lt;/D&gt;&lt;D xsi:type="xsd:double"&gt;3.3225298&lt;/D&gt;&lt;D xsi:type="xsd:double"&gt;3.0980468&lt;/D&gt;&lt;D xsi:type="xsd:double"&gt;1.2932658&lt;/D&gt;&lt;D xsi:type="xsd:double"&gt;-2.7788222&lt;/D&gt;&lt;D xsi:type="xsd:double"&gt;0.7338762&lt;/D&gt;&lt;D xsi:type="xsd:double"&gt;-1.2653351&lt;/D&gt;&lt;D xsi:type="xsd:double"&gt;0.23300648&lt;/D&gt;&lt;D xsi:type="xsd:double"&gt;-2.5184035&lt;/D&gt;&lt;D xsi:type="xsd:double"&gt;-0.039744377&lt;/D&gt;&lt;D xsi:type="xsd:double"&gt;-3.300196&lt;/D&gt;&lt;D xsi:type="xsd:double"&gt;-0.7401347&lt;/D&gt;&lt;D xsi:type="xsd:double"&gt;-0.86992383&lt;/D&gt;&lt;D xsi:type="xsd:double"&gt;1.8804789&lt;/D&gt;&lt;D xsi:type="xsd:double"&gt;-0.5742371&lt;/D&gt;&lt;D xsi:type="xsd:double"&gt;0.21834373&lt;/D&gt;&lt;D xsi:type="xsd:double"&gt;-3.1314373&lt;/D&gt;&lt;D xsi:type="xsd:double"&gt;-0.042533875&lt;/D&gt;&lt;D xsi:type="xsd:double"&gt;-0.34042597&lt;/D&gt;&lt;D xsi:type="xsd:double"&gt;1.9214392&lt;/D&gt;&lt;D xsi:type="xsd:double"&gt;3.5190582&lt;/D&gt;&lt;D xsi:type="xsd:double"&gt;0.76892376&lt;/D&gt;&lt;D xsi:type="xsd:double"&gt;0.36144257&lt;/D&gt;&lt;D xsi:type="xsd:double"&gt;1.320529&lt;/D&gt;&lt;D xsi:type="xsd:double"&gt;-1.3033152&lt;/D&gt;&lt;D xsi:type="xsd:double"&gt;2.1208525&lt;/D&gt;&lt;D xsi:type="xsd:double"&gt;1.371479&lt;/D&gt;&lt;D xsi:type="xsd:double"&gt;0.27058125&lt;/D&gt;&lt;D xsi:type="xsd:double"&gt;-0.63485503&lt;/D&gt;&lt;D xsi:type="xsd:double"&gt;0.8627415&lt;/D&gt;&lt;D xsi:type="xsd:double"&gt;0.31104088&lt;/D&gt;&lt;D xsi:type="xsd:double"&gt;1.3953567&lt;/D&gt;&lt;D xsi:type="xsd:double"&gt;0.688076&lt;/D&gt;&lt;D xsi:type="xsd:double"&gt;-1.480633&lt;/D&gt;&lt;D xsi:type="xsd:double"&gt;1.9653082&lt;/D&gt;&lt;D xsi:type="xsd:double"&gt;0.22675991&lt;/D&gt;&lt;D xsi:type="xsd:double"&gt;1.319766&lt;/D&gt;&lt;D xsi:type="xsd:double"&gt;-0.93040466&lt;/D&gt;&lt;D xsi:type="xsd:double"&gt;1.089406&lt;/D&gt;&lt;D xsi:type="xsd:double"&gt;-0.4603505&lt;/D&gt;&lt;D xsi:type="xsd:double"&gt;0.3427267&lt;/D&gt;&lt;D xsi:type="xsd:double"&gt;1.8216252&lt;/D&gt;&lt;D xsi:type="xsd:double"&gt;4.2489767&lt;/D&gt;&lt;D xsi:type="xsd:double"&gt;-2.6456892&lt;/D&gt;&lt;D xsi:type="xsd:double"&gt;-0.88137984&lt;/D&gt;&lt;D xsi:type="xsd:double"&gt;-3.1122625&lt;/D&gt;&lt;D xsi:type="xsd:double"&gt;-2.065003&lt;/D&gt;&lt;D xsi:type="xsd:double"&gt;-1.679033&lt;/D&gt;&lt;D xsi:type="xsd:double"&gt;1.3502836&lt;/D&gt;&lt;D xsi:type="xsd:double"&gt;-1.8808782&lt;/D&gt;&lt;D xsi:type="xsd:double"&gt;-0.2795577&lt;/D&gt;&lt;D xsi:type="xsd:double"&gt;-2.5630713&lt;/D&gt;&lt;D xsi:type="xsd:double"&gt;0.041103363&lt;/D&gt;&lt;D xsi:type="xsd:double"&gt;-0.16434193&lt;/D&gt;&lt;D xsi:type="xsd:double"&gt;2.3868322&lt;/D&gt;&lt;D xsi:type="xsd:double"&gt;-1.7282903&lt;/D&gt;&lt;D xsi:type="xsd:double"&gt;-0.9406984&lt;/D&gt;&lt;D xsi:type="xsd:double"&gt;1.9818425&lt;/D&gt;&lt;D xsi:type="xsd:double"&gt;1.1335969&lt;/D&gt;&lt;D xsi:type="xsd:double"&gt;-0.04003048&lt;/D&gt;&lt;D xsi:type="xsd:double"&gt;0.04005432&lt;/D&gt;&lt;D xsi:type="xsd:double"&gt;0.56045055&lt;/D&gt;&lt;D xsi:type="xsd:double"&gt;2.9856682&lt;/D&gt;&lt;D xsi:type="xsd:double"&gt;-0.5411744&lt;/D&gt;&lt;D xsi:type="xsd:double"&gt;-0.46637654&lt;/D&gt;&lt;D xsi:type="xsd:double"&gt;0.585711&lt;/D&gt;&lt;D xsi:type="xsd:double"&gt;2.368009&lt;/D&gt;&lt;D xsi:type="xsd:double"&gt;2.5786877&lt;/D&gt;&lt;D xsi:type="xsd:double"&gt;0.8872509&lt;/D&gt;&lt;D xsi:type="xsd:double"&gt;2.015388&lt;/D&gt;&lt;D xsi:type="xsd:double"&gt;2.2988439&lt;/D&gt;&lt;D xsi:type="xsd:double"&gt;2.0014048&lt;/D&gt;&lt;D xsi:type="xsd:double"&gt;4.371774&lt;/D&gt;&lt;D xsi:type="xsd:double"&gt;-0.69261193&lt;/D&gt;&lt;D xsi:type="xsd:double"&gt;-5.081373&lt;/D&gt;&lt;D xsi:type="xsd:double"&gt;-1.2392998&lt;/D&gt;&lt;D xsi:type="xsd:double"&gt;-1.786989&lt;/D&gt;&lt;D xsi:type="xsd:double"&gt;2.91121&lt;/D&gt;&lt;D xsi:type="xsd:double"&gt;-1.485151&lt;/D&gt;&lt;D xsi:type="xsd:double"&gt;-0.3948331&lt;/D&gt;&lt;D xsi:type="xsd:double"&gt;2.2342324&lt;/D&gt;&lt;D xsi:type="xsd:double"&gt;-0.070500374&lt;/D&gt;&lt;D xsi:type="xsd:double"&gt;-1.3756633&lt;/D&gt;&lt;D xsi:type="xsd:double"&gt;2.7897&lt;/D&gt;&lt;D xsi:type="xsd:double"&gt;2.7487874&lt;/D&gt;&lt;D xsi:type="xsd:double"&gt;0.54181814&lt;/D&gt;&lt;D xsi:type="xsd:double"&gt;-1.1788487&lt;/D&gt;&lt;D xsi:type="xsd:double"&gt;-1.5562415&lt;/D&gt;&lt;D xsi:type="xsd:double"&gt;2.3204446&lt;/D&gt;&lt;/FQL&gt;&lt;FQL&gt;&lt;Q&gt;W-FDS^FG_PRICE(0)/MAX(FG_PRICE(0,-1AY))&lt;/Q&gt;&lt;R&gt;1&lt;/R&gt;&lt;C&gt;1&lt;/C&gt;&lt;D xsi:type="xsd:double"&gt;0.753156565656566&lt;/D&gt;&lt;/FQL&gt;&lt;FQL&gt;&lt;Q&gt;PASP-FDS^FG_PRICE_CHANGE(0,-1AM)&lt;/Q&gt;&lt;R&gt;1&lt;/R&gt;&lt;C&gt;1&lt;/C&gt;&lt;D xsi:type="xsd:double"&gt;-25.7936507936508&lt;/D&gt;&lt;/FQL&gt;&lt;FQL&gt;&lt;Q&gt;PLATI-FDS^FG_PRICE(0)/MAX(FG_PRICE(0,-1AY))&lt;/Q&gt;&lt;R&gt;1&lt;/R&gt;&lt;C&gt;1&lt;/C&gt;&lt;D xsi:type="xsd:double"&gt;0.799118942731277&lt;/D&gt;&lt;/FQL&gt;&lt;FQL&gt;&lt;Q&gt;BRENT-FDS^FG_PRICE_CHANGE(0,-1AM)&lt;/Q&gt;&lt;R&gt;1&lt;/R&gt;&lt;C&gt;1&lt;/C&gt;&lt;D xsi:type="xsd:double"&gt;0&lt;/D&gt;&lt;/FQL&gt;&lt;FQL&gt;&lt;Q&gt;TIOS-FDS^FG_PRICE(0)/MAX(FG_PRICE(0,-1AY))&lt;/Q&gt;&lt;R&gt;1&lt;/R&gt;&lt;C&gt;1&lt;/C&gt;&lt;D xsi:type="xsd:double"&gt;0.939372918978912&lt;/D&gt;&lt;/FQL&gt;&lt;FQL&gt;&lt;Q&gt;EWI^FG_PRICE_MAVG(0,,,,60)&lt;/Q&gt;&lt;R&gt;1&lt;/R&gt;&lt;C&gt;1&lt;/C&gt;&lt;D xsi:type="xsd:double"&gt;32.716835&lt;/D&gt;&lt;/FQL&gt;&lt;FQL&gt;&lt;Q&gt;EWQ^FG_PRICE_MAVG(0,,,,60)&lt;/Q&gt;&lt;R&gt;1&lt;/R&gt;&lt;C&gt;1&lt;/C&gt;&lt;D xsi:type="xsd:double"&gt;37.47425&lt;/D&gt;&lt;/FQL&gt;&lt;FQL&gt;&lt;Q&gt;EWU^FG_PRICE_MAVG(0,,,,60)&lt;/Q&gt;&lt;R&gt;1&lt;/R&gt;&lt;C&gt;1&lt;/C&gt;&lt;D xsi:type="xsd:double"&gt;32.196&lt;/D&gt;&lt;/FQL&gt;&lt;FQL&gt;&lt;Q&gt;EWG^FG_PRICE_MAVG(0,,,,60)&lt;/Q&gt;&lt;R&gt;1&lt;/R&gt;&lt;C&gt;1&lt;/C&gt;&lt;D xsi:type="xsd:double"&gt;28.180666&lt;/D&gt;&lt;/FQL&gt;&lt;FQL&gt;&lt;Q&gt;ENZL^FG_PRICE_MAVG(0,,,,60)&lt;/Q&gt;&lt;R&gt;1&lt;/R&gt;&lt;C&gt;1&lt;/C&gt;&lt;D xsi:type="xsd:double"&gt;45.946667&lt;/D&gt;&lt;/FQL&gt;&lt;FQL&gt;&lt;Q&gt;IWM^PERCENT_CHANGE(FMA_EPS(+1,0,,,,"PORTAGG","MEAN"),FMA_EPS(+1,-1AM,,,,"PORTAGG","MEAN"))&lt;/Q&gt;&lt;R&gt;1&lt;/R&gt;&lt;C&gt;1&lt;/C&gt;&lt;D xsi:type="xsd:double"&gt;-1.71510238238717&lt;/D&gt;&lt;/FQL&gt;&lt;FQL&gt;&lt;Q&gt;EWQ^FG_PRICE(0)&lt;/Q&gt;&lt;R&gt;1&lt;/R&gt;&lt;C&gt;1&lt;/C&gt;&lt;D xsi:type="xsd:double"&gt;37.76&lt;/D&gt;&lt;/FQL&gt;&lt;FQL&gt;&lt;Q&gt;ENZL^FG_PRICE(0)&lt;/Q&gt;&lt;R&gt;1&lt;/R&gt;&lt;C&gt;1&lt;/C&gt;&lt;D xsi:type="xsd:double"&gt;46.32&lt;/D&gt;&lt;/FQL&gt;&lt;FQL&gt;&lt;Q&gt;IWM^P_PRICE(0)/P_PRICE_HIGH_PR(0,,,USD,,,"PRICE","INTRA","52W")&lt;/Q&gt;&lt;R&gt;1&lt;/R&gt;&lt;C&gt;1&lt;/C&gt;&lt;D xsi:type="xsd:double"&gt;0.9536717&lt;/D&gt;&lt;/FQL&gt;&lt;FQL&gt;&lt;Q&gt;EWU^FG_TOTAL_RETURNC(0,-3AM)&lt;/Q&gt;&lt;R&gt;1&lt;/R&gt;&lt;C&gt;1&lt;/C&gt;&lt;D xsi:type="xsd:double"&gt;6.1845303&lt;/D&gt;&lt;/FQL&gt;&lt;FQL&gt;&lt;Q&gt;VWO^FMA_PCT_ABOVE_MAVG(200,0,,,,"PORTAGG")&lt;/Q&gt;&lt;R&gt;1&lt;/R&gt;&lt;C&gt;1&lt;/C&gt;&lt;D xsi:type="xsd:double"&gt;43.1372549019608&lt;/D&gt;&lt;/FQL&gt;&lt;FQL&gt;&lt;Q&gt;ENZL^PERCENT_CHANGE(FMA_EPS(+1,0,,,,"PORTAGG","MEAN"),FMA_EPS(+1,-1AM,,,,"PORTAGG","MEAN"))&lt;/Q&gt;&lt;R&gt;1&lt;/R&gt;&lt;C&gt;1&lt;/C&gt;&lt;D xsi:type="xsd:double"&gt;-1.28793663595383&lt;/D&gt;&lt;/FQL&gt;&lt;FQL&gt;&lt;Q&gt;GLD^P_PRICE(0)/P_PRICE_HIGH_PR(0,,,USD,,,"PRICE","INTRA","52W")&lt;/Q&gt;&lt;R&gt;1&lt;/R&gt;&lt;C&gt;1&lt;/C&gt;&lt;D xsi:type="xsd:double"&gt;0.97291523&lt;/D&gt;&lt;/FQL&gt;&lt;FQL&gt;&lt;Q&gt;SPY^FG_TOTAL_RETURNC(-10AY,0,AM)&lt;/Q&gt;&lt;R&gt;121&lt;/R&gt;&lt;C&gt;1&lt;/C&gt;&lt;D xsi:type="xsd:double"&gt;0.14244318&lt;/D&gt;&lt;D xsi:type="xsd:double"&gt;0.60179234&lt;/D&gt;&lt;D xsi:type="xsd:double"&gt;1.7046094&lt;/D&gt;&lt;D xsi:type="xsd:double"&gt;0.6713271&lt;/D&gt;&lt;D xsi:type="xsd:double"&gt;1.5470862&lt;/D&gt;&lt;D xsi:type="xsd:double"&gt;3.397119&lt;/D&gt;&lt;D xsi:type="xsd:double"&gt;1.409018&lt;/D&gt;&lt;D xsi:type="xsd:double"&gt;0.27688742&lt;/D&gt;&lt;D xsi:type="xsd:double"&gt;-0.12722611&lt;/D&gt;&lt;D xsi:type="xsd:double"&gt;-1.5554786&lt;/D&gt;&lt;D xsi:type="xsd:double"&gt;6.027806&lt;/D&gt;&lt;D xsi:type="xsd:double"&gt;1.070106&lt;/D&gt;&lt;D xsi:type="xsd:double"&gt;-1.3381481&lt;/D&gt;&lt;D xsi:type="xsd:double"&gt;3.0438542&lt;/D&gt;&lt;D xsi:type="xsd:double"&gt;-0.13257265&lt;/D&gt;&lt;D xsi:type="xsd:double"&gt;0.5523801&lt;/D&gt;&lt;D xsi:type="xsd:double"&gt;0.8666396&lt;/D&gt;&lt;D xsi:type="xsd:double"&gt;0.04041195&lt;/D&gt;&lt;D xsi:type="xsd:double"&gt;-0.8771956&lt;/D&gt;&lt;D xsi:type="xsd:double"&gt;-5.9710684&lt;/D&gt;&lt;D xsi:type="xsd:double"&gt;-1.5212&lt;/D&gt;&lt;D xsi:type="xsd:double"&gt;7.184911&lt;/D&gt;&lt;D xsi:type="xsd:double"&gt;0.75178146&lt;/D&gt;&lt;D xsi:type="xsd:double"&gt;-0.8619666&lt;/D&gt;&lt;D xsi:type="xsd:double"&gt;-7.5235424&lt;/D&gt;&lt;D xsi:type="xsd:double"&gt;0.9447813&lt;/D&gt;&lt;D xsi:type="xsd:double"&gt;6.204653&lt;/D&gt;&lt;D xsi:type="xsd:double"&gt;2.834916&lt;/D&gt;&lt;D xsi:type="xsd:double"&gt;-1.7992973&lt;/D&gt;&lt;D xsi:type="xsd:double"&gt;3.265357&lt;/D&gt;&lt;D xsi:type="xsd:double"&gt;3.0501485&lt;/D&gt;&lt;D xsi:type="xsd:double"&gt;0.7963538&lt;/D&gt;&lt;D xsi:type="xsd:double"&gt;-0.8606911&lt;/D&gt;&lt;D xsi:type="xsd:double"&gt;-0.93060136&lt;/D&gt;&lt;D xsi:type="xsd:double"&gt;3.1404853&lt;/D&gt;&lt;D xsi:type="xsd:double"&gt;2.873981&lt;/D&gt;&lt;D xsi:type="xsd:double"&gt;0.19493103&lt;/D&gt;&lt;D xsi:type="xsd:double"&gt;4.5500755&lt;/D&gt;&lt;D xsi:type="xsd:double"&gt;-0.58787465&lt;/D&gt;&lt;D xsi:type="xsd:double"&gt;0.2392888&lt;/D&gt;&lt;D xsi:type="xsd:double"&gt;2.327466&lt;/D&gt;&lt;D xsi:type="xsd:double"&gt;1.7769217&lt;/D&gt;&lt;D xsi:type="xsd:double"&gt;1.5423894&lt;/D&gt;&lt;D xsi:type="xsd:double"&gt;-0.9397328&lt;/D&gt;&lt;D xsi:type="xsd:double"&gt;2.5007486&lt;/D&gt;&lt;D xsi:type="xsd:double"&gt;2.6739836&lt;/D&gt;&lt;D xsi:type="xsd:double"&gt;1.4251828&lt;/D&gt;&lt;D xsi:type="xsd:double"&gt;3.5056949&lt;/D&gt;&lt;D xsi:type="xsd:double"&gt;5.898845&lt;/D&gt;&lt;D xsi:type="xsd:double"&gt;-3.0287027&lt;/D&gt;&lt;D xsi:type="xsd:double"&gt;-5.688846&lt;/D&gt;&lt;D xsi:type="xsd:double"&gt;3.301692&lt;/D&gt;&lt;D xsi:type="xsd:double"&gt;2.5471687&lt;/D&gt;&lt;D xsi:type="xsd:double"&gt;0.9565592&lt;/D&gt;&lt;D xsi:type="xsd:double"&gt;1.9873381&lt;/D&gt;&lt;D xsi:type="xsd:double"&gt;1.9950032&lt;/D&gt;&lt;D xsi:type="xsd:double"&gt;2.6322126&lt;/D&gt;&lt;D xsi:type="xsd:double"&gt;-6.2947392&lt;/D&gt;&lt;D xsi:type="xsd:double"&gt;-3.786409&lt;/D&gt;&lt;D xsi:type="xsd:double"&gt;-8.020735&lt;/D&gt;&lt;D xsi:type="xsd:double"&gt;9.434986&lt;/D&gt;&lt;D xsi:type="xsd:double"&gt;5.971682&lt;/D&gt;&lt;D xsi:type="xsd:double"&gt;0.47792196&lt;/D&gt;&lt;D xsi:type="xsd:double"&gt;4.880929&lt;/D&gt;&lt;D xsi:type="xsd:double"&gt;-3.6670268&lt;/D&gt;&lt;D xsi:type="xsd:double"&gt;4.711008&lt;/D&gt;&lt;D xsi:type="xsd:double"&gt;2.0510197&lt;/D&gt;&lt;D xsi:type="xsd:double"&gt;-5.0594926&lt;/D&gt;&lt;D xsi:type="xsd:double"&gt;5.175805&lt;/D&gt;&lt;D xsi:type="xsd:double"&gt;0.5600095&lt;/D&gt;&lt;D xsi:type="xsd:double"&gt;3.6948085&lt;/D&gt;&lt;D xsi:type="xsd:double"&gt;3.8051248&lt;/D&gt;&lt;D xsi:type="xsd:double"&gt;3.2687902&lt;/D&gt;&lt;D xsi:type="xsd:double"&gt;0.5305767&lt;/D&gt;&lt;D xsi:type="xsd:double"&gt;-32.733715&lt;/D&gt;&lt;D xsi:type="xsd:double"&gt;25.176048&lt;/D&gt;&lt;D xsi:type="xsd:double"&gt;5.8621287&lt;/D&gt;&lt;D xsi:type="xsd:double"&gt;6.0896754&lt;/D&gt;&lt;D xsi:type="xsd:double"&gt;3.4962416&lt;/D&gt;&lt;D xsi:type="xsd:double"&gt;5.115187&lt;/D&gt;&lt;D xsi:type="xsd:double"&gt;-4.5755863&lt;/D&gt;&lt;D xsi:type="xsd:double"&gt;7.172072&lt;/D&gt;&lt;D xsi:type="xsd:double"&gt;3.3778667&lt;/D&gt;&lt;D xsi:type="xsd:double"&gt;3.268373&lt;/D&gt;&lt;D xsi:type="xsd:double"&gt;4.1651964&lt;/D&gt;&lt;D xsi:type="xsd:double"&gt;1.2066483&lt;/D&gt;&lt;D xsi:type="xsd:double"&gt;0.8458972&lt;/D&gt;&lt;D xsi:type="xsd:double"&gt;6.99358&lt;/D&gt;&lt;D xsi:type="xsd:double"&gt;-0.4319191&lt;/D&gt;&lt;D xsi:type="xsd:double"&gt;2.183783&lt;/D&gt;&lt;D xsi:type="xsd:double"&gt;4.103172&lt;/D&gt;&lt;D xsi:type="xsd:double"&gt;1.6638637&lt;/D&gt;&lt;D xsi:type="xsd:double"&gt;-0.5916357&lt;/D&gt;&lt;D xsi:type="xsd:double"&gt;2.242887&lt;/D&gt;&lt;D xsi:type="xsd:double"&gt;3.325832&lt;/D&gt;&lt;D xsi:type="xsd:double"&gt;0.87242126&lt;/D&gt;&lt;D xsi:type="xsd:double"&gt;-6.931573&lt;/D&gt;&lt;D xsi:type="xsd:double"&gt;-3.6599815&lt;/D&gt;&lt;D xsi:type="xsd:double"&gt;5.5015445&lt;/D&gt;&lt;D xsi:type="xsd:double"&gt;-4.0017962&lt;/D&gt;&lt;D xsi:type="xsd:double"&gt;-6.835037&lt;/D&gt;&lt;D xsi:type="xsd:double"&gt;-4.3410597&lt;/D&gt;&lt;D xsi:type="xsd:double"&gt;4.5045733&lt;/D&gt;&lt;D xsi:type="xsd:double"&gt;4.368627&lt;/D&gt;&lt;D xsi:type="xsd:double"&gt;-10.39809&lt;/D&gt;&lt;D xsi:type="xsd:double"&gt;1.723063&lt;/D&gt;&lt;D xsi:type="xsd:double"&gt;7.5155616&lt;/D&gt;&lt;D xsi:type="xsd:double"&gt;-4.4059157&lt;/D&gt;&lt;D xsi:type="xsd:double"&gt;4.6277165&lt;/D&gt;&lt;D xsi:type="xsd:double"&gt;0.0074863434&lt;/D&gt;&lt;D xsi:type="xsd:double"&gt;-1.4904141&lt;/D&gt;&lt;D xsi:type="xsd:double"&gt;4.8401475&lt;/D&gt;&lt;D xsi:type="xsd:double"&gt;0.4585147&lt;/D&gt;&lt;D xsi:type="xsd:double"&gt;5.007386&lt;/D&gt;&lt;D xsi:type="xsd:double"&gt;4.3789387&lt;/D&gt;&lt;D xsi:type="xsd:double"&gt;-2.02353&lt;/D&gt;&lt;D xsi:type="xsd:double"&gt;-2.4993896&lt;/D&gt;&lt;D xsi:type="xsd:double"&gt;-2.3140252&lt;/D&gt;&lt;D xsi:type="xsd:double"&gt;8.219564&lt;/D&gt;&lt;D xsi:type="xsd:double"&gt;4.5170903&lt;/D&gt;&lt;D xsi:type="xsd:double"&gt;2.3667216&lt;/D&gt;&lt;/FQL&gt;&lt;FQL&gt;&lt;Q&gt;W-FDS^FG_PRICE_CHANGE(0,-1AY)&lt;/Q&gt;&lt;R&gt;1&lt;/R&gt;&lt;C&gt;1&lt;/C&gt;&lt;D xsi:type="xsd:double"&gt;-17.1527777777778&lt;/D&gt;&lt;/FQL&gt;&lt;FQL&gt;&lt;Q&gt;PASP-FDS^FG_PRICE_MAVG(0,,,,30)&lt;/Q&gt;&lt;R&gt;1&lt;/R&gt;&lt;C&gt;1&lt;/C&gt;&lt;D xsi:type="xsd:double"&gt;1065.6&lt;/D&gt;&lt;/FQL&gt;&lt;FQL&gt;&lt;Q&gt;PLATI-FDS^FG_PRICE_CHANGE(0,-1AY)&lt;/Q&gt;&lt;R&gt;1&lt;/R&gt;&lt;C&gt;1&lt;/C&gt;&lt;D xsi:type="xsd:double"&gt;-13.2057416267943&lt;/D&gt;&lt;/FQL&gt;&lt;FQL&gt;&lt;Q&gt;BRENT-FDS^FG_PRICE_MAVG(0,,,,30)&lt;/Q&gt;&lt;R&gt;1&lt;/R&gt;&lt;C&gt;1&lt;/C&gt;&lt;D xsi:type="xsd:double"&gt;85.86&lt;/D&gt;&lt;/FQL&gt;&lt;FQL&gt;&lt;Q&gt;TIOS-FDS^FG_PRICE_CHANGE(0,-1AY)&lt;/Q&gt;&lt;R&gt;1&lt;/R&gt;&lt;C&gt;1&lt;/C&gt;&lt;D xsi:type="xsd:double"&gt;11.0546170247663&lt;/D&gt;&lt;/FQL&gt;&lt;FQL&gt;&lt;Q&gt;EWI^FG_PRICE_MAVG(0,,,,30)&lt;/Q&gt;&lt;R&gt;1&lt;/R&gt;&lt;C&gt;1&lt;/C&gt;&lt;D xsi:type="xsd:double"&gt;33.638332&lt;/D&gt;&lt;/FQL&gt;&lt;FQL&gt;&lt;Q&gt;EWQ^FG_PRICE_MAVG(0,,,,30)&lt;/Q&gt;&lt;R&gt;1&lt;/R&gt;&lt;C&gt;1&lt;/C&gt;&lt;D xsi:type="xsd:double"&gt;38.533833&lt;/D&gt;&lt;/FQL&gt;&lt;FQL&gt;&lt;Q&gt;EWU^FG_PRICE_MAVG(0,,,,30)&lt;/Q&gt;&lt;R&gt;1&lt;/R&gt;&lt;C&gt;1&lt;/C&gt;&lt;D xsi:type="xsd:double"&gt;32.708&lt;/D&gt;&lt;/FQL&gt;&lt;FQL&gt;&lt;Q&gt;EWG^FG_PRICE_MAVG(0,,,,30)&lt;/Q&gt;&lt;R&gt;1&lt;/R&gt;&lt;C&gt;1&lt;/C&gt;&lt;D xsi:type="xsd:double"&gt;29.219667&lt;/D&gt;&lt;/FQL&gt;&lt;FQL&gt;&lt;Q&gt;ENZL^FG_PRICE_MAVG(0,,,,30)&lt;/Q&gt;&lt;R&gt;1&lt;/R&gt;&lt;C&gt;1&lt;/C&gt;&lt;D xsi:type="xsd:double"&gt;47.436165&lt;/D&gt;&lt;/FQL&gt;&lt;FQL&gt;&lt;Q&gt;IWM^P_PRICE(0)/P_PRICE_LOW_PR(0,,,USD,,,"PRICE","INTRA","52W")-1&lt;/Q&gt;&lt;R&gt;1&lt;/R&gt;&lt;C&gt;1&lt;/C&gt;&lt;D xsi:type="xsd:double"&gt;0.21216059&lt;/D&gt;&lt;/FQL&gt;&lt;FQL&gt;&lt;Q&gt;EWD^P_PRICE(0)/P_PRICE_HIGH_PR(0,,,USD,,,"PRICE","INTRA","52W")&lt;/Q&gt;&lt;R&gt;1&lt;/R&gt;&lt;C&gt;1&lt;/C&gt;&lt;D xsi:type="xsd:double"&gt;0.92010826&lt;/D&gt;&lt;/FQL&gt;&lt;FQL&gt;&lt;Q&gt;EWU^FG_TOTAL_RETURNC(0,-6AM)&lt;/Q&gt;&lt;R&gt;1&lt;/R&gt;&lt;C&gt;1&lt;/C&gt;&lt;D xsi:type="xsd:double"&gt;-1.6325355&lt;/D&gt;&lt;/FQL&gt;&lt;FQL&gt;&lt;Q&gt;EWG^P_PRICE(0)/P_PRICE_LOW_PR(0,,,USD,,,"PRICE","INTRA","52W")-1&lt;/Q&gt;&lt;R&gt;1&lt;/R&gt;&lt;C&gt;1&lt;/C&gt;&lt;D xsi:type="xsd:double"&gt;0.1677798&lt;/D&gt;&lt;/FQL&gt;&lt;FQL&gt;&lt;Q&gt;EWI^FG_PRICE(0)&lt;/Q&gt;&lt;R&gt;1&lt;/R&gt;&lt;C&gt;1&lt;/C&gt;&lt;D xsi:type="xsd:double"&gt;33.06&lt;/D&gt;&lt;/FQL&gt;&lt;FQL&gt;&lt;Q&gt;EWU^FG_PRICE(0)&lt;/Q&gt;&lt;R&gt;1&lt;/R&gt;&lt;C&gt;1&lt;/C&gt;&lt;D xsi:type="xsd:double"&gt;32&lt;/D&gt;&lt;/FQL&gt;&lt;FQL&gt;&lt;Q&gt;VWO^FG_TOTAL_RETURNC(-10AY,0,AM)&lt;/Q&gt;&lt;R&gt;121&lt;/R&gt;&lt;C&gt;1&lt;/C&gt;&lt;D xsi:type="xsd:double"&gt;-3.305173&lt;/D&gt;&lt;D xsi:type="xsd:double"&gt;0.41120052&lt;/D&gt;&lt;D xsi:type="xsd:double"&gt;-1.0749876&lt;/D&gt;&lt;D xsi:type="xsd:double"&gt;6.180668&lt;/D&gt;&lt;D xsi:type="xsd:double"&gt;4.813099&lt;/D&gt;&lt;D xsi:type="xsd:double"&gt;1.1888027&lt;/D&gt;&lt;D xsi:type="xsd:double"&gt;4.346442&lt;/D&gt;&lt;D xsi:type="xsd:double"&gt;0.28979778&lt;/D&gt;&lt;D xsi:type="xsd:double"&gt;-4.334301&lt;/D&gt;&lt;D xsi:type="xsd:double"&gt;-3.5698712&lt;/D&gt;&lt;D xsi:type="xsd:double"&gt;4.9415708&lt;/D&gt;&lt;D xsi:type="xsd:double"&gt;-7.532811&lt;/D&gt;&lt;D xsi:type="xsd:double"&gt;4.9634695&lt;/D&gt;&lt;D xsi:type="xsd:double"&gt;-0.6961107&lt;/D&gt;&lt;D xsi:type="xsd:double"&gt;-1.2811184&lt;/D&gt;&lt;D xsi:type="xsd:double"&gt;9.03151&lt;/D&gt;&lt;D xsi:type="xsd:double"&gt;-1.1023641&lt;/D&gt;&lt;D xsi:type="xsd:double"&gt;-3.5714269&lt;/D&gt;&lt;D xsi:type="xsd:double"&gt;-7.255304&lt;/D&gt;&lt;D xsi:type="xsd:double"&gt;-13.068038&lt;/D&gt;&lt;D xsi:type="xsd:double"&gt;-1.7720103&lt;/D&gt;&lt;D xsi:type="xsd:double"&gt;10.977781&lt;/D&gt;&lt;D xsi:type="xsd:double"&gt;-4.0648165&lt;/D&gt;&lt;D xsi:type="xsd:double"&gt;-3.7715554&lt;/D&gt;&lt;D xsi:type="xsd:double"&gt;-11.599403&lt;/D&gt;&lt;D xsi:type="xsd:double"&gt;4.0243506&lt;/D&gt;&lt;D xsi:type="xsd:double"&gt;10.26932&lt;/D&gt;&lt;D xsi:type="xsd:double"&gt;3.4258723&lt;/D&gt;&lt;D xsi:type="xsd:double"&gt;-6.5391245&lt;/D&gt;&lt;D xsi:type="xsd:double"&gt;9.155512&lt;/D&gt;&lt;D xsi:type="xsd:double"&gt;3.9447665&lt;/D&gt;&lt;D xsi:type="xsd:double"&gt;2.1143913&lt;/D&gt;&lt;D xsi:type="xsd:double"&gt;1.2920499&lt;/D&gt;&lt;D xsi:type="xsd:double"&gt;1.0082245&lt;/D&gt;&lt;D xsi:type="xsd:double"&gt;-6.041503&lt;/D&gt;&lt;D xsi:type="xsd:double"&gt;-1.5971601&lt;/D&gt;&lt;D xsi:type="xsd:double"&gt;7.1367383&lt;/D&gt;&lt;D xsi:type="xsd:double"&gt;5.5422425&lt;/D&gt;&lt;D xsi:type="xsd:double"&gt;1.4163971&lt;/D&gt;&lt;D xsi:type="xsd:double"&gt;-0.9975016&lt;/D&gt;&lt;D xsi:type="xsd:double"&gt;2.4181366&lt;/D&gt;&lt;D xsi:type="xsd:double"&gt;0.79900026&lt;/D&gt;&lt;D xsi:type="xsd:double"&gt;4.5912027&lt;/D&gt;&lt;D xsi:type="xsd:double"&gt;2.6525855&lt;/D&gt;&lt;D xsi:type="xsd:double"&gt;2.2165537&lt;/D&gt;&lt;D xsi:type="xsd:double"&gt;0.5205989&lt;/D&gt;&lt;D xsi:type="xsd:double"&gt;3.0623794&lt;/D&gt;&lt;D xsi:type="xsd:double"&gt;-0.27563572&lt;/D&gt;&lt;D xsi:type="xsd:double"&gt;10.12547&lt;/D&gt;&lt;D xsi:type="xsd:double"&gt;-2.758342&lt;/D&gt;&lt;D xsi:type="xsd:double"&gt;-5.7142916&lt;/D&gt;&lt;D xsi:type="xsd:double"&gt;0.10051727&lt;/D&gt;&lt;D xsi:type="xsd:double"&gt;-1.3310075&lt;/D&gt;&lt;D xsi:type="xsd:double"&gt;-4.766697&lt;/D&gt;&lt;D xsi:type="xsd:double"&gt;-0.023376942&lt;/D&gt;&lt;D xsi:type="xsd:double"&gt;-2.8517962&lt;/D&gt;&lt;D xsi:type="xsd:double"&gt;0.57747364&lt;/D&gt;&lt;D xsi:type="xsd:double"&gt;-7.7759624&lt;/D&gt;&lt;D xsi:type="xsd:double"&gt;1.2595057&lt;/D&gt;&lt;D xsi:type="xsd:double"&gt;-1.8657744&lt;/D&gt;&lt;D xsi:type="xsd:double"&gt;7.049155&lt;/D&gt;&lt;D xsi:type="xsd:double"&gt;3.924501&lt;/D&gt;&lt;D xsi:type="xsd:double"&gt;0.023901463&lt;/D&gt;&lt;D xsi:type="xsd:double"&gt;4.9827337&lt;/D&gt;&lt;D xsi:type="xsd:double"&gt;-9.258831&lt;/D&gt;&lt;D xsi:type="xsd:double"&gt;7.139492&lt;/D&gt;&lt;D xsi:type="xsd:double"&gt;0.85026026&lt;/D&gt;&lt;D xsi:type="xsd:double"&gt;-8.032787&lt;/D&gt;&lt;D xsi:type="xsd:double"&gt;6.060612&lt;/D&gt;&lt;D xsi:type="xsd:double"&gt;1.3736606&lt;/D&gt;&lt;D xsi:type="xsd:double"&gt;1.2952805&lt;/D&gt;&lt;D xsi:type="xsd:double"&gt;6.036234&lt;/D&gt;&lt;D xsi:type="xsd:double"&gt;0.927186&lt;/D&gt;&lt;D xsi:type="xsd:double"&gt;-3.1593084&lt;/D&gt;&lt;D xsi:type="xsd:double"&gt;-29.388947&lt;/D&gt;&lt;D xsi:type="xsd:double"&gt;15.3644085&lt;/D&gt;&lt;D xsi:type="xsd:double"&gt;2.7888417&lt;/D&gt;&lt;D xsi:type="xsd:double"&gt;12.518549&lt;/D&gt;&lt;D xsi:type="xsd:double"&gt;6.2268376&lt;/D&gt;&lt;D xsi:type="xsd:double"&gt;2.2796035&lt;/D&gt;&lt;D xsi:type="xsd:double"&gt;-2.8990507&lt;/D&gt;&lt;D xsi:type="xsd:double"&gt;7.2847724&lt;/D&gt;&lt;D xsi:type="xsd:double"&gt;5.5776&lt;/D&gt;&lt;D xsi:type="xsd:double"&gt;3.3655405&lt;/D&gt;&lt;D xsi:type="xsd:double"&gt;9.7561&lt;/D&gt;&lt;D xsi:type="xsd:double"&gt;1.444447&lt;/D&gt;&lt;D xsi:type="xsd:double"&gt;-5.3718805&lt;/D&gt;&lt;D xsi:type="xsd:double"&gt;2.974701&lt;/D&gt;&lt;D xsi:type="xsd:double"&gt;-2.3260236&lt;/D&gt;&lt;D xsi:type="xsd:double"&gt;3.7079334&lt;/D&gt;&lt;D xsi:type="xsd:double"&gt;-3.2762527&lt;/D&gt;&lt;D xsi:type="xsd:double"&gt;-3.6566556&lt;/D&gt;&lt;D xsi:type="xsd:double"&gt;2.7480364&lt;/D&gt;&lt;D xsi:type="xsd:double"&gt;1.6290426&lt;/D&gt;&lt;D xsi:type="xsd:double"&gt;-2.3174942&lt;/D&gt;&lt;D xsi:type="xsd:double"&gt;-1.7957807&lt;/D&gt;&lt;D xsi:type="xsd:double"&gt;0.9760022&lt;/D&gt;&lt;D xsi:type="xsd:double"&gt;-2.3962915&lt;/D&gt;&lt;D xsi:type="xsd:double"&gt;-4.466611&lt;/D&gt;&lt;D xsi:type="xsd:double"&gt;-5.6096973&lt;/D&gt;&lt;D xsi:type="xsd:double"&gt;-2.5241017&lt;/D&gt;&lt;D xsi:type="xsd:double"&gt;-2.0430386&lt;/D&gt;&lt;D xsi:type="xsd:double"&gt;-1.28299&lt;/D&gt;&lt;D xsi:type="xsd:double"&gt;1.8391371&lt;/D&gt;&lt;D xsi:type="xsd:double"&gt;-8.438664&lt;/D&gt;&lt;D xsi:type="xsd:double"&gt;-2.0522416&lt;/D&gt;&lt;D xsi:type="xsd:double"&gt;5.904758&lt;/D&gt;&lt;D xsi:type="xsd:double"&gt;1.1856198&lt;/D&gt;&lt;D xsi:type="xsd:double"&gt;10.451614&lt;/D&gt;&lt;D xsi:type="xsd:double"&gt;-6.004673&lt;/D&gt;&lt;D xsi:type="xsd:double"&gt;-1.0220408&lt;/D&gt;&lt;D xsi:type="xsd:double"&gt;0.40210485&lt;/D&gt;&lt;D xsi:type="xsd:double"&gt;-1.0012567&lt;/D&gt;&lt;D xsi:type="xsd:double"&gt;2.0787954&lt;/D&gt;&lt;D xsi:type="xsd:double"&gt;2.9638767&lt;/D&gt;&lt;D xsi:type="xsd:double"&gt;-2.2012591&lt;/D&gt;&lt;D xsi:type="xsd:double"&gt;-1.1293054&lt;/D&gt;&lt;D xsi:type="xsd:double"&gt;-4.6153903&lt;/D&gt;&lt;D xsi:type="xsd:double"&gt;7.0068836&lt;/D&gt;&lt;D xsi:type="xsd:double"&gt;1.6214252&lt;/D&gt;&lt;D xsi:type="xsd:double"&gt;-1.7883718&lt;/D&gt;&lt;/FQL&gt;&lt;FQL&gt;&lt;Q&gt;W-FDS^FG_PRICE_CHANGE(0,-6AM)&lt;/Q&gt;&lt;R&gt;1&lt;/R&gt;&lt;C&gt;1&lt;/C&gt;&lt;D xsi:type="xsd:double"&gt;-14.4802867383513&lt;/D&gt;&lt;/FQL&gt;&lt;FQL&gt;&lt;Q&gt;PASP-FDS^FG_PRICE(0)&lt;/Q&gt;&lt;R&gt;1&lt;/R&gt;&lt;C&gt;1&lt;/C&gt;&lt;D xsi:type="xsd:double"&gt;935&lt;/D&gt;&lt;/FQL&gt;&lt;FQL&gt;&lt;Q&gt;PLATI-FDS^FG_PRICE_CHANGE(0,-6AM)&lt;/Q&gt;&lt;R&gt;1&lt;/R&gt;&lt;C&gt;1&lt;/C&gt;&lt;D xsi:type="xsd:double"&gt;-6.01036269430052&lt;/D&gt;&lt;/FQL&gt;&lt;FQL&gt;&lt;Q&gt;BRENT-FDS^FG_PRICE(0)&lt;/Q&gt;&lt;R&gt;1&lt;/R&gt;&lt;C&gt;1&lt;/C&gt;&lt;D xsi:type="xsd:double"&gt;85.86&lt;/D&gt;&lt;/FQL&gt;&lt;FQL&gt;&lt;Q&gt;TIOS-FDS^FG_PRICE_CHANGE(0,-6AM)&lt;/Q&gt;&lt;R&gt;1&lt;/R&gt;&lt;C&gt;1&lt;/C&gt;&lt;D xsi:type="xsd:double"&gt;20.4054414510536&lt;/D&gt;&lt;/FQL&gt;&lt;/Schema&gt;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<sst xmlns="http://schemas.openxmlformats.org/spreadsheetml/2006/main" count="398" uniqueCount="185">
  <si>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</si>
  <si>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</si>
  <si>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</si>
  <si>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</si>
  <si>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</si>
  <si>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</si>
  <si>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</si>
  <si>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</si>
  <si>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</si>
  <si>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</si>
  <si>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</si>
  <si>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</si>
  <si>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</si>
  <si>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</si>
  <si>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</si>
  <si>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</si>
  <si>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</si>
  <si>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</si>
  <si>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</si>
  <si>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</si>
  <si>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</si>
  <si>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</si>
  <si>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</si>
  <si>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</si>
  <si>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</si>
  <si>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</si>
  <si>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</si>
  <si>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</si>
  <si>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</si>
  <si>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</si>
  <si>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</si>
  <si>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</si>
  <si>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</si>
  <si>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12 month return -prentile</t>
  </si>
  <si>
    <t>1  month return percentile</t>
  </si>
  <si>
    <t>US</t>
  </si>
  <si>
    <t>CC_CA</t>
  </si>
  <si>
    <t>CC_JP</t>
  </si>
  <si>
    <t>CC_GB</t>
  </si>
  <si>
    <t>CC_US</t>
  </si>
  <si>
    <t>CC_AU</t>
  </si>
  <si>
    <t>CC_NZ</t>
  </si>
  <si>
    <t>Europe</t>
  </si>
  <si>
    <t>CC_SE</t>
  </si>
  <si>
    <t>CC_CH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</si>
  <si>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</si>
  <si>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</si>
  <si>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</si>
  <si>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</si>
  <si>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</si>
  <si>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</si>
  <si>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</si>
  <si>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% drawdown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</si>
  <si>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</si>
  <si>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</si>
  <si>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</si>
  <si>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</si>
  <si>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</si>
  <si>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</si>
  <si>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</si>
  <si>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ENZL</t>
  </si>
  <si>
    <t>Oil</t>
  </si>
  <si>
    <t>Average last 3 months</t>
  </si>
  <si>
    <t>Prioce / 52 week low</t>
  </si>
  <si>
    <t>Closeness - 52W- H</t>
  </si>
  <si>
    <t>Away-52W L</t>
  </si>
  <si>
    <t>Closeness - 52w L</t>
  </si>
  <si>
    <t>ETF Name</t>
  </si>
  <si>
    <t>Yearly Drawdwn</t>
  </si>
  <si>
    <t>Monthly  Drawdwin</t>
  </si>
  <si>
    <t>Overall Risk Score</t>
  </si>
  <si>
    <t>VGK</t>
  </si>
  <si>
    <t>COUNTRY</t>
  </si>
  <si>
    <t>CC_DE</t>
  </si>
  <si>
    <t>Australia</t>
  </si>
  <si>
    <t>Canada</t>
  </si>
  <si>
    <t>China</t>
  </si>
  <si>
    <t>France</t>
  </si>
  <si>
    <t>Germany</t>
  </si>
  <si>
    <t>Italy</t>
  </si>
  <si>
    <t>Japan</t>
  </si>
  <si>
    <t>Netherlands</t>
  </si>
  <si>
    <t>New Zealand</t>
  </si>
  <si>
    <t>Sweden</t>
  </si>
  <si>
    <t>Switzerland</t>
  </si>
  <si>
    <t>United Kingdom</t>
  </si>
  <si>
    <t>United States</t>
  </si>
  <si>
    <t>EM</t>
  </si>
  <si>
    <t>Top down</t>
  </si>
  <si>
    <t>URTH</t>
  </si>
  <si>
    <t>World</t>
  </si>
  <si>
    <t>max</t>
  </si>
  <si>
    <t>&gt;</t>
  </si>
  <si>
    <t>&lt;</t>
  </si>
  <si>
    <t>Monthly Return Percentile</t>
  </si>
  <si>
    <t>RISK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</si>
  <si>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</si>
  <si>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</si>
  <si>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</si>
  <si>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</si>
  <si>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</si>
  <si>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</si>
  <si>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</si>
  <si>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</si>
  <si>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</si>
  <si>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</si>
  <si>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</si>
  <si>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</si>
  <si>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</si>
  <si>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</si>
  <si>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</si>
  <si>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</si>
  <si>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</si>
  <si>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</si>
  <si>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</si>
  <si>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</si>
  <si>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</si>
  <si>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</si>
  <si>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</si>
  <si>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</si>
  <si>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japan</t>
  </si>
  <si>
    <t>30da MA index</t>
  </si>
  <si>
    <t>Index Level</t>
  </si>
  <si>
    <t xml:space="preserve">200D MA index </t>
  </si>
  <si>
    <t>ETF Ticker</t>
  </si>
  <si>
    <t>COUNTRY CODE</t>
  </si>
  <si>
    <t>STD_DEV</t>
  </si>
  <si>
    <t>Annualized Volatility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</si>
  <si>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</si>
  <si>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</si>
  <si>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</si>
  <si>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</si>
  <si>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</si>
  <si>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</si>
  <si>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</si>
  <si>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</si>
  <si>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</si>
  <si>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</si>
  <si>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</si>
  <si>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</si>
  <si>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</si>
  <si>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</si>
  <si>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</si>
  <si>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</si>
  <si>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</si>
  <si>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</si>
  <si>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</si>
  <si>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</si>
  <si>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</si>
  <si>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</si>
  <si>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</si>
  <si>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</si>
  <si>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</si>
  <si>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</si>
  <si>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</si>
  <si>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</si>
  <si>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</si>
  <si>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</si>
  <si>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</si>
  <si>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 xml:space="preserve"> Score</t>
  </si>
  <si>
    <t>Sum</t>
  </si>
  <si>
    <t>EMXC</t>
  </si>
  <si>
    <t>Top Down</t>
  </si>
  <si>
    <t xml:space="preserve">Above 30 D </t>
  </si>
  <si>
    <t>Above 200D</t>
  </si>
  <si>
    <t>Equity - Momnetum+ Breadth+ Uptrades</t>
  </si>
  <si>
    <t>Above 30D</t>
  </si>
  <si>
    <t>Above 60 D</t>
  </si>
  <si>
    <t>12 month rank</t>
  </si>
  <si>
    <t>Inputs</t>
  </si>
  <si>
    <t>Price / 5year high</t>
  </si>
  <si>
    <t>Gold</t>
  </si>
  <si>
    <t>30D MA</t>
  </si>
  <si>
    <t>60 D AM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</si>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</sst>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6" xfId="0" applyNumberFormat="1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164" fontId="0" fillId="0" borderId="0" xfId="1" applyFont="1"/>
    <xf numFmtId="2" fontId="0" fillId="2" borderId="0" xfId="0" applyNumberFormat="1" applyFill="1"/>
    <xf numFmtId="169" fontId="3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/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0" fontId="0" fillId="0" borderId="0" xfId="2" applyNumberFormat="1" applyFont="1"/>
    <xf numFmtId="0" fontId="7" fillId="10" borderId="12" xfId="19"/>
    <xf numFmtId="164" fontId="3" fillId="0" borderId="0" xfId="1" applyFont="1" applyFill="1" applyBorder="1" applyAlignment="1"/>
    <xf numFmtId="170" fontId="0" fillId="0" borderId="0" xfId="0" applyNumberFormat="1"/>
    <xf numFmtId="2" fontId="0" fillId="0" borderId="0" xfId="1" applyNumberFormat="1" applyFont="1" applyFill="1"/>
    <xf numFmtId="167" fontId="0" fillId="0" borderId="6" xfId="0" applyNumberFormat="1" applyBorder="1"/>
    <xf numFmtId="0" fontId="25" fillId="0" borderId="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167" fontId="1" fillId="0" borderId="0" xfId="0" applyNumberFormat="1" applyFont="1"/>
    <xf numFmtId="0" fontId="0" fillId="0" borderId="12" xfId="0" applyBorder="1"/>
    <xf numFmtId="0" fontId="0" fillId="2" borderId="11" xfId="0" applyFill="1" applyBorder="1"/>
    <xf numFmtId="0" fontId="0" fillId="2" borderId="7" xfId="0" applyFill="1" applyBorder="1"/>
    <xf numFmtId="0" fontId="0" fillId="27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 applyAlignment="1">
      <alignment wrapText="1"/>
    </xf>
    <xf numFmtId="0" fontId="1" fillId="2" borderId="4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5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5:O61"/>
  <sheetViews>
    <sheetView tabSelected="1" topLeftCell="B7" zoomScale="93" zoomScaleNormal="93" workbookViewId="0">
      <selection activeCell="L13" sqref="L13"/>
    </sheetView>
  </sheetViews>
  <sheetFormatPr defaultRowHeight="14.4" x14ac:dyDescent="0.3"/>
  <cols>
    <col min="4" max="4" width="12" customWidth="1"/>
    <col min="5" max="5" width="19.109375" customWidth="1"/>
    <col min="6" max="6" width="14.44140625" customWidth="1"/>
    <col min="7" max="7" width="14.109375" customWidth="1"/>
    <col min="8" max="8" width="14.33203125" customWidth="1"/>
    <col min="9" max="9" width="13.88671875" customWidth="1"/>
    <col min="10" max="10" width="14.33203125" customWidth="1"/>
    <col min="11" max="11" width="16.5546875" bestFit="1" customWidth="1"/>
    <col min="12" max="12" width="19.33203125" bestFit="1" customWidth="1"/>
    <col min="13" max="13" width="12" customWidth="1"/>
    <col min="14" max="14" width="15.109375" customWidth="1"/>
    <col min="15" max="15" width="16.6640625" bestFit="1" customWidth="1"/>
    <col min="16" max="16" width="11.88671875" customWidth="1"/>
    <col min="17" max="17" width="12.88671875" customWidth="1"/>
  </cols>
  <sheetData>
    <row r="5" spans="5:10" ht="15" thickBot="1" x14ac:dyDescent="0.35"/>
    <row r="6" spans="5:10" ht="15" thickBot="1" x14ac:dyDescent="0.35">
      <c r="E6" s="54" t="s">
        <v>162</v>
      </c>
      <c r="F6" s="55" t="s">
        <v>163</v>
      </c>
      <c r="G6" s="55" t="s">
        <v>167</v>
      </c>
      <c r="H6" s="56" t="s">
        <v>164</v>
      </c>
    </row>
    <row r="7" spans="5:10" x14ac:dyDescent="0.3">
      <c r="E7" s="29" t="s">
        <v>89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59" t="str">
        <f>IF(HLOOKUP($E7,'Factset Price Data'!$C$208:$Q$215,8,FALSE)&gt;=1,"INVESTED","CASH")</f>
        <v>INVESTED</v>
      </c>
    </row>
    <row r="8" spans="5:10" x14ac:dyDescent="0.3">
      <c r="E8" s="29" t="s">
        <v>150</v>
      </c>
      <c r="F8" t="str">
        <f>IF(HLOOKUP($E8,'Factset Price Data'!$C$208:$Q$215,6,FALSE)&gt;=1,"INVESTED","CASH")</f>
        <v>CASH</v>
      </c>
      <c r="G8" t="str">
        <f>IF(HLOOKUP($E8,'Factset Price Data'!$C$208:$Q$215,7,FALSE)&gt;=1,"INVESTED","CASH")</f>
        <v>INVESTED</v>
      </c>
      <c r="H8" s="59" t="str">
        <f>IF(HLOOKUP($E8,'Factset Price Data'!$C$208:$Q$215,8,FALSE)&gt;=1,"INVESTED","CASH")</f>
        <v>CASH</v>
      </c>
    </row>
    <row r="9" spans="5:10" x14ac:dyDescent="0.3">
      <c r="E9" s="29" t="s">
        <v>147</v>
      </c>
      <c r="F9" t="str">
        <f>IF(HLOOKUP($E9,'Factset Price Data'!$C$208:$Q$215,6,FALSE)&gt;=1,"INVESTED","CASH")</f>
        <v>CASH</v>
      </c>
      <c r="G9" t="str">
        <f>IF(HLOOKUP($E9,'Factset Price Data'!$C$208:$Q$215,7,FALSE)&gt;=1,"INVESTED","CASH")</f>
        <v>INVESTED</v>
      </c>
      <c r="H9" s="59" t="str">
        <f>IF(HLOOKUP($E9,'Factset Price Data'!$C$208:$Q$215,8,FALSE)&gt;=1,"INVESTED","CASH")</f>
        <v>INVESTED</v>
      </c>
    </row>
    <row r="10" spans="5:10" x14ac:dyDescent="0.3">
      <c r="E10" s="29" t="s">
        <v>149</v>
      </c>
      <c r="F10" t="str">
        <f>IF(HLOOKUP($E10,'Factset Price Data'!$C$208:$Q$215,6,FALSE)&gt;=1,"INVESTED","CASH")</f>
        <v>INVESTED</v>
      </c>
      <c r="G10" t="str">
        <f>IF(HLOOKUP($E10,'Factset Price Data'!$C$208:$Q$215,7,FALSE)&gt;=1,"INVESTED","CASH")</f>
        <v>CASH</v>
      </c>
      <c r="H10" s="59" t="str">
        <f>IF(HLOOKUP($E10,'Factset Price Data'!$C$208:$Q$215,8,FALSE)&gt;=1,"INVESTED","CASH")</f>
        <v>INVESTED</v>
      </c>
    </row>
    <row r="11" spans="5:10" ht="15" thickBot="1" x14ac:dyDescent="0.35">
      <c r="E11" s="11" t="s">
        <v>148</v>
      </c>
      <c r="F11" s="12" t="str">
        <f>IF(HLOOKUP($E11,'Factset Price Data'!$C$208:$Q$215,6,FALSE)&gt;=1,"INVESTED","CASH")</f>
        <v>INVESTED</v>
      </c>
      <c r="G11" s="12" t="str">
        <f>IF(HLOOKUP($E11,'Factset Price Data'!$C$208:$Q$215,7,FALSE)&gt;=1,"INVESTED","CASH")</f>
        <v>CASH</v>
      </c>
      <c r="H11" s="60" t="str">
        <f>IF(HLOOKUP($E11,'Factset Price Data'!$C$208:$Q$215,8,FALSE)&gt;=1,"INVESTED","CASH")</f>
        <v>INVESTED</v>
      </c>
    </row>
    <row r="13" spans="5:10" x14ac:dyDescent="0.3">
      <c r="E13" s="1" t="s">
        <v>169</v>
      </c>
    </row>
    <row r="14" spans="5:10" ht="15" thickBot="1" x14ac:dyDescent="0.35">
      <c r="E14" t="s">
        <v>156</v>
      </c>
      <c r="F14" t="s">
        <v>2</v>
      </c>
      <c r="G14" t="s">
        <v>21</v>
      </c>
      <c r="H14" t="s">
        <v>168</v>
      </c>
    </row>
    <row r="15" spans="5:10" ht="15" thickBot="1" x14ac:dyDescent="0.35">
      <c r="E15" s="42">
        <v>0.33</v>
      </c>
      <c r="F15" s="42">
        <v>0.33</v>
      </c>
      <c r="G15" s="42">
        <v>0.33</v>
      </c>
    </row>
    <row r="16" spans="5:10" ht="15" thickBot="1" x14ac:dyDescent="0.35">
      <c r="E16" s="32"/>
      <c r="F16" s="9"/>
      <c r="G16" s="9"/>
      <c r="H16" s="54" t="s">
        <v>163</v>
      </c>
      <c r="I16" s="55" t="s">
        <v>167</v>
      </c>
      <c r="J16" s="56" t="s">
        <v>164</v>
      </c>
    </row>
    <row r="17" spans="5:15" x14ac:dyDescent="0.3">
      <c r="E17" s="49" t="s">
        <v>4</v>
      </c>
      <c r="F17" s="45">
        <f>'Asset class'!S3</f>
        <v>9</v>
      </c>
      <c r="G17" s="45">
        <f t="shared" ref="G17:G27" si="0">F17</f>
        <v>9</v>
      </c>
      <c r="H17" t="str">
        <f>IF(HLOOKUP($E17,'Factset Price Data'!$C$208:$Q$215,6,FALSE)&gt;=1,"INVESTED","CASH")</f>
        <v>CASH</v>
      </c>
      <c r="I17" t="str">
        <f>IF(HLOOKUP($E17,'Factset Price Data'!$C$208:$Q$215,7,FALSE)&gt;=1,"INVESTED","CASH")</f>
        <v>INVESTED</v>
      </c>
      <c r="J17" s="59" t="str">
        <f>IF(HLOOKUP($E17,'Factset Price Data'!$C$208:$Q$215,8,FALSE)&gt;=1,"INVESTED","CASH")</f>
        <v>CASH</v>
      </c>
    </row>
    <row r="18" spans="5:15" x14ac:dyDescent="0.3">
      <c r="E18" s="49" t="s">
        <v>1</v>
      </c>
      <c r="F18" s="45">
        <f>'Asset class'!S4</f>
        <v>1</v>
      </c>
      <c r="G18" s="45">
        <f t="shared" si="0"/>
        <v>1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INVESTED</v>
      </c>
      <c r="J18" s="59" t="str">
        <f>IF(HLOOKUP($E18,'Factset Price Data'!$C$208:$Q$215,8,FALSE)&gt;=1,"INVESTED","CASH")</f>
        <v>INVESTED</v>
      </c>
    </row>
    <row r="19" spans="5:15" x14ac:dyDescent="0.3">
      <c r="E19" s="49" t="s">
        <v>147</v>
      </c>
      <c r="F19" s="45">
        <f>'Asset class'!S5</f>
        <v>4</v>
      </c>
      <c r="G19" s="45">
        <f t="shared" si="0"/>
        <v>4</v>
      </c>
      <c r="H19" t="str">
        <f>IF(HLOOKUP($E19,'Factset Price Data'!$C$208:$Q$215,6,FALSE)&gt;=1,"INVESTED","CASH")</f>
        <v>CASH</v>
      </c>
      <c r="I19" t="str">
        <f>IF(HLOOKUP($E19,'Factset Price Data'!$C$208:$Q$215,7,FALSE)&gt;=1,"INVESTED","CASH")</f>
        <v>INVESTED</v>
      </c>
      <c r="J19" s="59" t="str">
        <f>IF(HLOOKUP($E19,'Factset Price Data'!$C$208:$Q$215,8,FALSE)&gt;=1,"INVESTED","CASH")</f>
        <v>INVESTED</v>
      </c>
    </row>
    <row r="20" spans="5:15" x14ac:dyDescent="0.3">
      <c r="E20" s="49" t="s">
        <v>148</v>
      </c>
      <c r="F20" s="45">
        <f>'Asset class'!S6</f>
        <v>6</v>
      </c>
      <c r="G20" s="45">
        <f t="shared" si="0"/>
        <v>6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CASH</v>
      </c>
      <c r="J20" s="59" t="str">
        <f>IF(HLOOKUP($E20,'Factset Price Data'!$C$208:$Q$215,8,FALSE)&gt;=1,"INVESTED","CASH")</f>
        <v>INVESTED</v>
      </c>
    </row>
    <row r="21" spans="5:15" x14ac:dyDescent="0.3">
      <c r="E21" s="49" t="s">
        <v>15</v>
      </c>
      <c r="F21" s="45">
        <f>'Asset class'!S7</f>
        <v>0</v>
      </c>
      <c r="G21" s="45">
        <f t="shared" si="0"/>
        <v>0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59" t="str">
        <f>IF(HLOOKUP($E21,'Factset Price Data'!$C$208:$Q$215,8,FALSE)&gt;=1,"INVESTED","CASH")</f>
        <v>INVESTED</v>
      </c>
    </row>
    <row r="22" spans="5:15" x14ac:dyDescent="0.3">
      <c r="E22" s="49" t="s">
        <v>149</v>
      </c>
      <c r="F22" s="45">
        <f>'Asset class'!S8</f>
        <v>7</v>
      </c>
      <c r="G22" s="45">
        <f t="shared" si="0"/>
        <v>7</v>
      </c>
      <c r="H22" t="str">
        <f>IF(HLOOKUP($E22,'Factset Price Data'!$C$208:$Q$215,6,FALSE)&gt;=1,"INVESTED","CASH")</f>
        <v>INVESTED</v>
      </c>
      <c r="I22" t="str">
        <f>IF(HLOOKUP($E22,'Factset Price Data'!$C$208:$Q$215,7,FALSE)&gt;=1,"INVESTED","CASH")</f>
        <v>CASH</v>
      </c>
      <c r="J22" s="59" t="str">
        <f>IF(HLOOKUP($E22,'Factset Price Data'!$C$208:$Q$215,8,FALSE)&gt;=1,"INVESTED","CASH")</f>
        <v>INVESTED</v>
      </c>
    </row>
    <row r="23" spans="5:15" x14ac:dyDescent="0.3">
      <c r="E23" s="49" t="s">
        <v>158</v>
      </c>
      <c r="F23" s="45">
        <f>'Asset class'!S9</f>
        <v>10</v>
      </c>
      <c r="G23" s="45">
        <f t="shared" si="0"/>
        <v>10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CASH</v>
      </c>
      <c r="J23" s="59" t="str">
        <f>IF(HLOOKUP($E23,'Factset Price Data'!$C$208:$Q$215,8,FALSE)&gt;=1,"INVESTED","CASH")</f>
        <v>CASH</v>
      </c>
    </row>
    <row r="24" spans="5:15" x14ac:dyDescent="0.3">
      <c r="E24" s="49" t="s">
        <v>150</v>
      </c>
      <c r="F24" s="45">
        <f>'Asset class'!S10</f>
        <v>8</v>
      </c>
      <c r="G24" s="45">
        <f t="shared" si="0"/>
        <v>8</v>
      </c>
      <c r="H24" t="str">
        <f>IF(HLOOKUP($E24,'Factset Price Data'!$C$208:$Q$215,6,FALSE)&gt;=1,"INVESTED","CASH")</f>
        <v>CASH</v>
      </c>
      <c r="I24" t="str">
        <f>IF(HLOOKUP($E24,'Factset Price Data'!$C$208:$Q$215,7,FALSE)&gt;=1,"INVESTED","CASH")</f>
        <v>INVESTED</v>
      </c>
      <c r="J24" s="59" t="str">
        <f>IF(HLOOKUP($E24,'Factset Price Data'!$C$208:$Q$215,8,FALSE)&gt;=1,"INVESTED","CASH")</f>
        <v>CASH</v>
      </c>
    </row>
    <row r="25" spans="5:15" x14ac:dyDescent="0.3">
      <c r="E25" s="49" t="s">
        <v>71</v>
      </c>
      <c r="F25" s="45">
        <f>'Asset class'!S11</f>
        <v>5</v>
      </c>
      <c r="G25" s="45">
        <f t="shared" si="0"/>
        <v>5</v>
      </c>
      <c r="H25" t="str">
        <f>IF(HLOOKUP($E25,'Factset Price Data'!$C$208:$Q$215,6,FALSE)&gt;=1,"INVESTED","CASH")</f>
        <v>CASH</v>
      </c>
      <c r="I25" t="str">
        <f>IF(HLOOKUP($E25,'Factset Price Data'!$C$208:$Q$215,7,FALSE)&gt;=1,"INVESTED","CASH")</f>
        <v>INVESTED</v>
      </c>
      <c r="J25" s="59" t="str">
        <f>IF(HLOOKUP($E25,'Factset Price Data'!$C$208:$Q$215,8,FALSE)&gt;=1,"INVESTED","CASH")</f>
        <v>INVESTED</v>
      </c>
    </row>
    <row r="26" spans="5:15" x14ac:dyDescent="0.3">
      <c r="E26" s="49" t="s">
        <v>161</v>
      </c>
      <c r="F26" s="45">
        <f>'Asset class'!S12</f>
        <v>3</v>
      </c>
      <c r="G26" s="45">
        <f t="shared" ref="G26" si="1">F26</f>
        <v>3</v>
      </c>
      <c r="H26" t="str">
        <f>IF(HLOOKUP($E26,'Factset Price Data'!$C$208:$Q$215,6,FALSE)&gt;=1,"INVESTED","CASH")</f>
        <v>CASH</v>
      </c>
      <c r="I26" t="str">
        <f>IF(HLOOKUP($E26,'Factset Price Data'!$C$208:$Q$215,7,FALSE)&gt;=1,"INVESTED","CASH")</f>
        <v>INVESTED</v>
      </c>
      <c r="J26" s="59" t="str">
        <f>IF(HLOOKUP($E26,'Factset Price Data'!$C$208:$Q$215,8,FALSE)&gt;=1,"INVESTED","CASH")</f>
        <v>INVESTED</v>
      </c>
    </row>
    <row r="27" spans="5:15" ht="15" thickBot="1" x14ac:dyDescent="0.35">
      <c r="E27" s="50" t="s">
        <v>12</v>
      </c>
      <c r="F27" s="51">
        <f>'Asset class'!S13</f>
        <v>2</v>
      </c>
      <c r="G27" s="51">
        <f t="shared" si="0"/>
        <v>2</v>
      </c>
      <c r="H27" s="12" t="str">
        <f>IF(HLOOKUP($E27,'Factset Price Data'!$C$208:$Q$215,6,FALSE)&gt;=1,"INVESTED","CASH")</f>
        <v>INVESTED</v>
      </c>
      <c r="I27" s="12" t="str">
        <f>IF(HLOOKUP($E27,'Factset Price Data'!$C$208:$Q$215,7,FALSE)&gt;=1,"INVESTED","CASH")</f>
        <v>INVESTED</v>
      </c>
      <c r="J27" s="60" t="str">
        <f>IF(HLOOKUP($E27,'Factset Price Data'!$C$208:$Q$215,8,FALSE)&gt;=1,"INVESTED","CASH")</f>
        <v>INVESTED</v>
      </c>
    </row>
    <row r="28" spans="5:15" ht="15" thickBot="1" x14ac:dyDescent="0.35"/>
    <row r="29" spans="5:15" ht="15" thickBot="1" x14ac:dyDescent="0.35">
      <c r="E29" s="40" t="s">
        <v>165</v>
      </c>
      <c r="F29" s="9"/>
      <c r="G29" s="9"/>
      <c r="H29" s="9"/>
      <c r="I29" s="9"/>
      <c r="J29" s="9"/>
      <c r="K29" s="9"/>
      <c r="L29" s="9"/>
      <c r="M29" s="9"/>
      <c r="N29" s="9"/>
      <c r="O29" s="10"/>
    </row>
    <row r="30" spans="5:15" ht="28.8" x14ac:dyDescent="0.3">
      <c r="E30" s="32"/>
      <c r="F30" s="9" t="s">
        <v>25</v>
      </c>
      <c r="G30" s="9" t="s">
        <v>20</v>
      </c>
      <c r="H30" s="52" t="s">
        <v>156</v>
      </c>
      <c r="I30" s="9" t="s">
        <v>2</v>
      </c>
      <c r="J30" s="9" t="s">
        <v>3</v>
      </c>
      <c r="K30" s="9" t="s">
        <v>25</v>
      </c>
      <c r="L30" s="9" t="s">
        <v>20</v>
      </c>
      <c r="M30" s="52" t="s">
        <v>154</v>
      </c>
      <c r="N30" s="9" t="s">
        <v>2</v>
      </c>
      <c r="O30" s="53" t="s">
        <v>51</v>
      </c>
    </row>
    <row r="31" spans="5:15" x14ac:dyDescent="0.3">
      <c r="E31" s="29" t="str">
        <f>'Momnetum ranking'!B18</f>
        <v>Europe</v>
      </c>
      <c r="F31" s="8">
        <f>'Momnetum ranking'!J18</f>
        <v>3.0911901081916437E-3</v>
      </c>
      <c r="G31" s="5">
        <f>'Momnetum ranking'!K18</f>
        <v>0.64544025157232698</v>
      </c>
      <c r="H31" s="8">
        <f>'Momnetum ranking'!Q18</f>
        <v>0.96202725</v>
      </c>
      <c r="I31" s="3">
        <f>'Momnetum ranking'!O18</f>
        <v>12.124072999999999</v>
      </c>
      <c r="K31">
        <f>_xlfn.RANK.EQ(F31,$F$31:$F$39)</f>
        <v>3</v>
      </c>
      <c r="L31">
        <f>_xlfn.RANK.EQ(G31,$G$31:$G$39)</f>
        <v>5</v>
      </c>
      <c r="M31">
        <f>_xlfn.RANK.EQ(H31,$H$31:$H$39)</f>
        <v>7</v>
      </c>
      <c r="N31">
        <f>_xlfn.RANK.EQ(I31,$I$31:$I$39)</f>
        <v>6</v>
      </c>
      <c r="O31" s="46">
        <f>MEDIAN(K31:N31)</f>
        <v>5.5</v>
      </c>
    </row>
    <row r="32" spans="5:15" x14ac:dyDescent="0.3">
      <c r="E32" s="29" t="str">
        <f>'Momnetum ranking'!B19</f>
        <v>EM</v>
      </c>
      <c r="F32" s="8">
        <f>'Momnetum ranking'!J19</f>
        <v>-0.1175718849840256</v>
      </c>
      <c r="G32" s="5">
        <f>'Momnetum ranking'!K19</f>
        <v>0.43137254901960803</v>
      </c>
      <c r="H32" s="8">
        <f>'Momnetum ranking'!Q19</f>
        <v>0.91496010000000005</v>
      </c>
      <c r="I32" s="3">
        <f>'Momnetum ranking'!O19</f>
        <v>6.7972064000000003</v>
      </c>
      <c r="K32">
        <f t="shared" ref="K32:K39" si="2">_xlfn.RANK.EQ(F32,$F$31:$F$39)</f>
        <v>8</v>
      </c>
      <c r="L32">
        <f t="shared" ref="L32:L39" si="3">_xlfn.RANK.EQ(G32,$G$31:$G$39)</f>
        <v>9</v>
      </c>
      <c r="M32">
        <f t="shared" ref="M32:M39" si="4">_xlfn.RANK.EQ(H32,$H$31:$H$39)</f>
        <v>9</v>
      </c>
      <c r="N32">
        <f t="shared" ref="N32:N39" si="5">_xlfn.RANK.EQ(I32,$I$31:$I$39)</f>
        <v>9</v>
      </c>
      <c r="O32" s="46">
        <f t="shared" ref="O32:O35" si="6">MEDIAN(K32:N32)</f>
        <v>9</v>
      </c>
    </row>
    <row r="33" spans="4:15" x14ac:dyDescent="0.3">
      <c r="E33" s="29" t="str">
        <f>'Momnetum ranking'!B20</f>
        <v>World</v>
      </c>
      <c r="F33" s="8">
        <f>'Momnetum ranking'!J20</f>
        <v>-3.2345013477088957E-2</v>
      </c>
      <c r="G33" s="5">
        <f>'Momnetum ranking'!K20</f>
        <v>0.64116452268111002</v>
      </c>
      <c r="H33" s="8">
        <f>'Momnetum ranking'!Q20</f>
        <v>0.99813929999999995</v>
      </c>
      <c r="I33" s="3">
        <f>'Momnetum ranking'!O20</f>
        <v>15.087986000000001</v>
      </c>
      <c r="K33">
        <f t="shared" si="2"/>
        <v>6</v>
      </c>
      <c r="L33">
        <f t="shared" si="3"/>
        <v>6</v>
      </c>
      <c r="M33">
        <f t="shared" si="4"/>
        <v>2</v>
      </c>
      <c r="N33">
        <f t="shared" si="5"/>
        <v>5</v>
      </c>
      <c r="O33" s="46">
        <f t="shared" si="6"/>
        <v>5.5</v>
      </c>
    </row>
    <row r="34" spans="4:15" x14ac:dyDescent="0.3">
      <c r="E34" s="29" t="str">
        <f>'Momnetum ranking'!B21</f>
        <v>Japan</v>
      </c>
      <c r="F34" s="8">
        <f>'Momnetum ranking'!J21</f>
        <v>-2.2123893805309713E-2</v>
      </c>
      <c r="G34" s="5">
        <f>'Momnetum ranking'!K21</f>
        <v>0.73893805309734506</v>
      </c>
      <c r="H34" s="8">
        <f>'Momnetum ranking'!Q21</f>
        <v>0.98863124999999996</v>
      </c>
      <c r="I34" s="3">
        <f>'Momnetum ranking'!O21</f>
        <v>15.574287999999999</v>
      </c>
      <c r="K34">
        <f t="shared" si="2"/>
        <v>5</v>
      </c>
      <c r="L34">
        <f t="shared" si="3"/>
        <v>3</v>
      </c>
      <c r="M34">
        <f t="shared" si="4"/>
        <v>4</v>
      </c>
      <c r="N34">
        <f t="shared" si="5"/>
        <v>4</v>
      </c>
      <c r="O34" s="46">
        <f t="shared" si="6"/>
        <v>4</v>
      </c>
    </row>
    <row r="35" spans="4:15" x14ac:dyDescent="0.3">
      <c r="E35" s="29" t="str">
        <f>'Momnetum ranking'!B22</f>
        <v>US</v>
      </c>
      <c r="F35" s="8">
        <f>'Momnetum ranking'!J22</f>
        <v>9.9206349206349187E-2</v>
      </c>
      <c r="G35" s="5">
        <f>'Momnetum ranking'!K22</f>
        <v>0.68525896414342602</v>
      </c>
      <c r="H35" s="8">
        <f>'Momnetum ranking'!Q22</f>
        <v>0.99925803999999996</v>
      </c>
      <c r="I35" s="3">
        <f>'Momnetum ranking'!O22</f>
        <v>15.784895000000001</v>
      </c>
      <c r="K35">
        <f t="shared" si="2"/>
        <v>2</v>
      </c>
      <c r="L35">
        <f t="shared" si="3"/>
        <v>4</v>
      </c>
      <c r="M35">
        <f t="shared" si="4"/>
        <v>1</v>
      </c>
      <c r="N35">
        <f t="shared" si="5"/>
        <v>3</v>
      </c>
      <c r="O35" s="46">
        <f t="shared" si="6"/>
        <v>2.5</v>
      </c>
    </row>
    <row r="36" spans="4:15" x14ac:dyDescent="0.3">
      <c r="E36" s="29" t="s">
        <v>9</v>
      </c>
      <c r="F36" s="8">
        <f>'Momnetum ranking'!J23</f>
        <v>-0.19548872180451132</v>
      </c>
      <c r="G36" s="5">
        <f>'Momnetum ranking'!K23</f>
        <v>0.85496183206106902</v>
      </c>
      <c r="H36" s="8">
        <f>'Momnetum ranking'!Q23</f>
        <v>0.9697211</v>
      </c>
      <c r="I36" s="3">
        <f>'Momnetum ranking'!O23</f>
        <v>11.600184</v>
      </c>
      <c r="K36">
        <f t="shared" si="2"/>
        <v>9</v>
      </c>
      <c r="L36">
        <f t="shared" si="3"/>
        <v>1</v>
      </c>
      <c r="M36">
        <f t="shared" si="4"/>
        <v>5</v>
      </c>
      <c r="N36">
        <f t="shared" si="5"/>
        <v>8</v>
      </c>
      <c r="O36" s="46">
        <f t="shared" ref="O36:O39" si="7">MEDIAN(K36:N36)</f>
        <v>6.5</v>
      </c>
    </row>
    <row r="37" spans="4:15" x14ac:dyDescent="0.3">
      <c r="E37" s="29" t="s">
        <v>161</v>
      </c>
      <c r="F37" s="8">
        <f>'Momnetum ranking'!J24</f>
        <v>-6.5620542082738931E-2</v>
      </c>
      <c r="G37" s="5">
        <f>'Momnetum ranking'!K24</f>
        <v>0.58456973293768499</v>
      </c>
      <c r="H37" s="8">
        <f>'Momnetum ranking'!Q24</f>
        <v>0.96429217</v>
      </c>
      <c r="I37" s="3">
        <f>'Momnetum ranking'!O24</f>
        <v>11.757016</v>
      </c>
      <c r="K37">
        <f t="shared" si="2"/>
        <v>7</v>
      </c>
      <c r="L37">
        <f t="shared" si="3"/>
        <v>8</v>
      </c>
      <c r="M37">
        <f t="shared" si="4"/>
        <v>6</v>
      </c>
      <c r="N37">
        <f t="shared" si="5"/>
        <v>7</v>
      </c>
      <c r="O37" s="46">
        <f t="shared" si="7"/>
        <v>7</v>
      </c>
    </row>
    <row r="38" spans="4:15" x14ac:dyDescent="0.3">
      <c r="E38" s="29" t="s">
        <v>15</v>
      </c>
      <c r="F38" s="8">
        <f>'Momnetum ranking'!J25</f>
        <v>0.15686274509803919</v>
      </c>
      <c r="G38" s="5">
        <f>'Momnetum ranking'!K25</f>
        <v>0.80392156862745101</v>
      </c>
      <c r="H38" s="8">
        <f>'Momnetum ranking'!Q25</f>
        <v>0.99706280000000003</v>
      </c>
      <c r="I38" s="3">
        <f>'Momnetum ranking'!O25</f>
        <v>19.364405000000001</v>
      </c>
      <c r="K38">
        <f t="shared" si="2"/>
        <v>1</v>
      </c>
      <c r="L38">
        <f t="shared" si="3"/>
        <v>2</v>
      </c>
      <c r="M38">
        <f t="shared" si="4"/>
        <v>3</v>
      </c>
      <c r="N38">
        <f t="shared" si="5"/>
        <v>1</v>
      </c>
      <c r="O38" s="46">
        <f t="shared" si="7"/>
        <v>1.5</v>
      </c>
    </row>
    <row r="39" spans="4:15" ht="15" thickBot="1" x14ac:dyDescent="0.35">
      <c r="E39" s="11" t="s">
        <v>175</v>
      </c>
      <c r="F39" s="39">
        <f>'Momnetum ranking'!J26</f>
        <v>-5.6237218813905976E-3</v>
      </c>
      <c r="G39" s="13">
        <f>'Momnetum ranking'!K26</f>
        <v>0.59090909090909105</v>
      </c>
      <c r="H39" s="39">
        <f>'Momnetum ranking'!Q26</f>
        <v>0.95367170000000001</v>
      </c>
      <c r="I39" s="41">
        <f>'Momnetum ranking'!O26</f>
        <v>19.192112000000002</v>
      </c>
      <c r="J39" s="12"/>
      <c r="K39" s="12">
        <f t="shared" si="2"/>
        <v>4</v>
      </c>
      <c r="L39" s="12">
        <f t="shared" si="3"/>
        <v>7</v>
      </c>
      <c r="M39" s="12">
        <f t="shared" si="4"/>
        <v>8</v>
      </c>
      <c r="N39" s="12">
        <f t="shared" si="5"/>
        <v>2</v>
      </c>
      <c r="O39" s="47">
        <f t="shared" si="7"/>
        <v>5.5</v>
      </c>
    </row>
    <row r="41" spans="4:15" ht="15" thickBot="1" x14ac:dyDescent="0.35">
      <c r="E41" s="57"/>
    </row>
    <row r="42" spans="4:15" ht="15" thickBot="1" x14ac:dyDescent="0.35">
      <c r="D42" s="54" t="s">
        <v>183</v>
      </c>
      <c r="E42" s="62"/>
      <c r="F42" s="55" t="s">
        <v>166</v>
      </c>
      <c r="G42" s="55" t="s">
        <v>167</v>
      </c>
      <c r="H42" s="56" t="s">
        <v>164</v>
      </c>
      <c r="J42" s="58"/>
      <c r="K42" s="55" t="s">
        <v>151</v>
      </c>
      <c r="L42" s="56" t="s">
        <v>152</v>
      </c>
    </row>
    <row r="43" spans="4:15" x14ac:dyDescent="0.3">
      <c r="D43" s="29" t="s">
        <v>71</v>
      </c>
      <c r="E43" s="1" t="s">
        <v>42</v>
      </c>
      <c r="F43" t="str">
        <f>IF(HLOOKUP($D43,'Factset Price Data'!$C$208:$Q$215,6,FALSE)&gt;=1,"INVESTED","CASH")</f>
        <v>CASH</v>
      </c>
      <c r="G43" t="str">
        <f>IF(HLOOKUP($D43,'Factset Price Data'!$C$208:$Q$215,7,FALSE)&gt;=1,"INVESTED","CASH")</f>
        <v>INVESTED</v>
      </c>
      <c r="H43" s="59" t="str">
        <f>IF(HLOOKUP($D43,'Factset Price Data'!$C$208:$Q$215,8,FALSE)&gt;=1,"INVESTED","CASH")</f>
        <v>INVESTED</v>
      </c>
      <c r="J43" s="29" t="s">
        <v>71</v>
      </c>
      <c r="K43" s="8">
        <f>'Momnetum ranking'!H18</f>
        <v>0.29598145285935085</v>
      </c>
      <c r="L43" s="30">
        <f>'Momnetum ranking'!I18</f>
        <v>0.2928902627511592</v>
      </c>
    </row>
    <row r="44" spans="4:15" x14ac:dyDescent="0.3">
      <c r="D44" s="29" t="s">
        <v>4</v>
      </c>
      <c r="E44" s="1" t="s">
        <v>87</v>
      </c>
      <c r="F44" t="str">
        <f>IF(HLOOKUP($D44,'Factset Price Data'!$C$208:$Q$215,6,FALSE)&gt;=1,"INVESTED","CASH")</f>
        <v>CASH</v>
      </c>
      <c r="G44" t="str">
        <f>IF(HLOOKUP($D44,'Factset Price Data'!$C$208:$Q$215,7,FALSE)&gt;=1,"INVESTED","CASH")</f>
        <v>INVESTED</v>
      </c>
      <c r="H44" s="59" t="str">
        <f>IF(HLOOKUP($D44,'Factset Price Data'!$C$208:$Q$215,8,FALSE)&gt;=1,"INVESTED","CASH")</f>
        <v>CASH</v>
      </c>
      <c r="J44" s="29" t="s">
        <v>4</v>
      </c>
      <c r="K44" s="8">
        <f>'Momnetum ranking'!H19</f>
        <v>0.15505857294994674</v>
      </c>
      <c r="L44" s="30">
        <f>'Momnetum ranking'!I19</f>
        <v>0.27263045793397234</v>
      </c>
    </row>
    <row r="45" spans="4:15" x14ac:dyDescent="0.3">
      <c r="D45" s="29" t="s">
        <v>89</v>
      </c>
      <c r="E45" s="1" t="s">
        <v>90</v>
      </c>
      <c r="F45" t="str">
        <f>IF(HLOOKUP($D45,'Factset Price Data'!$C$208:$Q$215,6,FALSE)&gt;=1,"INVESTED","CASH")</f>
        <v>INVESTED</v>
      </c>
      <c r="G45" t="str">
        <f>IF(HLOOKUP($D45,'Factset Price Data'!$C$208:$Q$215,7,FALSE)&gt;=1,"INVESTED","CASH")</f>
        <v>INVESTED</v>
      </c>
      <c r="H45" s="59" t="str">
        <f>IF(HLOOKUP($D45,'Factset Price Data'!$C$208:$Q$215,8,FALSE)&gt;=1,"INVESTED","CASH")</f>
        <v>INVESTED</v>
      </c>
      <c r="J45" s="29" t="s">
        <v>89</v>
      </c>
      <c r="K45" s="8">
        <f>'Momnetum ranking'!H20</f>
        <v>0.36051212938005389</v>
      </c>
      <c r="L45" s="30">
        <f>'Momnetum ranking'!I20</f>
        <v>0.39285714285714285</v>
      </c>
    </row>
    <row r="46" spans="4:15" x14ac:dyDescent="0.3">
      <c r="D46" s="29" t="s">
        <v>12</v>
      </c>
      <c r="E46" s="1" t="s">
        <v>120</v>
      </c>
      <c r="F46" t="str">
        <f>IF(HLOOKUP($D46,'Factset Price Data'!$C$208:$Q$215,6,FALSE)&gt;=1,"INVESTED","CASH")</f>
        <v>INVESTED</v>
      </c>
      <c r="G46" t="str">
        <f>IF(HLOOKUP($D46,'Factset Price Data'!$C$208:$Q$215,7,FALSE)&gt;=1,"INVESTED","CASH")</f>
        <v>INVESTED</v>
      </c>
      <c r="H46" s="59" t="str">
        <f>IF(HLOOKUP($D46,'Factset Price Data'!$C$208:$Q$215,8,FALSE)&gt;=1,"INVESTED","CASH")</f>
        <v>INVESTED</v>
      </c>
      <c r="J46" s="29" t="s">
        <v>12</v>
      </c>
      <c r="K46" s="8">
        <f>'Momnetum ranking'!H21</f>
        <v>0.39823008849557523</v>
      </c>
      <c r="L46" s="30">
        <f>'Momnetum ranking'!I21</f>
        <v>0.42035398230088494</v>
      </c>
    </row>
    <row r="47" spans="4:15" x14ac:dyDescent="0.3">
      <c r="D47" s="29" t="s">
        <v>1</v>
      </c>
      <c r="E47" s="1" t="s">
        <v>35</v>
      </c>
      <c r="F47" t="str">
        <f>IF(HLOOKUP($D47,'Factset Price Data'!$C$208:$Q$215,6,FALSE)&gt;=1,"INVESTED","CASH")</f>
        <v>INVESTED</v>
      </c>
      <c r="G47" t="str">
        <f>IF(HLOOKUP($D47,'Factset Price Data'!$C$208:$Q$215,7,FALSE)&gt;=1,"INVESTED","CASH")</f>
        <v>INVESTED</v>
      </c>
      <c r="H47" s="59" t="str">
        <f>IF(HLOOKUP($D47,'Factset Price Data'!$C$208:$Q$215,8,FALSE)&gt;=1,"INVESTED","CASH")</f>
        <v>INVESTED</v>
      </c>
      <c r="J47" s="29" t="s">
        <v>1</v>
      </c>
      <c r="K47" s="8">
        <f>'Momnetum ranking'!H22</f>
        <v>0.40476190476190477</v>
      </c>
      <c r="L47" s="30">
        <f>'Momnetum ranking'!I22</f>
        <v>0.30555555555555558</v>
      </c>
    </row>
    <row r="48" spans="4:15" x14ac:dyDescent="0.3">
      <c r="D48" s="29" t="s">
        <v>9</v>
      </c>
      <c r="E48" s="1" t="s">
        <v>9</v>
      </c>
      <c r="F48" t="str">
        <f>IF(HLOOKUP($D48,'Factset Price Data'!$C$208:$Q$215,6,FALSE)&gt;=1,"INVESTED","CASH")</f>
        <v>INVESTED</v>
      </c>
      <c r="G48" t="str">
        <f>IF(HLOOKUP($D48,'Factset Price Data'!$C$208:$Q$215,7,FALSE)&gt;=1,"INVESTED","CASH")</f>
        <v>INVESTED</v>
      </c>
      <c r="H48" s="59" t="str">
        <f>IF(HLOOKUP($D48,'Factset Price Data'!$C$208:$Q$215,8,FALSE)&gt;=1,"INVESTED","CASH")</f>
        <v>INVESTED</v>
      </c>
      <c r="J48" s="29" t="s">
        <v>9</v>
      </c>
      <c r="K48" s="8">
        <f>'Momnetum ranking'!H23</f>
        <v>0.30827067669172931</v>
      </c>
      <c r="L48" s="30">
        <f>'Momnetum ranking'!I23</f>
        <v>0.50375939849624063</v>
      </c>
    </row>
    <row r="49" spans="4:15" x14ac:dyDescent="0.3">
      <c r="D49" s="29" t="s">
        <v>161</v>
      </c>
      <c r="E49" s="1" t="s">
        <v>161</v>
      </c>
      <c r="F49" t="str">
        <f>IF(HLOOKUP($D49,'Factset Price Data'!$C$208:$Q$215,6,FALSE)&gt;=1,"INVESTED","CASH")</f>
        <v>CASH</v>
      </c>
      <c r="G49" t="str">
        <f>IF(HLOOKUP($D49,'Factset Price Data'!$C$208:$Q$215,7,FALSE)&gt;=1,"INVESTED","CASH")</f>
        <v>INVESTED</v>
      </c>
      <c r="H49" s="59" t="str">
        <f>IF(HLOOKUP($D49,'Factset Price Data'!$C$208:$Q$215,8,FALSE)&gt;=1,"INVESTED","CASH")</f>
        <v>INVESTED</v>
      </c>
      <c r="J49" s="29" t="s">
        <v>161</v>
      </c>
      <c r="K49" s="8">
        <f>'Momnetum ranking'!H24</f>
        <v>0.32382310984308132</v>
      </c>
      <c r="L49" s="30">
        <f>'Momnetum ranking'!I24</f>
        <v>0.38944365192582026</v>
      </c>
    </row>
    <row r="50" spans="4:15" x14ac:dyDescent="0.3">
      <c r="D50" s="29" t="s">
        <v>15</v>
      </c>
      <c r="E50" s="1" t="s">
        <v>15</v>
      </c>
      <c r="F50" t="str">
        <f>IF(HLOOKUP($D50,'Factset Price Data'!$C$208:$Q$215,6,FALSE)&gt;=1,"INVESTED","CASH")</f>
        <v>INVESTED</v>
      </c>
      <c r="G50" t="str">
        <f>IF(HLOOKUP($D50,'Factset Price Data'!$C$208:$Q$215,7,FALSE)&gt;=1,"INVESTED","CASH")</f>
        <v>INVESTED</v>
      </c>
      <c r="H50" s="59" t="str">
        <f>IF(HLOOKUP($D50,'Factset Price Data'!$C$208:$Q$215,8,FALSE)&gt;=1,"INVESTED","CASH")</f>
        <v>INVESTED</v>
      </c>
      <c r="J50" s="29" t="s">
        <v>15</v>
      </c>
      <c r="K50" s="8">
        <f>'Momnetum ranking'!H25</f>
        <v>0.38235294117647056</v>
      </c>
      <c r="L50" s="30">
        <f>'Momnetum ranking'!I25</f>
        <v>0.22549019607843138</v>
      </c>
    </row>
    <row r="51" spans="4:15" ht="15" thickBot="1" x14ac:dyDescent="0.35">
      <c r="D51" s="11" t="s">
        <v>175</v>
      </c>
      <c r="E51" s="61" t="s">
        <v>174</v>
      </c>
      <c r="F51" s="12" t="str">
        <f>IF(HLOOKUP($D51,'Factset Price Data'!$C$208:$Q$215,6,FALSE)&gt;=1,"INVESTED","CASH")</f>
        <v>INVESTED</v>
      </c>
      <c r="G51" s="12" t="str">
        <f>IF(HLOOKUP($D51,'Factset Price Data'!$C$208:$Q$215,7,FALSE)&gt;=1,"INVESTED","CASH")</f>
        <v>INVESTED</v>
      </c>
      <c r="H51" s="60" t="str">
        <f>IF(HLOOKUP($D51,'Factset Price Data'!$C$208:$Q$215,8,FALSE)&gt;=1,"INVESTED","CASH")</f>
        <v>INVESTED</v>
      </c>
      <c r="J51" s="29" t="s">
        <v>175</v>
      </c>
      <c r="K51" s="8">
        <f>'Momnetum ranking'!H26</f>
        <v>0.17382413087934559</v>
      </c>
      <c r="L51" s="30">
        <f>'Momnetum ranking'!I26</f>
        <v>0.17944785276073619</v>
      </c>
    </row>
    <row r="52" spans="4:15" ht="15" thickBot="1" x14ac:dyDescent="0.35">
      <c r="J52" s="11" t="s">
        <v>153</v>
      </c>
      <c r="K52" s="39">
        <f>'Momnetum ranking'!H27</f>
        <v>0.33333333333333331</v>
      </c>
      <c r="L52" s="31">
        <f>'Momnetum ranking'!I27</f>
        <v>0.45098039215686275</v>
      </c>
    </row>
    <row r="53" spans="4:15" x14ac:dyDescent="0.3">
      <c r="E53" s="1"/>
    </row>
    <row r="61" spans="4:15" x14ac:dyDescent="0.3">
      <c r="O61" s="28"/>
    </row>
  </sheetData>
  <conditionalFormatting sqref="F7:H11">
    <cfRule type="cellIs" dxfId="7" priority="20" operator="equal">
      <formula>"CASH"</formula>
    </cfRule>
    <cfRule type="cellIs" dxfId="6" priority="21" operator="equal">
      <formula>"INVESTED"</formula>
    </cfRule>
    <cfRule type="colorScale" priority="22">
      <colorScale>
        <cfvo type="formula" val="$H$21"/>
        <cfvo type="max"/>
        <color theme="9"/>
        <color rgb="FFFF0000"/>
      </colorScale>
    </cfRule>
    <cfRule type="colorScale" priority="23">
      <colorScale>
        <cfvo type="min"/>
        <cfvo type="max"/>
        <color rgb="FFFF7128"/>
        <color rgb="FFFFEF9C"/>
      </colorScale>
    </cfRule>
    <cfRule type="colorScale" priority="25">
      <colorScale>
        <cfvo type="min"/>
        <cfvo type="max"/>
        <color theme="9"/>
        <color rgb="FFFF0000"/>
      </colorScale>
    </cfRule>
  </conditionalFormatting>
  <conditionalFormatting sqref="F8:H11">
    <cfRule type="cellIs" dxfId="5" priority="16" operator="equal">
      <formula>"CASH"</formula>
    </cfRule>
    <cfRule type="cellIs" dxfId="4" priority="17" operator="equal">
      <formula>"INVESTED"</formula>
    </cfRule>
    <cfRule type="colorScale" priority="18">
      <colorScale>
        <cfvo type="formula" val="$H$21"/>
        <cfvo type="max"/>
        <color theme="9"/>
        <color rgb="FFFF0000"/>
      </colorScale>
    </cfRule>
    <cfRule type="colorScale" priority="19">
      <colorScale>
        <cfvo type="min"/>
        <cfvo type="max"/>
        <color rgb="FFFF7128"/>
        <color rgb="FFFFEF9C"/>
      </colorScale>
    </cfRule>
  </conditionalFormatting>
  <conditionalFormatting sqref="F43:H51">
    <cfRule type="cellIs" dxfId="3" priority="1" operator="equal">
      <formula>"CASH"</formula>
    </cfRule>
    <cfRule type="cellIs" dxfId="2" priority="2" operator="equal">
      <formula>"INVESTED"</formula>
    </cfRule>
    <cfRule type="colorScale" priority="3">
      <colorScale>
        <cfvo type="formula" val="$H$21"/>
        <cfvo type="max"/>
        <color theme="9"/>
        <color rgb="FFFF0000"/>
      </colorScale>
    </cfRule>
    <cfRule type="colorScale" priority="4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theme="9"/>
        <color rgb="FFFF0000"/>
      </colorScale>
    </cfRule>
  </conditionalFormatting>
  <conditionalFormatting sqref="H17:J27">
    <cfRule type="cellIs" dxfId="1" priority="6" operator="equal">
      <formula>"CASH"</formula>
    </cfRule>
    <cfRule type="cellIs" dxfId="0" priority="7" operator="equal">
      <formula>"INVESTED"</formula>
    </cfRule>
    <cfRule type="colorScale" priority="8">
      <colorScale>
        <cfvo type="formula" val="$H$21"/>
        <cfvo type="max"/>
        <color theme="9"/>
        <color rgb="FFFF0000"/>
      </colorScale>
    </cfRule>
    <cfRule type="colorScale" priority="9">
      <colorScale>
        <cfvo type="min"/>
        <cfvo type="max"/>
        <color rgb="FFFF7128"/>
        <color rgb="FFFFEF9C"/>
      </colorScale>
    </cfRule>
    <cfRule type="colorScale" priority="10">
      <colorScale>
        <cfvo type="min"/>
        <cfvo type="max"/>
        <color theme="9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G17:G28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V10" sqref="V10"/>
    </sheetView>
  </sheetViews>
  <sheetFormatPr defaultRowHeight="14.4" x14ac:dyDescent="0.3"/>
  <cols>
    <col min="1" max="1" width="12" customWidth="1"/>
    <col min="2" max="2" width="25.33203125" customWidth="1"/>
    <col min="3" max="3" width="20.88671875" customWidth="1"/>
    <col min="4" max="4" width="0.33203125" customWidth="1"/>
    <col min="5" max="5" width="18" customWidth="1"/>
    <col min="6" max="6" width="13.44140625" customWidth="1"/>
    <col min="7" max="7" width="15.33203125" customWidth="1"/>
    <col min="8" max="8" width="16.33203125" customWidth="1"/>
    <col min="9" max="9" width="7.33203125" customWidth="1"/>
    <col min="10" max="10" width="6.5546875" customWidth="1"/>
    <col min="11" max="11" width="18.88671875" customWidth="1"/>
    <col min="12" max="12" width="13.33203125" customWidth="1"/>
    <col min="13" max="13" width="13" customWidth="1"/>
    <col min="14" max="14" width="13.44140625" customWidth="1"/>
    <col min="15" max="15" width="5" customWidth="1"/>
    <col min="16" max="16" width="9.6640625" customWidth="1"/>
  </cols>
  <sheetData>
    <row r="1" spans="1:19" ht="15" thickBot="1" x14ac:dyDescent="0.35">
      <c r="C1" t="s">
        <v>0</v>
      </c>
      <c r="E1" t="s">
        <v>155</v>
      </c>
      <c r="F1" t="s">
        <v>2</v>
      </c>
      <c r="G1" t="s">
        <v>3</v>
      </c>
      <c r="H1" t="s">
        <v>5</v>
      </c>
      <c r="K1" t="s">
        <v>156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157</v>
      </c>
    </row>
    <row r="2" spans="1:19" s="15" customFormat="1" ht="15" thickBot="1" x14ac:dyDescent="0.35">
      <c r="A2" s="14"/>
      <c r="K2" s="42">
        <f>'Aset class Rankings'!E15</f>
        <v>0.33</v>
      </c>
      <c r="L2" s="42">
        <f>'Aset class Rankings'!F15</f>
        <v>0.33</v>
      </c>
      <c r="M2" s="42">
        <f>'Aset class Rankings'!G15</f>
        <v>0.33</v>
      </c>
    </row>
    <row r="3" spans="1:19" x14ac:dyDescent="0.3">
      <c r="A3" t="s">
        <v>4</v>
      </c>
      <c r="C3" t="str">
        <f>A3</f>
        <v>VWO</v>
      </c>
      <c r="E3" s="3" cm="1">
        <f t="array" ref="E3">_xll.FDS(C3,"FG_TOTAL_RETURNC(0,-1AM)")</f>
        <v>-1.7883718</v>
      </c>
      <c r="F3" s="3" cm="1">
        <f t="array" ref="F3">_xll.FDS(C3,"FG_TOTAL_RETURNC(0,-3AM)")</f>
        <v>6.7972064000000003</v>
      </c>
      <c r="G3" s="3" cm="1">
        <f t="array" ref="G3">_xll.FDS(C3,"FG_TOTAL_RETURNC(0,-6AM)")</f>
        <v>-1.4993668</v>
      </c>
      <c r="H3" s="8" cm="1">
        <f t="array" ref="H3">_xll.FDS(C3,"P_PRICE(0)/P_PRICE_HIGH_PR(0,,,USD,,,""PRICE"",""INTRA"",""52W"")")</f>
        <v>0.91496010000000005</v>
      </c>
      <c r="K3" s="4">
        <f>_xlfn.RANK.EQ(H3,H$3:H$14)</f>
        <v>9</v>
      </c>
      <c r="L3" s="4">
        <f>_xlfn.RANK.EQ(F3,F$3:F$14)</f>
        <v>7</v>
      </c>
      <c r="M3" s="4">
        <f>_xlfn.RANK.EQ(G3,G$3:G$14)</f>
        <v>10</v>
      </c>
      <c r="N3" s="4"/>
      <c r="P3" s="3">
        <f t="shared" ref="P3:P13" si="0">SUMPRODUCT($K$2:$M$2,K3:M3)</f>
        <v>8.58</v>
      </c>
      <c r="Q3">
        <f t="shared" ref="Q3:Q13" si="1">COUNTIF(K3:N3,"&gt;70")</f>
        <v>0</v>
      </c>
      <c r="S3" s="3">
        <f>12-_xlfn.RANK.EQ(P3,$P$3:$P$14)</f>
        <v>9</v>
      </c>
    </row>
    <row r="4" spans="1:19" x14ac:dyDescent="0.3">
      <c r="A4" t="s">
        <v>1</v>
      </c>
      <c r="C4" t="str">
        <f t="shared" ref="C4:C14" si="2">A4</f>
        <v>SPY</v>
      </c>
      <c r="E4" s="3" cm="1">
        <f t="array" ref="E4">_xll.FDS(C4,"FG_TOTAL_RETURNC(0,-1AM)")</f>
        <v>2.3667216</v>
      </c>
      <c r="F4" s="3" cm="1">
        <f t="array" ref="F4">_xll.FDS(C4,"FG_TOTAL_RETURNC(0,-3AM)")</f>
        <v>15.784895000000001</v>
      </c>
      <c r="G4" s="3" cm="1">
        <f t="array" ref="G4">_xll.FDS(C4,"FG_TOTAL_RETURNC(0,-6AM)")</f>
        <v>8.0471280000000007</v>
      </c>
      <c r="H4" s="8" cm="1">
        <f t="array" ref="H4">_xll.FDS(C4,"P_PRICE(0)/P_PRICE_HIGH_PR(0,,,USD,,,""PRICE"",""INTRA"",""52W"")")</f>
        <v>0.99925803999999996</v>
      </c>
      <c r="I4" s="43"/>
      <c r="K4" s="4">
        <f t="shared" ref="K4:K14" si="3">_xlfn.RANK.EQ(H4,H$3:H$14)</f>
        <v>1</v>
      </c>
      <c r="L4" s="4">
        <f t="shared" ref="L4:L14" si="4">_xlfn.RANK.EQ(F4,F$3:F$14)</f>
        <v>2</v>
      </c>
      <c r="M4" s="4">
        <f t="shared" ref="M4:M14" si="5">_xlfn.RANK.EQ(G4,G$3:G$14)</f>
        <v>2</v>
      </c>
      <c r="N4" s="4"/>
      <c r="P4" s="3">
        <f t="shared" si="0"/>
        <v>1.65</v>
      </c>
      <c r="Q4">
        <f t="shared" si="1"/>
        <v>0</v>
      </c>
      <c r="S4" s="3">
        <f t="shared" ref="S4:S14" si="6">12-_xlfn.RANK.EQ(P4,$P$3:$P$14)</f>
        <v>1</v>
      </c>
    </row>
    <row r="5" spans="1:19" x14ac:dyDescent="0.3">
      <c r="A5" t="s">
        <v>147</v>
      </c>
      <c r="C5" t="str">
        <f t="shared" si="2"/>
        <v>GLD</v>
      </c>
      <c r="E5" s="3" cm="1">
        <f t="array" ref="E5">_xll.FDS(C5,"FG_TOTAL_RETURNC(0,-1AM)")</f>
        <v>-1.2193263000000001</v>
      </c>
      <c r="F5" s="3" cm="1">
        <f t="array" ref="F5">_xll.FDS(C5,"FG_TOTAL_RETURNC(0,-3AM)")</f>
        <v>2.7217506999999999</v>
      </c>
      <c r="G5" s="3" cm="1">
        <f t="array" ref="G5">_xll.FDS(C5,"FG_TOTAL_RETURNC(0,-6AM)")</f>
        <v>3.1671999999999998</v>
      </c>
      <c r="H5" s="8" cm="1">
        <f t="array" ref="H5">_xll.FDS(C5,"P_PRICE(0)/P_PRICE_HIGH_PR(0,,,USD,,,""PRICE"",""INTRA"",""52W"")")</f>
        <v>0.97291523000000002</v>
      </c>
      <c r="I5" s="43"/>
      <c r="K5" s="4">
        <f t="shared" si="3"/>
        <v>4</v>
      </c>
      <c r="L5" s="4">
        <f t="shared" si="4"/>
        <v>8</v>
      </c>
      <c r="M5" s="4">
        <f t="shared" si="5"/>
        <v>5</v>
      </c>
      <c r="N5" s="4"/>
      <c r="P5" s="3">
        <f t="shared" si="0"/>
        <v>5.61</v>
      </c>
      <c r="Q5">
        <f t="shared" si="1"/>
        <v>0</v>
      </c>
      <c r="S5" s="3">
        <f t="shared" si="6"/>
        <v>4</v>
      </c>
    </row>
    <row r="6" spans="1:19" x14ac:dyDescent="0.3">
      <c r="A6" t="s">
        <v>148</v>
      </c>
      <c r="C6" t="str">
        <f t="shared" si="2"/>
        <v>UUP</v>
      </c>
      <c r="E6" s="3" cm="1">
        <f t="array" ref="E6">_xll.FDS(C6,"FG_TOTAL_RETURNC(0,-1AM)")</f>
        <v>2.3204446000000001</v>
      </c>
      <c r="F6" s="3" cm="1">
        <f t="array" ref="F6">_xll.FDS(C6,"FG_TOTAL_RETURNC(0,-3AM)")</f>
        <v>-0.45934320000000001</v>
      </c>
      <c r="G6" s="3" cm="1">
        <f t="array" ref="G6">_xll.FDS(C6,"FG_TOTAL_RETURNC(0,-6AM)")</f>
        <v>5.6996583999999997</v>
      </c>
      <c r="H6" s="8" cm="1">
        <f t="array" ref="H6">_xll.FDS(C6,"P_PRICE(0)/P_PRICE_HIGH_PR(0,,,USD,,,""PRICE"",""INTRA"",""52W"")")</f>
        <v>0.92093486000000002</v>
      </c>
      <c r="I6" s="43"/>
      <c r="K6" s="4">
        <f t="shared" si="3"/>
        <v>8</v>
      </c>
      <c r="L6" s="4">
        <f t="shared" si="4"/>
        <v>10</v>
      </c>
      <c r="M6" s="4">
        <f t="shared" si="5"/>
        <v>4</v>
      </c>
      <c r="N6" s="4"/>
      <c r="P6" s="3">
        <f t="shared" si="0"/>
        <v>7.2600000000000007</v>
      </c>
      <c r="Q6">
        <f t="shared" si="1"/>
        <v>0</v>
      </c>
      <c r="S6" s="3">
        <f t="shared" si="6"/>
        <v>6</v>
      </c>
    </row>
    <row r="7" spans="1:19" x14ac:dyDescent="0.3">
      <c r="A7" t="s">
        <v>15</v>
      </c>
      <c r="C7" t="str">
        <f t="shared" si="2"/>
        <v>QQQ</v>
      </c>
      <c r="E7" s="3" cm="1">
        <f t="array" ref="E7">_xll.FDS(C7,"FG_TOTAL_RETURNC(0,-1AM)")</f>
        <v>3.7519217</v>
      </c>
      <c r="F7" s="3" cm="1">
        <f t="array" ref="F7">_xll.FDS(C7,"FG_TOTAL_RETURNC(0,-3AM)")</f>
        <v>19.364405000000001</v>
      </c>
      <c r="G7" s="3" cm="1">
        <f t="array" ref="G7">_xll.FDS(C7,"FG_TOTAL_RETURNC(0,-6AM)")</f>
        <v>13.184988000000001</v>
      </c>
      <c r="H7" s="8" cm="1">
        <f t="array" ref="H7">_xll.FDS(C7,"P_PRICE(0)/P_PRICE_HIGH_PR(0,,,USD,,,""PRICE"",""INTRA"",""52W"")")</f>
        <v>0.99706280000000003</v>
      </c>
      <c r="I7" s="1"/>
      <c r="K7" s="4">
        <f t="shared" si="3"/>
        <v>2</v>
      </c>
      <c r="L7" s="4">
        <f t="shared" si="4"/>
        <v>1</v>
      </c>
      <c r="M7" s="4">
        <f t="shared" si="5"/>
        <v>1</v>
      </c>
      <c r="N7" s="4"/>
      <c r="P7" s="3">
        <f t="shared" si="0"/>
        <v>1.32</v>
      </c>
      <c r="Q7">
        <f t="shared" si="1"/>
        <v>0</v>
      </c>
      <c r="S7" s="3">
        <f t="shared" si="6"/>
        <v>0</v>
      </c>
    </row>
    <row r="8" spans="1:19" x14ac:dyDescent="0.3">
      <c r="A8" t="s">
        <v>149</v>
      </c>
      <c r="C8" t="str">
        <f t="shared" si="2"/>
        <v>DBA</v>
      </c>
      <c r="E8" s="3" cm="1">
        <f t="array" ref="E8">_xll.FDS(C8,"FG_TOTAL_RETURNC(0,-1AM)")</f>
        <v>2.1541475999999999</v>
      </c>
      <c r="F8" s="3" cm="1">
        <f t="array" ref="F8">_xll.FDS(C8,"FG_TOTAL_RETURNC(0,-3AM)")</f>
        <v>1.7559171</v>
      </c>
      <c r="G8" s="3" cm="1">
        <f t="array" ref="G8">_xll.FDS(C8,"FG_TOTAL_RETURNC(0,-6AM)")</f>
        <v>1.3860583</v>
      </c>
      <c r="H8" s="8" cm="1">
        <f t="array" ref="H8">_xll.FDS(C8,"P_PRICE(0)/P_PRICE_HIGH_PR(0,,,USD,,,""PRICE"",""INTRA"",""52W"")")</f>
        <v>0.94886619999999999</v>
      </c>
      <c r="I8" s="1"/>
      <c r="K8" s="4">
        <f t="shared" si="3"/>
        <v>7</v>
      </c>
      <c r="L8" s="4">
        <f t="shared" si="4"/>
        <v>9</v>
      </c>
      <c r="M8" s="4">
        <f t="shared" si="5"/>
        <v>7</v>
      </c>
      <c r="N8" s="4"/>
      <c r="P8" s="3">
        <f t="shared" si="0"/>
        <v>7.59</v>
      </c>
      <c r="Q8">
        <f t="shared" si="1"/>
        <v>0</v>
      </c>
      <c r="S8" s="3">
        <f t="shared" si="6"/>
        <v>7</v>
      </c>
    </row>
    <row r="9" spans="1:19" x14ac:dyDescent="0.3">
      <c r="A9" t="s">
        <v>158</v>
      </c>
      <c r="C9" t="str">
        <f t="shared" si="2"/>
        <v>USO</v>
      </c>
      <c r="E9" s="3" cm="1">
        <f t="array" ref="E9">_xll.FDS(C9,"FG_TOTAL_RETURNC(0,-1AM)")</f>
        <v>1.4121413</v>
      </c>
      <c r="F9" s="3" cm="1">
        <f t="array" ref="F9">_xll.FDS(C9,"FG_TOTAL_RETURNC(0,-3AM)")</f>
        <v>-11.699831</v>
      </c>
      <c r="G9" s="3" cm="1">
        <f t="array" ref="G9">_xll.FDS(C9,"FG_TOTAL_RETURNC(0,-6AM)")</f>
        <v>0.97116230000000003</v>
      </c>
      <c r="H9" s="8" cm="1">
        <f t="array" ref="H9">_xll.FDS(C9,"P_PRICE(0)/P_PRICE_HIGH_PR(0,,,USD,,,""PRICE"",""INTRA"",""52W"")")</f>
        <v>0.83635490000000001</v>
      </c>
      <c r="I9" s="1"/>
      <c r="K9" s="4">
        <f t="shared" si="3"/>
        <v>11</v>
      </c>
      <c r="L9" s="4">
        <f t="shared" si="4"/>
        <v>12</v>
      </c>
      <c r="M9" s="4">
        <f t="shared" si="5"/>
        <v>8</v>
      </c>
      <c r="N9" s="4"/>
      <c r="P9" s="3">
        <f t="shared" si="0"/>
        <v>10.23</v>
      </c>
      <c r="Q9">
        <f t="shared" si="1"/>
        <v>0</v>
      </c>
      <c r="S9" s="3">
        <f t="shared" si="6"/>
        <v>10</v>
      </c>
    </row>
    <row r="10" spans="1:19" x14ac:dyDescent="0.3">
      <c r="A10" t="s">
        <v>150</v>
      </c>
      <c r="C10" t="str">
        <f t="shared" si="2"/>
        <v>TLT</v>
      </c>
      <c r="E10" s="3" cm="1">
        <f t="array" ref="E10">_xll.FDS(C10,"FG_TOTAL_RETURNC(0,-1AM)")</f>
        <v>-4.6458482999999999</v>
      </c>
      <c r="F10" s="3" cm="1">
        <f t="array" ref="F10">_xll.FDS(C10,"FG_TOTAL_RETURNC(0,-3AM)")</f>
        <v>12.541485</v>
      </c>
      <c r="G10" s="3" cm="1">
        <f t="array" ref="G10">_xll.FDS(C10,"FG_TOTAL_RETURNC(0,-6AM)")</f>
        <v>-5.9596179999999999</v>
      </c>
      <c r="H10" s="8" cm="1">
        <f t="array" ref="H10">_xll.FDS(C10,"P_PRICE(0)/P_PRICE_HIGH_PR(0,,,USD,,,""PRICE"",""INTRA"",""52W"")")</f>
        <v>0.85869490000000004</v>
      </c>
      <c r="K10" s="4">
        <f t="shared" si="3"/>
        <v>10</v>
      </c>
      <c r="L10" s="4">
        <f t="shared" si="4"/>
        <v>4</v>
      </c>
      <c r="M10" s="4">
        <f t="shared" si="5"/>
        <v>11</v>
      </c>
      <c r="N10" s="4"/>
      <c r="P10" s="3">
        <f t="shared" si="0"/>
        <v>8.25</v>
      </c>
      <c r="Q10">
        <f t="shared" si="1"/>
        <v>0</v>
      </c>
      <c r="S10" s="3">
        <f t="shared" si="6"/>
        <v>8</v>
      </c>
    </row>
    <row r="11" spans="1:19" x14ac:dyDescent="0.3">
      <c r="A11" t="s">
        <v>71</v>
      </c>
      <c r="C11" t="str">
        <f t="shared" si="2"/>
        <v>VGK</v>
      </c>
      <c r="E11" s="3" cm="1">
        <f t="array" ref="E11">_xll.FDS(C11,"FG_TOTAL_RETURNC(0,-1AM)")</f>
        <v>-2.5740980000000002</v>
      </c>
      <c r="F11" s="3" cm="1">
        <f t="array" ref="F11">_xll.FDS(C11,"FG_TOTAL_RETURNC(0,-3AM)")</f>
        <v>12.124072999999999</v>
      </c>
      <c r="G11" s="3" cm="1">
        <f t="array" ref="G11">_xll.FDS(C11,"FG_TOTAL_RETURNC(0,-6AM)")</f>
        <v>-0.38306712999999998</v>
      </c>
      <c r="H11" s="8" cm="1">
        <f t="array" ref="H11">_xll.FDS(C11,"P_PRICE(0)/P_PRICE_HIGH_PR(0,,,USD,,,""PRICE"",""INTRA"",""52W"")")</f>
        <v>0.96202725</v>
      </c>
      <c r="K11" s="4">
        <f t="shared" si="3"/>
        <v>6</v>
      </c>
      <c r="L11" s="4">
        <f t="shared" si="4"/>
        <v>5</v>
      </c>
      <c r="M11" s="4">
        <f t="shared" si="5"/>
        <v>9</v>
      </c>
      <c r="P11" s="3">
        <f t="shared" si="0"/>
        <v>6.6</v>
      </c>
      <c r="Q11">
        <f t="shared" si="1"/>
        <v>0</v>
      </c>
      <c r="S11" s="3">
        <f t="shared" si="6"/>
        <v>5</v>
      </c>
    </row>
    <row r="12" spans="1:19" x14ac:dyDescent="0.3">
      <c r="A12" t="s">
        <v>161</v>
      </c>
      <c r="C12" t="str">
        <f t="shared" si="2"/>
        <v>EMXC</v>
      </c>
      <c r="E12" s="3" cm="1">
        <f t="array" ref="E12">_xll.FDS(C12,"FG_TOTAL_RETURNC(0,-1AM)")</f>
        <v>-1.303947</v>
      </c>
      <c r="F12" s="3" cm="1">
        <f t="array" ref="F12">_xll.FDS(C12,"FG_TOTAL_RETURNC(0,-3AM)")</f>
        <v>11.757016</v>
      </c>
      <c r="G12" s="3" cm="1">
        <f t="array" ref="G12">_xll.FDS(C12,"FG_TOTAL_RETURNC(0,-6AM)")</f>
        <v>2.2006511999999998</v>
      </c>
      <c r="H12" s="8" cm="1">
        <f t="array" ref="H12">_xll.FDS(C12,"P_PRICE(0)/P_PRICE_HIGH_PR(0,,,USD,,,""PRICE"",""INTRA"",""52W"")")</f>
        <v>0.96429217</v>
      </c>
      <c r="K12" s="4">
        <f t="shared" si="3"/>
        <v>5</v>
      </c>
      <c r="L12" s="4">
        <f t="shared" si="4"/>
        <v>6</v>
      </c>
      <c r="M12" s="4">
        <f t="shared" si="5"/>
        <v>6</v>
      </c>
      <c r="P12" s="3">
        <f t="shared" ref="P12" si="7">SUMPRODUCT($K$2:$M$2,K12:M12)</f>
        <v>5.6099999999999994</v>
      </c>
      <c r="Q12">
        <f t="shared" ref="Q12" si="8">COUNTIF(K12:N12,"&gt;70")</f>
        <v>0</v>
      </c>
      <c r="S12" s="3">
        <f t="shared" si="6"/>
        <v>3</v>
      </c>
    </row>
    <row r="13" spans="1:19" x14ac:dyDescent="0.3">
      <c r="A13" t="s">
        <v>12</v>
      </c>
      <c r="C13" t="str">
        <f t="shared" si="2"/>
        <v>EWJ</v>
      </c>
      <c r="E13" s="3" cm="1">
        <f t="array" ref="E13">_xll.FDS(C13,"FG_TOTAL_RETURNC(0,-1AM)")</f>
        <v>4.3581130000000003</v>
      </c>
      <c r="F13" s="3" cm="1">
        <f t="array" ref="F13">_xll.FDS(C13,"FG_TOTAL_RETURNC(0,-3AM)")</f>
        <v>15.574287999999999</v>
      </c>
      <c r="G13" s="3" cm="1">
        <f t="array" ref="G13">_xll.FDS(C13,"FG_TOTAL_RETURNC(0,-6AM)")</f>
        <v>7.3891043999999999</v>
      </c>
      <c r="H13" s="8" cm="1">
        <f t="array" ref="H13">_xll.FDS(C13,"P_PRICE(0)/P_PRICE_HIGH_PR(0,,,USD,,,""PRICE"",""INTRA"",""52W"")")</f>
        <v>0.98863124999999996</v>
      </c>
      <c r="K13" s="4">
        <f t="shared" si="3"/>
        <v>3</v>
      </c>
      <c r="L13" s="4">
        <f t="shared" si="4"/>
        <v>3</v>
      </c>
      <c r="M13" s="4">
        <f t="shared" si="5"/>
        <v>3</v>
      </c>
      <c r="P13" s="3">
        <f t="shared" si="0"/>
        <v>2.9699999999999998</v>
      </c>
      <c r="Q13">
        <f t="shared" si="1"/>
        <v>0</v>
      </c>
      <c r="S13" s="3">
        <f t="shared" si="6"/>
        <v>2</v>
      </c>
    </row>
    <row r="14" spans="1:19" x14ac:dyDescent="0.3">
      <c r="A14" t="s">
        <v>153</v>
      </c>
      <c r="C14" t="str">
        <f t="shared" si="2"/>
        <v>FXI</v>
      </c>
      <c r="E14" s="3" cm="1">
        <f t="array" ref="E14">_xll.FDS(C14,"FG_TOTAL_RETURNC(0,-1AM)")</f>
        <v>-4.0780839999999996</v>
      </c>
      <c r="F14" s="3" cm="1">
        <f t="array" ref="F14">_xll.FDS(C14,"FG_TOTAL_RETURNC(0,-3AM)")</f>
        <v>-10.113943000000001</v>
      </c>
      <c r="G14" s="3" cm="1">
        <f t="array" ref="G14">_xll.FDS(C14,"FG_TOTAL_RETURNC(0,-6AM)")</f>
        <v>-17.826832</v>
      </c>
      <c r="H14" s="8" cm="1">
        <f t="array" ref="H14">_xll.FDS(C14,"P_PRICE(0)/P_PRICE_HIGH_PR(0,,,USD,,,""PRICE"",""INTRA"",""52W"")")</f>
        <v>0.66247195000000003</v>
      </c>
      <c r="K14" s="4">
        <f t="shared" si="3"/>
        <v>12</v>
      </c>
      <c r="L14" s="4">
        <f t="shared" si="4"/>
        <v>11</v>
      </c>
      <c r="M14" s="4">
        <f t="shared" si="5"/>
        <v>12</v>
      </c>
      <c r="P14" s="3">
        <f>SUMPRODUCT($K$2:$M$2,K14:M14)</f>
        <v>11.55</v>
      </c>
      <c r="Q14">
        <f>COUNTIF(K14:N14,"&gt;70")</f>
        <v>0</v>
      </c>
      <c r="S14" s="3">
        <f t="shared" si="6"/>
        <v>11</v>
      </c>
    </row>
    <row r="22" spans="3:3" ht="15" customHeight="1" x14ac:dyDescent="0.3"/>
    <row r="23" spans="3:3" ht="15" customHeight="1" x14ac:dyDescent="0.3"/>
    <row r="24" spans="3:3" ht="15" customHeight="1" x14ac:dyDescent="0.3"/>
    <row r="25" spans="3:3" ht="15" customHeight="1" x14ac:dyDescent="0.3">
      <c r="C25" s="1"/>
    </row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/>
    <row r="30" spans="3:3" ht="15" customHeight="1" x14ac:dyDescent="0.3"/>
    <row r="31" spans="3:3" ht="15" customHeight="1" x14ac:dyDescent="0.3"/>
    <row r="32" spans="3:3" ht="15" customHeight="1" x14ac:dyDescent="0.3">
      <c r="C32" s="1"/>
    </row>
    <row r="33" spans="3:3" ht="15" customHeight="1" x14ac:dyDescent="0.3"/>
    <row r="34" spans="3:3" ht="15" customHeight="1" x14ac:dyDescent="0.3"/>
    <row r="35" spans="3:3" ht="15" customHeight="1" x14ac:dyDescent="0.3"/>
    <row r="36" spans="3:3" ht="15" customHeight="1" x14ac:dyDescent="0.3"/>
    <row r="37" spans="3:3" ht="15" customHeight="1" x14ac:dyDescent="0.3">
      <c r="C37" s="1"/>
    </row>
    <row r="38" spans="3:3" ht="15" customHeight="1" x14ac:dyDescent="0.3"/>
    <row r="39" spans="3:3" ht="15" customHeight="1" x14ac:dyDescent="0.3"/>
    <row r="40" spans="3:3" ht="15" customHeight="1" x14ac:dyDescent="0.3"/>
    <row r="41" spans="3:3" ht="15" customHeight="1" x14ac:dyDescent="0.3"/>
    <row r="42" spans="3:3" ht="15" customHeight="1" x14ac:dyDescent="0.3">
      <c r="C42" s="1"/>
    </row>
    <row r="43" spans="3:3" ht="15" customHeight="1" x14ac:dyDescent="0.3">
      <c r="C43" s="1"/>
    </row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M27" sqref="M27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88671875" customWidth="1"/>
    <col min="6" max="6" width="11.33203125" customWidth="1"/>
    <col min="7" max="7" width="12.5546875" customWidth="1"/>
    <col min="8" max="8" width="10.3320312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109375" customWidth="1"/>
    <col min="14" max="14" width="0.33203125" customWidth="1"/>
    <col min="15" max="15" width="15.6640625" bestFit="1" customWidth="1"/>
    <col min="16" max="16" width="15.33203125" customWidth="1"/>
    <col min="17" max="17" width="18.44140625" customWidth="1"/>
    <col min="18" max="18" width="17.109375" customWidth="1"/>
    <col min="19" max="19" width="6.5546875" customWidth="1"/>
    <col min="20" max="21" width="17.5546875" customWidth="1"/>
    <col min="22" max="22" width="18.88671875" customWidth="1"/>
    <col min="23" max="23" width="13.33203125" customWidth="1"/>
    <col min="24" max="24" width="13" customWidth="1"/>
    <col min="25" max="25" width="13.44140625" customWidth="1"/>
    <col min="26" max="26" width="13" customWidth="1"/>
    <col min="27" max="27" width="12.109375" customWidth="1"/>
    <col min="28" max="28" width="11.44140625" customWidth="1"/>
    <col min="29" max="31" width="13.6640625" customWidth="1"/>
    <col min="32" max="32" width="10.33203125" customWidth="1"/>
    <col min="33" max="33" width="7" customWidth="1"/>
    <col min="34" max="34" width="9.6640625" customWidth="1"/>
  </cols>
  <sheetData>
    <row r="1" spans="1:37" ht="62.25" customHeight="1" thickBot="1" x14ac:dyDescent="0.35">
      <c r="C1" t="s">
        <v>0</v>
      </c>
      <c r="D1" s="26" t="s">
        <v>137</v>
      </c>
      <c r="E1" s="33" t="s">
        <v>138</v>
      </c>
      <c r="F1" s="33" t="s">
        <v>8</v>
      </c>
      <c r="G1" s="33" t="s">
        <v>17</v>
      </c>
      <c r="H1" s="33" t="s">
        <v>16</v>
      </c>
      <c r="I1" s="33" t="s">
        <v>19</v>
      </c>
      <c r="J1" s="33" t="s">
        <v>25</v>
      </c>
      <c r="K1" t="s">
        <v>18</v>
      </c>
      <c r="L1" t="s">
        <v>46</v>
      </c>
      <c r="M1" t="s">
        <v>47</v>
      </c>
      <c r="O1" t="s">
        <v>2</v>
      </c>
      <c r="P1" t="s">
        <v>3</v>
      </c>
      <c r="Q1" t="s">
        <v>5</v>
      </c>
      <c r="R1" t="s">
        <v>63</v>
      </c>
      <c r="T1" t="s">
        <v>65</v>
      </c>
      <c r="U1" t="s">
        <v>66</v>
      </c>
      <c r="V1" t="s">
        <v>64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48</v>
      </c>
      <c r="AD1" t="s">
        <v>49</v>
      </c>
      <c r="AE1" s="33" t="s">
        <v>139</v>
      </c>
      <c r="AH1" s="1" t="s">
        <v>26</v>
      </c>
      <c r="AI1" t="s">
        <v>27</v>
      </c>
    </row>
    <row r="2" spans="1:37" s="15" customFormat="1" ht="15" thickBot="1" x14ac:dyDescent="0.35">
      <c r="A2" s="14"/>
      <c r="U2" s="16" t="e">
        <f>#REF!</f>
        <v>#REF!</v>
      </c>
      <c r="V2" s="16" t="e">
        <f>#REF!</f>
        <v>#REF!</v>
      </c>
      <c r="W2" s="16" t="e">
        <f>#REF!</f>
        <v>#REF!</v>
      </c>
      <c r="X2" s="16" t="e">
        <f>#REF!</f>
        <v>#REF!</v>
      </c>
      <c r="Z2" s="15" t="e">
        <f>#REF!</f>
        <v>#REF!</v>
      </c>
      <c r="AA2" s="16" t="e">
        <f>#REF!</f>
        <v>#REF!</v>
      </c>
      <c r="AB2" s="16" t="e">
        <f>#REF!</f>
        <v>#REF!</v>
      </c>
      <c r="AC2" s="16" t="e">
        <f>#REF!</f>
        <v>#REF!</v>
      </c>
      <c r="AD2" s="16" t="e">
        <f>#REF!</f>
        <v>#REF!</v>
      </c>
      <c r="AE2" s="16" t="e">
        <f>#REF!</f>
        <v>#REF!</v>
      </c>
      <c r="AF2" s="16" t="e">
        <f>SUM(V2:AD2)</f>
        <v>#REF!</v>
      </c>
    </row>
    <row r="3" spans="1:37" hidden="1" x14ac:dyDescent="0.3">
      <c r="A3" t="s">
        <v>60</v>
      </c>
      <c r="B3" t="str" cm="1">
        <f t="array" ref="B3">_xll.FDS(A3,"FG_COMPANY_NAME")</f>
        <v>iShares MSCI New Zealand ETF</v>
      </c>
      <c r="C3" t="s">
        <v>60</v>
      </c>
      <c r="D3" s="37" t="e">
        <f>VLOOKUP(C3,#REF!,5,FALSE)</f>
        <v>#REF!</v>
      </c>
      <c r="E3" cm="1">
        <f t="array" ref="E3">_xll.FDS(C3,"FMA_COS_UP(""EPS"",""1M"",+1,0,,,""PORTAGG"",""MEANR"")")</f>
        <v>2</v>
      </c>
      <c r="F3" cm="1">
        <f t="array" ref="F3">_xll.FDS(C3,"FMA_COS_DOWN(""EPS"",""1M"",+1,0,,,""PORTAGG"",""MEANR"")")</f>
        <v>1</v>
      </c>
      <c r="G3" cm="1">
        <f t="array" ref="G3">_xll.FDS(A3,"SIZE(FG_CONSTITUENTS)")</f>
        <v>16</v>
      </c>
      <c r="H3" s="8">
        <f t="shared" ref="H3:H11" si="0">E3/$G3</f>
        <v>0.125</v>
      </c>
      <c r="I3" s="8">
        <f t="shared" ref="I3:I11" si="1">F3/$G3</f>
        <v>6.25E-2</v>
      </c>
      <c r="J3" s="8">
        <f t="shared" ref="J3:J11" si="2">H3-I3</f>
        <v>6.25E-2</v>
      </c>
      <c r="K3" s="5" cm="1">
        <f t="array" ref="K3">_xll.FDS(A3,"FMA_PCT_ABOVE_MAVG(200,0,,,,""PORTAGG"")")/100</f>
        <v>0.4375</v>
      </c>
      <c r="L3" s="19" cm="1">
        <f t="array" ref="L3">_xll.FDSB(A3,"PERCENT_CHANGE(FMA_EPS(+1,0,,,,""PORTAGG"",""MEAN""),FMA_EPS(+1,-1AM,,,,""PORTAGG"",""MEAN""))")</f>
        <v>-1.28793663595383</v>
      </c>
      <c r="M3" s="19" cm="1">
        <f t="array" ref="M3">_xll.FDSB(A3,"PERCENT_CHANGE(FMA_EPS(+1,0,,,,""PORTAGG"",""MEAN""),FMA_EPS(+1,-3AM,,,,""PORTAGG"",""MEAN""))")</f>
        <v>-6.3689291275918798</v>
      </c>
      <c r="O3" s="3" cm="1">
        <f t="array" ref="O3">_xll.FDS(C3,"FG_TOTAL_RETURNC(0,-3AM)")</f>
        <v>12.473655000000001</v>
      </c>
      <c r="P3" s="3" cm="1">
        <f t="array" ref="P3">_xll.FDS(C3,"FG_TOTAL_RETURNC(0,-6AM)")</f>
        <v>-3.7183404000000002</v>
      </c>
      <c r="Q3" s="8" cm="1">
        <f t="array" ref="Q3">_xll.FDS(C3,"P_PRICE(0)/P_PRICE_HIGH_PR(0,,,USD,,,""PRICE"",""INTRA"",""52W"")")</f>
        <v>0.86822869999999996</v>
      </c>
      <c r="R3" s="8" cm="1">
        <f t="array" ref="R3">_xll.FDS(C3,"P_PRICE(0)/P_PRICE_low_PR(0,,,USD,,,""PRICE"",""INTRA"",""52W"")-1")</f>
        <v>0.12892723</v>
      </c>
      <c r="T3" s="4" cm="1">
        <f t="array" ref="T3">_xlfn.PERCENTRANK.EXC(_xlfn._xlws.FILTER($R$3:$R$15, ISNUMBER($R$3:$R$15)),R3)*100</f>
        <v>28.499999999999996</v>
      </c>
      <c r="U3" s="4">
        <f t="shared" ref="U3:U11" si="3">100-T3</f>
        <v>71.5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71.399999999999991</v>
      </c>
      <c r="AC3" s="4">
        <f>_xlfn.PERCENTRANK.EXC($L$3:$L$15,L3)*100</f>
        <v>71.399999999999991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">
      <c r="A4" t="s">
        <v>11</v>
      </c>
      <c r="B4" t="str" cm="1">
        <f t="array" ref="B4">_xll.FDS(A4,"FG_COMPANY_NAME")</f>
        <v>iShares MSCI Australia ETF</v>
      </c>
      <c r="C4" t="s">
        <v>11</v>
      </c>
      <c r="D4" s="37" t="e">
        <f>VLOOKUP(C4,#REF!,5,FALSE)</f>
        <v>#REF!</v>
      </c>
      <c r="E4" cm="1">
        <f t="array" ref="E4">_xll.FDS(C4,"FMA_COS_UP(""EPS"",""1M"",+1,0,,,""PORTAGG"",""MEANR"")")</f>
        <v>26</v>
      </c>
      <c r="F4" cm="1">
        <f t="array" ref="F4">_xll.FDS(C4,"FMA_COS_DOWN(""EPS"",""1M"",+1,0,,,""PORTAGG"",""MEANR"")")</f>
        <v>20</v>
      </c>
      <c r="G4" cm="1">
        <f t="array" ref="G4">_xll.FDS(A4,"SIZE(FG_CONSTITUENTS)")</f>
        <v>59</v>
      </c>
      <c r="H4" s="8">
        <f t="shared" si="0"/>
        <v>0.44067796610169491</v>
      </c>
      <c r="I4" s="8">
        <f t="shared" si="1"/>
        <v>0.33898305084745761</v>
      </c>
      <c r="J4" s="8">
        <f t="shared" si="2"/>
        <v>0.10169491525423729</v>
      </c>
      <c r="K4" s="5" cm="1">
        <f t="array" ref="K4">_xll.FDS(A4,"FMA_PCT_ABOVE_MAVG(200,0,,,,""PORTAGG"")")/100</f>
        <v>0.57627118644067798</v>
      </c>
      <c r="L4" s="19" cm="1">
        <f t="array" ref="L4">_xll.FDSB(A4,"PERCENT_CHANGE(FMA_EPS(+1,0,,,,""PORTAGG"",""MEAN""),FMA_EPS(+1,-1AM,,,,""PORTAGG"",""MEAN""))")</f>
        <v>-1.5255764016173401</v>
      </c>
      <c r="M4" s="19" cm="1">
        <f t="array" ref="M4">_xll.FDSB(A4,"PERCENT_CHANGE(FMA_EPS(+1,0,,,,""PORTAGG"",""MEAN""),FMA_EPS(+1,-3AM,,,,""PORTAGG"",""MEAN""))")</f>
        <v>1.6893906884474199</v>
      </c>
      <c r="O4" s="3" cm="1">
        <f t="array" ref="O4">_xll.FDS(C4,"FG_TOTAL_RETURNC(0,-3AM)")</f>
        <v>15.935003</v>
      </c>
      <c r="P4" s="3" cm="1">
        <f t="array" ref="P4">_xll.FDS(C4,"FG_TOTAL_RETURNC(0,-6AM)")</f>
        <v>3.5599232000000001</v>
      </c>
      <c r="Q4" s="8" cm="1">
        <f t="array" ref="Q4">_xll.FDS(C4,"P_PRICE(0)/P_PRICE_HIGH_PR(0,,,USD,,,""PRICE"",""INTRA"",""52W"")")</f>
        <v>0.93100715000000001</v>
      </c>
      <c r="R4" s="8" cm="1">
        <f t="array" ref="R4">_xll.FDS(C4,"P_PRICE(0)/P_PRICE_low_PR(0,,,USD,,,""PRICE"",""INTRA"",""52W"")-1")</f>
        <v>0.14760506000000001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64.2</v>
      </c>
      <c r="Z4" s="4" cm="1">
        <f t="array" ref="Z4">_xlfn.PERCENTRANK.EXC(_xlfn._xlws.FILTER($K$3:$K$15, ISNUMBER($K$3:$K$15)),K4)*100</f>
        <v>42.8</v>
      </c>
      <c r="AA4" s="4" cm="1">
        <f t="array" ref="AA4">_xlfn.PERCENTRANK.EXC(_xlfn._xlws.FILTER($H$3:$H$15, ISNUMBER($H$3:$H$15)),H4)*100</f>
        <v>92.800000000000011</v>
      </c>
      <c r="AB4" s="4" cm="1">
        <f t="array" ref="AB4">_xlfn.PERCENTRANK.EXC(_xlfn._xlws.FILTER($J$3:$J$15, ISNUMBER($J$3:$J$15)),J4)*100</f>
        <v>85.7</v>
      </c>
      <c r="AC4" s="4">
        <f t="shared" ref="AC4:AC15" si="6">_xlfn.PERCENTRANK.EXC($L$3:$L$15,L4)*100</f>
        <v>64.2</v>
      </c>
      <c r="AD4" s="4">
        <f t="shared" ref="AD4:AD15" si="7">_xlfn.PERCENTRANK.EXC($M$3:$M$15,M4)*100</f>
        <v>85.7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3</v>
      </c>
      <c r="AK4" s="4"/>
    </row>
    <row r="5" spans="1:37" hidden="1" x14ac:dyDescent="0.3">
      <c r="A5" t="s">
        <v>14</v>
      </c>
      <c r="B5" t="str" cm="1">
        <f t="array" ref="B5">_xll.FDS(A5,"FG_COMPANY_NAME")</f>
        <v>iShares MSCI Canada ETF</v>
      </c>
      <c r="C5" t="s">
        <v>14</v>
      </c>
      <c r="D5" s="37" t="e">
        <f>VLOOKUP(C5,#REF!,5,FALSE)</f>
        <v>#REF!</v>
      </c>
      <c r="E5" cm="1">
        <f t="array" ref="E5">_xll.FDS(C5,"FMA_COS_UP(""EPS"",""1M"",+1,0,,,""PORTAGG"",""MEANR"")")</f>
        <v>24</v>
      </c>
      <c r="F5" cm="1">
        <f t="array" ref="F5">_xll.FDS(C5,"FMA_COS_DOWN(""EPS"",""1M"",+1,0,,,""PORTAGG"",""MEANR"")")</f>
        <v>33</v>
      </c>
      <c r="G5" cm="1">
        <f t="array" ref="G5">_xll.FDS(A5,"SIZE(FG_CONSTITUENTS)")</f>
        <v>89</v>
      </c>
      <c r="H5" s="8">
        <f t="shared" si="0"/>
        <v>0.2696629213483146</v>
      </c>
      <c r="I5" s="8">
        <f t="shared" si="1"/>
        <v>0.3707865168539326</v>
      </c>
      <c r="J5" s="8">
        <f t="shared" si="2"/>
        <v>-0.101123595505618</v>
      </c>
      <c r="K5" s="5" cm="1">
        <f t="array" ref="K5">_xll.FDS(A5,"FMA_PCT_ABOVE_MAVG(200,0,,,,""PORTAGG"")")/100</f>
        <v>0.59550561797752799</v>
      </c>
      <c r="L5" s="19" cm="1">
        <f t="array" ref="L5">_xll.FDSB(A5,"PERCENT_CHANGE(FMA_EPS(+1,0,,,,""PORTAGG"",""MEAN""),FMA_EPS(+1,-1AM,,,,""PORTAGG"",""MEAN""))")</f>
        <v>-2.0384392612853</v>
      </c>
      <c r="M5" s="19" cm="1">
        <f t="array" ref="M5">_xll.FDSB(A5,"PERCENT_CHANGE(FMA_EPS(+1,0,,,,""PORTAGG"",""MEAN""),FMA_EPS(+1,-3AM,,,,""PORTAGG"",""MEAN""))")</f>
        <v>-2.94301902293941</v>
      </c>
      <c r="O5" s="3" cm="1">
        <f t="array" ref="O5">_xll.FDS(C5,"FG_TOTAL_RETURNC(0,-3AM)")</f>
        <v>13.184488</v>
      </c>
      <c r="P5" s="3" cm="1">
        <f t="array" ref="P5">_xll.FDS(C5,"FG_TOTAL_RETURNC(0,-6AM)")</f>
        <v>2.4667382</v>
      </c>
      <c r="Q5" s="8" cm="1">
        <f t="array" ref="Q5">_xll.FDS(C5,"P_PRICE(0)/P_PRICE_HIGH_PR(0,,,USD,,,""PRICE"",""INTRA"",""52W"")")</f>
        <v>0.97837244999999995</v>
      </c>
      <c r="R5" s="8" cm="1">
        <f t="array" ref="R5">_xll.FDS(C5,"P_PRICE(0)/P_PRICE_low_PR(0,,,USD,,,""PRICE"",""INTRA"",""52W"")-1")</f>
        <v>0.15218079000000001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57.099999999999994</v>
      </c>
      <c r="Z5" s="4" cm="1">
        <f t="array" ref="Z5">_xlfn.PERCENTRANK.EXC(_xlfn._xlws.FILTER($K$3:$K$15, ISNUMBER($K$3:$K$15)),K5)*100</f>
        <v>50</v>
      </c>
      <c r="AA5" s="4" cm="1">
        <f t="array" ref="AA5">_xlfn.PERCENTRANK.EXC(_xlfn._xlws.FILTER($H$3:$H$15, ISNUMBER($H$3:$H$15)),H5)*100</f>
        <v>35.699999999999996</v>
      </c>
      <c r="AB5" s="4" cm="1">
        <f t="array" ref="AB5">_xlfn.PERCENTRANK.EXC(_xlfn._xlws.FILTER($J$3:$J$15, ISNUMBER($J$3:$J$15)),J5)*100</f>
        <v>50</v>
      </c>
      <c r="AC5" s="4">
        <f t="shared" si="6"/>
        <v>28.499999999999996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">
      <c r="A6" t="s">
        <v>6</v>
      </c>
      <c r="B6" t="str" cm="1">
        <f t="array" ref="B6">_xll.FDS(A6,"FG_COMPANY_NAME")</f>
        <v>iShares MSCI Germany ETF</v>
      </c>
      <c r="C6" t="s">
        <v>6</v>
      </c>
      <c r="D6" s="37" t="e">
        <f>VLOOKUP(C6,#REF!,5,FALSE)</f>
        <v>#REF!</v>
      </c>
      <c r="E6" cm="1">
        <f t="array" ref="E6">_xll.FDS(C6,"FMA_COS_UP(""EPS"",""1M"",+1,0,,,""PORTAGG"",""MEANR"")")</f>
        <v>16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59</v>
      </c>
      <c r="H6" s="8">
        <f t="shared" si="0"/>
        <v>0.2711864406779661</v>
      </c>
      <c r="I6" s="8">
        <f t="shared" si="1"/>
        <v>0.52542372881355937</v>
      </c>
      <c r="J6" s="8">
        <f t="shared" si="2"/>
        <v>-0.25423728813559326</v>
      </c>
      <c r="K6" s="5" cm="1">
        <f t="array" ref="K6">_xll.FDS(A6,"FMA_PCT_ABOVE_MAVG(200,0,,,,""PORTAGG"")")/100</f>
        <v>0.50847457627118597</v>
      </c>
      <c r="L6" s="19" cm="1">
        <f t="array" ref="L6">_xll.FDSB(A6,"PERCENT_CHANGE(FMA_EPS(+1,0,,,,""PORTAGG"",""MEAN""),FMA_EPS(+1,-1AM,,,,""PORTAGG"",""MEAN""))")</f>
        <v>-1.8409355062554</v>
      </c>
      <c r="M6" s="19" cm="1">
        <f t="array" ref="M6">_xll.FDSB(A6,"PERCENT_CHANGE(FMA_EPS(+1,0,,,,""PORTAGG"",""MEAN""),FMA_EPS(+1,-3AM,,,,""PORTAGG"",""MEAN""))")</f>
        <v>-0.120229080268066</v>
      </c>
      <c r="O6" s="3" cm="1">
        <f t="array" ref="O6">_xll.FDS(C6,"FG_TOTAL_RETURNC(0,-3AM)")</f>
        <v>14.127803</v>
      </c>
      <c r="P6" s="3" cm="1">
        <f t="array" ref="P6">_xll.FDS(C6,"FG_TOTAL_RETURNC(0,-6AM)")</f>
        <v>-0.85392000000000001</v>
      </c>
      <c r="Q6" s="8" cm="1">
        <f t="array" ref="Q6">_xll.FDS(C6,"P_PRICE(0)/P_PRICE_HIGH_PR(0,,,USD,,,""PRICE"",""INTRA"",""52W"")")</f>
        <v>0.96488297000000001</v>
      </c>
      <c r="R6" s="8" cm="1">
        <f t="array" ref="R6">_xll.FDS(C6,"P_PRICE(0)/P_PRICE_low_PR(0,,,USD,,,""PRICE"",""INTRA"",""52W"")-1")</f>
        <v>0.16777980000000001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57.099999999999994</v>
      </c>
      <c r="W6" s="4" cm="1">
        <f t="array" ref="W6">_xlfn.PERCENTRANK.EXC(_xlfn._xlws.FILTER($O$3:$O$15, ISNUMBER($O$3:$O$15)),O6)*100</f>
        <v>50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28.499999999999996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14.2</v>
      </c>
      <c r="AC6" s="4">
        <f t="shared" si="6"/>
        <v>42.8</v>
      </c>
      <c r="AD6" s="4">
        <f t="shared" si="7"/>
        <v>64.2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">
      <c r="A7" t="s">
        <v>12</v>
      </c>
      <c r="B7" t="str" cm="1">
        <f t="array" ref="B7">_xll.FDS(A7,"FG_COMPANY_NAME")</f>
        <v>iShares MSCI Japan ETF</v>
      </c>
      <c r="C7" t="s">
        <v>12</v>
      </c>
      <c r="D7" s="37" t="e">
        <f>VLOOKUP(C7,#REF!,5,FALSE)</f>
        <v>#REF!</v>
      </c>
      <c r="E7" cm="1">
        <f t="array" ref="E7">_xll.FDS(C7,"FMA_COS_UP(""EPS"",""1M"",+1,0,,,""PORTAGG"",""MEANR"")")</f>
        <v>90</v>
      </c>
      <c r="F7" cm="1">
        <f t="array" ref="F7">_xll.FDS(C7,"FMA_COS_DOWN(""EPS"",""1M"",+1,0,,,""PORTAGG"",""MEANR"")")</f>
        <v>95</v>
      </c>
      <c r="G7" cm="1">
        <f t="array" ref="G7">_xll.FDS(A7,"SIZE(FG_CONSTITUENTS)")</f>
        <v>226</v>
      </c>
      <c r="H7" s="8">
        <f t="shared" si="0"/>
        <v>0.39823008849557523</v>
      </c>
      <c r="I7" s="8">
        <f t="shared" si="1"/>
        <v>0.42035398230088494</v>
      </c>
      <c r="J7" s="8">
        <f t="shared" si="2"/>
        <v>-2.2123893805309713E-2</v>
      </c>
      <c r="K7" s="5" cm="1">
        <f t="array" ref="K7">_xll.FDS(A7,"FMA_PCT_ABOVE_MAVG(200,0,,,,""PORTAGG"")")/100</f>
        <v>0.73893805309734506</v>
      </c>
      <c r="L7" s="19" cm="1">
        <f t="array" ref="L7">_xll.FDSB(A7,"PERCENT_CHANGE(FMA_EPS(+1,0,,,,""PORTAGG"",""MEAN""),FMA_EPS(+1,-1AM,,,,""PORTAGG"",""MEAN""))")</f>
        <v>-2.9468898510982902</v>
      </c>
      <c r="M7" s="19" cm="1">
        <f t="array" ref="M7">_xll.FDSB(A7,"PERCENT_CHANGE(FMA_EPS(+1,0,,,,""PORTAGG"",""MEAN""),FMA_EPS(+1,-3AM,,,,""PORTAGG"",""MEAN""))")</f>
        <v>3.7069581306352801</v>
      </c>
      <c r="O7" s="3" cm="1">
        <f t="array" ref="O7">_xll.FDS(C7,"FG_TOTAL_RETURNC(0,-3AM)")</f>
        <v>15.574287999999999</v>
      </c>
      <c r="P7" s="3" cm="1">
        <f t="array" ref="P7">_xll.FDS(C7,"FG_TOTAL_RETURNC(0,-6AM)")</f>
        <v>7.3891043999999999</v>
      </c>
      <c r="Q7" s="8" cm="1">
        <f t="array" ref="Q7">_xll.FDS(C7,"P_PRICE(0)/P_PRICE_HIGH_PR(0,,,USD,,,""PRICE"",""INTRA"",""52W"")")</f>
        <v>0.98863124999999996</v>
      </c>
      <c r="R7" s="8" cm="1">
        <f t="array" ref="R7">_xll.FDS(C7,"P_PRICE(0)/P_PRICE_low_PR(0,,,USD,,,""PRICE"",""INTRA"",""52W"")-1")</f>
        <v>0.21143793999999999</v>
      </c>
      <c r="T7" s="4" cm="1">
        <f t="array" ref="T7">_xlfn.PERCENTRANK.EXC(_xlfn._xlws.FILTER($R$3:$R$15, ISNUMBER($R$3:$R$15)),R7)*100</f>
        <v>71.399999999999991</v>
      </c>
      <c r="U7" s="4">
        <f t="shared" si="3"/>
        <v>28.600000000000009</v>
      </c>
      <c r="V7" s="4" cm="1">
        <f t="array" ref="V7">_xlfn.PERCENTRANK.EXC(_xlfn._xlws.FILTER($Q$3:$Q$15, ISNUMBER($Q$3:$Q$15)),Q7)*100</f>
        <v>78.5</v>
      </c>
      <c r="W7" s="4" cm="1">
        <f t="array" ref="W7">_xlfn.PERCENTRANK.EXC(_xlfn._xlws.FILTER($O$3:$O$15, ISNUMBER($O$3:$O$15)),O7)*100</f>
        <v>57.099999999999994</v>
      </c>
      <c r="X7" s="4" cm="1">
        <f t="array" ref="X7">_xlfn.PERCENTRANK.EXC(_xlfn._xlws.FILTER($P$3:$P$15, ISNUMBER($P$3:$P$15)),P7)*100</f>
        <v>78.5</v>
      </c>
      <c r="Z7" s="4" cm="1">
        <f t="array" ref="Z7">_xlfn.PERCENTRANK.EXC(_xlfn._xlws.FILTER($K$3:$K$15, ISNUMBER($K$3:$K$15)),K7)*100</f>
        <v>78.5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57.099999999999994</v>
      </c>
      <c r="AC7" s="4">
        <f t="shared" si="6"/>
        <v>14.2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4</v>
      </c>
      <c r="AK7" s="4"/>
    </row>
    <row r="8" spans="1:37" hidden="1" x14ac:dyDescent="0.3">
      <c r="A8" t="s">
        <v>10</v>
      </c>
      <c r="B8" t="str" cm="1">
        <f t="array" ref="B8">_xll.FDS(A8,"FG_COMPANY_NAME")</f>
        <v>iShares MSCI Switzerland ETF</v>
      </c>
      <c r="C8" t="s">
        <v>10</v>
      </c>
      <c r="D8" s="37" t="e">
        <f>VLOOKUP(C8,#REF!,5,FALSE)</f>
        <v>#REF!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30</v>
      </c>
      <c r="G8" cm="1">
        <f t="array" ref="G8">_xll.FDS(A8,"SIZE(FG_CONSTITUENTS)")</f>
        <v>46</v>
      </c>
      <c r="H8" s="8">
        <f t="shared" si="0"/>
        <v>0.2608695652173913</v>
      </c>
      <c r="I8" s="8">
        <f t="shared" si="1"/>
        <v>0.65217391304347827</v>
      </c>
      <c r="J8" s="8">
        <f t="shared" si="2"/>
        <v>-0.39130434782608697</v>
      </c>
      <c r="K8" s="5" cm="1">
        <f t="array" ref="K8">_xll.FDS(A8,"FMA_PCT_ABOVE_MAVG(200,0,,,,""PORTAGG"")")/100</f>
        <v>0.51111111111111096</v>
      </c>
      <c r="L8" s="19" cm="1">
        <f t="array" ref="L8">_xll.FDSB(A8,"PERCENT_CHANGE(FMA_EPS(+1,0,,,,""PORTAGG"",""MEAN""),FMA_EPS(+1,-1AM,,,,""PORTAGG"",""MEAN""))")</f>
        <v>-2.0940862205367901</v>
      </c>
      <c r="M8" s="19" cm="1">
        <f t="array" ref="M8">_xll.FDSB(A8,"PERCENT_CHANGE(FMA_EPS(+1,0,,,,""PORTAGG"",""MEAN""),FMA_EPS(+1,-3AM,,,,""PORTAGG"",""MEAN""))")</f>
        <v>-0.51129260331068105</v>
      </c>
      <c r="O8" s="3" cm="1">
        <f t="array" ref="O8">_xll.FDS(C8,"FG_TOTAL_RETURNC(0,-3AM)")</f>
        <v>10.339105999999999</v>
      </c>
      <c r="P8" s="3" cm="1">
        <f t="array" ref="P8">_xll.FDS(C8,"FG_TOTAL_RETURNC(0,-6AM)")</f>
        <v>-1.876843</v>
      </c>
      <c r="Q8" s="8" cm="1">
        <f t="array" ref="Q8">_xll.FDS(C8,"P_PRICE(0)/P_PRICE_HIGH_PR(0,,,USD,,,""PRICE"",""INTRA"",""52W"")")</f>
        <v>0.95085310000000001</v>
      </c>
      <c r="R8" s="8" cm="1">
        <f t="array" ref="R8">_xll.FDS(C8,"P_PRICE(0)/P_PRICE_low_PR(0,,,USD,,,""PRICE"",""INTRA"",""52W"")-1")</f>
        <v>0.11985564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42.8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21.4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7.1</v>
      </c>
      <c r="AC8" s="4">
        <f t="shared" si="6"/>
        <v>21.4</v>
      </c>
      <c r="AD8" s="4">
        <f t="shared" si="7"/>
        <v>50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37" t="e">
        <f>VLOOKUP(C9,#REF!,5,FALSE)</f>
        <v>#REF!</v>
      </c>
      <c r="E9" cm="1">
        <f t="array" ref="E9">_xll.FDS(C9,"FMA_COS_UP(""EPS"",""1M"",+1,0,,,""PORTAGG"",""MEANR"")")</f>
        <v>37</v>
      </c>
      <c r="F9" cm="1">
        <f t="array" ref="F9">_xll.FDS(C9,"FMA_COS_DOWN(""EPS"",""1M"",+1,0,,,""PORTAGG"",""MEANR"")")</f>
        <v>36</v>
      </c>
      <c r="G9" cm="1">
        <f t="array" ref="G9">_xll.FDS(A9,"SIZE(FG_CONSTITUENTS)")</f>
        <v>84</v>
      </c>
      <c r="H9" s="8">
        <f t="shared" si="0"/>
        <v>0.44047619047619047</v>
      </c>
      <c r="I9" s="8">
        <f t="shared" si="1"/>
        <v>0.42857142857142855</v>
      </c>
      <c r="J9" s="8">
        <f t="shared" si="2"/>
        <v>1.1904761904761918E-2</v>
      </c>
      <c r="K9" s="5" cm="1">
        <f t="array" ref="K9">_xll.FDS(A9,"FMA_PCT_ABOVE_MAVG(200,0,,,,""PORTAGG"")")/100</f>
        <v>0.50602409638554202</v>
      </c>
      <c r="L9" s="19" cm="1">
        <f t="array" ref="L9">_xll.FDSB(A9,"PERCENT_CHANGE(FMA_EPS(+1,0,,,,""PORTAGG"",""MEAN""),FMA_EPS(+1,-1AM,,,,""PORTAGG"",""MEAN""))")</f>
        <v>-1.63028060823515</v>
      </c>
      <c r="M9" s="19" cm="1">
        <f t="array" ref="M9">_xll.FDSB(A9,"PERCENT_CHANGE(FMA_EPS(+1,0,,,,""PORTAGG"",""MEAN""),FMA_EPS(+1,-3AM,,,,""PORTAGG"",""MEAN""))")</f>
        <v>-3.6070488530713298</v>
      </c>
      <c r="O9" s="3" cm="1">
        <f t="array" ref="O9">_xll.FDS(C9,"FG_TOTAL_RETURNC(0,-3AM)")</f>
        <v>6.1845302999999996</v>
      </c>
      <c r="P9" s="3" cm="1">
        <f t="array" ref="P9">_xll.FDS(C9,"FG_TOTAL_RETURNC(0,-6AM)")</f>
        <v>-1.6325354999999999</v>
      </c>
      <c r="Q9" s="8" cm="1">
        <f t="array" ref="Q9">_xll.FDS(C9,"P_PRICE(0)/P_PRICE_HIGH_PR(0,,,USD,,,""PRICE"",""INTRA"",""52W"")")</f>
        <v>0.93993247000000002</v>
      </c>
      <c r="R9" s="8" cm="1">
        <f t="array" ref="R9">_xll.FDS(C9,"P_PRICE(0)/P_PRICE_low_PR(0,,,USD,,,""PRICE"",""INTRA"",""52W"")-1")</f>
        <v>6.6666719999999999E-2</v>
      </c>
      <c r="T9" s="4" cm="1">
        <f t="array" ref="T9">_xlfn.PERCENTRANK.EXC(_xlfn._xlws.FILTER($R$3:$R$15, ISNUMBER($R$3:$R$15)),R9)*100</f>
        <v>7.1</v>
      </c>
      <c r="U9" s="4">
        <f t="shared" si="3"/>
        <v>92.9</v>
      </c>
      <c r="V9" s="4" cm="1">
        <f t="array" ref="V9">_xlfn.PERCENTRANK.EXC(_xlfn._xlws.FILTER($Q$3:$Q$15, ISNUMBER($Q$3:$Q$15)),Q9)*100</f>
        <v>28.499999999999996</v>
      </c>
      <c r="W9" s="4" cm="1">
        <f t="array" ref="W9">_xlfn.PERCENTRANK.EXC(_xlfn._xlws.FILTER($O$3:$O$15, ISNUMBER($O$3:$O$15)),O9)*100</f>
        <v>7.1</v>
      </c>
      <c r="X9" s="4" cm="1">
        <f t="array" ref="X9">_xlfn.PERCENTRANK.EXC(_xlfn._xlws.FILTER($P$3:$P$15, ISNUMBER($P$3:$P$15)),P9)*100</f>
        <v>28.499999999999996</v>
      </c>
      <c r="Z9" s="4" cm="1">
        <f t="array" ref="Z9">_xlfn.PERCENTRANK.EXC(_xlfn._xlws.FILTER($K$3:$K$15, ISNUMBER($K$3:$K$15)),K9)*100</f>
        <v>21.4</v>
      </c>
      <c r="AA9" s="4" cm="1">
        <f t="array" ref="AA9">_xlfn.PERCENTRANK.EXC(_xlfn._xlws.FILTER($H$3:$H$15, ISNUMBER($H$3:$H$15)),H9)*100</f>
        <v>85.7</v>
      </c>
      <c r="AB9" s="4" cm="1">
        <f t="array" ref="AB9">_xlfn.PERCENTRANK.EXC(_xlfn._xlws.FILTER($J$3:$J$15, ISNUMBER($J$3:$J$15)),J9)*100</f>
        <v>64.2</v>
      </c>
      <c r="AC9" s="4">
        <f t="shared" si="6"/>
        <v>57.099999999999994</v>
      </c>
      <c r="AD9" s="4">
        <f t="shared" si="7"/>
        <v>21.4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1</v>
      </c>
      <c r="AK9" s="4"/>
    </row>
    <row r="10" spans="1:37" hidden="1" x14ac:dyDescent="0.3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37" t="e">
        <f>VLOOKUP(C10,#REF!,5,FALSE)</f>
        <v>#REF!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23</v>
      </c>
      <c r="G10" cm="1">
        <f t="array" ref="G10">_xll.FDS(A10,"SIZE(FG_CONSTITUENTS)")</f>
        <v>102</v>
      </c>
      <c r="H10" s="8">
        <f t="shared" si="0"/>
        <v>0.38235294117647056</v>
      </c>
      <c r="I10" s="8">
        <f t="shared" si="1"/>
        <v>0.22549019607843138</v>
      </c>
      <c r="J10" s="8">
        <f t="shared" si="2"/>
        <v>0.15686274509803919</v>
      </c>
      <c r="K10" s="5" cm="1">
        <f t="array" ref="K10">_xll.FDS(A10,"FMA_PCT_ABOVE_MAVG(200,0,,,,""PORTAGG"")")/100</f>
        <v>0.80392156862745101</v>
      </c>
      <c r="L10" s="19" cm="1">
        <f t="array" ref="L10">_xll.FDSB(A10,"PERCENT_CHANGE(FMA_EPS(+1,0,,,,""PORTAGG"",""MEAN""),FMA_EPS(+1,-1AM,,,,""PORTAGG"",""MEAN""))")</f>
        <v>1.38182180655791E-2</v>
      </c>
      <c r="M10" s="19" cm="1">
        <f t="array" ref="M10">_xll.FDSB(A10,"PERCENT_CHANGE(FMA_EPS(+1,0,,,,""PORTAGG"",""MEAN""),FMA_EPS(+1,-3AM,,,,""PORTAGG"",""MEAN""))")</f>
        <v>1.23012472805758</v>
      </c>
      <c r="O10" s="3" cm="1">
        <f t="array" ref="O10">_xll.FDS(C10,"FG_TOTAL_RETURNC(0,-3AM)")</f>
        <v>19.364405000000001</v>
      </c>
      <c r="P10" s="3" cm="1">
        <f t="array" ref="P10">_xll.FDS(C10,"FG_TOTAL_RETURNC(0,-6AM)")</f>
        <v>13.184988000000001</v>
      </c>
      <c r="Q10" s="8" cm="1">
        <f t="array" ref="Q10">_xll.FDS(C10,"P_PRICE(0)/P_PRICE_HIGH_PR(0,,,USD,,,""PRICE"",""INTRA"",""52W"")")</f>
        <v>0.99706280000000003</v>
      </c>
      <c r="R10" s="8" cm="1">
        <f t="array" ref="R10">_xll.FDS(C10,"P_PRICE(0)/P_PRICE_low_PR(0,,,USD,,,""PRICE"",""INTRA"",""52W"")-1")</f>
        <v>0.50608160000000002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92.800000000000011</v>
      </c>
      <c r="AA10" s="4" cm="1">
        <f t="array" ref="AA10">_xlfn.PERCENTRANK.EXC(_xlfn._xlws.FILTER($H$3:$H$15, ISNUMBER($H$3:$H$15)),H10)*100</f>
        <v>64.2</v>
      </c>
      <c r="AB10" s="4" cm="1">
        <f t="array" ref="AB10">_xlfn.PERCENTRANK.EXC(_xlfn._xlws.FILTER($J$3:$J$15, ISNUMBER($J$3:$J$15)),J10)*100</f>
        <v>92.800000000000011</v>
      </c>
      <c r="AC10" s="4">
        <f t="shared" si="6"/>
        <v>92.800000000000011</v>
      </c>
      <c r="AD10" s="4">
        <f t="shared" si="7"/>
        <v>71.399999999999991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5</v>
      </c>
      <c r="AK10" s="4"/>
    </row>
    <row r="11" spans="1:37" hidden="1" x14ac:dyDescent="0.3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37" t="e">
        <f>VLOOKUP(C11,#REF!,5,FALSE)</f>
        <v>#REF!</v>
      </c>
      <c r="E11" cm="1">
        <f t="array" ref="E11">_xll.FDS(C11,"FMA_COS_UP(""EPS"",""1M"",+1,0,,,""PORTAGG"",""MEANR"")")</f>
        <v>204</v>
      </c>
      <c r="F11" cm="1">
        <f t="array" ref="F11">_xll.FDS(C11,"FMA_COS_DOWN(""EPS"",""1M"",+1,0,,,""PORTAGG"",""MEANR"")")</f>
        <v>154</v>
      </c>
      <c r="G11" cm="1">
        <f t="array" ref="G11">_xll.FDS(A11,"SIZE(FG_CONSTITUENTS)")</f>
        <v>504</v>
      </c>
      <c r="H11" s="8">
        <f t="shared" si="0"/>
        <v>0.40476190476190477</v>
      </c>
      <c r="I11" s="8">
        <f t="shared" si="1"/>
        <v>0.30555555555555558</v>
      </c>
      <c r="J11" s="8">
        <f t="shared" si="2"/>
        <v>9.9206349206349187E-2</v>
      </c>
      <c r="K11" s="5" cm="1">
        <f t="array" ref="K11">_xll.FDS(A11,"FMA_PCT_ABOVE_MAVG(200,0,,,,""PORTAGG"")")/100</f>
        <v>0.68525896414342602</v>
      </c>
      <c r="L11" s="19" cm="1">
        <f t="array" ref="L11">_xll.FDSB(A11,"PERCENT_CHANGE(FMA_EPS(+1,0,,,,""PORTAGG"",""MEAN""),FMA_EPS(+1,-1AM,,,,""PORTAGG"",""MEAN""))")</f>
        <v>-0.44254459923573197</v>
      </c>
      <c r="M11" s="19" cm="1">
        <f t="array" ref="M11">_xll.FDSB(A11,"PERCENT_CHANGE(FMA_EPS(+1,0,,,,""PORTAGG"",""MEAN""),FMA_EPS(+1,-3AM,,,,""PORTAGG"",""MEAN""))")</f>
        <v>-1.36402561754431</v>
      </c>
      <c r="O11" s="3" cm="1">
        <f t="array" ref="O11">_xll.FDS(C11,"FG_TOTAL_RETURNC(0,-3AM)")</f>
        <v>15.784895000000001</v>
      </c>
      <c r="P11" s="3" cm="1">
        <f t="array" ref="P11">_xll.FDS(C11,"FG_TOTAL_RETURNC(0,-6AM)")</f>
        <v>8.0471280000000007</v>
      </c>
      <c r="Q11" s="8" cm="1">
        <f t="array" ref="Q11">_xll.FDS(C11,"P_PRICE(0)/P_PRICE_HIGH_PR(0,,,USD,,,""PRICE"",""INTRA"",""52W"")")</f>
        <v>0.99925803999999996</v>
      </c>
      <c r="R11" s="8" cm="1">
        <f t="array" ref="R11">_xll.FDS(C11,"P_PRICE(0)/P_PRICE_low_PR(0,,,USD,,,""PRICE"",""INTRA"",""52W"")-1")</f>
        <v>0.27376854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64.2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78.5</v>
      </c>
      <c r="AB11" s="4" cm="1">
        <f t="array" ref="AB11">_xlfn.PERCENTRANK.EXC(_xlfn._xlws.FILTER($J$3:$J$15, ISNUMBER($J$3:$J$15)),J11)*100</f>
        <v>78.5</v>
      </c>
      <c r="AC11" s="4">
        <f t="shared" si="6"/>
        <v>85.7</v>
      </c>
      <c r="AD11" s="4">
        <f t="shared" si="7"/>
        <v>42.8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5</v>
      </c>
      <c r="AK11" s="4"/>
    </row>
    <row r="12" spans="1:37" hidden="1" x14ac:dyDescent="0.3">
      <c r="A12" t="s">
        <v>141</v>
      </c>
      <c r="B12" t="str" cm="1">
        <f t="array" ref="B12">_xll.FDS(A12,"FG_COMPANY_NAME")</f>
        <v>iShares MSCI France ETF</v>
      </c>
      <c r="C12" t="s">
        <v>141</v>
      </c>
      <c r="D12" s="37" t="e">
        <f>VLOOKUP(C12,#REF!,5,FALSE)</f>
        <v>#REF!</v>
      </c>
      <c r="E12" cm="1">
        <f t="array" ref="E12">_xll.FDS(C12,"FMA_COS_UP(""EPS"",""1M"",+1,0,,,""PORTAGG"",""MEANR"")")</f>
        <v>20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63</v>
      </c>
      <c r="H12" s="8">
        <f t="shared" ref="H12:H15" si="9">E12/$G12</f>
        <v>0.31746031746031744</v>
      </c>
      <c r="I12" s="8">
        <f t="shared" ref="I12:I15" si="10">F12/$G12</f>
        <v>0.46031746031746029</v>
      </c>
      <c r="J12" s="8">
        <f t="shared" ref="J12:J15" si="11">H12-I12</f>
        <v>-0.14285714285714285</v>
      </c>
      <c r="K12" s="5" cm="1">
        <f t="array" ref="K12">_xll.FDS(A12,"FMA_PCT_ABOVE_MAVG(200,0,,,,""PORTAGG"")")/100</f>
        <v>0.66129032258064502</v>
      </c>
      <c r="L12" s="19" cm="1">
        <f t="array" ref="L12">_xll.FDSB(A12,"PERCENT_CHANGE(FMA_EPS(+1,0,,,,""PORTAGG"",""MEAN""),FMA_EPS(+1,-1AM,,,,""PORTAGG"",""MEAN""))")</f>
        <v>-1.8415322564576699</v>
      </c>
      <c r="M12" s="19" cm="1">
        <f t="array" ref="M12">_xll.FDSB(A12,"PERCENT_CHANGE(FMA_EPS(+1,0,,,,""PORTAGG"",""MEAN""),FMA_EPS(+1,-3AM,,,,""PORTAGG"",""MEAN""))")</f>
        <v>-1.42206542985628</v>
      </c>
      <c r="O12" s="3" cm="1">
        <f t="array" ref="O12">_xll.FDS(C12,"FG_TOTAL_RETURNC(0,-3AM)")</f>
        <v>10.739887</v>
      </c>
      <c r="P12" s="3" cm="1">
        <f t="array" ref="P12">_xll.FDS(C12,"FG_TOTAL_RETURNC(0,-6AM)")</f>
        <v>-3.6116480000000002</v>
      </c>
      <c r="Q12" s="8" cm="1">
        <f t="array" ref="Q12">_xll.FDS(C12,"P_PRICE(0)/P_PRICE_HIGH_PR(0,,,USD,,,""PRICE"",""INTRA"",""52W"")")</f>
        <v>0.94518139999999995</v>
      </c>
      <c r="R12" s="8" cm="1">
        <f t="array" ref="R12">_xll.FDS(C12,"P_PRICE(0)/P_PRICE_low_PR(0,,,USD,,,""PRICE"",""INTRA"",""52W"")-1")</f>
        <v>0.121806264</v>
      </c>
      <c r="T12" s="4" cm="1">
        <f t="array" ref="T12">_xlfn.PERCENTRANK.EXC(_xlfn._xlws.FILTER($R$3:$R$15, ISNUMBER($R$3:$R$15)),R12)*100</f>
        <v>21.4</v>
      </c>
      <c r="U12" s="4">
        <f t="shared" ref="U12:U15" si="12">100-T12</f>
        <v>78.599999999999994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21.4</v>
      </c>
      <c r="X12" s="4" cm="1">
        <f t="array" ref="X12">_xlfn.PERCENTRANK.EXC(_xlfn._xlws.FILTER($P$3:$P$15, ISNUMBER($P$3:$P$15)),P12)*100</f>
        <v>14.2</v>
      </c>
      <c r="Z12" s="4" cm="1">
        <f t="array" ref="Z12">_xlfn.PERCENTRANK.EXC(_xlfn._xlws.FILTER($K$3:$K$15, ISNUMBER($K$3:$K$15)),K12)*100</f>
        <v>57.099999999999994</v>
      </c>
      <c r="AA12" s="4" cm="1">
        <f t="array" ref="AA12">_xlfn.PERCENTRANK.EXC(_xlfn._xlws.FILTER($H$3:$H$15, ISNUMBER($H$3:$H$15)),H12)*100</f>
        <v>57.099999999999994</v>
      </c>
      <c r="AB12" s="4" cm="1">
        <f t="array" ref="AB12">_xlfn.PERCENTRANK.EXC(_xlfn._xlws.FILTER($J$3:$J$15, ISNUMBER($J$3:$J$15)),J12)*100</f>
        <v>35.699999999999996</v>
      </c>
      <c r="AC12" s="4">
        <f t="shared" si="6"/>
        <v>35.699999999999996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">
      <c r="A13" t="s">
        <v>143</v>
      </c>
      <c r="B13" t="str" cm="1">
        <f t="array" ref="B13">_xll.FDS(A13,"FG_COMPANY_NAME")</f>
        <v>iShares MSCI Netherlands ETF</v>
      </c>
      <c r="C13" t="s">
        <v>143</v>
      </c>
      <c r="D13" s="37" t="e">
        <f>VLOOKUP(C13,#REF!,5,FALSE)</f>
        <v>#REF!</v>
      </c>
      <c r="E13" cm="1">
        <f t="array" ref="E13">_xll.FDS(C13,"FMA_COS_UP(""EPS"",""1M"",+1,0,,,""PORTAGG"",""MEANR"")")</f>
        <v>13</v>
      </c>
      <c r="F13" cm="1">
        <f t="array" ref="F13">_xll.FDS(C13,"FMA_COS_DOWN(""EPS"",""1M"",+1,0,,,""PORTAGG"",""MEANR"")")</f>
        <v>24</v>
      </c>
      <c r="G13" cm="1">
        <f t="array" ref="G13">_xll.FDS(A13,"SIZE(FG_CONSTITUENTS)")</f>
        <v>55</v>
      </c>
      <c r="H13" s="8">
        <f t="shared" si="9"/>
        <v>0.23636363636363636</v>
      </c>
      <c r="I13" s="8">
        <f t="shared" si="10"/>
        <v>0.43636363636363634</v>
      </c>
      <c r="J13" s="8">
        <f t="shared" si="11"/>
        <v>-0.19999999999999998</v>
      </c>
      <c r="K13" s="5" cm="1">
        <f t="array" ref="K13">_xll.FDS(A13,"FMA_PCT_ABOVE_MAVG(200,0,,,,""PORTAGG"")")/100</f>
        <v>0.45283018867924496</v>
      </c>
      <c r="L13" s="19" cm="1">
        <f t="array" ref="L13">_xll.FDSB(A13,"PERCENT_CHANGE(FMA_EPS(+1,0,,,,""PORTAGG"",""MEAN""),FMA_EPS(+1,-1AM,,,,""PORTAGG"",""MEAN""))")</f>
        <v>-0.96797768047536203</v>
      </c>
      <c r="M13" s="19" cm="1">
        <f t="array" ref="M13">_xll.FDSB(A13,"PERCENT_CHANGE(FMA_EPS(+1,0,,,,""PORTAGG"",""MEAN""),FMA_EPS(+1,-3AM,,,,""PORTAGG"",""MEAN""))")</f>
        <v>1.2667841733908001</v>
      </c>
      <c r="O13" s="3" cm="1">
        <f t="array" ref="O13">_xll.FDS(C13,"FG_TOTAL_RETURNC(0,-3AM)")</f>
        <v>20.905363000000001</v>
      </c>
      <c r="P13" s="3" cm="1">
        <f t="array" ref="P13">_xll.FDS(C13,"FG_TOTAL_RETURNC(0,-6AM)")</f>
        <v>0.95994469999999998</v>
      </c>
      <c r="Q13" s="8" cm="1">
        <f t="array" ref="Q13">_xll.FDS(C13,"P_PRICE(0)/P_PRICE_HIGH_PR(0,,,USD,,,""PRICE"",""INTRA"",""52W"")")</f>
        <v>0.96952426000000003</v>
      </c>
      <c r="R13" s="8" cm="1">
        <f t="array" ref="R13">_xll.FDS(C13,"P_PRICE(0)/P_PRICE_low_PR(0,,,USD,,,""PRICE"",""INTRA"",""52W"")-1")</f>
        <v>0.21851754000000001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64.2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42.8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21.4</v>
      </c>
      <c r="AC13" s="4">
        <f t="shared" si="6"/>
        <v>78.5</v>
      </c>
      <c r="AD13" s="4">
        <f t="shared" si="7"/>
        <v>78.5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1</v>
      </c>
    </row>
    <row r="14" spans="1:37" hidden="1" x14ac:dyDescent="0.3">
      <c r="A14" t="s">
        <v>140</v>
      </c>
      <c r="B14" t="str" cm="1">
        <f t="array" ref="B14">_xll.FDS(A14,"FG_COMPANY_NAME")</f>
        <v>iShares MSCI Sweden ETF</v>
      </c>
      <c r="C14" t="s">
        <v>140</v>
      </c>
      <c r="D14" s="37" t="e">
        <f>VLOOKUP(C14,#REF!,5,FALSE)</f>
        <v>#REF!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20</v>
      </c>
      <c r="G14" cm="1">
        <f t="array" ref="G14">_xll.FDS(A14,"SIZE(FG_CONSTITUENTS)")</f>
        <v>45</v>
      </c>
      <c r="H14" s="8">
        <f t="shared" si="9"/>
        <v>0.24444444444444444</v>
      </c>
      <c r="I14" s="8">
        <f t="shared" si="10"/>
        <v>0.44444444444444442</v>
      </c>
      <c r="J14" s="8">
        <f t="shared" si="11"/>
        <v>-0.19999999999999998</v>
      </c>
      <c r="K14" s="5" cm="1">
        <f t="array" ref="K14">_xll.FDS(A14,"FMA_PCT_ABOVE_MAVG(200,0,,,,""PORTAGG"")")/100</f>
        <v>0.6744186046511631</v>
      </c>
      <c r="L14" s="19" cm="1">
        <f t="array" ref="L14">_xll.FDSB(A14,"PERCENT_CHANGE(FMA_EPS(+1,0,,,,""PORTAGG"",""MEAN""),FMA_EPS(+1,-1AM,,,,""PORTAGG"",""MEAN""))")</f>
        <v>-5.3065807900556097</v>
      </c>
      <c r="M14" s="19" cm="1">
        <f t="array" ref="M14">_xll.FDSB(A14,"PERCENT_CHANGE(FMA_EPS(+1,0,,,,""PORTAGG"",""MEAN""),FMA_EPS(+1,-3AM,,,,""PORTAGG"",""MEAN""))")</f>
        <v>-5.9942378115971104</v>
      </c>
      <c r="O14" s="3" cm="1">
        <f t="array" ref="O14">_xll.FDS(C14,"FG_TOTAL_RETURNC(0,-3AM)")</f>
        <v>19.769881999999999</v>
      </c>
      <c r="P14" s="3" cm="1">
        <f t="array" ref="P14">_xll.FDS(C14,"FG_TOTAL_RETURNC(0,-6AM)")</f>
        <v>5.4470299999999998</v>
      </c>
      <c r="Q14" s="8" cm="1">
        <f t="array" ref="Q14">_xll.FDS(C14,"P_PRICE(0)/P_PRICE_HIGH_PR(0,,,USD,,,""PRICE"",""INTRA"",""52W"")")</f>
        <v>0.92010826000000001</v>
      </c>
      <c r="R14" s="8" cm="1">
        <f t="array" ref="R14">_xll.FDS(C14,"P_PRICE(0)/P_PRICE_low_PR(0,,,USD,,,""PRICE"",""INTRA"",""52W"")-1")</f>
        <v>0.20026076000000001</v>
      </c>
      <c r="T14" s="4" cm="1">
        <f t="array" ref="T14">_xlfn.PERCENTRANK.EXC(_xlfn._xlws.FILTER($R$3:$R$15, ISNUMBER($R$3:$R$15)),R14)*100</f>
        <v>64.2</v>
      </c>
      <c r="U14" s="4">
        <f t="shared" si="12"/>
        <v>35.799999999999997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85.7</v>
      </c>
      <c r="X14" s="4" cm="1">
        <f t="array" ref="X14">_xlfn.PERCENTRANK.EXC(_xlfn._xlws.FILTER($P$3:$P$15, ISNUMBER($P$3:$P$15)),P14)*100</f>
        <v>71.399999999999991</v>
      </c>
      <c r="Z14" s="4" cm="1">
        <f t="array" ref="Z14">_xlfn.PERCENTRANK.EXC(_xlfn._xlws.FILTER($K$3:$K$15, ISNUMBER($K$3:$K$15)),K14)*100</f>
        <v>64.2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21.4</v>
      </c>
      <c r="AC14" s="4">
        <f t="shared" si="6"/>
        <v>7.1</v>
      </c>
      <c r="AD14" s="4">
        <f t="shared" si="7"/>
        <v>14.2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">
      <c r="A15" t="s">
        <v>142</v>
      </c>
      <c r="B15" t="str" cm="1">
        <f t="array" ref="B15">_xll.FDS(A15,"FG_COMPANY_NAME")</f>
        <v>iShares MSCI Italy ETF</v>
      </c>
      <c r="C15" t="s">
        <v>142</v>
      </c>
      <c r="D15" s="37" t="e">
        <f>VLOOKUP(C15,#REF!,5,FALSE)</f>
        <v>#REF!</v>
      </c>
      <c r="E15" cm="1">
        <f t="array" ref="E15">_xll.FDS(C15,"FMA_COS_UP(""EPS"",""1M"",+1,0,,,""PORTAGG"",""MEANR"")")</f>
        <v>8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8">
        <f t="shared" si="9"/>
        <v>0.30769230769230771</v>
      </c>
      <c r="I15" s="8">
        <f t="shared" si="10"/>
        <v>0.42307692307692307</v>
      </c>
      <c r="J15" s="8">
        <f t="shared" si="11"/>
        <v>-0.11538461538461536</v>
      </c>
      <c r="K15" s="5" cm="1">
        <f t="array" ref="K15">_xll.FDS(A15,"FMA_PCT_ABOVE_MAVG(200,0,,,,""PORTAGG"")")/100</f>
        <v>0.76</v>
      </c>
      <c r="L15" s="19" cm="1">
        <f t="array" ref="L15">_xll.FDSB(A15,"PERCENT_CHANGE(FMA_EPS(+1,0,,,,""PORTAGG"",""MEAN""),FMA_EPS(+1,-1AM,,,,""PORTAGG"",""MEAN""))")</f>
        <v>-1.75707811783771</v>
      </c>
      <c r="M15" s="19" cm="1">
        <f t="array" ref="M15">_xll.FDSB(A15,"PERCENT_CHANGE(FMA_EPS(+1,0,,,,""PORTAGG"",""MEAN""),FMA_EPS(+1,-3AM,,,,""PORTAGG"",""MEAN""))")</f>
        <v>-0.23026345203514001</v>
      </c>
      <c r="O15" s="3" cm="1">
        <f t="array" ref="O15">_xll.FDS(C15,"FG_TOTAL_RETURNC(0,-3AM)")</f>
        <v>12.565875</v>
      </c>
      <c r="P15" s="3" cm="1">
        <f t="array" ref="P15">_xll.FDS(C15,"FG_TOTAL_RETURNC(0,-6AM)")</f>
        <v>1.5688419</v>
      </c>
      <c r="Q15" s="8" cm="1">
        <f t="array" ref="Q15">_xll.FDS(C15,"P_PRICE(0)/P_PRICE_HIGH_PR(0,,,USD,,,""PRICE"",""INTRA"",""52W"")")</f>
        <v>0.96441080000000001</v>
      </c>
      <c r="R15" s="8" cm="1">
        <f t="array" ref="R15">_xll.FDS(C15,"P_PRICE(0)/P_PRICE_low_PR(0,,,USD,,,""PRICE"",""INTRA"",""52W"")-1")</f>
        <v>0.18792676999999999</v>
      </c>
      <c r="T15" s="4" cm="1">
        <f t="array" ref="T15">_xlfn.PERCENTRANK.EXC(_xlfn._xlws.FILTER($R$3:$R$15, ISNUMBER($R$3:$R$15)),R15)*100</f>
        <v>57.099999999999994</v>
      </c>
      <c r="U15" s="4">
        <f t="shared" si="12"/>
        <v>42.900000000000006</v>
      </c>
      <c r="V15" s="4" cm="1">
        <f t="array" ref="V15">_xlfn.PERCENTRANK.EXC(_xlfn._xlws.FILTER($Q$3:$Q$15, ISNUMBER($Q$3:$Q$15)),Q15)*100</f>
        <v>50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50</v>
      </c>
      <c r="Z15" s="4" cm="1">
        <f t="array" ref="Z15">_xlfn.PERCENTRANK.EXC(_xlfn._xlws.FILTER($K$3:$K$15, ISNUMBER($K$3:$K$15)),K15)*100</f>
        <v>85.7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42.8</v>
      </c>
      <c r="AC15" s="4">
        <f t="shared" si="6"/>
        <v>50</v>
      </c>
      <c r="AD15" s="4">
        <f t="shared" si="7"/>
        <v>57.099999999999994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">
      <c r="H16" s="8"/>
      <c r="I16" s="8"/>
      <c r="J16" s="8"/>
      <c r="K16" s="5"/>
      <c r="L16" s="19"/>
      <c r="M16" s="19"/>
      <c r="O16" s="3"/>
      <c r="Q16" s="8"/>
      <c r="R16" s="8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">
      <c r="A17" s="1" t="s">
        <v>88</v>
      </c>
      <c r="H17" s="8"/>
      <c r="I17" s="8"/>
      <c r="J17" s="8"/>
      <c r="K17" s="5"/>
      <c r="L17" s="19"/>
      <c r="M17" s="19"/>
      <c r="O17" s="3"/>
      <c r="Q17" s="8"/>
      <c r="R17" s="8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">
      <c r="A18" t="s">
        <v>71</v>
      </c>
      <c r="B18" t="s">
        <v>42</v>
      </c>
      <c r="C18" t="str">
        <f>A18</f>
        <v>VGK</v>
      </c>
      <c r="E18" cm="1">
        <f t="array" ref="E18">_xll.FDS(C18,"FMA_COS_UP(""EPS"",""1M"",+1,0,,,""PORTAGG"",""MEANR"")")</f>
        <v>383</v>
      </c>
      <c r="F18" cm="1">
        <f t="array" ref="F18">_xll.FDS(C18,"FMA_COS_DOWN(""EPS"",""1M"",+1,0,,,""PORTAGG"",""MEANR"")")</f>
        <v>379</v>
      </c>
      <c r="G18" cm="1">
        <f t="array" ref="G18">_xll.FDS(A18,"SIZE(FG_CONSTITUENTS)")</f>
        <v>1294</v>
      </c>
      <c r="H18" s="8">
        <f>E18/$G18</f>
        <v>0.29598145285935085</v>
      </c>
      <c r="I18" s="8">
        <f>F18/$G18</f>
        <v>0.2928902627511592</v>
      </c>
      <c r="J18" s="8">
        <f t="shared" ref="J18" si="15">H18-I18</f>
        <v>3.0911901081916437E-3</v>
      </c>
      <c r="K18" s="5" cm="1">
        <f t="array" ref="K18">_xll.FDS(A18,"FMA_PCT_ABOVE_MAVG(200,0,,,,""PORTAGG"")")/100</f>
        <v>0.64544025157232698</v>
      </c>
      <c r="L18" s="19" cm="1">
        <f t="array" ref="L18">_xll.FDSB(A18,"PERCENT_CHANGE(FMA_EPS(+1,0,,,,""PORTAGG"",""MEAN""),FMA_EPS(+1,-1AM,,,,""PORTAGG"",""MEAN""))")</f>
        <v>-0.27959135033297</v>
      </c>
      <c r="M18" s="19" cm="1">
        <f t="array" ref="M18">_xll.FDSB(A18,"PERCENT_CHANGE(FMA_EPS(+1,0,,,,""PORTAGG"",""MEAN""),FMA_EPS(+1,-3AM,,,,""PORTAGG"",""MEAN""))")</f>
        <v>2.1311108790279101</v>
      </c>
      <c r="O18" s="3" cm="1">
        <f t="array" ref="O18">_xll.FDS(C18,"FG_TOTAL_RETURNC(0,-3AM)")</f>
        <v>12.124072999999999</v>
      </c>
      <c r="P18" s="3" cm="1">
        <f t="array" ref="P18">_xll.FDS(C18,"FG_TOTAL_RETURNC(0,-6AM)")</f>
        <v>-0.38306712999999998</v>
      </c>
      <c r="Q18" s="8" cm="1">
        <f t="array" ref="Q18">_xll.FDS(C18,"P_PRICE(0)/P_PRICE_HIGH_PR(0,,,USD,,,""PRICE"",""INTRA"",""52W"")")</f>
        <v>0.96202725</v>
      </c>
      <c r="R18" s="8" cm="1">
        <f t="array" ref="R18">_xll.FDS(C18,"P_PRICE(0)/P_PRICE_low_PR(0,,,USD,,,""PRICE"",""INTRA"",""52W"")-1")</f>
        <v>0.13421726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">
      <c r="A19" t="s">
        <v>4</v>
      </c>
      <c r="B19" t="s">
        <v>87</v>
      </c>
      <c r="C19" t="str">
        <f>A19</f>
        <v>VWO</v>
      </c>
      <c r="E19" cm="1">
        <f t="array" ref="E19">_xll.FDS(C19,"FMA_COS_UP(""EPS"",""1M"",+1,0,,,""PORTAGG"",""MEANR"")")</f>
        <v>728</v>
      </c>
      <c r="F19" cm="1">
        <f t="array" ref="F19">_xll.FDS(C19,"FMA_COS_DOWN(""EPS"",""1M"",+1,0,,,""PORTAGG"",""MEANR"")")</f>
        <v>1280</v>
      </c>
      <c r="G19" cm="1">
        <f t="array" ref="G19">_xll.FDS(A19,"SIZE(FG_CONSTITUENTS)")</f>
        <v>4695</v>
      </c>
      <c r="H19" s="8">
        <f>E19/$G19</f>
        <v>0.15505857294994674</v>
      </c>
      <c r="I19" s="8">
        <f>F19/$G19</f>
        <v>0.27263045793397234</v>
      </c>
      <c r="J19" s="8">
        <f t="shared" ref="J19" si="16">H19-I19</f>
        <v>-0.1175718849840256</v>
      </c>
      <c r="K19" s="5" cm="1">
        <f t="array" ref="K19">_xll.FDS(A19,"FMA_PCT_ABOVE_MAVG(200,0,,,,""PORTAGG"")")/100</f>
        <v>0.43137254901960803</v>
      </c>
      <c r="L19" s="19" cm="1">
        <f t="array" ref="L19">_xll.FDSB(A19,"PERCENT_CHANGE(FMA_EPS(+1,0,,,,""PORTAGG"",""MEAN""),FMA_EPS(+1,-1AM,,,,""PORTAGG"",""MEAN""))")</f>
        <v>-2.1283591583763299</v>
      </c>
      <c r="M19" s="19" cm="1">
        <f t="array" ref="M19">_xll.FDSB(A19,"PERCENT_CHANGE(FMA_EPS(+1,0,,,,""PORTAGG"",""MEAN""),FMA_EPS(+1,-3AM,,,,""PORTAGG"",""MEAN""))")</f>
        <v>0.30510366224765501</v>
      </c>
      <c r="O19" s="3" cm="1">
        <f t="array" ref="O19">_xll.FDS(C19,"FG_TOTAL_RETURNC(0,-3AM)")</f>
        <v>6.7972064000000003</v>
      </c>
      <c r="P19" s="3" cm="1">
        <f t="array" ref="P19">_xll.FDS(C19,"FG_TOTAL_RETURNC(0,-6AM)")</f>
        <v>-1.4993668</v>
      </c>
      <c r="Q19" s="8" cm="1">
        <f t="array" ref="Q19">_xll.FDS(C19,"P_PRICE(0)/P_PRICE_HIGH_PR(0,,,USD,,,""PRICE"",""INTRA"",""52W"")")</f>
        <v>0.91496010000000005</v>
      </c>
      <c r="R19" s="8" cm="1">
        <f t="array" ref="R19">_xll.FDS(C19,"P_PRICE(0)/P_PRICE_low_PR(0,,,USD,,,""PRICE"",""INTRA"",""52W"")-1")</f>
        <v>5.5666804E-2</v>
      </c>
    </row>
    <row r="20" spans="1:35" x14ac:dyDescent="0.3">
      <c r="A20" t="s">
        <v>89</v>
      </c>
      <c r="B20" t="s">
        <v>90</v>
      </c>
      <c r="C20" t="str">
        <f t="shared" ref="C20" si="17">A20</f>
        <v>URTH</v>
      </c>
      <c r="E20" cm="1">
        <f t="array" ref="E20">_xll.FDS(C20,"FMA_COS_UP(""EPS"",""1M"",+1,0,,,""PORTAGG"",""MEANR"")")</f>
        <v>535</v>
      </c>
      <c r="F20" cm="1">
        <f t="array" ref="F20">_xll.FDS(C20,"FMA_COS_DOWN(""EPS"",""1M"",+1,0,,,""PORTAGG"",""MEANR"")")</f>
        <v>583</v>
      </c>
      <c r="G20" cm="1">
        <f t="array" ref="G20">_xll.FDS(A20,"SIZE(FG_CONSTITUENTS)")</f>
        <v>1484</v>
      </c>
      <c r="H20" s="8">
        <f t="shared" ref="H20" si="18">E20/$G20</f>
        <v>0.36051212938005389</v>
      </c>
      <c r="I20" s="8">
        <f t="shared" ref="I20" si="19">F20/$G20</f>
        <v>0.39285714285714285</v>
      </c>
      <c r="J20" s="8">
        <f t="shared" ref="J20" si="20">H20-I20</f>
        <v>-3.2345013477088957E-2</v>
      </c>
      <c r="K20" s="5" cm="1">
        <f t="array" ref="K20">_xll.FDS(A20,"FMA_PCT_ABOVE_MAVG(200,0,,,,""PORTAGG"")")/100</f>
        <v>0.64116452268111002</v>
      </c>
      <c r="L20" s="19" cm="1">
        <f t="array" ref="L20">_xll.FDSB(A20,"PERCENT_CHANGE(FMA_EPS(+1,0,,,,""PORTAGG"",""MEAN""),FMA_EPS(+1,-1AM,,,,""PORTAGG"",""MEAN""))")</f>
        <v>-1.06217986937887</v>
      </c>
      <c r="M20" s="19" cm="1">
        <f t="array" ref="M20">_xll.FDSB(A20,"PERCENT_CHANGE(FMA_EPS(+1,0,,,,""PORTAGG"",""MEAN""),FMA_EPS(+1,-3AM,,,,""PORTAGG"",""MEAN""))")</f>
        <v>-0.82338929659776505</v>
      </c>
      <c r="O20" s="3" cm="1">
        <f t="array" ref="O20">_xll.FDS(C20,"FG_TOTAL_RETURNC(0,-3AM)")</f>
        <v>15.087986000000001</v>
      </c>
      <c r="P20" s="3" cm="1">
        <f t="array" ref="P20">_xll.FDS(C20,"FG_TOTAL_RETURNC(0,-6AM)")</f>
        <v>6.1447143999999998</v>
      </c>
      <c r="Q20" s="8" cm="1">
        <f t="array" ref="Q20">_xll.FDS(C20,"P_PRICE(0)/P_PRICE_HIGH_PR(0,,,USD,,,""PRICE"",""INTRA"",""52W"")")</f>
        <v>0.99813929999999995</v>
      </c>
      <c r="R20" s="8" cm="1">
        <f t="array" ref="R20">_xll.FDS(C20,"P_PRICE(0)/P_PRICE_low_PR(0,,,USD,,,""PRICE"",""INTRA"",""52W"")-1")</f>
        <v>0.22497259999999999</v>
      </c>
    </row>
    <row r="21" spans="1:35" x14ac:dyDescent="0.3">
      <c r="A21" t="s">
        <v>12</v>
      </c>
      <c r="B21" t="s">
        <v>80</v>
      </c>
      <c r="C21" t="str">
        <f t="shared" ref="C21:C22" si="21">A21</f>
        <v>EWJ</v>
      </c>
      <c r="E21" cm="1">
        <f t="array" ref="E21">_xll.FDS(C21,"FMA_COS_UP(""EPS"",""1M"",+1,0,,,""PORTAGG"",""MEANR"")")</f>
        <v>90</v>
      </c>
      <c r="F21" cm="1">
        <f t="array" ref="F21">_xll.FDS(C21,"FMA_COS_DOWN(""EPS"",""1M"",+1,0,,,""PORTAGG"",""MEANR"")")</f>
        <v>95</v>
      </c>
      <c r="G21" cm="1">
        <f t="array" ref="G21">_xll.FDS(A21,"SIZE(FG_CONSTITUENTS)")</f>
        <v>226</v>
      </c>
      <c r="H21" s="8">
        <f t="shared" ref="H21:H22" si="22">E21/$G21</f>
        <v>0.39823008849557523</v>
      </c>
      <c r="I21" s="8">
        <f t="shared" ref="I21:I22" si="23">F21/$G21</f>
        <v>0.42035398230088494</v>
      </c>
      <c r="J21" s="8">
        <f t="shared" ref="J21:J22" si="24">H21-I21</f>
        <v>-2.2123893805309713E-2</v>
      </c>
      <c r="K21" s="5" cm="1">
        <f t="array" ref="K21">_xll.FDS(A21,"FMA_PCT_ABOVE_MAVG(200,0,,,,""PORTAGG"")")/100</f>
        <v>0.73893805309734506</v>
      </c>
      <c r="L21" s="19" cm="1">
        <f t="array" ref="L21">_xll.FDSB(A21,"PERCENT_CHANGE(FMA_EPS(+1,0,,,,""PORTAGG"",""MEAN""),FMA_EPS(+1,-1AM,,,,""PORTAGG"",""MEAN""))")</f>
        <v>-2.9468898510982902</v>
      </c>
      <c r="M21" s="19" cm="1">
        <f t="array" ref="M21">_xll.FDSB(A21,"PERCENT_CHANGE(FMA_EPS(+1,0,,,,""PORTAGG"",""MEAN""),FMA_EPS(+1,-3AM,,,,""PORTAGG"",""MEAN""))")</f>
        <v>3.7069581306352801</v>
      </c>
      <c r="O21" s="3" cm="1">
        <f t="array" ref="O21">_xll.FDS(C21,"FG_TOTAL_RETURNC(0,-3AM)")</f>
        <v>15.574287999999999</v>
      </c>
      <c r="P21" s="3" cm="1">
        <f t="array" ref="P21">_xll.FDS(C21,"FG_TOTAL_RETURNC(0,-6AM)")</f>
        <v>7.3891043999999999</v>
      </c>
      <c r="Q21" s="8" cm="1">
        <f t="array" ref="Q21">_xll.FDS(C21,"P_PRICE(0)/P_PRICE_HIGH_PR(0,,,USD,,,""PRICE"",""INTRA"",""52W"")")</f>
        <v>0.98863124999999996</v>
      </c>
      <c r="R21" s="8" cm="1">
        <f t="array" ref="R21">_xll.FDS(C21,"P_PRICE(0)/P_PRICE_low_PR(0,,,USD,,,""PRICE"",""INTRA"",""52W"")-1")</f>
        <v>0.21143793999999999</v>
      </c>
    </row>
    <row r="22" spans="1:35" x14ac:dyDescent="0.3">
      <c r="A22" t="s">
        <v>1</v>
      </c>
      <c r="B22" t="s">
        <v>35</v>
      </c>
      <c r="C22" t="str">
        <f t="shared" si="21"/>
        <v>SPY</v>
      </c>
      <c r="E22" cm="1">
        <f t="array" ref="E22">_xll.FDS(C22,"FMA_COS_UP(""EPS"",""1M"",+1,0,,,""PORTAGG"",""MEANR"")")</f>
        <v>204</v>
      </c>
      <c r="F22" cm="1">
        <f t="array" ref="F22">_xll.FDS(C22,"FMA_COS_DOWN(""EPS"",""1M"",+1,0,,,""PORTAGG"",""MEANR"")")</f>
        <v>154</v>
      </c>
      <c r="G22" cm="1">
        <f t="array" ref="G22">_xll.FDS(A22,"SIZE(FG_CONSTITUENTS)")</f>
        <v>504</v>
      </c>
      <c r="H22" s="8">
        <f t="shared" si="22"/>
        <v>0.40476190476190477</v>
      </c>
      <c r="I22" s="8">
        <f t="shared" si="23"/>
        <v>0.30555555555555558</v>
      </c>
      <c r="J22" s="8">
        <f t="shared" si="24"/>
        <v>9.9206349206349187E-2</v>
      </c>
      <c r="K22" s="5" cm="1">
        <f t="array" ref="K22">_xll.FDS(A22,"FMA_PCT_ABOVE_MAVG(200,0,,,,""PORTAGG"")")/100</f>
        <v>0.68525896414342602</v>
      </c>
      <c r="L22" s="19" cm="1">
        <f t="array" ref="L22">_xll.FDSB(A22,"PERCENT_CHANGE(FMA_EPS(+1,0,,,,""PORTAGG"",""MEAN""),FMA_EPS(+1,-1AM,,,,""PORTAGG"",""MEAN""))")</f>
        <v>-0.44254459923573197</v>
      </c>
      <c r="M22" s="19" cm="1">
        <f t="array" ref="M22">_xll.FDSB(A22,"PERCENT_CHANGE(FMA_EPS(+1,0,,,,""PORTAGG"",""MEAN""),FMA_EPS(+1,-3AM,,,,""PORTAGG"",""MEAN""))")</f>
        <v>-1.36402561754431</v>
      </c>
      <c r="O22" s="3" cm="1">
        <f t="array" ref="O22">_xll.FDS(C22,"FG_TOTAL_RETURNC(0,-3AM)")</f>
        <v>15.784895000000001</v>
      </c>
      <c r="P22" s="3" cm="1">
        <f t="array" ref="P22">_xll.FDS(C22,"FG_TOTAL_RETURNC(0,-6AM)")</f>
        <v>8.0471280000000007</v>
      </c>
      <c r="Q22" s="8" cm="1">
        <f t="array" ref="Q22">_xll.FDS(C22,"P_PRICE(0)/P_PRICE_HIGH_PR(0,,,USD,,,""PRICE"",""INTRA"",""52W"")")</f>
        <v>0.99925803999999996</v>
      </c>
      <c r="R22" s="8" cm="1">
        <f t="array" ref="R22">_xll.FDS(C22,"P_PRICE(0)/P_PRICE_low_PR(0,,,USD,,,""PRICE"",""INTRA"",""52W"")-1")</f>
        <v>0.27376854</v>
      </c>
    </row>
    <row r="23" spans="1:35" x14ac:dyDescent="0.3">
      <c r="A23" t="s">
        <v>9</v>
      </c>
      <c r="B23" t="s">
        <v>184</v>
      </c>
      <c r="C23" t="str">
        <f t="shared" ref="C23:C27" si="25">A23</f>
        <v>INDA</v>
      </c>
      <c r="E23" cm="1">
        <f t="array" ref="E23">_xll.FDS(C23,"FMA_COS_UP(""EPS"",""1M"",+1,0,,,""PORTAGG"",""MEANR"")")</f>
        <v>41</v>
      </c>
      <c r="F23" cm="1">
        <f t="array" ref="F23">_xll.FDS(C23,"FMA_COS_DOWN(""EPS"",""1M"",+1,0,,,""PORTAGG"",""MEANR"")")</f>
        <v>67</v>
      </c>
      <c r="G23" cm="1">
        <f t="array" ref="G23">_xll.FDS(A23,"SIZE(FG_CONSTITUENTS)")</f>
        <v>133</v>
      </c>
      <c r="H23" s="8">
        <f t="shared" ref="H23" si="26">E23/$G23</f>
        <v>0.30827067669172931</v>
      </c>
      <c r="I23" s="8">
        <f t="shared" ref="I23" si="27">F23/$G23</f>
        <v>0.50375939849624063</v>
      </c>
      <c r="J23" s="8">
        <f t="shared" ref="J23" si="28">H23-I23</f>
        <v>-0.19548872180451132</v>
      </c>
      <c r="K23" s="5" cm="1">
        <f t="array" ref="K23">_xll.FDS(A23,"FMA_PCT_ABOVE_MAVG(200,0,,,,""PORTAGG"")")/100</f>
        <v>0.85496183206106902</v>
      </c>
      <c r="L23" s="19" cm="1">
        <f t="array" ref="L23">_xll.FDSB(A23,"PERCENT_CHANGE(FMA_EPS(+1,0,,,,""PORTAGG"",""MEAN""),FMA_EPS(+1,-1AM,,,,""PORTAGG"",""MEAN""))")</f>
        <v>-0.44517270420535399</v>
      </c>
      <c r="M23" s="19" cm="1">
        <f t="array" ref="M23">_xll.FDSB(A23,"PERCENT_CHANGE(FMA_EPS(+1,0,,,,""PORTAGG"",""MEAN""),FMA_EPS(+1,-3AM,,,,""PORTAGG"",""MEAN""))")</f>
        <v>-1.11868298443792</v>
      </c>
      <c r="O23" s="3" cm="1">
        <f t="array" ref="O23">_xll.FDS(C23,"FG_TOTAL_RETURNC(0,-3AM)")</f>
        <v>11.600184</v>
      </c>
      <c r="P23" s="3" cm="1">
        <f t="array" ref="P23">_xll.FDS(C23,"FG_TOTAL_RETURNC(0,-6AM)")</f>
        <v>9.7385040000000007</v>
      </c>
      <c r="Q23" s="8" cm="1">
        <f t="array" ref="Q23">_xll.FDS(C23,"P_PRICE(0)/P_PRICE_HIGH_PR(0,,,USD,,,""PRICE"",""INTRA"",""52W"")")</f>
        <v>0.9697211</v>
      </c>
      <c r="R23" s="8" cm="1">
        <f t="array" ref="R23">_xll.FDS(C23,"P_PRICE(0)/P_PRICE_low_PR(0,,,USD,,,""PRICE"",""INTRA"",""52W"")-1")</f>
        <v>0.28902422999999999</v>
      </c>
    </row>
    <row r="24" spans="1:35" x14ac:dyDescent="0.3">
      <c r="A24" t="s">
        <v>161</v>
      </c>
      <c r="C24" t="str">
        <f t="shared" si="25"/>
        <v>EMXC</v>
      </c>
      <c r="E24" cm="1">
        <f t="array" ref="E24">_xll.FDS(C24,"FMA_COS_UP(""EPS"",""1M"",+1,0,,,""PORTAGG"",""MEANR"")")</f>
        <v>227</v>
      </c>
      <c r="F24" cm="1">
        <f t="array" ref="F24">_xll.FDS(C24,"FMA_COS_DOWN(""EPS"",""1M"",+1,0,,,""PORTAGG"",""MEANR"")")</f>
        <v>273</v>
      </c>
      <c r="G24" cm="1">
        <f t="array" ref="G24">_xll.FDS(A24,"SIZE(FG_CONSTITUENTS)")</f>
        <v>701</v>
      </c>
      <c r="H24" s="8">
        <f t="shared" ref="H24" si="29">E24/$G24</f>
        <v>0.32382310984308132</v>
      </c>
      <c r="I24" s="8">
        <f t="shared" ref="I24" si="30">F24/$G24</f>
        <v>0.38944365192582026</v>
      </c>
      <c r="J24" s="8">
        <f t="shared" ref="J24" si="31">H24-I24</f>
        <v>-6.5620542082738931E-2</v>
      </c>
      <c r="K24" s="5" cm="1">
        <f t="array" ref="K24">_xll.FDS(A24,"FMA_PCT_ABOVE_MAVG(200,0,,,,""PORTAGG"")")/100</f>
        <v>0.58456973293768499</v>
      </c>
      <c r="L24" s="19" cm="1">
        <f t="array" ref="L24">_xll.FDSB(A24,"PERCENT_CHANGE(FMA_EPS(+1,0,,,,""PORTAGG"",""MEAN""),FMA_EPS(+1,-1AM,,,,""PORTAGG"",""MEAN""))")</f>
        <v>-1.0390962617399899</v>
      </c>
      <c r="M24" s="19" cm="1">
        <f t="array" ref="M24">_xll.FDSB(A24,"PERCENT_CHANGE(FMA_EPS(+1,0,,,,""PORTAGG"",""MEAN""),FMA_EPS(+1,-3AM,,,,""PORTAGG"",""MEAN""))")</f>
        <v>0.48596381032184199</v>
      </c>
      <c r="O24" s="3" cm="1">
        <f t="array" ref="O24">_xll.FDS(C24,"FG_TOTAL_RETURNC(0,-3AM)")</f>
        <v>11.757016</v>
      </c>
      <c r="P24" s="3" cm="1">
        <f t="array" ref="P24">_xll.FDS(C24,"FG_TOTAL_RETURNC(0,-6AM)")</f>
        <v>2.2006511999999998</v>
      </c>
      <c r="Q24" s="8" cm="1">
        <f t="array" ref="Q24">_xll.FDS(C24,"P_PRICE(0)/P_PRICE_HIGH_PR(0,,,USD,,,""PRICE"",""INTRA"",""52W"")")</f>
        <v>0.96429217</v>
      </c>
      <c r="R24" s="8" cm="1">
        <f t="array" ref="R24">_xll.FDS(C24,"P_PRICE(0)/P_PRICE_low_PR(0,,,USD,,,""PRICE"",""INTRA"",""52W"")-1")</f>
        <v>0.15644503000000001</v>
      </c>
    </row>
    <row r="25" spans="1:35" x14ac:dyDescent="0.3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39</v>
      </c>
      <c r="F25" cm="1">
        <f t="array" ref="F25">_xll.FDS(C25,"FMA_COS_DOWN(""EPS"",""1M"",+1,0,,,""PORTAGG"",""MEANR"")")</f>
        <v>23</v>
      </c>
      <c r="G25" cm="1">
        <f t="array" ref="G25">_xll.FDS(A25,"SIZE(FG_CONSTITUENTS)")</f>
        <v>102</v>
      </c>
      <c r="H25" s="8">
        <f t="shared" ref="H25:H27" si="32">E25/$G25</f>
        <v>0.38235294117647056</v>
      </c>
      <c r="I25" s="8">
        <f t="shared" ref="I25:I27" si="33">F25/$G25</f>
        <v>0.22549019607843138</v>
      </c>
      <c r="J25" s="8">
        <f t="shared" ref="J25:J27" si="34">H25-I25</f>
        <v>0.15686274509803919</v>
      </c>
      <c r="K25" s="5" cm="1">
        <f t="array" ref="K25">_xll.FDS(A25,"FMA_PCT_ABOVE_MAVG(200,0,,,,""PORTAGG"")")/100</f>
        <v>0.80392156862745101</v>
      </c>
      <c r="L25" s="19" cm="1">
        <f t="array" ref="L25">_xll.FDSB(A25,"PERCENT_CHANGE(FMA_EPS(+1,0,,,,""PORTAGG"",""MEAN""),FMA_EPS(+1,-1AM,,,,""PORTAGG"",""MEAN""))")</f>
        <v>1.38182180655791E-2</v>
      </c>
      <c r="M25" s="19" cm="1">
        <f t="array" ref="M25">_xll.FDSB(A25,"PERCENT_CHANGE(FMA_EPS(+1,0,,,,""PORTAGG"",""MEAN""),FMA_EPS(+1,-3AM,,,,""PORTAGG"",""MEAN""))")</f>
        <v>1.23012472805758</v>
      </c>
      <c r="O25" s="3" cm="1">
        <f t="array" ref="O25">_xll.FDS(C25,"FG_TOTAL_RETURNC(0,-3AM)")</f>
        <v>19.364405000000001</v>
      </c>
      <c r="P25" s="3" cm="1">
        <f t="array" ref="P25">_xll.FDS(C25,"FG_TOTAL_RETURNC(0,-6AM)")</f>
        <v>13.184988000000001</v>
      </c>
      <c r="Q25" s="8" cm="1">
        <f t="array" ref="Q25">_xll.FDS(C25,"P_PRICE(0)/P_PRICE_HIGH_PR(0,,,USD,,,""PRICE"",""INTRA"",""52W"")")</f>
        <v>0.99706280000000003</v>
      </c>
      <c r="R25" s="8" cm="1">
        <f t="array" ref="R25">_xll.FDS(C25,"P_PRICE(0)/P_PRICE_low_PR(0,,,USD,,,""PRICE"",""INTRA"",""52W"")-1")</f>
        <v>0.50608160000000002</v>
      </c>
    </row>
    <row r="26" spans="1:35" ht="15" customHeight="1" x14ac:dyDescent="0.3">
      <c r="A26" t="s">
        <v>175</v>
      </c>
      <c r="C26" t="str">
        <f t="shared" si="25"/>
        <v>IWM</v>
      </c>
      <c r="E26" cm="1">
        <f t="array" ref="E26">_xll.FDS(C26,"FMA_COS_UP(""EPS"",""1M"",+1,0,,,""PORTAGG"",""MEANR"")")</f>
        <v>340</v>
      </c>
      <c r="F26" cm="1">
        <f t="array" ref="F26">_xll.FDS(C26,"FMA_COS_DOWN(""EPS"",""1M"",+1,0,,,""PORTAGG"",""MEANR"")")</f>
        <v>351</v>
      </c>
      <c r="G26" cm="1">
        <f t="array" ref="G26">_xll.FDS(A26,"SIZE(FG_CONSTITUENTS)")</f>
        <v>1956</v>
      </c>
      <c r="H26" s="8">
        <f t="shared" si="32"/>
        <v>0.17382413087934559</v>
      </c>
      <c r="I26" s="8">
        <f t="shared" si="33"/>
        <v>0.17944785276073619</v>
      </c>
      <c r="J26" s="8">
        <f t="shared" si="34"/>
        <v>-5.6237218813905976E-3</v>
      </c>
      <c r="K26" s="5" cm="1">
        <f t="array" ref="K26">_xll.FDS(A26,"FMA_PCT_ABOVE_MAVG(200,0,,,,""PORTAGG"")")/100</f>
        <v>0.59090909090909105</v>
      </c>
      <c r="L26" s="19" cm="1">
        <f t="array" ref="L26">_xll.FDSB(A26,"PERCENT_CHANGE(FMA_EPS(+1,0,,,,""PORTAGG"",""MEAN""),FMA_EPS(+1,-1AM,,,,""PORTAGG"",""MEAN""))")</f>
        <v>-1.7151023823871701</v>
      </c>
      <c r="M26" s="19" cm="1">
        <f t="array" ref="M26">_xll.FDSB(A26,"PERCENT_CHANGE(FMA_EPS(+1,0,,,,""PORTAGG"",""MEAN""),FMA_EPS(+1,-3AM,,,,""PORTAGG"",""MEAN""))")</f>
        <v>-9.2529134965196196</v>
      </c>
      <c r="O26" s="3" cm="1">
        <f t="array" ref="O26">_xll.FDS(C26,"FG_TOTAL_RETURNC(0,-3AM)")</f>
        <v>19.192112000000002</v>
      </c>
      <c r="P26" s="3" cm="1">
        <f t="array" ref="P26">_xll.FDS(C26,"FG_TOTAL_RETURNC(0,-6AM)")</f>
        <v>1.6341686</v>
      </c>
      <c r="Q26" s="8" cm="1">
        <f t="array" ref="Q26">_xll.FDS(C26,"P_PRICE(0)/P_PRICE_HIGH_PR(0,,,USD,,,""PRICE"",""INTRA"",""52W"")")</f>
        <v>0.95367170000000001</v>
      </c>
      <c r="R26" s="8" cm="1">
        <f t="array" ref="R26">_xll.FDS(C26,"P_PRICE(0)/P_PRICE_low_PR(0,,,USD,,,""PRICE"",""INTRA"",""52W"")-1")</f>
        <v>0.21216059000000001</v>
      </c>
    </row>
    <row r="27" spans="1:35" ht="15" customHeight="1" x14ac:dyDescent="0.3">
      <c r="A27" t="s">
        <v>153</v>
      </c>
      <c r="B27" t="s">
        <v>76</v>
      </c>
      <c r="C27" t="str">
        <f t="shared" si="25"/>
        <v>FXI</v>
      </c>
      <c r="E27" cm="1">
        <f t="array" ref="E27">_xll.FDS(C27,"FMA_COS_UP(""EPS"",""1M"",+1,0,,,""PORTAGG"",""MEANR"")")</f>
        <v>17</v>
      </c>
      <c r="F27" cm="1">
        <f t="array" ref="F27">_xll.FDS(C27,"FMA_COS_DOWN(""EPS"",""1M"",+1,0,,,""PORTAGG"",""MEANR"")")</f>
        <v>23</v>
      </c>
      <c r="G27" cm="1">
        <f t="array" ref="G27">_xll.FDS(A27,"SIZE(FG_CONSTITUENTS)")</f>
        <v>51</v>
      </c>
      <c r="H27" s="8">
        <f t="shared" si="32"/>
        <v>0.33333333333333331</v>
      </c>
      <c r="I27" s="8">
        <f t="shared" si="33"/>
        <v>0.45098039215686275</v>
      </c>
      <c r="J27" s="8">
        <f t="shared" si="34"/>
        <v>-0.11764705882352944</v>
      </c>
      <c r="K27" s="5" cm="1">
        <f t="array" ref="K27">_xll.FDS(A27,"FMA_PCT_ABOVE_MAVG(200,0,,,,""PORTAGG"")")/100</f>
        <v>7.8431372549019593E-2</v>
      </c>
      <c r="L27" s="19" cm="1">
        <f t="array" ref="L27">_xll.FDSB(A27,"PERCENT_CHANGE(FMA_EPS(+1,0,,,,""PORTAGG"",""MEAN""),FMA_EPS(+1,-1AM,,,,""PORTAGG"",""MEAN""))")</f>
        <v>-3.4293468122563699</v>
      </c>
      <c r="M27" s="19" cm="1">
        <f t="array" ref="M27">_xll.FDSB(A27,"PERCENT_CHANGE(FMA_EPS(+1,0,,,,""PORTAGG"",""MEAN""),FMA_EPS(+1,-3AM,,,,""PORTAGG"",""MEAN""))")</f>
        <v>-5.32816672786005</v>
      </c>
      <c r="O27" s="3" cm="1">
        <f t="array" ref="O27">_xll.FDS(C27,"FG_TOTAL_RETURNC(0,-3AM)")</f>
        <v>-10.113943000000001</v>
      </c>
      <c r="P27" s="3" cm="1">
        <f t="array" ref="P27">_xll.FDS(C27,"FG_TOTAL_RETURNC(0,-6AM)")</f>
        <v>-17.826832</v>
      </c>
      <c r="Q27" s="8" cm="1">
        <f t="array" ref="Q27">_xll.FDS(C27,"P_PRICE(0)/P_PRICE_HIGH_PR(0,,,USD,,,""PRICE"",""INTRA"",""52W"")")</f>
        <v>0.66247195000000003</v>
      </c>
      <c r="R27" s="8" cm="1">
        <f t="array" ref="R27">_xll.FDS(C27,"P_PRICE(0)/P_PRICE_low_PR(0,,,USD,,,""PRICE"",""INTRA"",""52W"")-1")</f>
        <v>5.9923289999999997E-2</v>
      </c>
    </row>
    <row r="28" spans="1:35" ht="15" customHeight="1" x14ac:dyDescent="0.3">
      <c r="E28" s="21"/>
      <c r="F28" s="21"/>
      <c r="Q28" s="8"/>
      <c r="R28" s="8"/>
    </row>
    <row r="29" spans="1:35" ht="15" customHeight="1" x14ac:dyDescent="0.3">
      <c r="C29" s="1"/>
      <c r="D29" s="1"/>
      <c r="E29" s="21"/>
      <c r="F29" s="21"/>
      <c r="Q29" s="8"/>
      <c r="R29" s="8"/>
    </row>
    <row r="30" spans="1:35" ht="15" customHeight="1" x14ac:dyDescent="0.3">
      <c r="E30" s="21"/>
      <c r="F30" s="21"/>
      <c r="Q30" s="8"/>
      <c r="R30" s="8"/>
    </row>
    <row r="31" spans="1:35" ht="15" customHeight="1" x14ac:dyDescent="0.3">
      <c r="E31" s="21"/>
      <c r="F31" s="21"/>
      <c r="Q31" s="8"/>
      <c r="R31" s="8"/>
    </row>
    <row r="32" spans="1:35" ht="15" customHeight="1" x14ac:dyDescent="0.3">
      <c r="E32" s="21"/>
      <c r="F32" s="21"/>
      <c r="Q32" s="8"/>
      <c r="R32" s="8"/>
    </row>
    <row r="33" spans="3:18" ht="15" customHeight="1" x14ac:dyDescent="0.3">
      <c r="E33" s="21"/>
      <c r="F33" s="21"/>
      <c r="P33" s="1"/>
      <c r="Q33" s="8"/>
      <c r="R33" s="8"/>
    </row>
    <row r="34" spans="3:18" ht="15" customHeight="1" x14ac:dyDescent="0.3">
      <c r="E34" s="21"/>
      <c r="F34" s="21"/>
      <c r="Q34" s="8"/>
      <c r="R34" s="8"/>
    </row>
    <row r="35" spans="3:18" ht="15" customHeight="1" x14ac:dyDescent="0.3">
      <c r="E35" s="21"/>
      <c r="F35" s="21"/>
      <c r="Q35" s="8"/>
      <c r="R35" s="8"/>
    </row>
    <row r="36" spans="3:18" ht="15" customHeight="1" x14ac:dyDescent="0.3">
      <c r="C36" s="1"/>
      <c r="D36" s="1"/>
      <c r="E36" s="21"/>
      <c r="F36" s="21"/>
      <c r="Q36" s="8"/>
      <c r="R36" s="8"/>
    </row>
    <row r="37" spans="3:18" ht="15" customHeight="1" x14ac:dyDescent="0.3">
      <c r="E37" s="21"/>
      <c r="F37" s="21"/>
      <c r="Q37" s="8"/>
      <c r="R37" s="8"/>
    </row>
    <row r="38" spans="3:18" ht="15" customHeight="1" x14ac:dyDescent="0.3">
      <c r="E38" s="21"/>
      <c r="F38" s="21"/>
      <c r="Q38" s="8"/>
      <c r="R38" s="8"/>
    </row>
    <row r="39" spans="3:18" ht="15" customHeight="1" x14ac:dyDescent="0.3">
      <c r="E39" s="21"/>
      <c r="F39" s="21"/>
      <c r="Q39" s="8"/>
      <c r="R39" s="8"/>
    </row>
    <row r="40" spans="3:18" ht="15" customHeight="1" x14ac:dyDescent="0.3">
      <c r="E40" s="21"/>
      <c r="F40" s="21"/>
      <c r="Q40" s="8"/>
      <c r="R40" s="8"/>
    </row>
    <row r="41" spans="3:18" ht="15" customHeight="1" x14ac:dyDescent="0.3">
      <c r="C41" s="1"/>
      <c r="D41" s="1"/>
      <c r="E41" s="21"/>
      <c r="F41" s="21"/>
      <c r="Q41" s="8"/>
      <c r="R41" s="8"/>
    </row>
    <row r="42" spans="3:18" ht="15" customHeight="1" x14ac:dyDescent="0.3">
      <c r="E42" s="21"/>
      <c r="F42" s="21"/>
      <c r="Q42" s="8"/>
      <c r="R42" s="8"/>
    </row>
    <row r="43" spans="3:18" ht="15" customHeight="1" x14ac:dyDescent="0.3">
      <c r="E43" s="21"/>
      <c r="F43" s="21"/>
      <c r="Q43" s="8"/>
      <c r="R43" s="8"/>
    </row>
    <row r="44" spans="3:18" ht="15" customHeight="1" x14ac:dyDescent="0.3">
      <c r="E44" s="21"/>
      <c r="F44" s="21"/>
      <c r="Q44" s="8"/>
      <c r="R44" s="8"/>
    </row>
    <row r="45" spans="3:18" ht="15" customHeight="1" x14ac:dyDescent="0.3">
      <c r="E45" s="21"/>
      <c r="F45" s="21"/>
      <c r="Q45" s="8"/>
      <c r="R45" s="8"/>
    </row>
    <row r="46" spans="3:18" ht="15" customHeight="1" x14ac:dyDescent="0.3">
      <c r="C46" s="1"/>
      <c r="D46" s="1"/>
      <c r="E46" s="21"/>
      <c r="F46" s="21"/>
      <c r="Q46" s="8"/>
      <c r="R46" s="8"/>
    </row>
    <row r="47" spans="3:18" ht="15" customHeight="1" x14ac:dyDescent="0.3">
      <c r="C47" s="1"/>
      <c r="D47" s="1"/>
      <c r="E47" s="21"/>
      <c r="F47" s="21"/>
    </row>
    <row r="48" spans="3:18" ht="15" customHeight="1" x14ac:dyDescent="0.3">
      <c r="E48" s="21"/>
      <c r="F48" s="21"/>
    </row>
    <row r="49" spans="5:7" ht="15" customHeight="1" x14ac:dyDescent="0.3">
      <c r="E49" s="21"/>
      <c r="F49" s="21"/>
    </row>
    <row r="50" spans="5:7" ht="15" customHeight="1" x14ac:dyDescent="0.3">
      <c r="E50" s="22"/>
      <c r="F50" s="22"/>
      <c r="G50" s="1"/>
    </row>
    <row r="51" spans="5:7" ht="15" customHeight="1" x14ac:dyDescent="0.3">
      <c r="E51" s="21"/>
      <c r="F51" s="21"/>
    </row>
    <row r="52" spans="5:7" ht="15" customHeight="1" x14ac:dyDescent="0.3">
      <c r="E52" s="21"/>
      <c r="F52" s="21"/>
    </row>
    <row r="53" spans="5:7" ht="15" customHeight="1" x14ac:dyDescent="0.3">
      <c r="E53" s="21"/>
      <c r="F53" s="21"/>
    </row>
    <row r="54" spans="5:7" ht="15" customHeight="1" x14ac:dyDescent="0.3">
      <c r="E54" s="21"/>
      <c r="F54" s="21"/>
    </row>
    <row r="55" spans="5:7" ht="15" customHeight="1" x14ac:dyDescent="0.3">
      <c r="E55" s="21"/>
      <c r="F55" s="21"/>
    </row>
    <row r="56" spans="5:7" ht="15" customHeight="1" x14ac:dyDescent="0.3">
      <c r="E56" s="21"/>
      <c r="F56" s="21"/>
    </row>
    <row r="57" spans="5:7" ht="15" customHeight="1" x14ac:dyDescent="0.3">
      <c r="E57" s="21"/>
      <c r="F57" s="21"/>
    </row>
    <row r="58" spans="5:7" ht="15" customHeight="1" x14ac:dyDescent="0.3">
      <c r="E58" s="22"/>
      <c r="F58" s="22"/>
      <c r="G58" s="1"/>
    </row>
    <row r="59" spans="5:7" ht="15" customHeight="1" x14ac:dyDescent="0.3">
      <c r="E59" s="21"/>
      <c r="F59" s="21"/>
    </row>
    <row r="60" spans="5:7" ht="15" customHeight="1" x14ac:dyDescent="0.3">
      <c r="E60" s="21"/>
      <c r="F60" s="21"/>
    </row>
    <row r="61" spans="5:7" ht="15" customHeight="1" x14ac:dyDescent="0.3">
      <c r="E61" s="21"/>
      <c r="F61" s="21"/>
    </row>
    <row r="62" spans="5:7" ht="15" customHeight="1" x14ac:dyDescent="0.3">
      <c r="E62" s="21"/>
      <c r="F62" s="21"/>
    </row>
    <row r="63" spans="5:7" ht="15" customHeight="1" x14ac:dyDescent="0.3">
      <c r="E63" s="21"/>
      <c r="F63" s="21"/>
    </row>
    <row r="64" spans="5:7" ht="15" customHeight="1" x14ac:dyDescent="0.3">
      <c r="E64" s="21"/>
      <c r="F64" s="21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workbookViewId="0">
      <selection activeCell="D4" sqref="D4"/>
    </sheetView>
  </sheetViews>
  <sheetFormatPr defaultRowHeight="14.4" x14ac:dyDescent="0.3"/>
  <cols>
    <col min="3" max="3" width="45.6640625" customWidth="1"/>
    <col min="4" max="4" width="14.5546875" customWidth="1"/>
    <col min="5" max="5" width="10.88671875" customWidth="1"/>
    <col min="6" max="7" width="8.44140625" customWidth="1"/>
    <col min="8" max="8" width="24.109375" customWidth="1"/>
    <col min="9" max="9" width="20.44140625" customWidth="1"/>
    <col min="10" max="10" width="24.33203125" bestFit="1" customWidth="1"/>
    <col min="11" max="11" width="13.44140625" customWidth="1"/>
    <col min="12" max="12" width="14.33203125" customWidth="1"/>
    <col min="13" max="13" width="15.6640625" customWidth="1"/>
    <col min="14" max="14" width="12.33203125" customWidth="1"/>
    <col min="16" max="16" width="9.6640625" customWidth="1"/>
  </cols>
  <sheetData>
    <row r="1" spans="2:18" ht="57.6" x14ac:dyDescent="0.3">
      <c r="L1" t="s">
        <v>69</v>
      </c>
      <c r="M1" t="s">
        <v>68</v>
      </c>
      <c r="N1" s="26" t="s">
        <v>59</v>
      </c>
      <c r="P1" s="26" t="s">
        <v>58</v>
      </c>
    </row>
    <row r="2" spans="2:18" x14ac:dyDescent="0.3">
      <c r="L2" s="6" t="e">
        <f>#REF!</f>
        <v>#REF!</v>
      </c>
      <c r="M2" s="6" t="e">
        <f>#REF!</f>
        <v>#REF!</v>
      </c>
      <c r="N2" s="6" t="e">
        <f>#REF!</f>
        <v>#REF!</v>
      </c>
    </row>
    <row r="3" spans="2:18" x14ac:dyDescent="0.3">
      <c r="D3" t="s">
        <v>56</v>
      </c>
      <c r="E3" s="24" t="s">
        <v>32</v>
      </c>
      <c r="H3" t="s">
        <v>57</v>
      </c>
      <c r="I3" t="s">
        <v>33</v>
      </c>
      <c r="J3" s="1"/>
      <c r="P3" t="s">
        <v>70</v>
      </c>
      <c r="R3" t="s">
        <v>95</v>
      </c>
    </row>
    <row r="4" spans="2:18" x14ac:dyDescent="0.3">
      <c r="B4" t="s">
        <v>60</v>
      </c>
      <c r="C4" t="str" cm="1">
        <f t="array" ref="C4">_xll.FDS(B4,"FG_COMPANY_NAME")</f>
        <v>iShares MSCI New Zealand ETF</v>
      </c>
      <c r="D4" s="8" t="e">
        <f>HLOOKUP(B4,'Monthly Returns'!$A$1:$O$134, 127, FALSE)</f>
        <v>#N/A</v>
      </c>
      <c r="E4" s="8" t="e">
        <f>HLOOKUP(B4,'Monthly Returns'!$A$1:$O$134, 132, FALSE)</f>
        <v>#N/A</v>
      </c>
      <c r="H4" s="8" t="e">
        <f>HLOOKUP(B4,'Yearly returns'!$B$1:$N$140, 133, FALSE)</f>
        <v>#N/A</v>
      </c>
      <c r="I4" s="8" t="e">
        <f>HLOOKUP(B4,'Yearly returns'!$B$1:$N$140, 138, FALSE)</f>
        <v>#N/A</v>
      </c>
      <c r="L4" s="25" t="e">
        <f>(1-PERCENTRANK($E$4:$E$16,E4))*100</f>
        <v>#N/A</v>
      </c>
      <c r="M4" s="25" t="e">
        <f>(1-PERCENTRANK($H$4:$H$16,H4))*100</f>
        <v>#N/A</v>
      </c>
      <c r="N4" s="25" t="e">
        <f>(1-PERCENTRANK($I$4:$I$16,I4))*100</f>
        <v>#N/A</v>
      </c>
      <c r="P4" t="e">
        <f>L4*#REF! + M4*#REF! + N4*#REF!</f>
        <v>#N/A</v>
      </c>
      <c r="R4" t="e" cm="1" vm="1">
        <f t="array" ref="R4">_xlfn.PERCENTRANK.EXC(_xlfn._xlws.FILTER(P$4:P$16, ISNUMBER(P$4:P$16)),P4)*100</f>
        <v>#VALUE!</v>
      </c>
    </row>
    <row r="5" spans="2:18" x14ac:dyDescent="0.3">
      <c r="B5" t="s">
        <v>11</v>
      </c>
      <c r="C5" t="str" cm="1">
        <f t="array" ref="C5">_xll.FDS(B5,"FG_COMPANY_NAME")</f>
        <v>iShares MSCI Australia ETF</v>
      </c>
      <c r="D5" s="8" t="e">
        <f>HLOOKUP(B5,'Monthly Returns'!$A$1:$O$134, 127, FALSE)</f>
        <v>#N/A</v>
      </c>
      <c r="E5" s="8" t="e">
        <f>HLOOKUP(B5,'Monthly Returns'!$A$1:$O$134, 132, FALSE)</f>
        <v>#N/A</v>
      </c>
      <c r="H5" s="8" t="e">
        <f>HLOOKUP(B5,'Yearly returns'!$B$1:$N$140, 133, FALSE)</f>
        <v>#N/A</v>
      </c>
      <c r="I5" s="8" t="e">
        <f>HLOOKUP(B5,'Yearly returns'!$B$1:$N$140, 138, FALSE)</f>
        <v>#N/A</v>
      </c>
      <c r="L5" s="25" t="e">
        <f t="shared" ref="L5:L16" si="0">(1-PERCENTRANK($E$4:$E$16,E5))*100</f>
        <v>#N/A</v>
      </c>
      <c r="M5" s="25" t="e">
        <f t="shared" ref="M5:M16" si="1">(1-PERCENTRANK($H$4:$H$16,H5))*100</f>
        <v>#N/A</v>
      </c>
      <c r="N5" s="25" t="e">
        <f t="shared" ref="N5:N16" si="2">(1-PERCENTRANK($I$4:$I$16,I5))*100</f>
        <v>#N/A</v>
      </c>
      <c r="P5" t="e">
        <f>L5*#REF! + M5*#REF! + N5*#REF!</f>
        <v>#N/A</v>
      </c>
      <c r="R5" t="e" cm="1" vm="1">
        <f t="array" ref="R5">_xlfn.PERCENTRANK.EXC(_xlfn._xlws.FILTER(P$4:P$16, ISNUMBER(P$4:P$16)),P5)*100</f>
        <v>#VALUE!</v>
      </c>
    </row>
    <row r="6" spans="2:18" x14ac:dyDescent="0.3">
      <c r="B6" t="s">
        <v>14</v>
      </c>
      <c r="C6" t="str" cm="1">
        <f t="array" ref="C6">_xll.FDS(B6,"FG_COMPANY_NAME")</f>
        <v>iShares MSCI Canada ETF</v>
      </c>
      <c r="D6" s="8" t="e">
        <f>HLOOKUP(B6,'Monthly Returns'!$A$1:$O$134, 127, FALSE)</f>
        <v>#N/A</v>
      </c>
      <c r="E6" s="8" t="e">
        <f>HLOOKUP(B6,'Monthly Returns'!$A$1:$O$134, 132, FALSE)</f>
        <v>#N/A</v>
      </c>
      <c r="H6" s="8" t="e">
        <f>HLOOKUP(B6,'Yearly returns'!$B$1:$N$140, 133, FALSE)</f>
        <v>#N/A</v>
      </c>
      <c r="I6" s="8" t="e">
        <f>HLOOKUP(B6,'Yearly returns'!$B$1:$N$140, 138, FALSE)</f>
        <v>#N/A</v>
      </c>
      <c r="L6" s="25" t="e">
        <f t="shared" si="0"/>
        <v>#N/A</v>
      </c>
      <c r="M6" s="25" t="e">
        <f t="shared" si="1"/>
        <v>#N/A</v>
      </c>
      <c r="N6" s="25" t="e">
        <f t="shared" si="2"/>
        <v>#N/A</v>
      </c>
      <c r="P6" t="e">
        <f>L6*#REF! + M6*#REF! + N6*#REF!</f>
        <v>#N/A</v>
      </c>
      <c r="R6" t="e" cm="1" vm="1">
        <f t="array" ref="R6">_xlfn.PERCENTRANK.EXC(_xlfn._xlws.FILTER(P$4:P$16, ISNUMBER(P$4:P$16)),P6)*100</f>
        <v>#VALUE!</v>
      </c>
    </row>
    <row r="7" spans="2:18" x14ac:dyDescent="0.3">
      <c r="B7" t="s">
        <v>6</v>
      </c>
      <c r="C7" t="str" cm="1">
        <f t="array" ref="C7">_xll.FDS(B7,"FG_COMPANY_NAME")</f>
        <v>iShares MSCI Germany ETF</v>
      </c>
      <c r="D7" s="8" t="e">
        <f>HLOOKUP(B7,'Monthly Returns'!$A$1:$O$134, 127, FALSE)</f>
        <v>#N/A</v>
      </c>
      <c r="E7" s="8" t="e">
        <f>HLOOKUP(B7,'Monthly Returns'!$A$1:$O$134, 132, FALSE)</f>
        <v>#N/A</v>
      </c>
      <c r="H7" s="8" t="e">
        <f>HLOOKUP(B7,'Yearly returns'!$B$1:$N$140, 133, FALSE)</f>
        <v>#N/A</v>
      </c>
      <c r="I7" s="8" t="e">
        <f>HLOOKUP(B7,'Yearly returns'!$B$1:$N$140, 138, FALSE)</f>
        <v>#N/A</v>
      </c>
      <c r="L7" s="25" t="e">
        <f t="shared" si="0"/>
        <v>#N/A</v>
      </c>
      <c r="M7" s="25" t="e">
        <f t="shared" si="1"/>
        <v>#N/A</v>
      </c>
      <c r="N7" s="25" t="e">
        <f t="shared" si="2"/>
        <v>#N/A</v>
      </c>
      <c r="P7" t="e">
        <f>L7*#REF! + M7*#REF! + N7*#REF!</f>
        <v>#N/A</v>
      </c>
      <c r="R7" t="e" cm="1" vm="1">
        <f t="array" ref="R7">_xlfn.PERCENTRANK.EXC(_xlfn._xlws.FILTER(P$4:P$16, ISNUMBER(P$4:P$16)),P7)*100</f>
        <v>#VALUE!</v>
      </c>
    </row>
    <row r="8" spans="2:18" x14ac:dyDescent="0.3">
      <c r="B8" t="s">
        <v>12</v>
      </c>
      <c r="C8" t="str" cm="1">
        <f t="array" ref="C8">_xll.FDS(B8,"FG_COMPANY_NAME")</f>
        <v>iShares MSCI Japan ETF</v>
      </c>
      <c r="D8" s="8">
        <f>HLOOKUP(B8,'Monthly Returns'!$A$1:$O$134, 127, FALSE)</f>
        <v>-0.21172523000000001</v>
      </c>
      <c r="E8" s="8">
        <f>HLOOKUP(B8,'Monthly Returns'!$A$1:$O$134, 132, FALSE)</f>
        <v>0</v>
      </c>
      <c r="H8" s="8">
        <f>HLOOKUP(B8,'Yearly returns'!$B$1:$N$140, 133, FALSE)</f>
        <v>0</v>
      </c>
      <c r="I8" s="8">
        <f>HLOOKUP(B8,'Yearly returns'!$B$1:$N$140, 138, FALSE)</f>
        <v>0.80300000000000005</v>
      </c>
      <c r="L8" s="25" t="e">
        <f t="shared" si="0"/>
        <v>#N/A</v>
      </c>
      <c r="M8" s="25" t="e">
        <f t="shared" si="1"/>
        <v>#N/A</v>
      </c>
      <c r="N8" s="25" t="e">
        <f t="shared" si="2"/>
        <v>#N/A</v>
      </c>
      <c r="P8" t="e">
        <f>L8*#REF! + M8*#REF! + N8*#REF!</f>
        <v>#N/A</v>
      </c>
      <c r="R8" t="e" cm="1" vm="1">
        <f t="array" ref="R8">_xlfn.PERCENTRANK.EXC(_xlfn._xlws.FILTER(P$4:P$16, ISNUMBER(P$4:P$16)),P8)*100</f>
        <v>#VALUE!</v>
      </c>
    </row>
    <row r="9" spans="2:18" x14ac:dyDescent="0.3">
      <c r="B9" t="s">
        <v>10</v>
      </c>
      <c r="C9" t="str" cm="1">
        <f t="array" ref="C9">_xll.FDS(B9,"FG_COMPANY_NAME")</f>
        <v>iShares MSCI Switzerland ETF</v>
      </c>
      <c r="D9" s="8" t="e">
        <f>HLOOKUP(B9,'Monthly Returns'!$A$1:$O$134, 127, FALSE)</f>
        <v>#N/A</v>
      </c>
      <c r="E9" s="8" t="e">
        <f>HLOOKUP(B9,'Monthly Returns'!$A$1:$O$134, 132, FALSE)</f>
        <v>#N/A</v>
      </c>
      <c r="H9" s="8" t="e">
        <f>HLOOKUP(B9,'Yearly returns'!$B$1:$N$140, 133, FALSE)</f>
        <v>#N/A</v>
      </c>
      <c r="I9" s="8" t="e">
        <f>HLOOKUP(B9,'Yearly returns'!$B$1:$N$140, 138, FALSE)</f>
        <v>#N/A</v>
      </c>
      <c r="L9" s="25" t="e">
        <f t="shared" si="0"/>
        <v>#N/A</v>
      </c>
      <c r="M9" s="25" t="e">
        <f t="shared" si="1"/>
        <v>#N/A</v>
      </c>
      <c r="N9" s="25" t="e">
        <f t="shared" si="2"/>
        <v>#N/A</v>
      </c>
      <c r="P9" t="e">
        <f>L9*#REF! + M9*#REF! + N9*#REF!</f>
        <v>#N/A</v>
      </c>
      <c r="R9" t="e" cm="1" vm="1">
        <f t="array" ref="R9">_xlfn.PERCENTRANK.EXC(_xlfn._xlws.FILTER(P$4:P$16, ISNUMBER(P$4:P$16)),P9)*100</f>
        <v>#VALUE!</v>
      </c>
    </row>
    <row r="10" spans="2:18" x14ac:dyDescent="0.3">
      <c r="B10" t="s">
        <v>13</v>
      </c>
      <c r="C10" t="str" cm="1">
        <f t="array" ref="C10">_xll.FDS(B10,"FG_COMPANY_NAME")</f>
        <v>iShares MSCI United Kingdom ETF</v>
      </c>
      <c r="D10" s="8" t="e">
        <f>HLOOKUP(B10,'Monthly Returns'!$A$1:$O$134, 127, FALSE)</f>
        <v>#N/A</v>
      </c>
      <c r="E10" s="8" t="e">
        <f>HLOOKUP(B10,'Monthly Returns'!$A$1:$O$134, 132, FALSE)</f>
        <v>#N/A</v>
      </c>
      <c r="H10" s="8" t="e">
        <f>HLOOKUP(B10,'Yearly returns'!$B$1:$N$140, 133, FALSE)</f>
        <v>#N/A</v>
      </c>
      <c r="I10" s="8" t="e">
        <f>HLOOKUP(B10,'Yearly returns'!$B$1:$N$140, 138, FALSE)</f>
        <v>#N/A</v>
      </c>
      <c r="L10" s="25" t="e">
        <f t="shared" si="0"/>
        <v>#N/A</v>
      </c>
      <c r="M10" s="25" t="e">
        <f t="shared" si="1"/>
        <v>#N/A</v>
      </c>
      <c r="N10" s="25" t="e">
        <f t="shared" si="2"/>
        <v>#N/A</v>
      </c>
      <c r="P10" t="e">
        <f>L10*#REF! + M10*#REF! + N10*#REF!</f>
        <v>#N/A</v>
      </c>
      <c r="R10" t="e" cm="1" vm="1">
        <f t="array" ref="R10">_xlfn.PERCENTRANK.EXC(_xlfn._xlws.FILTER(P$4:P$16, ISNUMBER(P$4:P$16)),P10)*100</f>
        <v>#VALUE!</v>
      </c>
    </row>
    <row r="11" spans="2:18" x14ac:dyDescent="0.3">
      <c r="B11" t="s">
        <v>15</v>
      </c>
      <c r="C11" t="str" cm="1">
        <f t="array" ref="C11">_xll.FDS(B11,"FG_COMPANY_NAME")</f>
        <v>Invesco QQQ Trust Series I</v>
      </c>
      <c r="D11" s="8">
        <f>HLOOKUP(B11,'Monthly Returns'!$A$1:$O$134, 127, FALSE)</f>
        <v>-0.25816349999999999</v>
      </c>
      <c r="E11" s="8">
        <f>HLOOKUP(B11,'Monthly Returns'!$A$1:$O$134, 132, FALSE)</f>
        <v>0</v>
      </c>
      <c r="H11" s="8">
        <f>HLOOKUP(B11,'Yearly returns'!$B$1:$N$140, 133, FALSE)</f>
        <v>0</v>
      </c>
      <c r="I11" s="8">
        <f>HLOOKUP(B11,'Yearly returns'!$B$1:$N$140, 138, FALSE)</f>
        <v>0.95</v>
      </c>
      <c r="L11" s="25" t="e">
        <f t="shared" si="0"/>
        <v>#N/A</v>
      </c>
      <c r="M11" s="25" t="e">
        <f t="shared" si="1"/>
        <v>#N/A</v>
      </c>
      <c r="N11" s="25" t="e">
        <f t="shared" si="2"/>
        <v>#N/A</v>
      </c>
      <c r="P11" t="e">
        <f>L11*#REF! + M11*#REF! + N11*#REF!</f>
        <v>#N/A</v>
      </c>
      <c r="R11" t="e" cm="1" vm="1">
        <f t="array" ref="R11">_xlfn.PERCENTRANK.EXC(_xlfn._xlws.FILTER(P$4:P$16, ISNUMBER(P$4:P$16)),P11)*100</f>
        <v>#VALUE!</v>
      </c>
    </row>
    <row r="12" spans="2:18" x14ac:dyDescent="0.3">
      <c r="B12" t="s">
        <v>1</v>
      </c>
      <c r="C12" t="str" cm="1">
        <f t="array" ref="C12">_xll.FDS(B12,"FG_COMPANY_NAME")</f>
        <v>SPDR S&amp;P 500 ETF Trust</v>
      </c>
      <c r="D12" s="8">
        <f>HLOOKUP(B12,'Monthly Returns'!$A$1:$O$134, 127, FALSE)</f>
        <v>-0.32733714999999997</v>
      </c>
      <c r="E12" s="8">
        <f>HLOOKUP(B12,'Monthly Returns'!$A$1:$O$134, 132, FALSE)</f>
        <v>0</v>
      </c>
      <c r="H12" s="8">
        <f>HLOOKUP(B12,'Yearly returns'!$B$1:$N$140, 133, FALSE)</f>
        <v>0</v>
      </c>
      <c r="I12" s="8">
        <f>HLOOKUP(B12,'Yearly returns'!$B$1:$N$140, 138, FALSE)</f>
        <v>0.83599999999999997</v>
      </c>
      <c r="L12" s="25" t="e">
        <f t="shared" si="0"/>
        <v>#N/A</v>
      </c>
      <c r="M12" s="25" t="e">
        <f t="shared" si="1"/>
        <v>#N/A</v>
      </c>
      <c r="N12" s="25" t="e">
        <f t="shared" si="2"/>
        <v>#N/A</v>
      </c>
      <c r="P12" t="e">
        <f>L12*#REF! + M12*#REF! + N12*#REF!</f>
        <v>#N/A</v>
      </c>
      <c r="R12" t="e" cm="1" vm="1">
        <f t="array" ref="R12">_xlfn.PERCENTRANK.EXC(_xlfn._xlws.FILTER(P$4:P$16, ISNUMBER(P$4:P$16)),P12)*100</f>
        <v>#VALUE!</v>
      </c>
    </row>
    <row r="13" spans="2:18" x14ac:dyDescent="0.3">
      <c r="B13" t="s">
        <v>141</v>
      </c>
      <c r="C13" t="str" cm="1">
        <f t="array" ref="C13">_xll.FDS(B13,"FG_COMPANY_NAME")</f>
        <v>iShares MSCI France ETF</v>
      </c>
      <c r="D13" s="8" t="e">
        <f>HLOOKUP(B13,'Monthly Returns'!$A$1:$O$134, 127, FALSE)</f>
        <v>#N/A</v>
      </c>
      <c r="E13" s="8" t="e">
        <f>HLOOKUP(B13,'Monthly Returns'!$A$1:$O$134, 132, FALSE)</f>
        <v>#N/A</v>
      </c>
      <c r="H13" s="8" t="e">
        <f>HLOOKUP(B13,'Yearly returns'!$B$1:$N$140, 133, FALSE)</f>
        <v>#N/A</v>
      </c>
      <c r="I13" s="8" t="e">
        <f>HLOOKUP(B13,'Yearly returns'!$B$1:$N$140, 138, FALSE)</f>
        <v>#N/A</v>
      </c>
      <c r="L13" s="25" t="e">
        <f t="shared" si="0"/>
        <v>#N/A</v>
      </c>
      <c r="M13" s="25" t="e">
        <f t="shared" si="1"/>
        <v>#N/A</v>
      </c>
      <c r="N13" s="25" t="e">
        <f t="shared" si="2"/>
        <v>#N/A</v>
      </c>
      <c r="P13" t="e">
        <f>L13*#REF! + M13*#REF! + N13*#REF!</f>
        <v>#N/A</v>
      </c>
      <c r="R13" t="e" cm="1" vm="1">
        <f t="array" ref="R13">_xlfn.PERCENTRANK.EXC(_xlfn._xlws.FILTER(P$4:P$16, ISNUMBER(P$4:P$16)),P13)*100</f>
        <v>#VALUE!</v>
      </c>
    </row>
    <row r="14" spans="2:18" x14ac:dyDescent="0.3">
      <c r="B14" t="s">
        <v>143</v>
      </c>
      <c r="C14" t="str" cm="1">
        <f t="array" ref="C14">_xll.FDS(B14,"FG_COMPANY_NAME")</f>
        <v>iShares MSCI Netherlands ETF</v>
      </c>
      <c r="D14" s="8" t="e">
        <f>HLOOKUP(B14,'Monthly Returns'!$A$1:$O$134, 127, FALSE)</f>
        <v>#N/A</v>
      </c>
      <c r="E14" s="8" t="e">
        <f>HLOOKUP(B14,'Monthly Returns'!$A$1:$O$134, 132, FALSE)</f>
        <v>#N/A</v>
      </c>
      <c r="H14" s="8" t="e">
        <f>HLOOKUP(B14,'Yearly returns'!$B$1:$N$140, 133, FALSE)</f>
        <v>#N/A</v>
      </c>
      <c r="I14" s="8" t="e">
        <f>HLOOKUP(B14,'Yearly returns'!$B$1:$N$140, 138, FALSE)</f>
        <v>#N/A</v>
      </c>
      <c r="L14" s="25" t="e">
        <f t="shared" si="0"/>
        <v>#N/A</v>
      </c>
      <c r="M14" s="25" t="e">
        <f t="shared" si="1"/>
        <v>#N/A</v>
      </c>
      <c r="N14" s="25" t="e">
        <f t="shared" si="2"/>
        <v>#N/A</v>
      </c>
      <c r="P14" t="e">
        <f>L14*#REF! + M14*#REF! + N14*#REF!</f>
        <v>#N/A</v>
      </c>
      <c r="R14" t="e" cm="1" vm="1">
        <f t="array" ref="R14">_xlfn.PERCENTRANK.EXC(_xlfn._xlws.FILTER(P$4:P$16, ISNUMBER(P$4:P$16)),P14)*100</f>
        <v>#VALUE!</v>
      </c>
    </row>
    <row r="15" spans="2:18" x14ac:dyDescent="0.3">
      <c r="B15" t="s">
        <v>140</v>
      </c>
      <c r="C15" t="str" cm="1">
        <f t="array" ref="C15">_xll.FDS(B15,"FG_COMPANY_NAME")</f>
        <v>iShares MSCI Sweden ETF</v>
      </c>
      <c r="D15" s="8">
        <f>HLOOKUP(B15,'Monthly Returns'!$A$1:$O$134, 127, FALSE)</f>
        <v>-0.3602263</v>
      </c>
      <c r="E15" s="8">
        <f>HLOOKUP(B15,'Monthly Returns'!$A$1:$O$134, 132, FALSE)</f>
        <v>0</v>
      </c>
      <c r="H15" s="8">
        <f>HLOOKUP(B15,'Yearly returns'!$B$1:$N$140, 133, FALSE)</f>
        <v>0</v>
      </c>
      <c r="I15" s="8">
        <f>HLOOKUP(B15,'Yearly returns'!$B$1:$N$140, 138, FALSE)</f>
        <v>0.54</v>
      </c>
      <c r="L15" s="25" t="e">
        <f t="shared" si="0"/>
        <v>#N/A</v>
      </c>
      <c r="M15" s="25" t="e">
        <f t="shared" si="1"/>
        <v>#N/A</v>
      </c>
      <c r="N15" s="25" t="e">
        <f t="shared" si="2"/>
        <v>#N/A</v>
      </c>
      <c r="P15" t="e">
        <f>L15*#REF! + M15*#REF! + N15*#REF!</f>
        <v>#N/A</v>
      </c>
      <c r="R15" t="e" cm="1" vm="1">
        <f t="array" ref="R15">_xlfn.PERCENTRANK.EXC(_xlfn._xlws.FILTER(P$4:P$16, ISNUMBER(P$4:P$16)),P15)*100</f>
        <v>#VALUE!</v>
      </c>
    </row>
    <row r="16" spans="2:18" x14ac:dyDescent="0.3">
      <c r="B16" t="s">
        <v>142</v>
      </c>
      <c r="C16" t="str" cm="1">
        <f t="array" ref="C16">_xll.FDS(B16,"FG_COMPANY_NAME")</f>
        <v>iShares MSCI Italy ETF</v>
      </c>
      <c r="D16" s="8">
        <f>HLOOKUP(B16,'Monthly Returns'!$A$1:$O$134, 127, FALSE)</f>
        <v>-0.36675635999999995</v>
      </c>
      <c r="E16" s="8">
        <f>HLOOKUP(B16,'Monthly Returns'!$A$1:$O$134, 132, FALSE)</f>
        <v>0</v>
      </c>
      <c r="H16" s="8">
        <f>HLOOKUP(B16,'Yearly returns'!$B$1:$N$140, 133, FALSE)</f>
        <v>0</v>
      </c>
      <c r="I16" s="8">
        <f>HLOOKUP(B16,'Yearly returns'!$B$1:$N$140, 138, FALSE)</f>
        <v>0.66300000000000003</v>
      </c>
      <c r="L16" s="25" t="e">
        <f t="shared" si="0"/>
        <v>#N/A</v>
      </c>
      <c r="M16" s="25" t="e">
        <f t="shared" si="1"/>
        <v>#N/A</v>
      </c>
      <c r="N16" s="25" t="e">
        <f t="shared" si="2"/>
        <v>#N/A</v>
      </c>
      <c r="P16" t="e">
        <f>L16*#REF! + M16*#REF! + N16*#REF!</f>
        <v>#N/A</v>
      </c>
      <c r="R16" t="e" cm="1" vm="1">
        <f t="array" ref="R16">_xlfn.PERCENTRANK.EXC(_xlfn._xlws.FILTER(P$4:P$16, ISNUMBER(P$4:P$16)),P16)*100</f>
        <v>#VALUE!</v>
      </c>
    </row>
    <row r="17" spans="4:4" x14ac:dyDescent="0.3">
      <c r="D17" s="8"/>
    </row>
    <row r="18" spans="4:4" x14ac:dyDescent="0.3">
      <c r="D18" s="8"/>
    </row>
    <row r="19" spans="4:4" x14ac:dyDescent="0.3">
      <c r="D19" s="8"/>
    </row>
    <row r="20" spans="4:4" x14ac:dyDescent="0.3">
      <c r="D2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zoomScaleNormal="100" workbookViewId="0">
      <selection activeCell="B23" sqref="B23"/>
    </sheetView>
  </sheetViews>
  <sheetFormatPr defaultRowHeight="14.4" x14ac:dyDescent="0.3"/>
  <cols>
    <col min="1" max="1" width="15.109375" bestFit="1" customWidth="1"/>
    <col min="2" max="2" width="34.33203125" customWidth="1"/>
    <col min="3" max="3" width="10" bestFit="1" customWidth="1"/>
    <col min="4" max="4" width="18.109375" bestFit="1" customWidth="1"/>
    <col min="5" max="5" width="11.5546875" customWidth="1"/>
    <col min="6" max="6" width="21" customWidth="1"/>
    <col min="7" max="7" width="11.109375" bestFit="1" customWidth="1"/>
    <col min="8" max="8" width="15.6640625" style="18" customWidth="1"/>
    <col min="9" max="9" width="24.44140625" style="18" customWidth="1"/>
    <col min="10" max="10" width="14.109375" style="18" customWidth="1"/>
    <col min="12" max="12" width="10.44140625" customWidth="1"/>
    <col min="13" max="13" width="10.5546875" customWidth="1"/>
    <col min="14" max="14" width="14.44140625" customWidth="1"/>
    <col min="15" max="15" width="6.44140625" customWidth="1"/>
    <col min="18" max="18" width="14.88671875" bestFit="1" customWidth="1"/>
    <col min="19" max="19" width="11.109375" customWidth="1"/>
    <col min="20" max="20" width="14.109375" bestFit="1" customWidth="1"/>
    <col min="21" max="21" width="13.33203125" bestFit="1" customWidth="1"/>
    <col min="22" max="22" width="14.6640625" bestFit="1" customWidth="1"/>
  </cols>
  <sheetData>
    <row r="1" spans="1:22" x14ac:dyDescent="0.3">
      <c r="H1"/>
      <c r="I1"/>
      <c r="J1"/>
    </row>
    <row r="2" spans="1:22" x14ac:dyDescent="0.3">
      <c r="H2"/>
      <c r="I2"/>
      <c r="J2"/>
      <c r="K2" t="s">
        <v>92</v>
      </c>
      <c r="L2" s="5"/>
    </row>
    <row r="3" spans="1:22" x14ac:dyDescent="0.3">
      <c r="H3"/>
      <c r="I3"/>
      <c r="J3"/>
      <c r="K3" t="s">
        <v>93</v>
      </c>
      <c r="L3" s="5"/>
    </row>
    <row r="4" spans="1:22" x14ac:dyDescent="0.3">
      <c r="A4" t="s">
        <v>125</v>
      </c>
      <c r="B4" t="s">
        <v>67</v>
      </c>
      <c r="C4" t="s">
        <v>124</v>
      </c>
      <c r="D4" t="s">
        <v>72</v>
      </c>
      <c r="F4" t="s">
        <v>94</v>
      </c>
      <c r="G4" s="35" t="s">
        <v>122</v>
      </c>
      <c r="H4" s="35" t="s">
        <v>121</v>
      </c>
      <c r="I4" s="35" t="s">
        <v>128</v>
      </c>
      <c r="J4" s="35" t="s">
        <v>123</v>
      </c>
      <c r="L4" s="35" t="s">
        <v>121</v>
      </c>
      <c r="M4" s="35" t="s">
        <v>128</v>
      </c>
      <c r="N4" s="35" t="s">
        <v>123</v>
      </c>
      <c r="P4" t="s">
        <v>159</v>
      </c>
      <c r="S4" s="35" t="s">
        <v>122</v>
      </c>
      <c r="T4" s="35" t="s">
        <v>121</v>
      </c>
      <c r="U4" s="35" t="s">
        <v>128</v>
      </c>
      <c r="V4" s="35" t="s">
        <v>123</v>
      </c>
    </row>
    <row r="5" spans="1:22" x14ac:dyDescent="0.3">
      <c r="A5" t="s">
        <v>41</v>
      </c>
      <c r="B5" t="str" cm="1">
        <f t="array" ref="B5">_xll.FDS(C5,"FG_COMPANY_NAME")</f>
        <v>iShares MSCI New Zealand ETF</v>
      </c>
      <c r="C5" t="s">
        <v>60</v>
      </c>
      <c r="D5" t="s">
        <v>82</v>
      </c>
      <c r="E5" s="3" t="s">
        <v>60</v>
      </c>
      <c r="F5" s="8" t="e">
        <f>HLOOKUP(E5,'Monthly Returns'!$A$1:$AA$136,134,FALSE)</f>
        <v>#N/A</v>
      </c>
      <c r="G5" s="36" cm="1">
        <f t="array" ref="G5">_xll.FDSZ(C5,"FG_PRICE(0)")</f>
        <v>46.32</v>
      </c>
      <c r="H5" s="36" cm="1">
        <f t="array" ref="H5">_xll.FDSZ(C5,"FG_PRICE_MAVG(0,,,,30)")</f>
        <v>47.436165000000003</v>
      </c>
      <c r="I5" s="36" cm="1">
        <f t="array" ref="I5">_xll.FDSZ(C5,"FG_PRICE_MAVG(0,,,,60)")</f>
        <v>45.946666999999998</v>
      </c>
      <c r="J5" s="36" cm="1">
        <f t="array" ref="J5">_xll.FDSZ(C5,"FG_PRICE_MAVG(0,,,,200)")</f>
        <v>46.970894000000001</v>
      </c>
      <c r="L5">
        <f>IF($G5&gt;H5, 1, 0)</f>
        <v>0</v>
      </c>
      <c r="M5">
        <f>IF($G5&gt;I5, 1, 0)</f>
        <v>1</v>
      </c>
      <c r="N5">
        <f>IF($G5&gt;J5, 1, 0)</f>
        <v>0</v>
      </c>
      <c r="P5">
        <f>SUM(L5:N5)</f>
        <v>1</v>
      </c>
      <c r="R5" t="s">
        <v>130</v>
      </c>
      <c r="S5" s="7" cm="1">
        <f t="array" ref="S5">_xll.FDSZ($R5,"FG_PRICE(0)")</f>
        <v>389.04752000000002</v>
      </c>
      <c r="T5" s="7" cm="1">
        <f t="array" ref="T5">_xll.FDSZ($R5,"FG_PRICE(0)")</f>
        <v>389.04752000000002</v>
      </c>
      <c r="U5" s="7" cm="1">
        <f t="array" ref="U5">_xll.FDSZ($R5,"FG_PRICE(0)")</f>
        <v>389.04752000000002</v>
      </c>
      <c r="V5" s="7" cm="1">
        <f t="array" ref="V5">_xll.FDSZ($R5,"FG_PRICE(0)")</f>
        <v>389.04752000000002</v>
      </c>
    </row>
    <row r="6" spans="1:22" x14ac:dyDescent="0.3">
      <c r="A6" t="s">
        <v>40</v>
      </c>
      <c r="B6" t="str" cm="1">
        <f t="array" ref="B6">_xll.FDS(C6,"FG_COMPANY_NAME")</f>
        <v>iShares MSCI Australia ETF</v>
      </c>
      <c r="C6" t="s">
        <v>11</v>
      </c>
      <c r="D6" t="s">
        <v>74</v>
      </c>
      <c r="E6" s="3" t="s">
        <v>11</v>
      </c>
      <c r="F6" s="8" t="e">
        <f>HLOOKUP(E6,'Monthly Returns'!$A$1:$AA$136,134,FALSE)</f>
        <v>#N/A</v>
      </c>
      <c r="G6" s="36" cm="1">
        <f t="array" ref="G6">_xll.FDSZ(C6,"FG_PRICE(0)")</f>
        <v>23.48</v>
      </c>
      <c r="H6" s="36" cm="1">
        <f t="array" ref="H6">_xll.FDSZ(C6,"FG_PRICE_MAVG(0,,,,30)")</f>
        <v>23.728999999999999</v>
      </c>
      <c r="I6" s="36" cm="1">
        <f t="array" ref="I6">_xll.FDSZ(C6,"FG_PRICE_MAVG(0,,,,60)")</f>
        <v>22.811831999999999</v>
      </c>
      <c r="J6" s="36" cm="1">
        <f t="array" ref="J6">_xll.FDSZ(C6,"FG_PRICE_MAVG(0,,,,200)")</f>
        <v>22.501149999999999</v>
      </c>
      <c r="L6">
        <f t="shared" ref="L6:L17" si="0">IF($G6&gt;H6, 1, 0)</f>
        <v>0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2</v>
      </c>
      <c r="R6" t="s">
        <v>131</v>
      </c>
      <c r="S6" s="7" cm="1">
        <f t="array" ref="S6">_xll.FDSZ($R6,"FG_PRICE(0)")</f>
        <v>343.84469999999999</v>
      </c>
      <c r="T6" s="7" cm="1">
        <f t="array" ref="T6">_xll.FDSZ($R6,"FG_PRICE(0)")</f>
        <v>343.84469999999999</v>
      </c>
      <c r="U6" s="7" cm="1">
        <f t="array" ref="U6">_xll.FDSZ($R6,"FG_PRICE(0)")</f>
        <v>343.84469999999999</v>
      </c>
      <c r="V6" s="7" cm="1">
        <f t="array" ref="V6">_xll.FDSZ($R6,"FG_PRICE(0)")</f>
        <v>343.84469999999999</v>
      </c>
    </row>
    <row r="7" spans="1:22" x14ac:dyDescent="0.3">
      <c r="A7" t="s">
        <v>36</v>
      </c>
      <c r="B7" t="str" cm="1">
        <f t="array" ref="B7">_xll.FDS(C7,"FG_COMPANY_NAME")</f>
        <v>iShares MSCI Canada ETF</v>
      </c>
      <c r="C7" t="s">
        <v>14</v>
      </c>
      <c r="D7" t="s">
        <v>75</v>
      </c>
      <c r="E7" s="3" t="s">
        <v>14</v>
      </c>
      <c r="F7" s="8" t="e">
        <f>HLOOKUP(E7,'Monthly Returns'!$A$1:$AA$136,134,FALSE)</f>
        <v>#N/A</v>
      </c>
      <c r="G7" s="36" cm="1">
        <f t="array" ref="G7">_xll.FDSZ(C7,"FG_PRICE(0)")</f>
        <v>36.19</v>
      </c>
      <c r="H7" s="36" cm="1">
        <f t="array" ref="H7">_xll.FDSZ(C7,"FG_PRICE_MAVG(0,,,,30)")</f>
        <v>36.122664999999998</v>
      </c>
      <c r="I7" s="36" cm="1">
        <f t="array" ref="I7">_xll.FDSZ(C7,"FG_PRICE_MAVG(0,,,,60)")</f>
        <v>34.984164999999997</v>
      </c>
      <c r="J7" s="36" cm="1">
        <f t="array" ref="J7">_xll.FDSZ(C7,"FG_PRICE_MAVG(0,,,,200)")</f>
        <v>34.587449999999997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132</v>
      </c>
      <c r="S7" s="7" cm="1">
        <f t="array" ref="S7">_xll.FDSZ($R7,"FG_PRICE(0)")</f>
        <v>277.89963</v>
      </c>
      <c r="T7" s="7" cm="1">
        <f t="array" ref="T7">_xll.FDSZ($R7,"FG_PRICE(0)")</f>
        <v>277.89963</v>
      </c>
      <c r="U7" s="7" cm="1">
        <f t="array" ref="U7">_xll.FDSZ($R7,"FG_PRICE(0)")</f>
        <v>277.89963</v>
      </c>
      <c r="V7" s="7" cm="1">
        <f t="array" ref="V7">_xll.FDSZ($R7,"FG_PRICE(0)")</f>
        <v>277.89963</v>
      </c>
    </row>
    <row r="8" spans="1:22" x14ac:dyDescent="0.3">
      <c r="A8" t="s">
        <v>73</v>
      </c>
      <c r="B8" t="str" cm="1">
        <f t="array" ref="B8">_xll.FDS(C8,"FG_COMPANY_NAME")</f>
        <v>iShares MSCI Germany ETF</v>
      </c>
      <c r="C8" t="s">
        <v>6</v>
      </c>
      <c r="D8" t="s">
        <v>78</v>
      </c>
      <c r="E8" s="3" t="s">
        <v>6</v>
      </c>
      <c r="F8" s="8" t="e">
        <f>HLOOKUP(E8,'Monthly Returns'!$A$1:$AA$136,134,FALSE)</f>
        <v>#N/A</v>
      </c>
      <c r="G8" s="36" cm="1">
        <f t="array" ref="G8">_xll.FDSZ(C8,"FG_PRICE(0)")</f>
        <v>28.85</v>
      </c>
      <c r="H8" s="36" cm="1">
        <f t="array" ref="H8">_xll.FDSZ(C8,"FG_PRICE_MAVG(0,,,,30)")</f>
        <v>29.219667000000001</v>
      </c>
      <c r="I8" s="36" cm="1">
        <f t="array" ref="I8">_xll.FDSZ(C8,"FG_PRICE_MAVG(0,,,,60)")</f>
        <v>28.180665999999999</v>
      </c>
      <c r="J8" s="36" cm="1">
        <f t="array" ref="J8">_xll.FDSZ(C8,"FG_PRICE_MAVG(0,,,,200)")</f>
        <v>28.02675</v>
      </c>
      <c r="L8">
        <f t="shared" si="0"/>
        <v>0</v>
      </c>
      <c r="M8">
        <f t="shared" si="1"/>
        <v>1</v>
      </c>
      <c r="N8">
        <f t="shared" si="2"/>
        <v>1</v>
      </c>
      <c r="P8">
        <f t="shared" si="3"/>
        <v>2</v>
      </c>
      <c r="R8" t="s">
        <v>129</v>
      </c>
      <c r="S8" s="7" cm="1">
        <f t="array" ref="S8">_xll.FDSZ($R8,"FG_PRICE(0)")</f>
        <v>9.3011079999999993</v>
      </c>
      <c r="T8" s="7" cm="1">
        <f t="array" ref="T8">_xll.FDSZ($R8,"FG_PRICE(0)")</f>
        <v>9.3011079999999993</v>
      </c>
      <c r="U8" s="7" cm="1">
        <f t="array" ref="U8">_xll.FDSZ($R8,"FG_PRICE(0)")</f>
        <v>9.3011079999999993</v>
      </c>
      <c r="V8" s="7" cm="1">
        <f t="array" ref="V8">_xll.FDSZ($R8,"FG_PRICE(0)")</f>
        <v>9.3011079999999993</v>
      </c>
    </row>
    <row r="9" spans="1:22" x14ac:dyDescent="0.3">
      <c r="A9" t="s">
        <v>37</v>
      </c>
      <c r="B9" t="str" cm="1">
        <f t="array" ref="B9">_xll.FDS(C9,"FG_COMPANY_NAME")</f>
        <v>iShares MSCI Japan ETF</v>
      </c>
      <c r="C9" t="s">
        <v>12</v>
      </c>
      <c r="D9" t="s">
        <v>80</v>
      </c>
      <c r="E9" s="3" t="s">
        <v>12</v>
      </c>
      <c r="F9" s="8">
        <f>HLOOKUP(E9,'Monthly Returns'!$A$1:$AA$136,134,FALSE)</f>
        <v>0.83599999999999997</v>
      </c>
      <c r="G9" s="36" cm="1">
        <f t="array" ref="G9">_xll.FDSZ(C9,"FG_PRICE(0)")</f>
        <v>66.09</v>
      </c>
      <c r="H9" s="36" cm="1">
        <f t="array" ref="H9">_xll.FDSZ(C9,"FG_PRICE_MAVG(0,,,,30)")</f>
        <v>64.153999999999996</v>
      </c>
      <c r="I9" s="36" cm="1">
        <f t="array" ref="I9">_xll.FDSZ(C9,"FG_PRICE_MAVG(0,,,,60)")</f>
        <v>62.697000000000003</v>
      </c>
      <c r="J9" s="36" cm="1">
        <f t="array" ref="J9">_xll.FDSZ(C9,"FG_PRICE_MAVG(0,,,,200)")</f>
        <v>61.371299999999998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133</v>
      </c>
      <c r="S9" s="7" cm="1">
        <f t="array" ref="S9">_xll.FDSZ($R9,"FG_PRICE(0)")</f>
        <v>171.16547</v>
      </c>
      <c r="T9" s="7" cm="1">
        <f t="array" ref="T9">_xll.FDSZ($R9,"FG_PRICE(0)")</f>
        <v>171.16547</v>
      </c>
      <c r="U9" s="7" cm="1">
        <f t="array" ref="U9">_xll.FDSZ($R9,"FG_PRICE(0)")</f>
        <v>171.16547</v>
      </c>
      <c r="V9" s="7" cm="1">
        <f t="array" ref="V9">_xll.FDSZ($R9,"FG_PRICE(0)")</f>
        <v>171.16547</v>
      </c>
    </row>
    <row r="10" spans="1:22" x14ac:dyDescent="0.3">
      <c r="A10" t="s">
        <v>44</v>
      </c>
      <c r="B10" t="str" cm="1">
        <f t="array" ref="B10">_xll.FDS(C10,"FG_COMPANY_NAME")</f>
        <v>iShares MSCI Switzerland ETF</v>
      </c>
      <c r="C10" t="s">
        <v>10</v>
      </c>
      <c r="D10" t="s">
        <v>84</v>
      </c>
      <c r="E10" s="3" t="s">
        <v>10</v>
      </c>
      <c r="F10" s="8" t="e">
        <f>HLOOKUP(E10,'Monthly Returns'!$A$1:$AA$136,134,FALSE)</f>
        <v>#N/A</v>
      </c>
      <c r="G10" s="36" cm="1">
        <f t="array" ref="G10">_xll.FDSZ(C10,"FG_PRICE(0)")</f>
        <v>46.53</v>
      </c>
      <c r="H10" s="36" cm="1">
        <f t="array" ref="H10">_xll.FDSZ(C10,"FG_PRICE_MAVG(0,,,,30)")</f>
        <v>47.313000000000002</v>
      </c>
      <c r="I10" s="36" cm="1">
        <f t="array" ref="I10">_xll.FDSZ(C10,"FG_PRICE_MAVG(0,,,,60)")</f>
        <v>45.66</v>
      </c>
      <c r="J10" s="36" cm="1">
        <f t="array" ref="J10">_xll.FDSZ(C10,"FG_PRICE_MAVG(0,,,,200)")</f>
        <v>45.952750000000002</v>
      </c>
      <c r="L10">
        <f t="shared" si="0"/>
        <v>0</v>
      </c>
      <c r="M10">
        <f t="shared" si="1"/>
        <v>1</v>
      </c>
      <c r="N10">
        <f t="shared" si="2"/>
        <v>1</v>
      </c>
      <c r="P10">
        <f t="shared" si="3"/>
        <v>2</v>
      </c>
      <c r="R10" t="s">
        <v>134</v>
      </c>
      <c r="S10" s="7" cm="1">
        <f t="array" ref="S10">_xll.FDSZ($R10,"FG_PRICE(0)")</f>
        <v>324.733</v>
      </c>
      <c r="T10" s="7" cm="1">
        <f t="array" ref="T10">_xll.FDSZ($R10,"FG_PRICE(0)")</f>
        <v>324.733</v>
      </c>
      <c r="U10" s="7" cm="1">
        <f t="array" ref="U10">_xll.FDSZ($R10,"FG_PRICE(0)")</f>
        <v>324.733</v>
      </c>
      <c r="V10" s="7" cm="1">
        <f t="array" ref="V10">_xll.FDSZ($R10,"FG_PRICE(0)")</f>
        <v>324.733</v>
      </c>
    </row>
    <row r="11" spans="1:22" x14ac:dyDescent="0.3">
      <c r="A11" t="s">
        <v>38</v>
      </c>
      <c r="B11" t="str" cm="1">
        <f t="array" ref="B11">_xll.FDS(C11,"FG_COMPANY_NAME")</f>
        <v>iShares MSCI United Kingdom ETF</v>
      </c>
      <c r="C11" t="s">
        <v>13</v>
      </c>
      <c r="D11" t="s">
        <v>85</v>
      </c>
      <c r="E11" s="3" t="s">
        <v>13</v>
      </c>
      <c r="F11" s="8" t="e">
        <f>HLOOKUP(E11,'Monthly Returns'!$A$1:$AA$136,134,FALSE)</f>
        <v>#N/A</v>
      </c>
      <c r="G11" s="36" cm="1">
        <f t="array" ref="G11">_xll.FDSZ(C11,"FG_PRICE(0)")</f>
        <v>32</v>
      </c>
      <c r="H11" s="36" cm="1">
        <f t="array" ref="H11">_xll.FDSZ(C11,"FG_PRICE_MAVG(0,,,,30)")</f>
        <v>32.707999999999998</v>
      </c>
      <c r="I11" s="36" cm="1">
        <f t="array" ref="I11">_xll.FDSZ(C11,"FG_PRICE_MAVG(0,,,,60)")</f>
        <v>32.195999999999998</v>
      </c>
      <c r="J11" s="36" cm="1">
        <f t="array" ref="J11">_xll.FDSZ(C11,"FG_PRICE_MAVG(0,,,,200)")</f>
        <v>32.356450000000002</v>
      </c>
      <c r="L11">
        <f t="shared" si="0"/>
        <v>0</v>
      </c>
      <c r="M11">
        <f t="shared" si="1"/>
        <v>0</v>
      </c>
      <c r="N11">
        <f t="shared" si="2"/>
        <v>0</v>
      </c>
      <c r="P11">
        <f t="shared" si="3"/>
        <v>0</v>
      </c>
      <c r="R11" t="s">
        <v>135</v>
      </c>
      <c r="S11" s="7" cm="1">
        <f t="array" ref="S11">_xll.FDSZ($R11,"FG_PRICE(0)")</f>
        <v>116.88543</v>
      </c>
      <c r="T11" s="7" cm="1">
        <f t="array" ref="T11">_xll.FDSZ($R11,"FG_PRICE(0)")</f>
        <v>116.88543</v>
      </c>
      <c r="U11" s="7" cm="1">
        <f t="array" ref="U11">_xll.FDSZ($R11,"FG_PRICE(0)")</f>
        <v>116.88543</v>
      </c>
      <c r="V11" s="7" cm="1">
        <f t="array" ref="V11">_xll.FDSZ($R11,"FG_PRICE(0)")</f>
        <v>116.88543</v>
      </c>
    </row>
    <row r="12" spans="1:22" x14ac:dyDescent="0.3">
      <c r="A12" t="s">
        <v>39</v>
      </c>
      <c r="B12" t="str" cm="1">
        <f t="array" ref="B12">_xll.FDS(C12,"FG_COMPANY_NAME")</f>
        <v>Invesco QQQ Trust Series I</v>
      </c>
      <c r="C12" t="s">
        <v>15</v>
      </c>
      <c r="D12" t="s">
        <v>86</v>
      </c>
      <c r="E12" s="3" t="s">
        <v>15</v>
      </c>
      <c r="F12" s="8">
        <f>HLOOKUP(E12,'Monthly Returns'!$A$1:$AA$136,134,FALSE)</f>
        <v>0.66300000000000003</v>
      </c>
      <c r="G12" s="36" cm="1">
        <f t="array" ref="G12">_xll.FDSZ(C12,"FG_PRICE(0)")</f>
        <v>423.48</v>
      </c>
      <c r="H12" s="36" cm="1">
        <f t="array" ref="H12">_xll.FDSZ(C12,"FG_PRICE_MAVG(0,,,,30)")</f>
        <v>406.85565000000003</v>
      </c>
      <c r="I12" s="36" cm="1">
        <f t="array" ref="I12">_xll.FDSZ(C12,"FG_PRICE_MAVG(0,,,,60)")</f>
        <v>392.03482000000002</v>
      </c>
      <c r="J12" s="36" cm="1">
        <f t="array" ref="J12">_xll.FDSZ(C12,"FG_PRICE_MAVG(0,,,,200)")</f>
        <v>366.61759999999998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136</v>
      </c>
      <c r="S12" s="7" cm="1">
        <f t="array" ref="S12">_xll.FDSZ($R12,"FG_PRICE(0)")</f>
        <v>365.82245</v>
      </c>
      <c r="T12" s="7" cm="1">
        <f t="array" ref="T12">_xll.FDSZ($R12,"FG_PRICE(0)")</f>
        <v>365.82245</v>
      </c>
      <c r="U12" s="7" cm="1">
        <f t="array" ref="U12">_xll.FDSZ($R12,"FG_PRICE(0)")</f>
        <v>365.82245</v>
      </c>
      <c r="V12" s="7" cm="1">
        <f t="array" ref="V12">_xll.FDSZ($R12,"FG_PRICE(0)")</f>
        <v>365.82245</v>
      </c>
    </row>
    <row r="13" spans="1:22" x14ac:dyDescent="0.3">
      <c r="A13" t="s">
        <v>39</v>
      </c>
      <c r="B13" t="str" cm="1">
        <f t="array" ref="B13">_xll.FDS(C13,"FG_COMPANY_NAME")</f>
        <v>SPDR S&amp;P 500 ETF Trust</v>
      </c>
      <c r="C13" t="s">
        <v>1</v>
      </c>
      <c r="D13" t="s">
        <v>86</v>
      </c>
      <c r="E13" s="3" t="s">
        <v>1</v>
      </c>
      <c r="F13" s="8">
        <f>HLOOKUP(E13,'Monthly Returns'!$A$1:$AA$136,134,FALSE)</f>
        <v>0.59799999999999998</v>
      </c>
      <c r="G13" s="36" cm="1">
        <f t="array" ref="G13">_xll.FDSZ(C13,"FG_PRICE(0)")</f>
        <v>484.86</v>
      </c>
      <c r="H13" s="36" cm="1">
        <f t="array" ref="H13">_xll.FDSZ(C13,"FG_PRICE_MAVG(0,,,,30)")</f>
        <v>473.09566999999998</v>
      </c>
      <c r="I13" s="36" cm="1">
        <f t="array" ref="I13">_xll.FDSZ(C13,"FG_PRICE_MAVG(0,,,,60)")</f>
        <v>458.09316999999999</v>
      </c>
      <c r="J13" s="36" cm="1">
        <f t="array" ref="J13">_xll.FDSZ(C13,"FG_PRICE_MAVG(0,,,,200)")</f>
        <v>440.03444999999999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136</v>
      </c>
      <c r="S13" s="7" cm="1">
        <f t="array" ref="S13">_xll.FDSZ($R13,"FG_PRICE(0)")</f>
        <v>365.82245</v>
      </c>
      <c r="T13" s="7" cm="1">
        <f t="array" ref="T13">_xll.FDSZ($R13,"FG_PRICE(0)")</f>
        <v>365.82245</v>
      </c>
      <c r="U13" s="7" cm="1">
        <f t="array" ref="U13">_xll.FDSZ($R13,"FG_PRICE(0)")</f>
        <v>365.82245</v>
      </c>
      <c r="V13" s="7" cm="1">
        <f t="array" ref="V13">_xll.FDSZ($R13,"FG_PRICE(0)")</f>
        <v>365.82245</v>
      </c>
    </row>
    <row r="14" spans="1:22" x14ac:dyDescent="0.3">
      <c r="A14" t="s">
        <v>145</v>
      </c>
      <c r="B14" t="str" cm="1">
        <f t="array" ref="B14">_xll.FDS(C14,"FG_COMPANY_NAME")</f>
        <v>iShares MSCI France ETF</v>
      </c>
      <c r="C14" t="s">
        <v>141</v>
      </c>
      <c r="D14" t="s">
        <v>77</v>
      </c>
      <c r="E14" t="s">
        <v>141</v>
      </c>
      <c r="F14" s="8" t="e">
        <f>HLOOKUP(E14,'Monthly Returns'!$A$1:$AA$136,134,FALSE)</f>
        <v>#N/A</v>
      </c>
      <c r="G14" s="36" cm="1">
        <f t="array" ref="G14">_xll.FDSZ(C14,"FG_PRICE(0)")</f>
        <v>37.76</v>
      </c>
      <c r="H14" s="36" cm="1">
        <f t="array" ref="H14">_xll.FDSZ(C14,"FG_PRICE_MAVG(0,,,,30)")</f>
        <v>38.533833000000001</v>
      </c>
      <c r="I14" s="36" cm="1">
        <f t="array" ref="I14">_xll.FDSZ(C14,"FG_PRICE_MAVG(0,,,,60)")</f>
        <v>37.474249999999998</v>
      </c>
      <c r="J14" s="36" cm="1">
        <f t="array" ref="J14">_xll.FDSZ(C14,"FG_PRICE_MAVG(0,,,,200)")</f>
        <v>37.569023000000001</v>
      </c>
      <c r="L14">
        <f t="shared" si="0"/>
        <v>0</v>
      </c>
      <c r="M14">
        <f t="shared" si="1"/>
        <v>1</v>
      </c>
      <c r="N14">
        <f t="shared" si="2"/>
        <v>1</v>
      </c>
      <c r="P14">
        <f t="shared" si="3"/>
        <v>2</v>
      </c>
      <c r="R14" t="s">
        <v>136</v>
      </c>
      <c r="S14" s="7" cm="1">
        <f t="array" ref="S14">_xll.FDSZ($R14,"FG_PRICE(0)")</f>
        <v>365.82245</v>
      </c>
      <c r="T14" s="7" cm="1">
        <f t="array" ref="T14">_xll.FDSZ($R14,"FG_PRICE(0)")</f>
        <v>365.82245</v>
      </c>
      <c r="U14" s="7" cm="1">
        <f t="array" ref="U14">_xll.FDSZ($R14,"FG_PRICE(0)")</f>
        <v>365.82245</v>
      </c>
      <c r="V14" s="7" cm="1">
        <f t="array" ref="V14">_xll.FDSZ($R14,"FG_PRICE(0)")</f>
        <v>365.82245</v>
      </c>
    </row>
    <row r="15" spans="1:22" x14ac:dyDescent="0.3">
      <c r="A15" t="s">
        <v>146</v>
      </c>
      <c r="B15" t="str" cm="1">
        <f t="array" ref="B15">_xll.FDS(C15,"FG_COMPANY_NAME")</f>
        <v>iShares MSCI Netherlands ETF</v>
      </c>
      <c r="C15" t="s">
        <v>143</v>
      </c>
      <c r="D15" t="s">
        <v>81</v>
      </c>
      <c r="E15" t="s">
        <v>143</v>
      </c>
      <c r="F15" s="8" t="e">
        <f>HLOOKUP(E15,'Monthly Returns'!$A$1:$AA$136,134,FALSE)</f>
        <v>#N/A</v>
      </c>
      <c r="G15" s="36" cm="1">
        <f t="array" ref="G15">_xll.FDSZ(C15,"FG_PRICE(0)")</f>
        <v>44.22</v>
      </c>
      <c r="H15" s="36" cm="1">
        <f t="array" ref="H15">_xll.FDSZ(C15,"FG_PRICE_MAVG(0,,,,30)")</f>
        <v>43.832900000000002</v>
      </c>
      <c r="I15" s="36" cm="1">
        <f t="array" ref="I15">_xll.FDSZ(C15,"FG_PRICE_MAVG(0,,,,60)")</f>
        <v>42.210532999999998</v>
      </c>
      <c r="J15" s="36" cm="1">
        <f t="array" ref="J15">_xll.FDSZ(C15,"FG_PRICE_MAVG(0,,,,200)")</f>
        <v>41.681780000000003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136</v>
      </c>
      <c r="S15" s="7" cm="1">
        <f t="array" ref="S15">_xll.FDSZ($R15,"FG_PRICE(0)")</f>
        <v>365.82245</v>
      </c>
      <c r="T15" s="7" cm="1">
        <f t="array" ref="T15">_xll.FDSZ($R15,"FG_PRICE(0)")</f>
        <v>365.82245</v>
      </c>
      <c r="U15" s="7" cm="1">
        <f t="array" ref="U15">_xll.FDSZ($R15,"FG_PRICE(0)")</f>
        <v>365.82245</v>
      </c>
      <c r="V15" s="7" cm="1">
        <f t="array" ref="V15">_xll.FDSZ($R15,"FG_PRICE(0)")</f>
        <v>365.82245</v>
      </c>
    </row>
    <row r="16" spans="1:22" x14ac:dyDescent="0.3">
      <c r="A16" t="s">
        <v>43</v>
      </c>
      <c r="B16" t="str" cm="1">
        <f t="array" ref="B16">_xll.FDS(C16,"FG_COMPANY_NAME")</f>
        <v>iShares MSCI Sweden ETF</v>
      </c>
      <c r="C16" t="s">
        <v>140</v>
      </c>
      <c r="D16" t="s">
        <v>83</v>
      </c>
      <c r="E16" t="s">
        <v>140</v>
      </c>
      <c r="F16" s="8">
        <f>HLOOKUP(E16,'Monthly Returns'!$A$1:$AA$136,134,FALSE)</f>
        <v>0.09</v>
      </c>
      <c r="G16" s="36" cm="1">
        <f t="array" ref="G16">_xll.FDSZ(C16,"FG_PRICE(0)")</f>
        <v>36.83</v>
      </c>
      <c r="H16" s="36" cm="1">
        <f t="array" ref="H16">_xll.FDSZ(C16,"FG_PRICE_MAVG(0,,,,30)")</f>
        <v>38.192664999999998</v>
      </c>
      <c r="I16" s="36" cm="1">
        <f t="array" ref="I16">_xll.FDSZ(C16,"FG_PRICE_MAVG(0,,,,60)")</f>
        <v>36.270332000000003</v>
      </c>
      <c r="J16" s="36" cm="1">
        <f t="array" ref="J16">_xll.FDSZ(C16,"FG_PRICE_MAVG(0,,,,200)")</f>
        <v>35.091749999999998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136</v>
      </c>
      <c r="S16" s="7" cm="1">
        <f t="array" ref="S16">_xll.FDSZ($R16,"FG_PRICE(0)")</f>
        <v>365.82245</v>
      </c>
      <c r="T16" s="7" cm="1">
        <f t="array" ref="T16">_xll.FDSZ($R16,"FG_PRICE(0)")</f>
        <v>365.82245</v>
      </c>
      <c r="U16" s="7" cm="1">
        <f t="array" ref="U16">_xll.FDSZ($R16,"FG_PRICE(0)")</f>
        <v>365.82245</v>
      </c>
      <c r="V16" s="7" cm="1">
        <f t="array" ref="V16">_xll.FDSZ($R16,"FG_PRICE(0)")</f>
        <v>365.82245</v>
      </c>
    </row>
    <row r="17" spans="1:22" x14ac:dyDescent="0.3">
      <c r="A17" t="s">
        <v>144</v>
      </c>
      <c r="B17" t="str" cm="1">
        <f t="array" ref="B17">_xll.FDS(C17,"FG_COMPANY_NAME")</f>
        <v>iShares MSCI Italy ETF</v>
      </c>
      <c r="C17" t="s">
        <v>142</v>
      </c>
      <c r="D17" t="s">
        <v>79</v>
      </c>
      <c r="E17" t="s">
        <v>142</v>
      </c>
      <c r="F17" s="8">
        <f>HLOOKUP(E17,'Monthly Returns'!$A$1:$AA$136,134,FALSE)</f>
        <v>0.33600000000000002</v>
      </c>
      <c r="G17" s="36" cm="1">
        <f t="array" ref="G17">_xll.FDSZ(C17,"FG_PRICE(0)")</f>
        <v>33.06</v>
      </c>
      <c r="H17" s="36" cm="1">
        <f t="array" ref="H17">_xll.FDSZ(C17,"FG_PRICE_MAVG(0,,,,30)")</f>
        <v>33.638331999999998</v>
      </c>
      <c r="I17" s="36" cm="1">
        <f t="array" ref="I17">_xll.FDSZ(C17,"FG_PRICE_MAVG(0,,,,60)")</f>
        <v>32.716835000000003</v>
      </c>
      <c r="J17" s="36" cm="1">
        <f t="array" ref="J17">_xll.FDSZ(C17,"FG_PRICE_MAVG(0,,,,200)")</f>
        <v>31.7333</v>
      </c>
      <c r="L17">
        <f t="shared" si="0"/>
        <v>0</v>
      </c>
      <c r="M17">
        <f t="shared" si="1"/>
        <v>1</v>
      </c>
      <c r="N17">
        <f t="shared" si="2"/>
        <v>1</v>
      </c>
      <c r="P17">
        <f t="shared" si="3"/>
        <v>2</v>
      </c>
      <c r="R17" t="s">
        <v>136</v>
      </c>
      <c r="S17" s="7" cm="1">
        <f t="array" ref="S17">_xll.FDSZ($R17,"FG_PRICE(0)")</f>
        <v>365.82245</v>
      </c>
      <c r="T17" s="7" cm="1">
        <f t="array" ref="T17">_xll.FDSZ($R17,"FG_PRICE(0)")</f>
        <v>365.82245</v>
      </c>
      <c r="U17" s="7" cm="1">
        <f t="array" ref="U17">_xll.FDSZ($R17,"FG_PRICE(0)")</f>
        <v>365.82245</v>
      </c>
      <c r="V17" s="7" cm="1">
        <f t="array" ref="V17">_xll.FDSZ($R17,"FG_PRICE(0)")</f>
        <v>365.82245</v>
      </c>
    </row>
    <row r="19" spans="1:22" x14ac:dyDescent="0.3">
      <c r="K19" s="1" t="s">
        <v>160</v>
      </c>
      <c r="L19" s="1">
        <f>SUM(L5:L17)</f>
        <v>5</v>
      </c>
      <c r="M19" s="1">
        <f t="shared" ref="M19:N19" si="4">SUM(M5:M17)</f>
        <v>12</v>
      </c>
      <c r="N19" s="1">
        <f t="shared" si="4"/>
        <v>11</v>
      </c>
    </row>
    <row r="20" spans="1:22" x14ac:dyDescent="0.3">
      <c r="K20" s="1" t="s">
        <v>29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">
      <c r="K21" s="1"/>
      <c r="L21" s="1"/>
      <c r="M21" s="1"/>
      <c r="N21" s="1"/>
    </row>
    <row r="22" spans="1:22" x14ac:dyDescent="0.3">
      <c r="K22" s="1" t="s">
        <v>31</v>
      </c>
      <c r="L22" s="44">
        <f>L19/L20</f>
        <v>0.38461538461538464</v>
      </c>
      <c r="M22" s="44">
        <f t="shared" ref="M22:N22" si="6">M19/M20</f>
        <v>0.92307692307692313</v>
      </c>
      <c r="N22" s="44">
        <f t="shared" si="6"/>
        <v>0.84615384615384615</v>
      </c>
    </row>
    <row r="23" spans="1:22" x14ac:dyDescent="0.3">
      <c r="A23" t="s">
        <v>141</v>
      </c>
      <c r="B23" t="s">
        <v>145</v>
      </c>
      <c r="C23" t="str" cm="1">
        <f t="array" ref="C23">_xll.FDS(A23,"FG_COMPANY_NAME")</f>
        <v>iShares MSCI France ETF</v>
      </c>
      <c r="D23" t="s">
        <v>141</v>
      </c>
    </row>
    <row r="24" spans="1:22" x14ac:dyDescent="0.3">
      <c r="A24" t="s">
        <v>143</v>
      </c>
      <c r="B24" t="s">
        <v>146</v>
      </c>
      <c r="C24" t="str" cm="1">
        <f t="array" ref="C24">_xll.FDS(A24,"FG_COMPANY_NAME")</f>
        <v>iShares MSCI Netherlands ETF</v>
      </c>
      <c r="D24" t="s">
        <v>143</v>
      </c>
    </row>
    <row r="25" spans="1:22" x14ac:dyDescent="0.3">
      <c r="A25" t="s">
        <v>140</v>
      </c>
      <c r="B25" t="s">
        <v>43</v>
      </c>
      <c r="C25" t="str" cm="1">
        <f t="array" ref="C25">_xll.FDS(A25,"FG_COMPANY_NAME")</f>
        <v>iShares MSCI Sweden ETF</v>
      </c>
      <c r="D25" t="s">
        <v>140</v>
      </c>
    </row>
    <row r="26" spans="1:22" x14ac:dyDescent="0.3">
      <c r="A26" t="s">
        <v>142</v>
      </c>
      <c r="B26" t="s">
        <v>144</v>
      </c>
      <c r="C26" t="str" cm="1">
        <f t="array" ref="C26">_xll.FDS(A26,"FG_COMPANY_NAME")</f>
        <v>iShares MSCI Italy ETF</v>
      </c>
      <c r="D2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Q18"/>
  <sheetViews>
    <sheetView workbookViewId="0">
      <selection activeCell="N9" sqref="N9"/>
    </sheetView>
  </sheetViews>
  <sheetFormatPr defaultRowHeight="14.4" x14ac:dyDescent="0.3"/>
  <cols>
    <col min="1" max="2" width="17" customWidth="1"/>
    <col min="3" max="3" width="11.88671875" customWidth="1"/>
    <col min="4" max="4" width="11.33203125" customWidth="1"/>
    <col min="5" max="5" width="13.109375" customWidth="1"/>
    <col min="6" max="6" width="11.88671875" customWidth="1"/>
    <col min="7" max="7" width="15.5546875" bestFit="1" customWidth="1"/>
    <col min="8" max="8" width="13.109375" customWidth="1"/>
    <col min="9" max="9" width="20" customWidth="1"/>
    <col min="10" max="10" width="15.44140625" customWidth="1"/>
    <col min="11" max="11" width="15.33203125" customWidth="1"/>
    <col min="13" max="13" width="19.5546875" customWidth="1"/>
    <col min="14" max="14" width="13.44140625" customWidth="1"/>
    <col min="15" max="15" width="16.5546875" customWidth="1"/>
    <col min="16" max="16" width="13.33203125" customWidth="1"/>
    <col min="17" max="17" width="11.109375" customWidth="1"/>
  </cols>
  <sheetData>
    <row r="2" spans="1:17" x14ac:dyDescent="0.3">
      <c r="A2" s="48"/>
      <c r="B2" s="48" t="s">
        <v>96</v>
      </c>
      <c r="C2" s="48" t="s">
        <v>97</v>
      </c>
      <c r="D2" s="48" t="s">
        <v>98</v>
      </c>
      <c r="E2" s="48" t="s">
        <v>99</v>
      </c>
      <c r="F2" s="48" t="s">
        <v>100</v>
      </c>
      <c r="G2" s="48" t="s">
        <v>101</v>
      </c>
      <c r="H2" s="48" t="s">
        <v>102</v>
      </c>
      <c r="I2" s="48" t="s">
        <v>103</v>
      </c>
      <c r="J2" s="48" t="s">
        <v>104</v>
      </c>
      <c r="K2" s="48" t="s">
        <v>170</v>
      </c>
      <c r="M2" s="48" t="s">
        <v>156</v>
      </c>
      <c r="N2" s="48" t="s">
        <v>2</v>
      </c>
      <c r="O2" s="48" t="s">
        <v>21</v>
      </c>
      <c r="P2" s="48" t="s">
        <v>172</v>
      </c>
      <c r="Q2" s="48" t="s">
        <v>173</v>
      </c>
    </row>
    <row r="3" spans="1:17" x14ac:dyDescent="0.3">
      <c r="A3" t="s">
        <v>105</v>
      </c>
      <c r="B3" t="s">
        <v>106</v>
      </c>
      <c r="C3" cm="1">
        <f t="array" ref="C3">_xll.FDS($A3,"FG_PRICE(0)")</f>
        <v>135.41999999999999</v>
      </c>
      <c r="D3" cm="1">
        <f t="array" ref="D3">_xll.FDS($A3,"FG_PRICE_MAVG(0,,,,30)")</f>
        <v>136.89267000000001</v>
      </c>
      <c r="E3" s="25" cm="1">
        <f t="array" ref="E3">_xll.FDS($A3,"FG_PRICE_CHANGE(0,-1AM)")</f>
        <v>-7.3789846517136007E-2</v>
      </c>
      <c r="F3" s="25" cm="1">
        <f t="array" ref="F3">_xll.FDS($A3,"FG_PRICE_CHANGE(0,-3AM)")</f>
        <v>14.3267201350781</v>
      </c>
      <c r="G3" s="25" cm="1">
        <f t="array" ref="G3">_xll.FDS($A3,"FG_PRICE_CHANGE(0,-6AM)")</f>
        <v>20.405441451053601</v>
      </c>
      <c r="H3" s="25" cm="1">
        <f t="array" ref="H3">_xll.FDS($A3,"FG_PRICE_CHANGE(0,-1AY)")</f>
        <v>11.0546170247663</v>
      </c>
      <c r="I3" s="25" cm="1">
        <f t="array" ref="I3">_xll.FDS($A3,"FG_PRICE(0)/MAX(FG_PRICE(0,-1AY))")</f>
        <v>0.93937291897891195</v>
      </c>
      <c r="J3" cm="1">
        <f t="array" ref="J3">_xll.FDS($A3,"MAX(FG_PRICE(0,-5AY))")</f>
        <v>219.77</v>
      </c>
      <c r="K3" s="8">
        <f>C3/J3-1</f>
        <v>-0.38381034718114404</v>
      </c>
    </row>
    <row r="4" spans="1:17" x14ac:dyDescent="0.3">
      <c r="A4" t="s">
        <v>107</v>
      </c>
      <c r="B4" t="s">
        <v>108</v>
      </c>
      <c r="C4" cm="1">
        <f t="array" ref="C4">_xll.FDS($A4,"FG_PRICE(0)")</f>
        <v>3.7639999999999998</v>
      </c>
      <c r="D4" cm="1">
        <f t="array" ref="D4">_xll.FDS($A4,"FG_PRICE_MAVG(0,,,,30)")</f>
        <v>3.8258000000000001</v>
      </c>
      <c r="E4" s="25" cm="1">
        <f t="array" ref="E4">_xll.FDS($A4,"FG_PRICE_CHANGE(0,-1AM)")</f>
        <v>-3.3756898986009598</v>
      </c>
      <c r="F4" s="25" cm="1">
        <f t="array" ref="F4">_xll.FDS($A4,"FG_PRICE_CHANGE(0,-3AM)")</f>
        <v>5.3456479149174303</v>
      </c>
      <c r="G4" s="25" cm="1">
        <f t="array" ref="G4">_xll.FDS($A4,"FG_PRICE_CHANGE(0,-6AM)")</f>
        <v>-1.0255061793321101</v>
      </c>
      <c r="H4" s="25" cm="1">
        <f t="array" ref="H4">_xll.FDS($A4,"FG_PRICE_CHANGE(0,-1AY)")</f>
        <v>-11.518570756934601</v>
      </c>
      <c r="I4" s="25" cm="1">
        <f t="array" ref="I4">_xll.FDS($A4,"FG_PRICE(0)/MAX(FG_PRICE(0,-1AY))")</f>
        <v>0.882118584485587</v>
      </c>
      <c r="J4" cm="1">
        <f t="array" ref="J4">_xll.FDS($A4,"MAX(FG_PRICE(0,-5AY))")</f>
        <v>4.9290000000000003</v>
      </c>
      <c r="K4" s="8">
        <f t="shared" ref="K4:K8" si="0">C4/J4-1</f>
        <v>-0.23635625887603984</v>
      </c>
    </row>
    <row r="5" spans="1:17" x14ac:dyDescent="0.3">
      <c r="A5" t="s">
        <v>109</v>
      </c>
      <c r="B5" t="s">
        <v>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25" cm="1">
        <f t="array" ref="E5">_xll.FDS($A5,"FG_PRICE_CHANGE(0,-1AM)")</f>
        <v>0</v>
      </c>
      <c r="F5" s="25" cm="1">
        <f t="array" ref="F5">_xll.FDS($A5,"FG_PRICE_CHANGE(0,-3AM)")</f>
        <v>-9.1812989210916101</v>
      </c>
      <c r="G5" s="25" cm="1">
        <f t="array" ref="G5">_xll.FDS($A5,"FG_PRICE_CHANGE(0,-6AM)")</f>
        <v>6.5260545905707197</v>
      </c>
      <c r="H5" s="25" cm="1">
        <f t="array" ref="H5">_xll.FDS($A5,"FG_PRICE_CHANGE(0,-1AY)")</f>
        <v>-4.0455967814036704</v>
      </c>
      <c r="I5" s="25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K5" s="8">
        <f t="shared" si="0"/>
        <v>-0.39041533546325879</v>
      </c>
    </row>
    <row r="6" spans="1:17" x14ac:dyDescent="0.3">
      <c r="A6" t="s">
        <v>114</v>
      </c>
      <c r="B6" t="s">
        <v>115</v>
      </c>
      <c r="C6" cm="1">
        <f t="array" ref="C6">_xll.FDS($A6,"FG_PRICE(0)")</f>
        <v>907</v>
      </c>
      <c r="D6" cm="1">
        <f t="array" ref="D6">_xll.FDS($A6,"FG_PRICE_MAVG(0,,,,30)")</f>
        <v>949.2</v>
      </c>
      <c r="E6" s="25" cm="1">
        <f t="array" ref="E6">_xll.FDS($A6,"FG_PRICE_CHANGE(0,-1AM)")</f>
        <v>-8.1053698074974605</v>
      </c>
      <c r="F6" s="25" cm="1">
        <f t="array" ref="F6">_xll.FDS($A6,"FG_PRICE_CHANGE(0,-3AM)")</f>
        <v>0.33185840707965503</v>
      </c>
      <c r="G6" s="25" cm="1">
        <f t="array" ref="G6">_xll.FDS($A6,"FG_PRICE_CHANGE(0,-6AM)")</f>
        <v>-6.0103626943005199</v>
      </c>
      <c r="H6" s="25" cm="1">
        <f t="array" ref="H6">_xll.FDS($A6,"FG_PRICE_CHANGE(0,-1AY)")</f>
        <v>-13.2057416267943</v>
      </c>
      <c r="I6" s="25" cm="1">
        <f t="array" ref="I6">_xll.FDS($A6,"FG_PRICE(0)/MAX(FG_PRICE(0,-1AY))")</f>
        <v>0.79911894273127704</v>
      </c>
      <c r="J6" cm="1">
        <f t="array" ref="J6">_xll.FDS($A6,"MAX(FG_PRICE(0,-5AY))")</f>
        <v>1272.5899999999999</v>
      </c>
      <c r="K6" s="8">
        <f t="shared" si="0"/>
        <v>-0.28728027094350883</v>
      </c>
    </row>
    <row r="7" spans="1:17" x14ac:dyDescent="0.3">
      <c r="A7" t="s">
        <v>116</v>
      </c>
      <c r="B7" t="s">
        <v>117</v>
      </c>
      <c r="C7" cm="1">
        <f t="array" ref="C7">_xll.FDS($A7,"FG_PRICE(0)")</f>
        <v>16010</v>
      </c>
      <c r="D7" cm="1">
        <f t="array" ref="D7">_xll.FDS($A7,"FG_PRICE_MAVG(0,,,,30)")</f>
        <v>16220</v>
      </c>
      <c r="E7" s="25" cm="1">
        <f t="array" ref="E7">_xll.FDS($A7,"FG_PRICE_CHANGE(0,-1AM)")</f>
        <v>-2.1393643031784801</v>
      </c>
      <c r="F7" s="25" cm="1">
        <f t="array" ref="F7">_xll.FDS($A7,"FG_PRICE_CHANGE(0,-3AM)")</f>
        <v>-11.7176730079956</v>
      </c>
      <c r="G7" s="25" cm="1">
        <f t="array" ref="G7">_xll.FDS($A7,"FG_PRICE_CHANGE(0,-6AM)")</f>
        <v>-23.065833733781801</v>
      </c>
      <c r="H7" s="25" cm="1">
        <f t="array" ref="H7">_xll.FDS($A7,"FG_PRICE_CHANGE(0,-1AY)")</f>
        <v>-42.097649186256803</v>
      </c>
      <c r="I7" s="25" cm="1">
        <f t="array" ref="I7">_xll.FDS($A7,"FG_PRICE(0)/MAX(FG_PRICE(0,-1AY))")</f>
        <v>0.53260146373918804</v>
      </c>
      <c r="J7" cm="1">
        <f t="array" ref="J7">_xll.FDS($A7,"MAX(FG_PRICE(0,-5AY))")</f>
        <v>48241</v>
      </c>
      <c r="K7" s="8">
        <f t="shared" si="0"/>
        <v>-0.66812462428224961</v>
      </c>
    </row>
    <row r="8" spans="1:17" x14ac:dyDescent="0.3">
      <c r="A8" t="s">
        <v>118</v>
      </c>
      <c r="B8" t="s">
        <v>119</v>
      </c>
      <c r="C8" cm="1">
        <f t="array" ref="C8">_xll.FDS($A8,"FG_PRICE(0)")</f>
        <v>935</v>
      </c>
      <c r="D8" cm="1">
        <f t="array" ref="D8">_xll.FDS($A8,"FG_PRICE_MAVG(0,,,,30)")</f>
        <v>1065.5999999999999</v>
      </c>
      <c r="E8" s="25" cm="1">
        <f t="array" ref="E8">_xll.FDS($A8,"FG_PRICE_CHANGE(0,-1AM)")</f>
        <v>-25.793650793650801</v>
      </c>
      <c r="F8" s="25" cm="1">
        <f t="array" ref="F8">_xll.FDS($A8,"FG_PRICE_CHANGE(0,-3AM)")</f>
        <v>-16.8888888888889</v>
      </c>
      <c r="G8" s="25" cm="1">
        <f t="array" ref="G8">_xll.FDS($A8,"FG_PRICE_CHANGE(0,-6AM)")</f>
        <v>-28.625954198473298</v>
      </c>
      <c r="H8" s="25" cm="1">
        <f t="array" ref="H8">_xll.FDS($A8,"FG_PRICE_CHANGE(0,-1AY)")</f>
        <v>-45.797101449275402</v>
      </c>
      <c r="I8" s="25" cm="1">
        <f t="array" ref="I8">_xll.FDS($A8,"FG_PRICE(0)/MAX(FG_PRICE(0,-1AY))")</f>
        <v>0.53581661891117505</v>
      </c>
      <c r="J8" cm="1">
        <f t="array" ref="J8">_xll.FDS($A8,"MAX(FG_PRICE(0,-5AY))")</f>
        <v>3158.12</v>
      </c>
      <c r="K8" s="8">
        <f t="shared" si="0"/>
        <v>-0.70393778577128163</v>
      </c>
    </row>
    <row r="9" spans="1:17" x14ac:dyDescent="0.3">
      <c r="A9" t="s">
        <v>171</v>
      </c>
    </row>
    <row r="17" spans="1:10" x14ac:dyDescent="0.3">
      <c r="A17" t="s">
        <v>110</v>
      </c>
      <c r="B17" t="s">
        <v>111</v>
      </c>
      <c r="C17" cm="1">
        <f t="array" ref="C17">_xll.FDS($A17,"FG_PRICE(0)")</f>
        <v>5.9649999999999999</v>
      </c>
      <c r="D17" cm="1">
        <f t="array" ref="D17">_xll.FDS($A17,"FG_PRICE_MAVG(0,,,,30)")</f>
        <v>6.0694999999999997</v>
      </c>
      <c r="E17" s="25" cm="1">
        <f t="array" ref="E17">_xll.FDS($A17,"FG_PRICE_CHANGE(0,-1AM)")</f>
        <v>-3.20486815415821</v>
      </c>
      <c r="F17" s="25" cm="1">
        <f t="array" ref="F17">_xll.FDS($A17,"FG_PRICE_CHANGE(0,-3AM)")</f>
        <v>1.5751383567475601</v>
      </c>
      <c r="G17" s="25" cm="1">
        <f t="array" ref="G17">_xll.FDS($A17,"FG_PRICE_CHANGE(0,-6AM)")</f>
        <v>-14.4802867383513</v>
      </c>
      <c r="H17" s="25" cm="1">
        <f t="array" ref="H17">_xll.FDS($A17,"FG_PRICE_CHANGE(0,-1AY)")</f>
        <v>-17.1527777777778</v>
      </c>
      <c r="I17" s="25" cm="1">
        <f t="array" ref="I17">_xll.FDS($A17,"FG_PRICE(0)/MAX(FG_PRICE(0,-1AY))")</f>
        <v>0.75315656565656597</v>
      </c>
      <c r="J17" cm="1">
        <f t="array" ref="J17">_xll.FDS($A17,"MAX(FG_PRICE(0,-5AY))")</f>
        <v>14.2525</v>
      </c>
    </row>
    <row r="18" spans="1:10" x14ac:dyDescent="0.3">
      <c r="A18" t="s">
        <v>112</v>
      </c>
      <c r="B18" t="s">
        <v>113</v>
      </c>
      <c r="C18" cm="1">
        <f t="array" ref="C18">_xll.FDS($A18,"FG_PRICE(0)")</f>
        <v>3928</v>
      </c>
      <c r="D18" cm="1">
        <f t="array" ref="D18">_xll.FDS($A18,"FG_PRICE_MAVG(0,,,,30)")</f>
        <v>3717.3</v>
      </c>
      <c r="E18" s="25" cm="1">
        <f t="array" ref="E18">_xll.FDS($A18,"FG_PRICE_CHANGE(0,-1AM)")</f>
        <v>6.8262170247484404</v>
      </c>
      <c r="F18" s="25" cm="1">
        <f t="array" ref="F18">_xll.FDS($A18,"FG_PRICE_CHANGE(0,-3AM)")</f>
        <v>6.39219934994584</v>
      </c>
      <c r="G18" s="25" cm="1">
        <f t="array" ref="G18">_xll.FDS($A18,"FG_PRICE_CHANGE(0,-6AM)")</f>
        <v>-1.6278487352867499</v>
      </c>
      <c r="H18" s="25" cm="1">
        <f t="array" ref="H18">_xll.FDS($A18,"FG_PRICE_CHANGE(0,-1AY)")</f>
        <v>1.1068211068211</v>
      </c>
      <c r="I18" s="25" cm="1">
        <f t="array" ref="I18">_xll.FDS($A18,"FG_PRICE(0)/MAX(FG_PRICE(0,-1AY))")</f>
        <v>0.90778830598567095</v>
      </c>
      <c r="J18" cm="1">
        <f t="array" ref="J18">_xll.FDS($A18,"MAX(FG_PRICE(0,-5AY))")</f>
        <v>8163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9"/>
  <sheetViews>
    <sheetView workbookViewId="0">
      <selection activeCell="R18" sqref="R18"/>
    </sheetView>
  </sheetViews>
  <sheetFormatPr defaultRowHeight="14.4" x14ac:dyDescent="0.3"/>
  <cols>
    <col min="1" max="1" width="24.6640625" bestFit="1" customWidth="1"/>
    <col min="11" max="11" width="10.33203125" customWidth="1"/>
    <col min="14" max="14" width="10.44140625" customWidth="1"/>
  </cols>
  <sheetData>
    <row r="1" spans="1:22" x14ac:dyDescent="0.3">
      <c r="B1" s="45" t="s">
        <v>4</v>
      </c>
      <c r="C1" s="45" t="s">
        <v>1</v>
      </c>
      <c r="D1" s="45" t="s">
        <v>147</v>
      </c>
      <c r="E1" s="45" t="s">
        <v>148</v>
      </c>
      <c r="F1" s="45" t="s">
        <v>15</v>
      </c>
      <c r="G1" s="45" t="s">
        <v>149</v>
      </c>
      <c r="H1" s="45" t="s">
        <v>61</v>
      </c>
      <c r="I1" s="45" t="s">
        <v>150</v>
      </c>
      <c r="J1" s="45" t="s">
        <v>71</v>
      </c>
      <c r="K1" s="45" t="s">
        <v>161</v>
      </c>
      <c r="L1" s="45" t="s">
        <v>12</v>
      </c>
      <c r="M1" t="s">
        <v>140</v>
      </c>
      <c r="N1" t="s">
        <v>142</v>
      </c>
      <c r="O1" s="29" t="s">
        <v>89</v>
      </c>
    </row>
    <row r="2" spans="1:22" x14ac:dyDescent="0.3">
      <c r="A2" s="2" cm="1">
        <f t="array" ref="A2:A122">_xll.FDS(B1,"JULIAN(FG_TOTAL_RETURNC(-10AY,0,AM).dates)")</f>
        <v>41662</v>
      </c>
      <c r="B2" s="17" cm="1">
        <f t="array" ref="B2:B122">_xll.FDS(B1,"FG_TOTAL_RETURNC(-10AY,0,AM)")/100</f>
        <v>-3.3051730000000001E-2</v>
      </c>
      <c r="C2" s="17" cm="1">
        <f t="array" ref="C2:C122">_xll.FDS(C1,"FG_TOTAL_RETURNC(-10AY,0,AM)")/100</f>
        <v>1.4244317999999999E-3</v>
      </c>
      <c r="D2" s="17" cm="1">
        <f t="array" ref="D2:D122">_xll.FDS(D1,"FG_TOTAL_RETURNC(-10AY,0,AM)")/100</f>
        <v>5.3820251999999999E-2</v>
      </c>
      <c r="E2" s="17" cm="1">
        <f t="array" ref="E2:E122">_xll.FDS(E1,"FG_TOTAL_RETURNC(-10AY,0,AM)")/100</f>
        <v>-1.3876557E-3</v>
      </c>
      <c r="F2" s="17" cm="1">
        <f t="array" ref="F2:F122">_xll.FDS(F1,"FG_TOTAL_RETURNC(-10AY,0,AM)")/100</f>
        <v>1.2241124999999999E-2</v>
      </c>
      <c r="G2" s="17" cm="1">
        <f t="array" ref="G2:G122">_xll.FDS(G1,"FG_TOTAL_RETURNC(-10AY,0,AM)")/100</f>
        <v>-1.5415788E-2</v>
      </c>
      <c r="H2" s="17" cm="1">
        <f t="array" ref="H2:H122">_xll.FDS(H1,"FG_TOTAL_RETURNC(-10AY,0,AM)")/100</f>
        <v>-1.9780219000000002E-2</v>
      </c>
      <c r="I2" s="17" cm="1">
        <f t="array" ref="I2:I122">_xll.FDS(I1,"FG_TOTAL_RETURNC(-10AY,0,AM)")/100</f>
        <v>3.3571719999999999E-2</v>
      </c>
      <c r="J2" s="17" cm="1">
        <f t="array" ref="J2:J122">_xll.FDS(J1,"FG_TOTAL_RETURNC(-10AY,0,AM)")/100</f>
        <v>2.9094099999999998E-2</v>
      </c>
      <c r="K2" s="17" t="e" cm="1">
        <f t="array" ref="K2:K122">_xll.FDS(K1,"FG_TOTAL_RETURNC(-10AY,0,AM)")/100</f>
        <v>#N/A</v>
      </c>
      <c r="L2" s="17" cm="1">
        <f t="array" ref="L2:L122">_xll.FDS(L1,"FG_TOTAL_RETURNC(-10AY,0,AM)")/100</f>
        <v>-5.0336119999999998E-3</v>
      </c>
      <c r="M2" s="17" cm="1">
        <f t="array" ref="M2:M122">_xll.FDS(M1,"FG_TOTAL_RETURNC(-10AY,0,AM)")/100</f>
        <v>3.491056E-2</v>
      </c>
      <c r="N2" s="17" cm="1">
        <f t="array" ref="N2:N122">_xll.FDS(N1,"FG_TOTAL_RETURNC(-10AY,0,AM)")/100</f>
        <v>5.8475732999999995E-2</v>
      </c>
      <c r="O2" s="17" cm="1">
        <f t="array" ref="O2:O122">_xll.FDS(O1,"FG_TOTAL_RETURNC(-10AY,0,AM)")/100</f>
        <v>3.0412674E-3</v>
      </c>
      <c r="P2" s="17"/>
      <c r="Q2" s="17"/>
      <c r="R2" s="17"/>
      <c r="S2" s="17"/>
      <c r="T2" s="17"/>
      <c r="U2" s="17"/>
      <c r="V2" s="17"/>
    </row>
    <row r="3" spans="1:22" x14ac:dyDescent="0.3">
      <c r="A3" s="2">
        <v>41691</v>
      </c>
      <c r="B3" s="17">
        <v>4.1120052000000002E-3</v>
      </c>
      <c r="C3" s="17">
        <v>6.0179234000000007E-3</v>
      </c>
      <c r="D3" s="17">
        <v>4.7540902999999995E-2</v>
      </c>
      <c r="E3" s="17">
        <v>-3.2422542999999996E-3</v>
      </c>
      <c r="F3" s="17">
        <v>1.6387820000000001E-2</v>
      </c>
      <c r="G3" s="17">
        <v>9.7651369999999987E-2</v>
      </c>
      <c r="H3" s="17">
        <v>5.0399659999999999E-2</v>
      </c>
      <c r="I3" s="17">
        <v>1.3940334E-3</v>
      </c>
      <c r="J3" s="17">
        <v>8.2952975999999994E-3</v>
      </c>
      <c r="K3" s="17" t="e">
        <v>#N/A</v>
      </c>
      <c r="L3" s="17">
        <v>-2.9510914999999999E-2</v>
      </c>
      <c r="M3" s="17">
        <v>-8.6422560000000009E-3</v>
      </c>
      <c r="N3" s="17">
        <v>2.9795169999999999E-2</v>
      </c>
      <c r="O3" s="17">
        <v>9.4571114000000008E-3</v>
      </c>
      <c r="P3" s="17"/>
      <c r="Q3" s="17"/>
      <c r="R3" s="17"/>
      <c r="S3" s="17"/>
      <c r="T3" s="17"/>
      <c r="U3" s="17"/>
      <c r="V3" s="17"/>
    </row>
    <row r="4" spans="1:22" x14ac:dyDescent="0.3">
      <c r="A4" s="2">
        <v>41719</v>
      </c>
      <c r="B4" s="17">
        <v>-1.0749876E-2</v>
      </c>
      <c r="C4" s="17">
        <v>1.7046094000000001E-2</v>
      </c>
      <c r="D4" s="17">
        <v>6.9760083999999998E-3</v>
      </c>
      <c r="E4" s="17">
        <v>-2.3234486999999999E-3</v>
      </c>
      <c r="F4" s="17">
        <v>-3.95751E-3</v>
      </c>
      <c r="G4" s="17">
        <v>4.5420410000000001E-2</v>
      </c>
      <c r="H4" s="17">
        <v>-1.334101E-2</v>
      </c>
      <c r="I4" s="17">
        <v>1.7074585E-2</v>
      </c>
      <c r="J4" s="17">
        <v>-2.1828473000000001E-2</v>
      </c>
      <c r="K4" s="17" t="e">
        <v>#N/A</v>
      </c>
      <c r="L4" s="17">
        <v>-5.4735003000000004E-2</v>
      </c>
      <c r="M4" s="17">
        <v>1.0967374E-2</v>
      </c>
      <c r="N4" s="17">
        <v>1.8685937E-2</v>
      </c>
      <c r="O4" s="17">
        <v>1.0726452E-3</v>
      </c>
      <c r="P4" s="17"/>
      <c r="Q4" s="17"/>
      <c r="R4" s="17"/>
      <c r="S4" s="17"/>
      <c r="T4" s="17"/>
      <c r="U4" s="17"/>
      <c r="V4" s="17"/>
    </row>
    <row r="5" spans="1:22" x14ac:dyDescent="0.3">
      <c r="A5" s="2">
        <v>41752</v>
      </c>
      <c r="B5" s="17">
        <v>6.1806679999999996E-2</v>
      </c>
      <c r="C5" s="17">
        <v>6.7132709999999998E-3</v>
      </c>
      <c r="D5" s="17">
        <v>-3.6662219999999995E-2</v>
      </c>
      <c r="E5" s="17">
        <v>-4.6575664999999999E-3</v>
      </c>
      <c r="F5" s="17">
        <v>-2.5168537999999997E-2</v>
      </c>
      <c r="G5" s="17">
        <v>4.8833013000000002E-2</v>
      </c>
      <c r="H5" s="17">
        <v>3.2451390999999996E-2</v>
      </c>
      <c r="I5" s="17">
        <v>2.7886747999999999E-2</v>
      </c>
      <c r="J5" s="17">
        <v>3.8099885E-2</v>
      </c>
      <c r="K5" s="17" t="e">
        <v>#N/A</v>
      </c>
      <c r="L5" s="17">
        <v>2.2977948000000002E-2</v>
      </c>
      <c r="M5" s="17">
        <v>1.1126995000000002E-3</v>
      </c>
      <c r="N5" s="17">
        <v>5.7988167E-2</v>
      </c>
      <c r="O5" s="17">
        <v>1.7359734000000002E-2</v>
      </c>
      <c r="P5" s="17"/>
      <c r="Q5" s="17"/>
      <c r="R5" s="17"/>
      <c r="S5" s="17"/>
      <c r="T5" s="17"/>
      <c r="U5" s="17"/>
      <c r="V5" s="17"/>
    </row>
    <row r="6" spans="1:22" x14ac:dyDescent="0.3">
      <c r="A6" s="2">
        <v>41782</v>
      </c>
      <c r="B6" s="17">
        <v>4.8130990000000005E-2</v>
      </c>
      <c r="C6" s="17">
        <v>1.5470862E-2</v>
      </c>
      <c r="D6" s="17">
        <v>6.0601234000000007E-3</v>
      </c>
      <c r="E6" s="17">
        <v>5.1473380000000004E-3</v>
      </c>
      <c r="F6" s="17">
        <v>3.5961270000000004E-2</v>
      </c>
      <c r="G6" s="17">
        <v>-3.7315904999999996E-2</v>
      </c>
      <c r="H6" s="17">
        <v>3.0178785E-2</v>
      </c>
      <c r="I6" s="17">
        <v>1.8123149999999998E-2</v>
      </c>
      <c r="J6" s="17">
        <v>1.4098644E-2</v>
      </c>
      <c r="K6" s="17" t="e">
        <v>#N/A</v>
      </c>
      <c r="L6" s="17">
        <v>2.3360251999999998E-2</v>
      </c>
      <c r="M6" s="17">
        <v>2.8063297000000001E-2</v>
      </c>
      <c r="N6" s="17">
        <v>-5.2572609999999999E-2</v>
      </c>
      <c r="O6" s="17">
        <v>9.3392134000000009E-3</v>
      </c>
      <c r="P6" s="17"/>
      <c r="Q6" s="17"/>
      <c r="R6" s="17"/>
      <c r="S6" s="17"/>
      <c r="T6" s="17"/>
      <c r="U6" s="17"/>
      <c r="V6" s="17"/>
    </row>
    <row r="7" spans="1:22" x14ac:dyDescent="0.3">
      <c r="A7" s="2">
        <v>41813</v>
      </c>
      <c r="B7" s="17">
        <v>1.1888027000000001E-2</v>
      </c>
      <c r="C7" s="17">
        <v>3.3971189999999998E-2</v>
      </c>
      <c r="D7" s="17">
        <v>1.8793582999999999E-2</v>
      </c>
      <c r="E7" s="17">
        <v>-3.7243962000000001E-3</v>
      </c>
      <c r="F7" s="17">
        <v>3.5148619999999998E-2</v>
      </c>
      <c r="G7" s="17">
        <v>-1.1379838E-2</v>
      </c>
      <c r="H7" s="17">
        <v>3.0289649999999998E-2</v>
      </c>
      <c r="I7" s="17">
        <v>-8.5189340000000006E-3</v>
      </c>
      <c r="J7" s="17">
        <v>1.6716360999999999E-2</v>
      </c>
      <c r="K7" s="17" t="e">
        <v>#N/A</v>
      </c>
      <c r="L7" s="17">
        <v>6.1457395999999997E-2</v>
      </c>
      <c r="M7" s="17">
        <v>-5.6756735000000006E-3</v>
      </c>
      <c r="N7" s="17">
        <v>5.5489900000000002E-2</v>
      </c>
      <c r="O7" s="17">
        <v>3.0471563E-2</v>
      </c>
      <c r="P7" s="17"/>
      <c r="Q7" s="17"/>
      <c r="R7" s="17"/>
      <c r="S7" s="17"/>
      <c r="T7" s="17"/>
      <c r="U7" s="17"/>
      <c r="V7" s="17"/>
    </row>
    <row r="8" spans="1:22" x14ac:dyDescent="0.3">
      <c r="A8" s="2">
        <v>41843</v>
      </c>
      <c r="B8" s="17">
        <v>4.3464419999999997E-2</v>
      </c>
      <c r="C8" s="17">
        <v>1.4090180000000001E-2</v>
      </c>
      <c r="D8" s="17">
        <v>-9.6964835999999999E-3</v>
      </c>
      <c r="E8" s="17">
        <v>7.0093870000000006E-3</v>
      </c>
      <c r="F8" s="17">
        <v>4.781759E-2</v>
      </c>
      <c r="G8" s="17">
        <v>-4.2086363000000002E-2</v>
      </c>
      <c r="H8" s="17">
        <v>-3.1866907999999999E-2</v>
      </c>
      <c r="I8" s="17">
        <v>3.6153792999999997E-2</v>
      </c>
      <c r="J8" s="17">
        <v>-2.2477029999999999E-2</v>
      </c>
      <c r="K8" s="17" t="e">
        <v>#N/A</v>
      </c>
      <c r="L8" s="17">
        <v>1.1840939999999999E-2</v>
      </c>
      <c r="M8" s="17">
        <v>-2.3652077000000001E-2</v>
      </c>
      <c r="N8" s="17">
        <v>-5.0076904000000005E-2</v>
      </c>
      <c r="O8" s="17">
        <v>1.0496736E-2</v>
      </c>
      <c r="P8" s="17"/>
      <c r="Q8" s="17"/>
      <c r="R8" s="17"/>
      <c r="S8" s="17"/>
      <c r="T8" s="17"/>
      <c r="U8" s="17"/>
      <c r="V8" s="17"/>
    </row>
    <row r="9" spans="1:22" x14ac:dyDescent="0.3">
      <c r="A9" s="2">
        <v>41873</v>
      </c>
      <c r="B9" s="17">
        <v>2.8979778000000002E-3</v>
      </c>
      <c r="C9" s="17">
        <v>2.7688741999999998E-3</v>
      </c>
      <c r="D9" s="17">
        <v>-1.9344032000000001E-2</v>
      </c>
      <c r="E9" s="17">
        <v>1.8097519999999999E-2</v>
      </c>
      <c r="F9" s="17">
        <v>1.8749952E-2</v>
      </c>
      <c r="G9" s="17">
        <v>-2.6286125E-2</v>
      </c>
      <c r="H9" s="17">
        <v>-6.7715826000000007E-2</v>
      </c>
      <c r="I9" s="17">
        <v>2.0984053999999999E-2</v>
      </c>
      <c r="J9" s="17">
        <v>-3.1144201999999999E-2</v>
      </c>
      <c r="K9" s="17" t="e">
        <v>#N/A</v>
      </c>
      <c r="L9" s="17">
        <v>-1.8930018E-2</v>
      </c>
      <c r="M9" s="17">
        <v>-1.8900335000000001E-2</v>
      </c>
      <c r="N9" s="17">
        <v>-6.1492500000000005E-2</v>
      </c>
      <c r="O9" s="17">
        <v>-1.4626145E-2</v>
      </c>
      <c r="P9" s="17"/>
      <c r="Q9" s="17"/>
      <c r="R9" s="17"/>
      <c r="S9" s="17"/>
      <c r="T9" s="17"/>
      <c r="U9" s="17"/>
      <c r="V9" s="17"/>
    </row>
    <row r="10" spans="1:22" x14ac:dyDescent="0.3">
      <c r="A10" s="2">
        <v>41905</v>
      </c>
      <c r="B10" s="17">
        <v>-4.3343010000000001E-2</v>
      </c>
      <c r="C10" s="17">
        <v>-1.2722611E-3</v>
      </c>
      <c r="D10" s="17">
        <v>-4.5377073000000004E-2</v>
      </c>
      <c r="E10" s="17">
        <v>2.6891470000000001E-2</v>
      </c>
      <c r="F10" s="17">
        <v>-3.5399199999999997E-4</v>
      </c>
      <c r="G10" s="17">
        <v>-3.1623602000000001E-2</v>
      </c>
      <c r="H10" s="17">
        <v>-2.6272000000000004E-2</v>
      </c>
      <c r="I10" s="17">
        <v>-1.3402282999999999E-2</v>
      </c>
      <c r="J10" s="17">
        <v>-1.3277471000000001E-2</v>
      </c>
      <c r="K10" s="17" t="e">
        <v>#N/A</v>
      </c>
      <c r="L10" s="17">
        <v>-1.1744976000000001E-2</v>
      </c>
      <c r="M10" s="17">
        <v>-1.9264460000000001E-2</v>
      </c>
      <c r="N10" s="17">
        <v>-6.9974659999999999E-3</v>
      </c>
      <c r="O10" s="17">
        <v>-7.4203013999999999E-3</v>
      </c>
      <c r="P10" s="17"/>
      <c r="Q10" s="17"/>
      <c r="R10" s="17"/>
      <c r="S10" s="17"/>
      <c r="T10" s="17"/>
      <c r="U10" s="17"/>
      <c r="V10" s="17"/>
    </row>
    <row r="11" spans="1:22" x14ac:dyDescent="0.3">
      <c r="A11" s="2">
        <v>41935</v>
      </c>
      <c r="B11" s="17">
        <v>-3.5698712E-2</v>
      </c>
      <c r="C11" s="17">
        <v>-1.5554786000000001E-2</v>
      </c>
      <c r="D11" s="17">
        <v>7.8231095999999993E-3</v>
      </c>
      <c r="E11" s="17">
        <v>1.2871623E-2</v>
      </c>
      <c r="F11" s="17">
        <v>-9.7185372999999999E-3</v>
      </c>
      <c r="G11" s="17">
        <v>3.2258034000000005E-2</v>
      </c>
      <c r="H11" s="17">
        <v>-0.10035408</v>
      </c>
      <c r="I11" s="17">
        <v>3.8481832000000001E-2</v>
      </c>
      <c r="J11" s="17">
        <v>-5.6803885000000005E-2</v>
      </c>
      <c r="K11" s="17" t="e">
        <v>#N/A</v>
      </c>
      <c r="L11" s="17">
        <v>-4.7538159999999996E-2</v>
      </c>
      <c r="M11" s="17">
        <v>-4.4345200000000001E-2</v>
      </c>
      <c r="N11" s="17">
        <v>-6.2780259999999991E-2</v>
      </c>
      <c r="O11" s="17">
        <v>-2.6448369999999999E-2</v>
      </c>
      <c r="P11" s="17"/>
      <c r="Q11" s="17"/>
      <c r="R11" s="17"/>
      <c r="S11" s="17"/>
      <c r="T11" s="17"/>
      <c r="U11" s="17"/>
      <c r="V11" s="17"/>
    </row>
    <row r="12" spans="1:22" x14ac:dyDescent="0.3">
      <c r="A12" s="2">
        <v>41964</v>
      </c>
      <c r="B12" s="17">
        <v>4.9415708000000003E-2</v>
      </c>
      <c r="C12" s="17">
        <v>6.0278060000000001E-2</v>
      </c>
      <c r="D12" s="17">
        <v>-2.6409029999999997E-2</v>
      </c>
      <c r="E12" s="17">
        <v>2.8045535E-2</v>
      </c>
      <c r="F12" s="17">
        <v>6.1848283000000004E-2</v>
      </c>
      <c r="G12" s="17">
        <v>-8.8734626999999993E-3</v>
      </c>
      <c r="H12" s="17">
        <v>-5.4688509999999996E-2</v>
      </c>
      <c r="I12" s="17">
        <v>6.6285132999999996E-3</v>
      </c>
      <c r="J12" s="17">
        <v>3.3949493999999997E-2</v>
      </c>
      <c r="K12" s="17" t="e">
        <v>#N/A</v>
      </c>
      <c r="L12" s="17">
        <v>3.6987542999999998E-2</v>
      </c>
      <c r="M12" s="17">
        <v>3.2077192999999997E-2</v>
      </c>
      <c r="N12" s="17">
        <v>1.0936380000000001E-2</v>
      </c>
      <c r="O12" s="17">
        <v>4.3521642999999999E-2</v>
      </c>
      <c r="P12" s="17"/>
      <c r="Q12" s="17"/>
      <c r="R12" s="17"/>
      <c r="S12" s="17"/>
      <c r="T12" s="17"/>
      <c r="U12" s="17"/>
      <c r="V12" s="17"/>
    </row>
    <row r="13" spans="1:22" x14ac:dyDescent="0.3">
      <c r="A13" s="2">
        <v>41996</v>
      </c>
      <c r="B13" s="17">
        <v>-7.5328110000000004E-2</v>
      </c>
      <c r="C13" s="17">
        <v>1.070106E-2</v>
      </c>
      <c r="D13" s="17">
        <v>-2.2965610000000001E-2</v>
      </c>
      <c r="E13" s="17">
        <v>1.9181608999999999E-2</v>
      </c>
      <c r="F13" s="17">
        <v>6.9932939999999997E-3</v>
      </c>
      <c r="G13" s="17">
        <v>-1.2456179000000001E-2</v>
      </c>
      <c r="H13" s="17">
        <v>-0.23629057000000001</v>
      </c>
      <c r="I13" s="17">
        <v>3.0984281999999998E-2</v>
      </c>
      <c r="J13" s="17">
        <v>-2.2438705E-2</v>
      </c>
      <c r="K13" s="17" t="e">
        <v>#N/A</v>
      </c>
      <c r="L13" s="17">
        <v>-5.7864190000000001E-3</v>
      </c>
      <c r="M13" s="17">
        <v>-2.5181174000000001E-2</v>
      </c>
      <c r="N13" s="17">
        <v>-4.8878250000000005E-2</v>
      </c>
      <c r="O13" s="17">
        <v>-1.7235875000000001E-3</v>
      </c>
      <c r="P13" s="17"/>
      <c r="Q13" s="17"/>
      <c r="R13" s="17"/>
      <c r="S13" s="17"/>
      <c r="T13" s="17"/>
      <c r="U13" s="17"/>
      <c r="V13" s="17"/>
    </row>
    <row r="14" spans="1:22" x14ac:dyDescent="0.3">
      <c r="A14" s="2">
        <v>42027</v>
      </c>
      <c r="B14" s="17">
        <v>4.9634695000000006E-2</v>
      </c>
      <c r="C14" s="17">
        <v>-1.3381480999999999E-2</v>
      </c>
      <c r="D14" s="17">
        <v>0.10191594999999999</v>
      </c>
      <c r="E14" s="17">
        <v>5.4370522000000004E-2</v>
      </c>
      <c r="F14" s="17">
        <v>4.7981740000000003E-4</v>
      </c>
      <c r="G14" s="17">
        <v>-7.4497460000000001E-2</v>
      </c>
      <c r="H14" s="17">
        <v>-0.16842102</v>
      </c>
      <c r="I14" s="17">
        <v>9.3201400000000004E-2</v>
      </c>
      <c r="J14" s="17">
        <v>-9.1931819999999994E-3</v>
      </c>
      <c r="K14" s="17" t="e">
        <v>#N/A</v>
      </c>
      <c r="L14" s="17">
        <v>-3.4782289999999998E-3</v>
      </c>
      <c r="M14" s="17">
        <v>-2.4010003000000002E-2</v>
      </c>
      <c r="N14" s="17">
        <v>-2.4337887999999998E-2</v>
      </c>
      <c r="O14" s="17">
        <v>-2.0678222000000003E-2</v>
      </c>
      <c r="P14" s="17"/>
      <c r="Q14" s="17"/>
      <c r="R14" s="17"/>
      <c r="S14" s="17"/>
      <c r="T14" s="17"/>
      <c r="U14" s="17"/>
      <c r="V14" s="17"/>
    </row>
    <row r="15" spans="1:22" x14ac:dyDescent="0.3">
      <c r="A15" s="2">
        <v>42058</v>
      </c>
      <c r="B15" s="17">
        <v>-6.9611069999999994E-3</v>
      </c>
      <c r="C15" s="17">
        <v>3.0438542000000002E-2</v>
      </c>
      <c r="D15" s="17">
        <v>-7.0836362999999999E-2</v>
      </c>
      <c r="E15" s="17">
        <v>-7.1399810000000001E-3</v>
      </c>
      <c r="F15" s="17">
        <v>4.0859340000000001E-2</v>
      </c>
      <c r="G15" s="17">
        <v>-2.1294713E-2</v>
      </c>
      <c r="H15" s="17">
        <v>7.5949309999999992E-2</v>
      </c>
      <c r="I15" s="17">
        <v>-4.8380555999999998E-2</v>
      </c>
      <c r="J15" s="17">
        <v>5.4156303000000003E-2</v>
      </c>
      <c r="K15" s="17" t="e">
        <v>#N/A</v>
      </c>
      <c r="L15" s="17">
        <v>6.9808006000000006E-2</v>
      </c>
      <c r="M15" s="17">
        <v>9.2332249999999991E-2</v>
      </c>
      <c r="N15" s="17">
        <v>9.1709499999999999E-2</v>
      </c>
      <c r="O15" s="17">
        <v>4.7015666999999997E-2</v>
      </c>
      <c r="P15" s="17"/>
      <c r="Q15" s="17"/>
      <c r="R15" s="17"/>
      <c r="S15" s="17"/>
      <c r="T15" s="17"/>
      <c r="U15" s="17"/>
      <c r="V15" s="17"/>
    </row>
    <row r="16" spans="1:22" x14ac:dyDescent="0.3">
      <c r="A16" s="2">
        <v>42086</v>
      </c>
      <c r="B16" s="17">
        <v>-1.2811184E-2</v>
      </c>
      <c r="C16" s="17">
        <v>-1.3257264999999999E-3</v>
      </c>
      <c r="D16" s="17">
        <v>-9.8761319999999993E-3</v>
      </c>
      <c r="E16" s="17">
        <v>2.0375610000000002E-2</v>
      </c>
      <c r="F16" s="17">
        <v>4.3845176999999998E-4</v>
      </c>
      <c r="G16" s="17">
        <v>-1.0443866E-2</v>
      </c>
      <c r="H16" s="17">
        <v>-6.327724500000001E-2</v>
      </c>
      <c r="I16" s="17">
        <v>2.8291344999999999E-2</v>
      </c>
      <c r="J16" s="17">
        <v>8.0833434999999995E-3</v>
      </c>
      <c r="K16" s="17" t="e">
        <v>#N/A</v>
      </c>
      <c r="L16" s="17">
        <v>4.9755216000000005E-2</v>
      </c>
      <c r="M16" s="17">
        <v>2.9249190000000002E-3</v>
      </c>
      <c r="N16" s="17">
        <v>5.3763389999999999E-3</v>
      </c>
      <c r="O16" s="17">
        <v>9.5442532999999996E-3</v>
      </c>
      <c r="P16" s="17"/>
      <c r="Q16" s="17"/>
      <c r="R16" s="17"/>
      <c r="S16" s="17"/>
      <c r="T16" s="17"/>
      <c r="U16" s="17"/>
      <c r="V16" s="17"/>
    </row>
    <row r="17" spans="1:22" x14ac:dyDescent="0.3">
      <c r="A17" s="2">
        <v>42117</v>
      </c>
      <c r="B17" s="17">
        <v>9.0315100000000009E-2</v>
      </c>
      <c r="C17" s="17">
        <v>5.5238010000000001E-3</v>
      </c>
      <c r="D17" s="17">
        <v>3.2373667E-3</v>
      </c>
      <c r="E17" s="17">
        <v>3.1323433000000002E-3</v>
      </c>
      <c r="F17" s="17">
        <v>6.8316460000000002E-3</v>
      </c>
      <c r="G17" s="17">
        <v>-2.0228624000000001E-2</v>
      </c>
      <c r="H17" s="17">
        <v>0.13707722</v>
      </c>
      <c r="I17" s="17">
        <v>-2.1430612000000002E-2</v>
      </c>
      <c r="J17" s="17">
        <v>1.2514829999999999E-2</v>
      </c>
      <c r="K17" s="17" t="e">
        <v>#N/A</v>
      </c>
      <c r="L17" s="17">
        <v>3.0303001E-2</v>
      </c>
      <c r="M17" s="17">
        <v>1.4581679999999999E-3</v>
      </c>
      <c r="N17" s="17">
        <v>5.3476095000000003E-3</v>
      </c>
      <c r="O17" s="17">
        <v>2.7980803999999998E-3</v>
      </c>
      <c r="P17" s="17"/>
      <c r="Q17" s="17"/>
      <c r="R17" s="17"/>
      <c r="S17" s="17"/>
      <c r="T17" s="17"/>
      <c r="U17" s="17"/>
      <c r="V17" s="17"/>
    </row>
    <row r="18" spans="1:22" x14ac:dyDescent="0.3">
      <c r="A18" s="2">
        <v>42146</v>
      </c>
      <c r="B18" s="17">
        <v>-1.1023640999999999E-2</v>
      </c>
      <c r="C18" s="17">
        <v>8.6663959999999998E-3</v>
      </c>
      <c r="D18" s="17">
        <v>8.1981420000000003E-3</v>
      </c>
      <c r="E18" s="17">
        <v>-1.3270915000000001E-2</v>
      </c>
      <c r="F18" s="17">
        <v>1.2928724000000001E-2</v>
      </c>
      <c r="G18" s="17">
        <v>-2.2442340999999999E-3</v>
      </c>
      <c r="H18" s="17">
        <v>2.5640964999999998E-2</v>
      </c>
      <c r="I18" s="17">
        <v>-5.9401216999999999E-2</v>
      </c>
      <c r="J18" s="17">
        <v>2.3008823000000001E-2</v>
      </c>
      <c r="K18" s="17" t="e">
        <v>#N/A</v>
      </c>
      <c r="L18" s="17">
        <v>1.508236E-3</v>
      </c>
      <c r="M18" s="17">
        <v>6.4065455999999998E-3</v>
      </c>
      <c r="N18" s="17">
        <v>4.9202085E-2</v>
      </c>
      <c r="O18" s="17">
        <v>1.8209815000000001E-2</v>
      </c>
      <c r="P18" s="17"/>
      <c r="Q18" s="17"/>
      <c r="R18" s="17"/>
      <c r="S18" s="17"/>
      <c r="T18" s="17"/>
      <c r="U18" s="17"/>
      <c r="V18" s="17"/>
    </row>
    <row r="19" spans="1:22" x14ac:dyDescent="0.3">
      <c r="A19" s="2">
        <v>42178</v>
      </c>
      <c r="B19" s="17">
        <v>-3.5714269E-2</v>
      </c>
      <c r="C19" s="17">
        <v>4.0411950000000005E-4</v>
      </c>
      <c r="D19" s="17">
        <v>-2.3442924E-2</v>
      </c>
      <c r="E19" s="17">
        <v>-1.0284840999999999E-2</v>
      </c>
      <c r="F19" s="17">
        <v>5.2162409999999999E-3</v>
      </c>
      <c r="G19" s="17">
        <v>-1.3494492E-3</v>
      </c>
      <c r="H19" s="17">
        <v>-1.9230247E-3</v>
      </c>
      <c r="I19" s="17">
        <v>-3.4858345999999998E-2</v>
      </c>
      <c r="J19" s="17">
        <v>-4.8442482999999995E-3</v>
      </c>
      <c r="K19" s="17" t="e">
        <v>#N/A</v>
      </c>
      <c r="L19" s="17">
        <v>-6.0240625999999995E-3</v>
      </c>
      <c r="M19" s="17">
        <v>6.6550969999999996E-3</v>
      </c>
      <c r="N19" s="17">
        <v>1.4575481E-2</v>
      </c>
      <c r="O19" s="17">
        <v>-1.4101862999999999E-2</v>
      </c>
      <c r="P19" s="17"/>
      <c r="Q19" s="17"/>
      <c r="R19" s="17"/>
      <c r="S19" s="17"/>
      <c r="T19" s="17"/>
      <c r="U19" s="17"/>
      <c r="V19" s="17"/>
    </row>
    <row r="20" spans="1:22" x14ac:dyDescent="0.3">
      <c r="A20" s="2">
        <v>42208</v>
      </c>
      <c r="B20" s="17">
        <v>-7.2553039999999999E-2</v>
      </c>
      <c r="C20" s="17">
        <v>-8.7719559999999992E-3</v>
      </c>
      <c r="D20" s="17">
        <v>-7.5825986999999997E-2</v>
      </c>
      <c r="E20" s="17">
        <v>1.5587449E-2</v>
      </c>
      <c r="F20" s="17">
        <v>1.2726784E-2</v>
      </c>
      <c r="G20" s="17">
        <v>-7.2072150000000003E-3</v>
      </c>
      <c r="H20" s="17">
        <v>-0.19772642000000001</v>
      </c>
      <c r="I20" s="17">
        <v>4.6661377000000004E-2</v>
      </c>
      <c r="J20" s="17">
        <v>-2.4106800000000001E-2</v>
      </c>
      <c r="K20" s="17" t="e">
        <v>#N/A</v>
      </c>
      <c r="L20" s="17">
        <v>-2.0080863999999997E-2</v>
      </c>
      <c r="M20" s="17">
        <v>-4.2179290000000001E-2</v>
      </c>
      <c r="N20" s="17">
        <v>-1.6705452999999999E-2</v>
      </c>
      <c r="O20" s="17">
        <v>-1.1980653000000001E-2</v>
      </c>
      <c r="P20" s="17"/>
      <c r="Q20" s="17"/>
      <c r="R20" s="17"/>
      <c r="S20" s="17"/>
      <c r="T20" s="17"/>
      <c r="U20" s="17"/>
      <c r="V20" s="17"/>
    </row>
    <row r="21" spans="1:22" x14ac:dyDescent="0.3">
      <c r="A21" s="2">
        <v>42237</v>
      </c>
      <c r="B21" s="17">
        <v>-0.13068037999999998</v>
      </c>
      <c r="C21" s="17">
        <v>-5.9710684E-2</v>
      </c>
      <c r="D21" s="17">
        <v>6.5177800000000008E-2</v>
      </c>
      <c r="E21" s="17">
        <v>-2.4006306999999998E-2</v>
      </c>
      <c r="F21" s="17">
        <v>-8.7343989999999996E-2</v>
      </c>
      <c r="G21" s="17">
        <v>-5.3992750000000006E-2</v>
      </c>
      <c r="H21" s="17">
        <v>-0.17623329999999998</v>
      </c>
      <c r="I21" s="17">
        <v>4.6111225999999998E-2</v>
      </c>
      <c r="J21" s="17">
        <v>-6.7667840000000007E-2</v>
      </c>
      <c r="K21" s="17" t="e">
        <v>#N/A</v>
      </c>
      <c r="L21" s="17">
        <v>-7.3815049999999993E-2</v>
      </c>
      <c r="M21" s="17">
        <v>-6.1199130000000004E-2</v>
      </c>
      <c r="N21" s="17">
        <v>-5.4945050000000002E-2</v>
      </c>
      <c r="O21" s="17">
        <v>-7.1001410000000001E-2</v>
      </c>
      <c r="P21" s="17"/>
      <c r="Q21" s="17"/>
      <c r="R21" s="17"/>
      <c r="S21" s="17"/>
      <c r="T21" s="17"/>
      <c r="U21" s="17"/>
      <c r="V21" s="17"/>
    </row>
    <row r="22" spans="1:22" x14ac:dyDescent="0.3">
      <c r="A22" s="2">
        <v>42270</v>
      </c>
      <c r="B22" s="17">
        <v>-1.7720103000000001E-2</v>
      </c>
      <c r="C22" s="17">
        <v>-1.5212000000000002E-2</v>
      </c>
      <c r="D22" s="17">
        <v>-2.6185513000000001E-2</v>
      </c>
      <c r="E22" s="17">
        <v>1.2903332999999999E-2</v>
      </c>
      <c r="F22" s="17">
        <v>1.9893885E-2</v>
      </c>
      <c r="G22" s="17">
        <v>-7.6738596000000001E-3</v>
      </c>
      <c r="H22" s="17">
        <v>8.571434E-2</v>
      </c>
      <c r="I22" s="17">
        <v>-3.4556089999999998E-2</v>
      </c>
      <c r="J22" s="17">
        <v>-4.7351003000000003E-2</v>
      </c>
      <c r="K22" s="17" t="e">
        <v>#N/A</v>
      </c>
      <c r="L22" s="17">
        <v>-4.2785225000000003E-2</v>
      </c>
      <c r="M22" s="17">
        <v>-4.5334159999999998E-2</v>
      </c>
      <c r="N22" s="17">
        <v>-3.5567700000000001E-2</v>
      </c>
      <c r="O22" s="17">
        <v>-2.2753774999999997E-2</v>
      </c>
      <c r="P22" s="17"/>
      <c r="Q22" s="17"/>
      <c r="R22" s="17"/>
      <c r="S22" s="17"/>
      <c r="T22" s="17"/>
      <c r="U22" s="17"/>
      <c r="V22" s="17"/>
    </row>
    <row r="23" spans="1:22" x14ac:dyDescent="0.3">
      <c r="A23" s="2">
        <v>42300</v>
      </c>
      <c r="B23" s="17">
        <v>0.10977781</v>
      </c>
      <c r="C23" s="17">
        <v>7.1849109999999994E-2</v>
      </c>
      <c r="D23" s="17">
        <v>3.0308603999999999E-2</v>
      </c>
      <c r="E23" s="17">
        <v>7.165551E-3</v>
      </c>
      <c r="F23" s="17">
        <v>8.2549460000000005E-2</v>
      </c>
      <c r="G23" s="17">
        <v>1.8366337E-2</v>
      </c>
      <c r="H23" s="17">
        <v>-1.0746479E-2</v>
      </c>
      <c r="I23" s="17">
        <v>1.3837576000000001E-2</v>
      </c>
      <c r="J23" s="17">
        <v>7.8051567000000002E-2</v>
      </c>
      <c r="K23" s="17" t="e">
        <v>#N/A</v>
      </c>
      <c r="L23" s="17">
        <v>9.6406699999999998E-2</v>
      </c>
      <c r="M23" s="17">
        <v>5.6152463E-2</v>
      </c>
      <c r="N23" s="17">
        <v>7.1631192999999996E-2</v>
      </c>
      <c r="O23" s="17">
        <v>6.791055E-2</v>
      </c>
      <c r="P23" s="17"/>
      <c r="Q23" s="17"/>
      <c r="R23" s="17"/>
      <c r="S23" s="17"/>
      <c r="T23" s="17"/>
      <c r="U23" s="17"/>
      <c r="V23" s="17"/>
    </row>
    <row r="24" spans="1:22" x14ac:dyDescent="0.3">
      <c r="A24" s="2">
        <v>42331</v>
      </c>
      <c r="B24" s="17">
        <v>-4.0648165E-2</v>
      </c>
      <c r="C24" s="17">
        <v>7.5178146000000005E-3</v>
      </c>
      <c r="D24" s="17">
        <v>-8.2869949999999998E-2</v>
      </c>
      <c r="E24" s="17">
        <v>2.6877521999999997E-2</v>
      </c>
      <c r="F24" s="17">
        <v>1.2147546E-2</v>
      </c>
      <c r="G24" s="17">
        <v>-1.5662073999999998E-2</v>
      </c>
      <c r="H24" s="17">
        <v>-5.6449832999999998E-2</v>
      </c>
      <c r="I24" s="17">
        <v>-1.7174244000000002E-2</v>
      </c>
      <c r="J24" s="17">
        <v>-3.3219457000000001E-2</v>
      </c>
      <c r="K24" s="17" t="e">
        <v>#N/A</v>
      </c>
      <c r="L24" s="17">
        <v>3.9968490000000002E-3</v>
      </c>
      <c r="M24" s="17">
        <v>-2.1660626000000002E-2</v>
      </c>
      <c r="N24" s="17">
        <v>-6.4857663999999995E-2</v>
      </c>
      <c r="O24" s="17">
        <v>-2.2362470000000002E-3</v>
      </c>
      <c r="P24" s="17"/>
      <c r="Q24" s="17"/>
      <c r="R24" s="17"/>
      <c r="S24" s="17"/>
      <c r="T24" s="17"/>
      <c r="U24" s="17"/>
      <c r="V24" s="17"/>
    </row>
    <row r="25" spans="1:22" x14ac:dyDescent="0.3">
      <c r="A25" s="2">
        <v>42361</v>
      </c>
      <c r="B25" s="17">
        <v>-3.7715553999999998E-2</v>
      </c>
      <c r="C25" s="17">
        <v>-8.6196659999999998E-3</v>
      </c>
      <c r="D25" s="17">
        <v>4.8887729999999997E-4</v>
      </c>
      <c r="E25" s="17">
        <v>-1.6936064000000001E-2</v>
      </c>
      <c r="F25" s="17">
        <v>-1.0416209999999999E-2</v>
      </c>
      <c r="G25" s="17">
        <v>-1.2536168E-2</v>
      </c>
      <c r="H25" s="17">
        <v>-0.13403261</v>
      </c>
      <c r="I25" s="17">
        <v>6.8160295000000001E-3</v>
      </c>
      <c r="J25" s="17">
        <v>-8.3893539999999999E-4</v>
      </c>
      <c r="K25" s="17" t="e">
        <v>#N/A</v>
      </c>
      <c r="L25" s="17">
        <v>-1.5977323000000002E-2</v>
      </c>
      <c r="M25" s="17">
        <v>-3.8131475E-3</v>
      </c>
      <c r="N25" s="17">
        <v>1.6019343999999999E-3</v>
      </c>
      <c r="O25" s="17">
        <v>-3.1133889999999998E-3</v>
      </c>
      <c r="P25" s="17"/>
      <c r="Q25" s="17"/>
      <c r="R25" s="17"/>
      <c r="S25" s="17"/>
      <c r="T25" s="17"/>
      <c r="U25" s="17"/>
      <c r="V25" s="17"/>
    </row>
    <row r="26" spans="1:22" x14ac:dyDescent="0.3">
      <c r="A26" s="2">
        <v>42391</v>
      </c>
      <c r="B26" s="17">
        <v>-0.11599403000000001</v>
      </c>
      <c r="C26" s="17">
        <v>-7.5235423999999995E-2</v>
      </c>
      <c r="D26" s="17">
        <v>2.6292681999999998E-2</v>
      </c>
      <c r="E26" s="17">
        <v>1.2529373E-2</v>
      </c>
      <c r="F26" s="17">
        <v>-7.8501042999999993E-2</v>
      </c>
      <c r="G26" s="17">
        <v>-1.7089844E-2</v>
      </c>
      <c r="H26" s="17">
        <v>-0.14973491999999999</v>
      </c>
      <c r="I26" s="17">
        <v>3.4692764000000001E-2</v>
      </c>
      <c r="J26" s="17">
        <v>-8.7016579999999996E-2</v>
      </c>
      <c r="K26" s="17" t="e">
        <v>#N/A</v>
      </c>
      <c r="L26" s="17">
        <v>-7.9869629999999997E-2</v>
      </c>
      <c r="M26" s="17">
        <v>-7.9878690000000002E-2</v>
      </c>
      <c r="N26" s="17">
        <v>-0.12756902000000001</v>
      </c>
      <c r="O26" s="17">
        <v>-8.8210219999999992E-2</v>
      </c>
      <c r="P26" s="17"/>
      <c r="Q26" s="17"/>
      <c r="R26" s="17"/>
      <c r="S26" s="17"/>
      <c r="T26" s="17"/>
      <c r="U26" s="17"/>
      <c r="V26" s="17"/>
    </row>
    <row r="27" spans="1:22" x14ac:dyDescent="0.3">
      <c r="A27" s="2">
        <v>42423</v>
      </c>
      <c r="B27" s="17">
        <v>4.0243505999999998E-2</v>
      </c>
      <c r="C27" s="17">
        <v>9.4478130000000011E-3</v>
      </c>
      <c r="D27" s="17">
        <v>0.11638092999999999</v>
      </c>
      <c r="E27" s="17">
        <v>-2.2815168E-2</v>
      </c>
      <c r="F27" s="17">
        <v>-2.1104335999999998E-2</v>
      </c>
      <c r="G27" s="17">
        <v>-6.9547890000000003E-3</v>
      </c>
      <c r="H27" s="17">
        <v>-2.0629822999999999E-2</v>
      </c>
      <c r="I27" s="17">
        <v>5.0902963000000002E-2</v>
      </c>
      <c r="J27" s="17">
        <v>-1.6857564000000002E-2</v>
      </c>
      <c r="K27" s="17" t="e">
        <v>#N/A</v>
      </c>
      <c r="L27" s="17">
        <v>-4.0744009999999997E-2</v>
      </c>
      <c r="M27" s="17">
        <v>1.5384674000000001E-2</v>
      </c>
      <c r="N27" s="17">
        <v>-9.0170619999999993E-2</v>
      </c>
      <c r="O27" s="17">
        <v>-6.2316656000000002E-4</v>
      </c>
      <c r="P27" s="17"/>
      <c r="Q27" s="17"/>
      <c r="R27" s="17"/>
      <c r="S27" s="17"/>
      <c r="T27" s="17"/>
      <c r="U27" s="17"/>
      <c r="V27" s="17"/>
    </row>
    <row r="28" spans="1:22" x14ac:dyDescent="0.3">
      <c r="A28" s="2">
        <v>42452</v>
      </c>
      <c r="B28" s="17">
        <v>0.1026932</v>
      </c>
      <c r="C28" s="17">
        <v>6.2046530000000003E-2</v>
      </c>
      <c r="D28" s="17">
        <v>-5.2039029999999993E-3</v>
      </c>
      <c r="E28" s="17">
        <v>-1.385045E-2</v>
      </c>
      <c r="F28" s="17">
        <v>5.8745739999999998E-2</v>
      </c>
      <c r="G28" s="17">
        <v>4.9524784000000002E-2</v>
      </c>
      <c r="H28" s="17">
        <v>0.18105804</v>
      </c>
      <c r="I28" s="17">
        <v>-1.3155460000000001E-2</v>
      </c>
      <c r="J28" s="17">
        <v>5.8528304000000003E-2</v>
      </c>
      <c r="K28" s="17" t="e">
        <v>#N/A</v>
      </c>
      <c r="L28" s="17">
        <v>5.4478289999999999E-2</v>
      </c>
      <c r="M28" s="17">
        <v>4.3650865999999997E-2</v>
      </c>
      <c r="N28" s="17">
        <v>8.9285739999999988E-2</v>
      </c>
      <c r="O28" s="17">
        <v>6.5783380000000002E-2</v>
      </c>
      <c r="P28" s="17"/>
      <c r="Q28" s="17"/>
      <c r="R28" s="17"/>
      <c r="S28" s="17"/>
      <c r="T28" s="17"/>
      <c r="U28" s="17"/>
      <c r="V28" s="17"/>
    </row>
    <row r="29" spans="1:22" x14ac:dyDescent="0.3">
      <c r="A29" s="2">
        <v>42482</v>
      </c>
      <c r="B29" s="17">
        <v>3.4258722999999998E-2</v>
      </c>
      <c r="C29" s="17">
        <v>2.8349160000000002E-2</v>
      </c>
      <c r="D29" s="17">
        <v>1.0976791E-2</v>
      </c>
      <c r="E29" s="17">
        <v>-1.0834694000000001E-2</v>
      </c>
      <c r="F29" s="17">
        <v>1.6320108999999999E-2</v>
      </c>
      <c r="G29" s="17">
        <v>-2.0495713000000002E-2</v>
      </c>
      <c r="H29" s="17">
        <v>6.065309E-2</v>
      </c>
      <c r="I29" s="17">
        <v>-6.6756605999999993E-3</v>
      </c>
      <c r="J29" s="17">
        <v>4.0935636000000004E-2</v>
      </c>
      <c r="K29" s="17" t="e">
        <v>#N/A</v>
      </c>
      <c r="L29" s="17">
        <v>6.9176909999999994E-2</v>
      </c>
      <c r="M29" s="17">
        <v>5.5305960000000001E-2</v>
      </c>
      <c r="N29" s="17">
        <v>2.5409818000000001E-2</v>
      </c>
      <c r="O29" s="17">
        <v>4.4171333E-2</v>
      </c>
      <c r="P29" s="17"/>
      <c r="Q29" s="17"/>
      <c r="R29" s="17"/>
      <c r="S29" s="17"/>
      <c r="T29" s="17"/>
      <c r="U29" s="17"/>
      <c r="V29" s="17"/>
    </row>
    <row r="30" spans="1:22" x14ac:dyDescent="0.3">
      <c r="A30" s="2">
        <v>42513</v>
      </c>
      <c r="B30" s="17">
        <v>-6.5391245000000001E-2</v>
      </c>
      <c r="C30" s="17">
        <v>-1.7992973000000002E-2</v>
      </c>
      <c r="D30" s="17">
        <v>1.2554050000000001E-2</v>
      </c>
      <c r="E30" s="17">
        <v>1.2170076E-3</v>
      </c>
      <c r="F30" s="17">
        <v>-2.4316430000000003E-2</v>
      </c>
      <c r="G30" s="17">
        <v>1.5571833E-2</v>
      </c>
      <c r="H30" s="17">
        <v>7.8662394999999996E-2</v>
      </c>
      <c r="I30" s="17">
        <v>1.8272996E-2</v>
      </c>
      <c r="J30" s="17">
        <v>-2.7287303999999998E-2</v>
      </c>
      <c r="K30" s="17" t="e">
        <v>#N/A</v>
      </c>
      <c r="L30" s="17">
        <v>-5.2416086000000001E-2</v>
      </c>
      <c r="M30" s="17">
        <v>-5.6338069999999997E-2</v>
      </c>
      <c r="N30" s="17">
        <v>-5.8353367000000003E-2</v>
      </c>
      <c r="O30" s="17">
        <v>-2.7594924E-2</v>
      </c>
      <c r="P30" s="17"/>
      <c r="Q30" s="17"/>
      <c r="R30" s="17"/>
      <c r="S30" s="17"/>
      <c r="T30" s="17"/>
      <c r="U30" s="17"/>
      <c r="V30" s="17"/>
    </row>
    <row r="31" spans="1:22" x14ac:dyDescent="0.3">
      <c r="A31" s="2">
        <v>42544</v>
      </c>
      <c r="B31" s="17">
        <v>9.1555120000000004E-2</v>
      </c>
      <c r="C31" s="17">
        <v>3.265357E-2</v>
      </c>
      <c r="D31" s="17">
        <v>6.1992407000000006E-3</v>
      </c>
      <c r="E31" s="17">
        <v>-2.1474897999999999E-2</v>
      </c>
      <c r="F31" s="17">
        <v>2.5700926999999998E-2</v>
      </c>
      <c r="G31" s="17">
        <v>5.8936240000000001E-2</v>
      </c>
      <c r="H31" s="17">
        <v>3.3953428000000001E-2</v>
      </c>
      <c r="I31" s="17">
        <v>1.5800238000000001E-2</v>
      </c>
      <c r="J31" s="17">
        <v>5.5211781999999994E-2</v>
      </c>
      <c r="K31" s="17" t="e">
        <v>#N/A</v>
      </c>
      <c r="L31" s="17">
        <v>3.0585290000000001E-2</v>
      </c>
      <c r="M31" s="17">
        <v>5.0055145999999995E-2</v>
      </c>
      <c r="N31" s="17">
        <v>6.2541960000000008E-2</v>
      </c>
      <c r="O31" s="17">
        <v>4.1591643999999997E-2</v>
      </c>
      <c r="P31" s="17"/>
      <c r="Q31" s="17"/>
      <c r="R31" s="17"/>
      <c r="S31" s="17"/>
      <c r="T31" s="17"/>
      <c r="U31" s="17"/>
      <c r="V31" s="17"/>
    </row>
    <row r="32" spans="1:22" x14ac:dyDescent="0.3">
      <c r="A32" s="2">
        <v>42573</v>
      </c>
      <c r="B32" s="17">
        <v>3.9447665E-2</v>
      </c>
      <c r="C32" s="17">
        <v>3.0501485000000002E-2</v>
      </c>
      <c r="D32" s="17">
        <v>5.1952360000000003E-2</v>
      </c>
      <c r="E32" s="17">
        <v>4.3892264E-2</v>
      </c>
      <c r="F32" s="17">
        <v>4.4865370000000002E-2</v>
      </c>
      <c r="G32" s="17">
        <v>-6.1990976000000003E-2</v>
      </c>
      <c r="H32" s="17">
        <v>-0.13535123999999998</v>
      </c>
      <c r="I32" s="17">
        <v>5.1591753999999997E-2</v>
      </c>
      <c r="J32" s="17">
        <v>-5.6840840000000004E-2</v>
      </c>
      <c r="K32" s="17" t="e">
        <v>#N/A</v>
      </c>
      <c r="L32" s="17">
        <v>2.5359391999999997E-3</v>
      </c>
      <c r="M32" s="17">
        <v>-5.0515532000000002E-2</v>
      </c>
      <c r="N32" s="17">
        <v>-0.10024654</v>
      </c>
      <c r="O32" s="17">
        <v>2.3789405999999997E-3</v>
      </c>
      <c r="P32" s="17"/>
      <c r="Q32" s="17"/>
      <c r="R32" s="17"/>
      <c r="S32" s="17"/>
      <c r="T32" s="17"/>
      <c r="U32" s="17"/>
      <c r="V32" s="17"/>
    </row>
    <row r="33" spans="1:22" x14ac:dyDescent="0.3">
      <c r="A33" s="2">
        <v>42605</v>
      </c>
      <c r="B33" s="17">
        <v>2.1143913E-2</v>
      </c>
      <c r="C33" s="17">
        <v>7.9635379999999992E-3</v>
      </c>
      <c r="D33" s="17">
        <v>1.1159539000000001E-2</v>
      </c>
      <c r="E33" s="17">
        <v>-3.0940056000000001E-2</v>
      </c>
      <c r="F33" s="17">
        <v>3.4403800000000005E-2</v>
      </c>
      <c r="G33" s="17">
        <v>1.2542248000000001E-2</v>
      </c>
      <c r="H33" s="17">
        <v>5.6803106999999999E-2</v>
      </c>
      <c r="I33" s="17">
        <v>1.0725021E-2</v>
      </c>
      <c r="J33" s="17">
        <v>4.0812016E-2</v>
      </c>
      <c r="K33" s="17" t="e">
        <v>#N/A</v>
      </c>
      <c r="L33" s="17">
        <v>4.3844939999999999E-2</v>
      </c>
      <c r="M33" s="17">
        <v>4.7050357000000001E-2</v>
      </c>
      <c r="N33" s="17">
        <v>2.9223800000000001E-2</v>
      </c>
      <c r="O33" s="17">
        <v>2.1499394999999998E-2</v>
      </c>
      <c r="P33" s="17"/>
      <c r="Q33" s="17"/>
      <c r="R33" s="17"/>
      <c r="S33" s="17"/>
      <c r="T33" s="17"/>
      <c r="U33" s="17"/>
      <c r="V33" s="17"/>
    </row>
    <row r="34" spans="1:22" x14ac:dyDescent="0.3">
      <c r="A34" s="2">
        <v>42636</v>
      </c>
      <c r="B34" s="17">
        <v>1.2920499E-2</v>
      </c>
      <c r="C34" s="17">
        <v>-8.6069110000000001E-3</v>
      </c>
      <c r="D34" s="17">
        <v>-8.6098909999999997E-4</v>
      </c>
      <c r="E34" s="17">
        <v>1.0233282999999999E-2</v>
      </c>
      <c r="F34" s="17">
        <v>9.0717080000000012E-3</v>
      </c>
      <c r="G34" s="17">
        <v>-2.4773717000000001E-2</v>
      </c>
      <c r="H34" s="17">
        <v>-7.1781280000000003E-2</v>
      </c>
      <c r="I34" s="17">
        <v>-2.1146715E-2</v>
      </c>
      <c r="J34" s="17">
        <v>-1.8393397E-3</v>
      </c>
      <c r="K34" s="17" t="e">
        <v>#N/A</v>
      </c>
      <c r="L34" s="17">
        <v>2.1001577E-2</v>
      </c>
      <c r="M34" s="17">
        <v>3.4565926000000003E-3</v>
      </c>
      <c r="N34" s="17">
        <v>-2.2182762999999998E-2</v>
      </c>
      <c r="O34" s="17">
        <v>-9.4300510000000001E-3</v>
      </c>
      <c r="P34" s="17"/>
      <c r="Q34" s="17"/>
      <c r="R34" s="17"/>
      <c r="S34" s="17"/>
      <c r="T34" s="17"/>
      <c r="U34" s="17"/>
      <c r="V34" s="17"/>
    </row>
    <row r="35" spans="1:22" x14ac:dyDescent="0.3">
      <c r="A35" s="2">
        <v>42664</v>
      </c>
      <c r="B35" s="17">
        <v>1.0082245E-2</v>
      </c>
      <c r="C35" s="17">
        <v>-9.3060136000000012E-3</v>
      </c>
      <c r="D35" s="17">
        <v>-5.3427340000000004E-2</v>
      </c>
      <c r="E35" s="17">
        <v>3.3225298E-2</v>
      </c>
      <c r="F35" s="17">
        <v>-1.5211700999999999E-3</v>
      </c>
      <c r="G35" s="17">
        <v>-9.2818140000000011E-3</v>
      </c>
      <c r="H35" s="17">
        <v>0.12513887000000001</v>
      </c>
      <c r="I35" s="17">
        <v>-2.3894608000000001E-2</v>
      </c>
      <c r="J35" s="17">
        <v>-2.7425290000000001E-2</v>
      </c>
      <c r="K35" s="17" t="e">
        <v>#N/A</v>
      </c>
      <c r="L35" s="17">
        <v>-5.5380463999999997E-3</v>
      </c>
      <c r="M35" s="17">
        <v>-2.3079573999999999E-2</v>
      </c>
      <c r="N35" s="17">
        <v>1.7241359000000001E-2</v>
      </c>
      <c r="O35" s="17">
        <v>-1.1451483E-2</v>
      </c>
      <c r="P35" s="17"/>
      <c r="Q35" s="17"/>
      <c r="R35" s="17"/>
      <c r="S35" s="17"/>
      <c r="T35" s="17"/>
      <c r="U35" s="17"/>
      <c r="V35" s="17"/>
    </row>
    <row r="36" spans="1:22" x14ac:dyDescent="0.3">
      <c r="A36" s="2">
        <v>42697</v>
      </c>
      <c r="B36" s="17">
        <v>-6.0415029999999995E-2</v>
      </c>
      <c r="C36" s="17">
        <v>3.1404852999999996E-2</v>
      </c>
      <c r="D36" s="17">
        <v>-6.2732754000000002E-2</v>
      </c>
      <c r="E36" s="17">
        <v>3.0980468000000001E-2</v>
      </c>
      <c r="F36" s="17">
        <v>2.2852420999999999E-3</v>
      </c>
      <c r="G36" s="17">
        <v>0</v>
      </c>
      <c r="H36" s="17">
        <v>-5.9215964999999995E-2</v>
      </c>
      <c r="I36" s="17">
        <v>-9.3315719999999991E-2</v>
      </c>
      <c r="J36" s="17">
        <v>-3.8299680000000003E-2</v>
      </c>
      <c r="K36" s="17" t="e">
        <v>#N/A</v>
      </c>
      <c r="L36" s="17">
        <v>-7.3587893999999994E-3</v>
      </c>
      <c r="M36" s="17">
        <v>-3.2087444999999999E-2</v>
      </c>
      <c r="N36" s="17">
        <v>-5.1293490000000004E-2</v>
      </c>
      <c r="O36" s="17">
        <v>6.0013530000000001E-3</v>
      </c>
      <c r="P36" s="17"/>
      <c r="Q36" s="17"/>
      <c r="R36" s="17"/>
      <c r="S36" s="17"/>
      <c r="T36" s="17"/>
      <c r="U36" s="17"/>
      <c r="V36" s="17"/>
    </row>
    <row r="37" spans="1:22" x14ac:dyDescent="0.3">
      <c r="A37" s="2">
        <v>42727</v>
      </c>
      <c r="B37" s="17">
        <v>-1.5971600999999998E-2</v>
      </c>
      <c r="C37" s="17">
        <v>2.8739810000000001E-2</v>
      </c>
      <c r="D37" s="17">
        <v>-4.697573E-2</v>
      </c>
      <c r="E37" s="17">
        <v>1.2932658E-2</v>
      </c>
      <c r="F37" s="17">
        <v>1.8043636999999998E-2</v>
      </c>
      <c r="G37" s="17">
        <v>-2.6134133E-2</v>
      </c>
      <c r="H37" s="17">
        <v>8.5843320000000001E-2</v>
      </c>
      <c r="I37" s="17">
        <v>-1.6900599000000002E-2</v>
      </c>
      <c r="J37" s="17">
        <v>4.6106220000000003E-2</v>
      </c>
      <c r="K37" s="17" t="e">
        <v>#N/A</v>
      </c>
      <c r="L37" s="17">
        <v>8.6879729999999999E-3</v>
      </c>
      <c r="M37" s="17">
        <v>3.8428307000000002E-2</v>
      </c>
      <c r="N37" s="17">
        <v>0.14587855</v>
      </c>
      <c r="O37" s="17">
        <v>3.119707E-2</v>
      </c>
      <c r="P37" s="17"/>
      <c r="Q37" s="17"/>
      <c r="R37" s="17"/>
      <c r="S37" s="17"/>
      <c r="T37" s="17"/>
      <c r="U37" s="17"/>
      <c r="V37" s="17"/>
    </row>
    <row r="38" spans="1:22" x14ac:dyDescent="0.3">
      <c r="A38" s="2">
        <v>42758</v>
      </c>
      <c r="B38" s="17">
        <v>7.1367383000000006E-2</v>
      </c>
      <c r="C38" s="17">
        <v>1.9493103E-3</v>
      </c>
      <c r="D38" s="17">
        <v>7.2824954999999997E-2</v>
      </c>
      <c r="E38" s="17">
        <v>-2.7788222000000001E-2</v>
      </c>
      <c r="F38" s="17">
        <v>2.6206374000000001E-2</v>
      </c>
      <c r="G38" s="17">
        <v>5.6708930000000005E-2</v>
      </c>
      <c r="H38" s="17">
        <v>-1.9917964999999999E-2</v>
      </c>
      <c r="I38" s="17">
        <v>2.6175259999999999E-2</v>
      </c>
      <c r="J38" s="17">
        <v>3.3207178000000004E-2</v>
      </c>
      <c r="K38" s="17" t="e">
        <v>#N/A</v>
      </c>
      <c r="L38" s="17">
        <v>1.5273333E-2</v>
      </c>
      <c r="M38" s="17">
        <v>4.1403530000000001E-2</v>
      </c>
      <c r="N38" s="17">
        <v>2.1118044999999998E-2</v>
      </c>
      <c r="O38" s="17">
        <v>1.4540075999999999E-2</v>
      </c>
      <c r="P38" s="17"/>
      <c r="Q38" s="17"/>
      <c r="R38" s="17"/>
      <c r="S38" s="17"/>
      <c r="T38" s="17"/>
      <c r="U38" s="17"/>
      <c r="V38" s="17"/>
    </row>
    <row r="39" spans="1:22" x14ac:dyDescent="0.3">
      <c r="A39" s="2">
        <v>42789</v>
      </c>
      <c r="B39" s="17">
        <v>5.5422425000000004E-2</v>
      </c>
      <c r="C39" s="17">
        <v>4.5500755000000004E-2</v>
      </c>
      <c r="D39" s="17">
        <v>2.7204394E-2</v>
      </c>
      <c r="E39" s="17">
        <v>7.3387619999999995E-3</v>
      </c>
      <c r="F39" s="17">
        <v>5.3992630000000007E-2</v>
      </c>
      <c r="G39" s="17">
        <v>-1.8687189E-2</v>
      </c>
      <c r="H39" s="17">
        <v>4.1841270000000002E-3</v>
      </c>
      <c r="I39" s="17">
        <v>-1.7123221999999999E-3</v>
      </c>
      <c r="J39" s="17">
        <v>1.7697333999999999E-2</v>
      </c>
      <c r="K39" s="17" t="e">
        <v>#N/A</v>
      </c>
      <c r="L39" s="17">
        <v>2.1971464E-2</v>
      </c>
      <c r="M39" s="17">
        <v>4.1778919999999997E-2</v>
      </c>
      <c r="N39" s="17">
        <v>-4.9067260000000001E-2</v>
      </c>
      <c r="O39" s="17">
        <v>3.4020781999999999E-2</v>
      </c>
      <c r="P39" s="17"/>
      <c r="Q39" s="17"/>
      <c r="R39" s="17"/>
      <c r="S39" s="17"/>
      <c r="T39" s="17"/>
      <c r="U39" s="17"/>
      <c r="V39" s="17"/>
    </row>
    <row r="40" spans="1:22" x14ac:dyDescent="0.3">
      <c r="A40" s="2">
        <v>42817</v>
      </c>
      <c r="B40" s="17">
        <v>1.4163970999999999E-2</v>
      </c>
      <c r="C40" s="17">
        <v>-5.8787465000000004E-3</v>
      </c>
      <c r="D40" s="17">
        <v>-2.2701025000000001E-3</v>
      </c>
      <c r="E40" s="17">
        <v>-1.2653351E-2</v>
      </c>
      <c r="F40" s="17">
        <v>4.7795773000000007E-3</v>
      </c>
      <c r="G40" s="17">
        <v>-1.6113281E-2</v>
      </c>
      <c r="H40" s="17">
        <v>-0.11733924999999999</v>
      </c>
      <c r="I40" s="17">
        <v>1.3089180000000001E-4</v>
      </c>
      <c r="J40" s="17">
        <v>3.0540227999999999E-2</v>
      </c>
      <c r="K40" s="17" t="e">
        <v>#N/A</v>
      </c>
      <c r="L40" s="17">
        <v>-1.5495419999999999E-3</v>
      </c>
      <c r="M40" s="17">
        <v>1.6170739999999999E-2</v>
      </c>
      <c r="N40" s="17">
        <v>8.8272929999999986E-2</v>
      </c>
      <c r="O40" s="17">
        <v>2.4611949999999998E-3</v>
      </c>
      <c r="P40" s="17"/>
      <c r="Q40" s="17"/>
      <c r="R40" s="17"/>
      <c r="S40" s="17"/>
      <c r="T40" s="17"/>
      <c r="U40" s="17"/>
      <c r="V40" s="17"/>
    </row>
    <row r="41" spans="1:22" x14ac:dyDescent="0.3">
      <c r="A41" s="2">
        <v>42846</v>
      </c>
      <c r="B41" s="17">
        <v>-9.9750159999999997E-3</v>
      </c>
      <c r="C41" s="17">
        <v>2.3928880000000001E-3</v>
      </c>
      <c r="D41" s="17">
        <v>3.0673265000000002E-2</v>
      </c>
      <c r="E41" s="17">
        <v>2.3300648E-3</v>
      </c>
      <c r="F41" s="17">
        <v>1.687634E-2</v>
      </c>
      <c r="G41" s="17">
        <v>-4.2679843999999995E-2</v>
      </c>
      <c r="H41" s="17">
        <v>2.2341847000000001E-2</v>
      </c>
      <c r="I41" s="17">
        <v>2.7799725999999997E-2</v>
      </c>
      <c r="J41" s="17">
        <v>3.1200646999999999E-3</v>
      </c>
      <c r="K41" s="17" t="e">
        <v>#N/A</v>
      </c>
      <c r="L41" s="17">
        <v>-1.7458797000000001E-3</v>
      </c>
      <c r="M41" s="17">
        <v>-3.1827092000000002E-3</v>
      </c>
      <c r="N41" s="17">
        <v>-2.1159886999999999E-2</v>
      </c>
      <c r="O41" s="17">
        <v>2.4938582999999999E-3</v>
      </c>
      <c r="P41" s="17"/>
      <c r="Q41" s="17"/>
      <c r="R41" s="17"/>
      <c r="S41" s="17"/>
      <c r="T41" s="17"/>
      <c r="U41" s="17"/>
      <c r="V41" s="17"/>
    </row>
    <row r="42" spans="1:22" x14ac:dyDescent="0.3">
      <c r="A42" s="2">
        <v>42878</v>
      </c>
      <c r="B42" s="17">
        <v>2.4181365999999999E-2</v>
      </c>
      <c r="C42" s="17">
        <v>2.3274659999999999E-2</v>
      </c>
      <c r="D42" s="17">
        <v>-2.591771E-2</v>
      </c>
      <c r="E42" s="17">
        <v>-2.5184034999999997E-2</v>
      </c>
      <c r="F42" s="17">
        <v>4.9637913999999998E-2</v>
      </c>
      <c r="G42" s="17">
        <v>3.7843465999999999E-2</v>
      </c>
      <c r="H42" s="17">
        <v>9.2349049999999999E-3</v>
      </c>
      <c r="I42" s="17">
        <v>-6.0071350000000003E-3</v>
      </c>
      <c r="J42" s="17">
        <v>9.4478969999999995E-2</v>
      </c>
      <c r="K42" s="17" t="e">
        <v>#N/A</v>
      </c>
      <c r="L42" s="17">
        <v>3.1675099999999998E-2</v>
      </c>
      <c r="M42" s="17">
        <v>8.8761090000000001E-2</v>
      </c>
      <c r="N42" s="17">
        <v>0.14811849999999999</v>
      </c>
      <c r="O42" s="17">
        <v>3.7469506E-2</v>
      </c>
      <c r="P42" s="17"/>
      <c r="Q42" s="17"/>
      <c r="R42" s="17"/>
      <c r="S42" s="17"/>
      <c r="T42" s="17"/>
      <c r="U42" s="17"/>
      <c r="V42" s="17"/>
    </row>
    <row r="43" spans="1:22" x14ac:dyDescent="0.3">
      <c r="A43" s="2">
        <v>42909</v>
      </c>
      <c r="B43" s="17">
        <v>7.9900026000000006E-3</v>
      </c>
      <c r="C43" s="17">
        <v>1.7769217E-2</v>
      </c>
      <c r="D43" s="17">
        <v>2.4341344999999999E-3</v>
      </c>
      <c r="E43" s="17">
        <v>-3.9744377E-4</v>
      </c>
      <c r="F43" s="17">
        <v>1.7873287000000002E-2</v>
      </c>
      <c r="G43" s="17">
        <v>-4.8451605000000002E-2</v>
      </c>
      <c r="H43" s="17">
        <v>-0.14744448999999998</v>
      </c>
      <c r="I43" s="17">
        <v>4.4970392999999997E-2</v>
      </c>
      <c r="J43" s="17">
        <v>-9.2594030000000011E-3</v>
      </c>
      <c r="K43" s="17" t="e">
        <v>#N/A</v>
      </c>
      <c r="L43" s="17">
        <v>2.4640917999999998E-2</v>
      </c>
      <c r="M43" s="17">
        <v>5.0166845000000002E-3</v>
      </c>
      <c r="N43" s="17">
        <v>-2.2981644000000002E-2</v>
      </c>
      <c r="O43" s="17">
        <v>1.1354207999999999E-2</v>
      </c>
      <c r="P43" s="17"/>
      <c r="Q43" s="17"/>
      <c r="R43" s="17"/>
      <c r="S43" s="17"/>
      <c r="T43" s="17"/>
      <c r="U43" s="17"/>
      <c r="V43" s="17"/>
    </row>
    <row r="44" spans="1:22" x14ac:dyDescent="0.3">
      <c r="A44" s="2">
        <v>42937</v>
      </c>
      <c r="B44" s="17">
        <v>4.5912027000000001E-2</v>
      </c>
      <c r="C44" s="17">
        <v>1.5423894E-2</v>
      </c>
      <c r="D44" s="17">
        <v>-1.4234184999999998E-3</v>
      </c>
      <c r="E44" s="17">
        <v>-3.3001960000000004E-2</v>
      </c>
      <c r="F44" s="17">
        <v>2.0319938999999999E-2</v>
      </c>
      <c r="G44" s="17">
        <v>5.6692960000000001E-2</v>
      </c>
      <c r="H44" s="17">
        <v>5.1816582999999999E-2</v>
      </c>
      <c r="I44" s="17">
        <v>-1.4320016E-2</v>
      </c>
      <c r="J44" s="17">
        <v>2.5090932999999999E-2</v>
      </c>
      <c r="K44" s="17" t="e">
        <v>#N/A</v>
      </c>
      <c r="L44" s="17">
        <v>5.7353973000000003E-3</v>
      </c>
      <c r="M44" s="17">
        <v>2.2381425E-2</v>
      </c>
      <c r="N44" s="17">
        <v>5.7412744000000002E-2</v>
      </c>
      <c r="O44" s="17">
        <v>1.6879797000000002E-2</v>
      </c>
      <c r="P44" s="17"/>
      <c r="Q44" s="17"/>
      <c r="R44" s="17"/>
      <c r="S44" s="17"/>
      <c r="T44" s="17"/>
      <c r="U44" s="17"/>
      <c r="V44" s="17"/>
    </row>
    <row r="45" spans="1:22" x14ac:dyDescent="0.3">
      <c r="A45" s="2">
        <v>42970</v>
      </c>
      <c r="B45" s="17">
        <v>2.6525854999999997E-2</v>
      </c>
      <c r="C45" s="17">
        <v>-9.3973279999999999E-3</v>
      </c>
      <c r="D45" s="17">
        <v>2.8592943999999999E-2</v>
      </c>
      <c r="E45" s="17">
        <v>-7.401347E-3</v>
      </c>
      <c r="F45" s="17">
        <v>-9.8535419999999999E-3</v>
      </c>
      <c r="G45" s="17">
        <v>-8.1967169999999992E-2</v>
      </c>
      <c r="H45" s="17">
        <v>5.5758000000000002E-2</v>
      </c>
      <c r="I45" s="17">
        <v>1.4992356E-2</v>
      </c>
      <c r="J45" s="17">
        <v>-1.4189482E-3</v>
      </c>
      <c r="K45" s="17">
        <v>6.5964460000000006E-3</v>
      </c>
      <c r="L45" s="17">
        <v>1.8395185E-3</v>
      </c>
      <c r="M45" s="17">
        <v>-3.5026073000000001E-3</v>
      </c>
      <c r="N45" s="17">
        <v>3.0927777E-2</v>
      </c>
      <c r="O45" s="17">
        <v>-4.6380757999999996E-3</v>
      </c>
      <c r="P45" s="17"/>
      <c r="Q45" s="17"/>
      <c r="R45" s="17"/>
      <c r="S45" s="17"/>
      <c r="T45" s="17"/>
      <c r="U45" s="17"/>
      <c r="V45" s="17"/>
    </row>
    <row r="46" spans="1:22" x14ac:dyDescent="0.3">
      <c r="A46" s="2">
        <v>43000</v>
      </c>
      <c r="B46" s="17">
        <v>2.2165536999999999E-2</v>
      </c>
      <c r="C46" s="17">
        <v>2.5007486000000002E-2</v>
      </c>
      <c r="D46" s="17">
        <v>4.646659E-3</v>
      </c>
      <c r="E46" s="17">
        <v>-8.6992383000000003E-3</v>
      </c>
      <c r="F46" s="17">
        <v>1.3642787999999999E-2</v>
      </c>
      <c r="G46" s="17">
        <v>3.1385303000000003E-2</v>
      </c>
      <c r="H46" s="17">
        <v>4.8671007000000002E-2</v>
      </c>
      <c r="I46" s="17">
        <v>-6.5868497000000003E-3</v>
      </c>
      <c r="J46" s="17">
        <v>3.7862062000000002E-2</v>
      </c>
      <c r="K46" s="17">
        <v>1.497078E-2</v>
      </c>
      <c r="L46" s="17">
        <v>1.7811298E-2</v>
      </c>
      <c r="M46" s="17">
        <v>4.6865940000000002E-2</v>
      </c>
      <c r="N46" s="17">
        <v>5.0333379999999997E-2</v>
      </c>
      <c r="O46" s="17">
        <v>2.8080820000000003E-2</v>
      </c>
      <c r="P46" s="17"/>
      <c r="Q46" s="17"/>
      <c r="R46" s="17"/>
      <c r="S46" s="17"/>
      <c r="T46" s="17"/>
      <c r="U46" s="17"/>
      <c r="V46" s="17"/>
    </row>
    <row r="47" spans="1:22" x14ac:dyDescent="0.3">
      <c r="A47" s="2">
        <v>43031</v>
      </c>
      <c r="B47" s="17">
        <v>5.2059889999999994E-3</v>
      </c>
      <c r="C47" s="17">
        <v>2.6739836000000003E-2</v>
      </c>
      <c r="D47" s="17">
        <v>-1.1684477E-2</v>
      </c>
      <c r="E47" s="17">
        <v>1.8804788999999999E-2</v>
      </c>
      <c r="F47" s="17">
        <v>2.3697376000000003E-2</v>
      </c>
      <c r="G47" s="17">
        <v>-5.2469970000000002E-4</v>
      </c>
      <c r="H47" s="17">
        <v>1.184988E-2</v>
      </c>
      <c r="I47" s="17">
        <v>-1.3849199000000001E-2</v>
      </c>
      <c r="J47" s="17">
        <v>1.7178058999999999E-4</v>
      </c>
      <c r="K47" s="17">
        <v>8.1236360000000001E-3</v>
      </c>
      <c r="L47" s="17">
        <v>4.0230870000000002E-2</v>
      </c>
      <c r="M47" s="17">
        <v>8.9535712999999992E-3</v>
      </c>
      <c r="N47" s="17">
        <v>-2.8879701999999997E-2</v>
      </c>
      <c r="O47" s="17">
        <v>2.2065877999999997E-2</v>
      </c>
      <c r="P47" s="17"/>
      <c r="Q47" s="17"/>
      <c r="R47" s="17"/>
      <c r="S47" s="17"/>
      <c r="T47" s="17"/>
      <c r="U47" s="17"/>
      <c r="V47" s="17"/>
    </row>
    <row r="48" spans="1:22" x14ac:dyDescent="0.3">
      <c r="A48" s="2">
        <v>43061</v>
      </c>
      <c r="B48" s="17">
        <v>3.0623794000000003E-2</v>
      </c>
      <c r="C48" s="17">
        <v>1.4251827999999999E-2</v>
      </c>
      <c r="D48" s="17">
        <v>6.8143606000000004E-3</v>
      </c>
      <c r="E48" s="17">
        <v>-5.7423709999999996E-3</v>
      </c>
      <c r="F48" s="17">
        <v>5.3810716000000001E-2</v>
      </c>
      <c r="G48" s="17">
        <v>6.2992569999999999E-3</v>
      </c>
      <c r="H48" s="17">
        <v>0.10865330999999999</v>
      </c>
      <c r="I48" s="17">
        <v>2.5910974000000003E-2</v>
      </c>
      <c r="J48" s="17">
        <v>-6.8718194999999992E-4</v>
      </c>
      <c r="K48" s="17">
        <v>2.6126980000000001E-2</v>
      </c>
      <c r="L48" s="17">
        <v>3.2951832E-2</v>
      </c>
      <c r="M48" s="17">
        <v>-3.9101481E-2</v>
      </c>
      <c r="N48" s="17">
        <v>5.8823824000000004E-3</v>
      </c>
      <c r="O48" s="17">
        <v>9.3358755000000002E-3</v>
      </c>
      <c r="P48" s="17"/>
      <c r="Q48" s="17"/>
      <c r="R48" s="17"/>
      <c r="S48" s="17"/>
      <c r="T48" s="17"/>
      <c r="U48" s="17"/>
      <c r="V48" s="17"/>
    </row>
    <row r="49" spans="1:22" x14ac:dyDescent="0.3">
      <c r="A49" s="2">
        <v>43091</v>
      </c>
      <c r="B49" s="17">
        <v>-2.7563571999999997E-3</v>
      </c>
      <c r="C49" s="17">
        <v>3.5056948999999997E-2</v>
      </c>
      <c r="D49" s="17">
        <v>-1.378125E-2</v>
      </c>
      <c r="E49" s="17">
        <v>2.1834373E-3</v>
      </c>
      <c r="F49" s="17">
        <v>1.2889504000000001E-2</v>
      </c>
      <c r="G49" s="17">
        <v>-3.9645314000000001E-2</v>
      </c>
      <c r="H49" s="17">
        <v>1.3456582999999999E-2</v>
      </c>
      <c r="I49" s="17">
        <v>-1.4679134E-2</v>
      </c>
      <c r="J49" s="17">
        <v>1.6405343999999999E-2</v>
      </c>
      <c r="K49" s="17">
        <v>-5.4280759999999996E-3</v>
      </c>
      <c r="L49" s="17">
        <v>1.4306426000000001E-2</v>
      </c>
      <c r="M49" s="17">
        <v>-7.7710749999999997E-3</v>
      </c>
      <c r="N49" s="17">
        <v>3.8836001999999997E-3</v>
      </c>
      <c r="O49" s="17">
        <v>2.8191924E-2</v>
      </c>
      <c r="P49" s="17"/>
      <c r="Q49" s="17"/>
      <c r="R49" s="17"/>
      <c r="S49" s="17"/>
      <c r="T49" s="17"/>
      <c r="U49" s="17"/>
      <c r="V49" s="17"/>
    </row>
    <row r="50" spans="1:22" x14ac:dyDescent="0.3">
      <c r="A50" s="2">
        <v>43123</v>
      </c>
      <c r="B50" s="17">
        <v>0.1012547</v>
      </c>
      <c r="C50" s="17">
        <v>5.8988449999999998E-2</v>
      </c>
      <c r="D50" s="17">
        <v>5.2422643000000005E-2</v>
      </c>
      <c r="E50" s="17">
        <v>-3.1314373E-2</v>
      </c>
      <c r="F50" s="17">
        <v>7.7143072999999993E-2</v>
      </c>
      <c r="G50" s="17">
        <v>1.1406898E-2</v>
      </c>
      <c r="H50" s="17">
        <v>9.8481059999999995E-2</v>
      </c>
      <c r="I50" s="17">
        <v>-8.4956289999999993E-3</v>
      </c>
      <c r="J50" s="17">
        <v>7.0906280000000002E-2</v>
      </c>
      <c r="K50" s="17">
        <v>8.2476249999999987E-2</v>
      </c>
      <c r="L50" s="17">
        <v>7.4654220000000007E-2</v>
      </c>
      <c r="M50" s="17">
        <v>7.2561619999999993E-2</v>
      </c>
      <c r="N50" s="17">
        <v>0.10608529999999999</v>
      </c>
      <c r="O50" s="17">
        <v>5.8229326999999997E-2</v>
      </c>
      <c r="P50" s="17"/>
      <c r="Q50" s="17"/>
      <c r="R50" s="17"/>
      <c r="S50" s="17"/>
      <c r="T50" s="17"/>
      <c r="U50" s="17"/>
      <c r="V50" s="17"/>
    </row>
    <row r="51" spans="1:22" x14ac:dyDescent="0.3">
      <c r="A51" s="2">
        <v>43154</v>
      </c>
      <c r="B51" s="17">
        <v>-2.7583419999999997E-2</v>
      </c>
      <c r="C51" s="17">
        <v>-3.0287027000000001E-2</v>
      </c>
      <c r="D51" s="17">
        <v>-8.9566109999999997E-3</v>
      </c>
      <c r="E51" s="17">
        <v>-4.2533874999999997E-4</v>
      </c>
      <c r="F51" s="17">
        <v>-7.9051256E-3</v>
      </c>
      <c r="G51" s="17">
        <v>2.5778651E-2</v>
      </c>
      <c r="H51" s="17">
        <v>-1.2651562999999999E-2</v>
      </c>
      <c r="I51" s="17">
        <v>-4.3091655E-2</v>
      </c>
      <c r="J51" s="17">
        <v>-4.8428060000000002E-2</v>
      </c>
      <c r="K51" s="17">
        <v>-1.7212391E-2</v>
      </c>
      <c r="L51" s="17">
        <v>-4.3882730000000002E-2</v>
      </c>
      <c r="M51" s="17">
        <v>-5.0123214999999999E-2</v>
      </c>
      <c r="N51" s="17">
        <v>-4.5601725999999995E-2</v>
      </c>
      <c r="O51" s="17">
        <v>-3.5289050000000002E-2</v>
      </c>
      <c r="P51" s="17"/>
      <c r="Q51" s="17"/>
      <c r="R51" s="17"/>
      <c r="S51" s="17"/>
      <c r="T51" s="17"/>
      <c r="U51" s="17"/>
      <c r="V51" s="17"/>
    </row>
    <row r="52" spans="1:22" x14ac:dyDescent="0.3">
      <c r="A52" s="2">
        <v>43182</v>
      </c>
      <c r="B52" s="17">
        <v>-5.7142916000000002E-2</v>
      </c>
      <c r="C52" s="17">
        <v>-5.6888460000000002E-2</v>
      </c>
      <c r="D52" s="17">
        <v>1.1653781E-2</v>
      </c>
      <c r="E52" s="17">
        <v>-3.4042597000000004E-3</v>
      </c>
      <c r="F52" s="17">
        <v>-5.5881920000000002E-2</v>
      </c>
      <c r="G52" s="17">
        <v>-1.2041867E-2</v>
      </c>
      <c r="H52" s="17">
        <v>4.2562839999999998E-2</v>
      </c>
      <c r="I52" s="17">
        <v>1.9306540000000001E-2</v>
      </c>
      <c r="J52" s="17">
        <v>-4.5553150000000001E-2</v>
      </c>
      <c r="K52" s="17">
        <v>-3.6504210000000002E-2</v>
      </c>
      <c r="L52" s="17">
        <v>-5.4816779999999996E-2</v>
      </c>
      <c r="M52" s="17">
        <v>-5.4786679999999997E-2</v>
      </c>
      <c r="N52" s="17">
        <v>-2.5585651000000001E-2</v>
      </c>
      <c r="O52" s="17">
        <v>-5.2257119999999997E-2</v>
      </c>
      <c r="P52" s="17"/>
      <c r="Q52" s="17"/>
      <c r="R52" s="17"/>
      <c r="S52" s="17"/>
      <c r="T52" s="17"/>
      <c r="U52" s="17"/>
      <c r="V52" s="17"/>
    </row>
    <row r="53" spans="1:22" x14ac:dyDescent="0.3">
      <c r="A53" s="2">
        <v>43213</v>
      </c>
      <c r="B53" s="17">
        <v>1.0051727000000002E-3</v>
      </c>
      <c r="C53" s="17">
        <v>3.3016919999999998E-2</v>
      </c>
      <c r="D53" s="17">
        <v>-1.5594363E-2</v>
      </c>
      <c r="E53" s="17">
        <v>1.9214392E-2</v>
      </c>
      <c r="F53" s="17">
        <v>2.1323561999999997E-2</v>
      </c>
      <c r="G53" s="17">
        <v>-4.2395591999999996E-3</v>
      </c>
      <c r="H53" s="17">
        <v>4.8793435000000003E-2</v>
      </c>
      <c r="I53" s="17">
        <v>-1.1873305000000001E-2</v>
      </c>
      <c r="J53" s="17">
        <v>5.1513432999999997E-2</v>
      </c>
      <c r="K53" s="17">
        <v>-7.5785519999999997E-3</v>
      </c>
      <c r="L53" s="17">
        <v>3.9979458000000002E-2</v>
      </c>
      <c r="M53" s="17">
        <v>3.8133025000000001E-2</v>
      </c>
      <c r="N53" s="17">
        <v>8.0037959999999991E-2</v>
      </c>
      <c r="O53" s="17">
        <v>3.4842849000000002E-2</v>
      </c>
      <c r="P53" s="17"/>
      <c r="Q53" s="17"/>
      <c r="R53" s="17"/>
      <c r="S53" s="17"/>
      <c r="T53" s="17"/>
      <c r="U53" s="17"/>
      <c r="V53" s="17"/>
    </row>
    <row r="54" spans="1:22" x14ac:dyDescent="0.3">
      <c r="A54" s="2">
        <v>43243</v>
      </c>
      <c r="B54" s="17">
        <v>-1.3310074999999999E-2</v>
      </c>
      <c r="C54" s="17">
        <v>2.5471687E-2</v>
      </c>
      <c r="D54" s="17">
        <v>-2.4518430000000001E-2</v>
      </c>
      <c r="E54" s="17">
        <v>3.5190581999999998E-2</v>
      </c>
      <c r="F54" s="17">
        <v>4.7624946000000001E-2</v>
      </c>
      <c r="G54" s="17">
        <v>2.6609898E-2</v>
      </c>
      <c r="H54" s="17">
        <v>5.9570429999999994E-2</v>
      </c>
      <c r="I54" s="17">
        <v>-2.4386643999999998E-3</v>
      </c>
      <c r="J54" s="17">
        <v>-7.1834326000000002E-3</v>
      </c>
      <c r="K54" s="17">
        <v>-3.8163543000000001E-2</v>
      </c>
      <c r="L54" s="17">
        <v>1.4848709E-3</v>
      </c>
      <c r="M54" s="17">
        <v>-9.4034670000000004E-3</v>
      </c>
      <c r="N54" s="17">
        <v>-7.2934985000000008E-2</v>
      </c>
      <c r="O54" s="17">
        <v>1.5304327E-2</v>
      </c>
      <c r="P54" s="17"/>
      <c r="Q54" s="17"/>
      <c r="R54" s="17"/>
      <c r="S54" s="17"/>
      <c r="T54" s="17"/>
      <c r="U54" s="17"/>
      <c r="V54" s="17"/>
    </row>
    <row r="55" spans="1:22" x14ac:dyDescent="0.3">
      <c r="A55" s="2">
        <v>43273</v>
      </c>
      <c r="B55" s="17">
        <v>-4.7666969999999996E-2</v>
      </c>
      <c r="C55" s="17">
        <v>9.5655920000000012E-3</v>
      </c>
      <c r="D55" s="17">
        <v>-1.7953336E-2</v>
      </c>
      <c r="E55" s="17">
        <v>7.6892375999999991E-3</v>
      </c>
      <c r="F55" s="17">
        <v>3.5942435000000002E-2</v>
      </c>
      <c r="G55" s="17">
        <v>-5.5987653999999998E-2</v>
      </c>
      <c r="H55" s="17">
        <v>-5.4147540000000001E-2</v>
      </c>
      <c r="I55" s="17">
        <v>2.4344801999999999E-2</v>
      </c>
      <c r="J55" s="17">
        <v>-2.5919615999999999E-2</v>
      </c>
      <c r="K55" s="17">
        <v>-4.9279156000000005E-2</v>
      </c>
      <c r="L55" s="17">
        <v>-2.238679E-2</v>
      </c>
      <c r="M55" s="17">
        <v>-3.9403020999999996E-2</v>
      </c>
      <c r="N55" s="17">
        <v>-5.4154989999999993E-2</v>
      </c>
      <c r="O55" s="17">
        <v>-7.5936316999999993E-5</v>
      </c>
      <c r="P55" s="17"/>
      <c r="Q55" s="17"/>
      <c r="R55" s="17"/>
      <c r="S55" s="17"/>
      <c r="T55" s="17"/>
      <c r="U55" s="17"/>
      <c r="V55" s="17"/>
    </row>
    <row r="56" spans="1:22" x14ac:dyDescent="0.3">
      <c r="A56" s="2">
        <v>43304</v>
      </c>
      <c r="B56" s="17">
        <v>-2.3376942000000002E-4</v>
      </c>
      <c r="C56" s="17">
        <v>1.9873381000000002E-2</v>
      </c>
      <c r="D56" s="17">
        <v>-3.6064446E-2</v>
      </c>
      <c r="E56" s="17">
        <v>3.6144257000000003E-3</v>
      </c>
      <c r="F56" s="17">
        <v>2.4184345999999999E-2</v>
      </c>
      <c r="G56" s="17">
        <v>-4.0087820000000003E-2</v>
      </c>
      <c r="H56" s="17">
        <v>-2.1924376E-3</v>
      </c>
      <c r="I56" s="17">
        <v>-8.2118509999999992E-3</v>
      </c>
      <c r="J56" s="17">
        <v>7.2208640000000004E-3</v>
      </c>
      <c r="K56" s="17">
        <v>1.6400218000000001E-2</v>
      </c>
      <c r="L56" s="17">
        <v>-6.7934989999999997E-3</v>
      </c>
      <c r="M56" s="17">
        <v>1.7453073999999999E-2</v>
      </c>
      <c r="N56" s="17">
        <v>-2.403915E-3</v>
      </c>
      <c r="O56" s="17">
        <v>1.2090445E-2</v>
      </c>
      <c r="P56" s="17"/>
      <c r="Q56" s="17"/>
      <c r="R56" s="17"/>
      <c r="S56" s="17"/>
      <c r="T56" s="17"/>
      <c r="U56" s="17"/>
      <c r="V56" s="17"/>
    </row>
    <row r="57" spans="1:22" x14ac:dyDescent="0.3">
      <c r="A57" s="2">
        <v>43335</v>
      </c>
      <c r="B57" s="17">
        <v>-2.8517961999999997E-2</v>
      </c>
      <c r="C57" s="17">
        <v>1.9950031999999999E-2</v>
      </c>
      <c r="D57" s="17">
        <v>-3.2758652999999999E-2</v>
      </c>
      <c r="E57" s="17">
        <v>1.3205290000000001E-2</v>
      </c>
      <c r="F57" s="17">
        <v>6.9057939999999998E-3</v>
      </c>
      <c r="G57" s="17">
        <v>-2.8032004999999999E-2</v>
      </c>
      <c r="H57" s="17">
        <v>2.0263672E-2</v>
      </c>
      <c r="I57" s="17">
        <v>2.5613307999999998E-2</v>
      </c>
      <c r="J57" s="17">
        <v>-1.8010139999999997E-2</v>
      </c>
      <c r="K57" s="17">
        <v>-1.2101710000000002E-2</v>
      </c>
      <c r="L57" s="17">
        <v>-1.8296837999999999E-2</v>
      </c>
      <c r="M57" s="17">
        <v>1.2706518000000001E-3</v>
      </c>
      <c r="N57" s="17">
        <v>-5.6110144000000001E-2</v>
      </c>
      <c r="O57" s="17">
        <v>7.8039170000000005E-3</v>
      </c>
      <c r="P57" s="17"/>
      <c r="Q57" s="17"/>
      <c r="R57" s="17"/>
      <c r="S57" s="17"/>
      <c r="T57" s="17"/>
      <c r="U57" s="17"/>
      <c r="V57" s="17"/>
    </row>
    <row r="58" spans="1:22" x14ac:dyDescent="0.3">
      <c r="A58" s="2">
        <v>43364</v>
      </c>
      <c r="B58" s="17">
        <v>5.7747364000000001E-3</v>
      </c>
      <c r="C58" s="17">
        <v>2.6322125999999998E-2</v>
      </c>
      <c r="D58" s="17">
        <v>1.1497378000000001E-2</v>
      </c>
      <c r="E58" s="17">
        <v>-1.3033151999999999E-2</v>
      </c>
      <c r="F58" s="17">
        <v>1.6095161E-2</v>
      </c>
      <c r="G58" s="17">
        <v>5.2971839999999999E-3</v>
      </c>
      <c r="H58" s="17">
        <v>5.2883386999999997E-2</v>
      </c>
      <c r="I58" s="17">
        <v>-3.8380264999999997E-2</v>
      </c>
      <c r="J58" s="17">
        <v>2.1723628000000002E-2</v>
      </c>
      <c r="K58" s="17">
        <v>1.449573E-2</v>
      </c>
      <c r="L58" s="17">
        <v>4.5810820000000002E-2</v>
      </c>
      <c r="M58" s="17">
        <v>5.3299545999999996E-2</v>
      </c>
      <c r="N58" s="17">
        <v>6.0175060000000002E-2</v>
      </c>
      <c r="O58" s="17">
        <v>2.4715066000000001E-2</v>
      </c>
      <c r="P58" s="17"/>
      <c r="Q58" s="17"/>
      <c r="R58" s="17"/>
      <c r="S58" s="17"/>
      <c r="T58" s="17"/>
      <c r="U58" s="17"/>
      <c r="V58" s="17"/>
    </row>
    <row r="59" spans="1:22" x14ac:dyDescent="0.3">
      <c r="A59" s="2">
        <v>43396</v>
      </c>
      <c r="B59" s="17">
        <v>-7.7759623999999999E-2</v>
      </c>
      <c r="C59" s="17">
        <v>-6.2947392000000005E-2</v>
      </c>
      <c r="D59" s="17">
        <v>2.5552869999999998E-2</v>
      </c>
      <c r="E59" s="17">
        <v>2.1208524999999999E-2</v>
      </c>
      <c r="F59" s="17">
        <v>-5.5137395999999998E-2</v>
      </c>
      <c r="G59" s="17">
        <v>3.3957839999999996E-2</v>
      </c>
      <c r="H59" s="17">
        <v>-5.3863583000000007E-2</v>
      </c>
      <c r="I59" s="17">
        <v>-2.4971247000000002E-2</v>
      </c>
      <c r="J59" s="17">
        <v>-9.2345769999999994E-2</v>
      </c>
      <c r="K59" s="17">
        <v>-7.6484203000000001E-2</v>
      </c>
      <c r="L59" s="17">
        <v>-7.3117913999999992E-2</v>
      </c>
      <c r="M59" s="17">
        <v>-0.11144579</v>
      </c>
      <c r="N59" s="17">
        <v>-0.12831098000000002</v>
      </c>
      <c r="O59" s="17">
        <v>-7.2540519999999997E-2</v>
      </c>
      <c r="P59" s="17"/>
      <c r="Q59" s="17"/>
      <c r="R59" s="17"/>
      <c r="S59" s="17"/>
      <c r="T59" s="17"/>
      <c r="U59" s="17"/>
      <c r="V59" s="17"/>
    </row>
    <row r="60" spans="1:22" x14ac:dyDescent="0.3">
      <c r="A60" s="2">
        <v>43427</v>
      </c>
      <c r="B60" s="17">
        <v>1.2595057E-2</v>
      </c>
      <c r="C60" s="17">
        <v>-3.7864089999999996E-2</v>
      </c>
      <c r="D60" s="17">
        <v>-5.3269270000000004E-3</v>
      </c>
      <c r="E60" s="17">
        <v>1.3714789999999999E-2</v>
      </c>
      <c r="F60" s="17">
        <v>-8.114499E-2</v>
      </c>
      <c r="G60" s="17">
        <v>-2.8312563999999998E-2</v>
      </c>
      <c r="H60" s="17">
        <v>-0.23223156</v>
      </c>
      <c r="I60" s="17">
        <v>1.3157368000000001E-2</v>
      </c>
      <c r="J60" s="17">
        <v>-2.1781027000000001E-2</v>
      </c>
      <c r="K60" s="17">
        <v>9.3811750000000003E-3</v>
      </c>
      <c r="L60" s="17">
        <v>-2.8212009999999999E-2</v>
      </c>
      <c r="M60" s="17">
        <v>-3.9322019E-2</v>
      </c>
      <c r="N60" s="17">
        <v>-2.4467289999999999E-2</v>
      </c>
      <c r="O60" s="17">
        <v>-2.9257536000000001E-2</v>
      </c>
      <c r="P60" s="17"/>
      <c r="Q60" s="17"/>
      <c r="R60" s="17"/>
      <c r="S60" s="17"/>
      <c r="T60" s="17"/>
      <c r="U60" s="17"/>
      <c r="V60" s="17"/>
    </row>
    <row r="61" spans="1:22" x14ac:dyDescent="0.3">
      <c r="A61" s="2">
        <v>43455</v>
      </c>
      <c r="B61" s="17">
        <v>-1.8657744E-2</v>
      </c>
      <c r="C61" s="17">
        <v>-8.0207349999999997E-2</v>
      </c>
      <c r="D61" s="17">
        <v>2.5481581999999999E-2</v>
      </c>
      <c r="E61" s="17">
        <v>2.7058124999999999E-3</v>
      </c>
      <c r="F61" s="17">
        <v>-7.3110999999999995E-2</v>
      </c>
      <c r="G61" s="17">
        <v>-9.3240140000000003E-3</v>
      </c>
      <c r="H61" s="17">
        <v>-0.10707021</v>
      </c>
      <c r="I61" s="17">
        <v>5.3354024999999999E-2</v>
      </c>
      <c r="J61" s="17">
        <v>-5.6748810000000004E-2</v>
      </c>
      <c r="K61" s="17">
        <v>-1.1144339999999999E-2</v>
      </c>
      <c r="L61" s="17">
        <v>-7.4608859999999999E-2</v>
      </c>
      <c r="M61" s="17">
        <v>-4.0005502999999998E-2</v>
      </c>
      <c r="N61" s="17">
        <v>-2.2865414999999997E-2</v>
      </c>
      <c r="O61" s="17">
        <v>-7.3121069999999996E-2</v>
      </c>
      <c r="P61" s="17"/>
      <c r="Q61" s="17"/>
      <c r="R61" s="17"/>
      <c r="S61" s="17"/>
      <c r="T61" s="17"/>
      <c r="U61" s="17"/>
      <c r="V61" s="17"/>
    </row>
    <row r="62" spans="1:22" x14ac:dyDescent="0.3">
      <c r="A62" s="2">
        <v>43488</v>
      </c>
      <c r="B62" s="17">
        <v>7.049155E-2</v>
      </c>
      <c r="C62" s="17">
        <v>9.4349860000000008E-2</v>
      </c>
      <c r="D62" s="17">
        <v>2.1563292000000001E-2</v>
      </c>
      <c r="E62" s="17">
        <v>-6.3485503000000002E-3</v>
      </c>
      <c r="F62" s="17">
        <v>0.10202109999999999</v>
      </c>
      <c r="G62" s="17">
        <v>2.1316527999999998E-2</v>
      </c>
      <c r="H62" s="17">
        <v>0.15670645</v>
      </c>
      <c r="I62" s="17">
        <v>-3.3134817999999999E-3</v>
      </c>
      <c r="J62" s="17">
        <v>7.1593165E-2</v>
      </c>
      <c r="K62" s="17">
        <v>6.8773627000000004E-2</v>
      </c>
      <c r="L62" s="17">
        <v>6.7861439999999995E-2</v>
      </c>
      <c r="M62" s="17">
        <v>7.355642300000001E-2</v>
      </c>
      <c r="N62" s="17">
        <v>7.1698070000000003E-2</v>
      </c>
      <c r="O62" s="17">
        <v>8.3297969999999999E-2</v>
      </c>
      <c r="P62" s="17"/>
      <c r="Q62" s="17"/>
      <c r="R62" s="17"/>
      <c r="S62" s="17"/>
      <c r="T62" s="17"/>
      <c r="U62" s="17"/>
      <c r="V62" s="17"/>
    </row>
    <row r="63" spans="1:22" x14ac:dyDescent="0.3">
      <c r="A63" s="2">
        <v>43518</v>
      </c>
      <c r="B63" s="17">
        <v>3.9245009999999997E-2</v>
      </c>
      <c r="C63" s="17">
        <v>5.9716820000000004E-2</v>
      </c>
      <c r="D63" s="17">
        <v>3.4795523000000002E-2</v>
      </c>
      <c r="E63" s="17">
        <v>8.6274150000000011E-3</v>
      </c>
      <c r="F63" s="17">
        <v>6.6234946000000003E-2</v>
      </c>
      <c r="G63" s="17">
        <v>-2.4447024000000001E-2</v>
      </c>
      <c r="H63" s="17">
        <v>8.1956979999999999E-2</v>
      </c>
      <c r="I63" s="17">
        <v>1.2684702999999999E-2</v>
      </c>
      <c r="J63" s="17">
        <v>4.2582509999999997E-2</v>
      </c>
      <c r="K63" s="17">
        <v>2.5614262000000002E-2</v>
      </c>
      <c r="L63" s="17">
        <v>3.111446E-2</v>
      </c>
      <c r="M63" s="17">
        <v>3.3230543000000001E-2</v>
      </c>
      <c r="N63" s="17">
        <v>4.0688633999999994E-2</v>
      </c>
      <c r="O63" s="17">
        <v>5.7950020000000005E-2</v>
      </c>
      <c r="P63" s="17"/>
      <c r="Q63" s="17"/>
      <c r="R63" s="17"/>
      <c r="S63" s="17"/>
      <c r="T63" s="17"/>
      <c r="U63" s="17"/>
      <c r="V63" s="17"/>
    </row>
    <row r="64" spans="1:22" x14ac:dyDescent="0.3">
      <c r="A64" s="2">
        <v>43546</v>
      </c>
      <c r="B64" s="17">
        <v>2.3901463000000002E-4</v>
      </c>
      <c r="C64" s="17">
        <v>4.7792195999999997E-3</v>
      </c>
      <c r="D64" s="17">
        <v>-1.2191236000000001E-2</v>
      </c>
      <c r="E64" s="17">
        <v>3.1104088000000001E-3</v>
      </c>
      <c r="F64" s="17">
        <v>3.4671902999999997E-2</v>
      </c>
      <c r="G64" s="17">
        <v>0</v>
      </c>
      <c r="H64" s="17">
        <v>1.0135054999999999E-2</v>
      </c>
      <c r="I64" s="17">
        <v>2.9255033E-2</v>
      </c>
      <c r="J64" s="17">
        <v>9.2226267000000001E-3</v>
      </c>
      <c r="K64" s="17">
        <v>-1.1776686000000001E-2</v>
      </c>
      <c r="L64" s="17">
        <v>-7.3153376999999997E-3</v>
      </c>
      <c r="M64" s="17">
        <v>4.3103694999999994E-3</v>
      </c>
      <c r="N64" s="17">
        <v>3.5338402000000005E-2</v>
      </c>
      <c r="O64" s="17">
        <v>2.282381E-3</v>
      </c>
      <c r="P64" s="17"/>
      <c r="Q64" s="17"/>
      <c r="R64" s="17"/>
      <c r="S64" s="17"/>
      <c r="T64" s="17"/>
      <c r="U64" s="17"/>
      <c r="V64" s="17"/>
    </row>
    <row r="65" spans="1:22" x14ac:dyDescent="0.3">
      <c r="A65" s="2">
        <v>43578</v>
      </c>
      <c r="B65" s="17">
        <v>4.9827336999999999E-2</v>
      </c>
      <c r="C65" s="17">
        <v>4.8809289999999998E-2</v>
      </c>
      <c r="D65" s="17">
        <v>-3.1055868E-2</v>
      </c>
      <c r="E65" s="17">
        <v>1.3953567E-2</v>
      </c>
      <c r="F65" s="17">
        <v>6.5804242999999998E-2</v>
      </c>
      <c r="G65" s="17">
        <v>-1.7899811000000002E-2</v>
      </c>
      <c r="H65" s="17">
        <v>0.10448444</v>
      </c>
      <c r="I65" s="17">
        <v>-1.6144753000000001E-2</v>
      </c>
      <c r="J65" s="17">
        <v>4.2125225000000002E-2</v>
      </c>
      <c r="K65" s="17">
        <v>2.9176115999999998E-2</v>
      </c>
      <c r="L65" s="17">
        <v>2.1739125000000002E-2</v>
      </c>
      <c r="M65" s="17">
        <v>7.5602530000000001E-2</v>
      </c>
      <c r="N65" s="17">
        <v>2.9048681E-2</v>
      </c>
      <c r="O65" s="17">
        <v>4.4062376E-2</v>
      </c>
      <c r="P65" s="17"/>
      <c r="Q65" s="17"/>
      <c r="R65" s="17"/>
      <c r="S65" s="17"/>
      <c r="T65" s="17"/>
      <c r="U65" s="17"/>
      <c r="V65" s="17"/>
    </row>
    <row r="66" spans="1:22" x14ac:dyDescent="0.3">
      <c r="A66" s="2">
        <v>43608</v>
      </c>
      <c r="B66" s="17">
        <v>-9.2588310000000007E-2</v>
      </c>
      <c r="C66" s="17">
        <v>-3.6670267999999999E-2</v>
      </c>
      <c r="D66" s="17">
        <v>8.7412596000000006E-3</v>
      </c>
      <c r="E66" s="17">
        <v>6.8807600000000005E-3</v>
      </c>
      <c r="F66" s="17">
        <v>-6.3370284999999998E-2</v>
      </c>
      <c r="G66" s="17">
        <v>-2.1263600000000001E-2</v>
      </c>
      <c r="H66" s="17">
        <v>-0.11490643</v>
      </c>
      <c r="I66" s="17">
        <v>4.3785334000000002E-2</v>
      </c>
      <c r="J66" s="17">
        <v>-4.2476596999999998E-2</v>
      </c>
      <c r="K66" s="17">
        <v>-7.1072099999999999E-2</v>
      </c>
      <c r="L66" s="17">
        <v>-4.5618414999999995E-2</v>
      </c>
      <c r="M66" s="17">
        <v>-8.8704769999999988E-2</v>
      </c>
      <c r="N66" s="17">
        <v>-6.3514413999999991E-2</v>
      </c>
      <c r="O66" s="17">
        <v>-3.7186443999999999E-2</v>
      </c>
      <c r="P66" s="17"/>
      <c r="Q66" s="17"/>
      <c r="R66" s="17"/>
      <c r="S66" s="17"/>
      <c r="T66" s="17"/>
      <c r="U66" s="17"/>
      <c r="V66" s="17"/>
    </row>
    <row r="67" spans="1:22" x14ac:dyDescent="0.3">
      <c r="A67" s="2">
        <v>43637</v>
      </c>
      <c r="B67" s="17">
        <v>7.1394920000000001E-2</v>
      </c>
      <c r="C67" s="17">
        <v>4.7110079999999999E-2</v>
      </c>
      <c r="D67" s="17">
        <v>8.9213489999999993E-2</v>
      </c>
      <c r="E67" s="17">
        <v>-1.4806330000000001E-2</v>
      </c>
      <c r="F67" s="17">
        <v>5.7896256E-2</v>
      </c>
      <c r="G67" s="17">
        <v>2.8553605000000003E-2</v>
      </c>
      <c r="H67" s="17">
        <v>-9.5773934999999998E-3</v>
      </c>
      <c r="I67" s="17">
        <v>3.1545996999999999E-2</v>
      </c>
      <c r="J67" s="17">
        <v>4.7121285999999998E-2</v>
      </c>
      <c r="K67" s="17">
        <v>7.4512960000000003E-2</v>
      </c>
      <c r="L67" s="17">
        <v>3.8248061999999999E-2</v>
      </c>
      <c r="M67" s="17">
        <v>6.5384865E-2</v>
      </c>
      <c r="N67" s="17">
        <v>7.6908469999999993E-2</v>
      </c>
      <c r="O67" s="17">
        <v>4.4750332999999996E-2</v>
      </c>
      <c r="P67" s="17"/>
      <c r="Q67" s="17"/>
      <c r="R67" s="17"/>
      <c r="S67" s="17"/>
      <c r="T67" s="17"/>
      <c r="U67" s="17"/>
      <c r="V67" s="17"/>
    </row>
    <row r="68" spans="1:22" x14ac:dyDescent="0.3">
      <c r="A68" s="2">
        <v>43669</v>
      </c>
      <c r="B68" s="17">
        <v>8.5026025999999991E-3</v>
      </c>
      <c r="C68" s="17">
        <v>2.0510196999999997E-2</v>
      </c>
      <c r="D68" s="17">
        <v>1.2956619000000001E-2</v>
      </c>
      <c r="E68" s="17">
        <v>1.9653081999999999E-2</v>
      </c>
      <c r="F68" s="17">
        <v>2.9951810000000002E-2</v>
      </c>
      <c r="G68" s="17">
        <v>-6.0349703000000003E-4</v>
      </c>
      <c r="H68" s="17">
        <v>-2.9771328000000002E-3</v>
      </c>
      <c r="I68" s="17">
        <v>3.6656857E-4</v>
      </c>
      <c r="J68" s="17">
        <v>3.289461E-3</v>
      </c>
      <c r="K68" s="17">
        <v>3.2663344999999998E-3</v>
      </c>
      <c r="L68" s="17">
        <v>1.3404369000000001E-2</v>
      </c>
      <c r="M68" s="17">
        <v>-4.8939586000000005E-3</v>
      </c>
      <c r="N68" s="17">
        <v>1.5568376E-2</v>
      </c>
      <c r="O68" s="17">
        <v>1.9011020999999999E-2</v>
      </c>
      <c r="P68" s="17"/>
      <c r="Q68" s="17"/>
      <c r="R68" s="17"/>
      <c r="S68" s="17"/>
      <c r="T68" s="17"/>
      <c r="U68" s="17"/>
      <c r="V68" s="17"/>
    </row>
    <row r="69" spans="1:22" x14ac:dyDescent="0.3">
      <c r="A69" s="2">
        <v>43700</v>
      </c>
      <c r="B69" s="17">
        <v>-8.032787000000001E-2</v>
      </c>
      <c r="C69" s="17">
        <v>-5.0594925999999998E-2</v>
      </c>
      <c r="D69" s="17">
        <v>7.839024E-2</v>
      </c>
      <c r="E69" s="17">
        <v>2.2675991E-3</v>
      </c>
      <c r="F69" s="17">
        <v>-6.0477790000000003E-2</v>
      </c>
      <c r="G69" s="17">
        <v>-9.7826059999999992E-2</v>
      </c>
      <c r="H69" s="17">
        <v>-6.4561130000000008E-2</v>
      </c>
      <c r="I69" s="17">
        <v>0.11450111</v>
      </c>
      <c r="J69" s="17">
        <v>-6.0837865000000005E-2</v>
      </c>
      <c r="K69" s="17">
        <v>-9.540063E-2</v>
      </c>
      <c r="L69" s="17">
        <v>-4.3486120000000003E-2</v>
      </c>
      <c r="M69" s="17">
        <v>-9.3114740000000001E-2</v>
      </c>
      <c r="N69" s="17">
        <v>-8.1639879999999998E-2</v>
      </c>
      <c r="O69" s="17">
        <v>-5.6184710000000006E-2</v>
      </c>
      <c r="P69" s="17"/>
      <c r="Q69" s="17"/>
      <c r="R69" s="17"/>
      <c r="S69" s="17"/>
      <c r="T69" s="17"/>
      <c r="U69" s="17"/>
      <c r="V69" s="17"/>
    </row>
    <row r="70" spans="1:22" x14ac:dyDescent="0.3">
      <c r="A70" s="2">
        <v>43731</v>
      </c>
      <c r="B70" s="17">
        <v>6.0606119999999999E-2</v>
      </c>
      <c r="C70" s="17">
        <v>5.1758050000000007E-2</v>
      </c>
      <c r="D70" s="17">
        <v>-2.9132365999999998E-3</v>
      </c>
      <c r="E70" s="17">
        <v>1.319766E-2</v>
      </c>
      <c r="F70" s="17">
        <v>4.8410773000000004E-2</v>
      </c>
      <c r="G70" s="17">
        <v>3.9491296000000002E-2</v>
      </c>
      <c r="H70" s="17">
        <v>8.5008139999999996E-2</v>
      </c>
      <c r="I70" s="17">
        <v>-2.6372135000000001E-2</v>
      </c>
      <c r="J70" s="17">
        <v>4.8875092999999994E-2</v>
      </c>
      <c r="K70" s="17">
        <v>6.5171599999999996E-2</v>
      </c>
      <c r="L70" s="17">
        <v>7.7666162999999996E-2</v>
      </c>
      <c r="M70" s="17">
        <v>7.5921893000000004E-2</v>
      </c>
      <c r="N70" s="17">
        <v>6.9487569999999999E-2</v>
      </c>
      <c r="O70" s="17">
        <v>5.3702116000000001E-2</v>
      </c>
      <c r="P70" s="17"/>
      <c r="Q70" s="17"/>
      <c r="R70" s="17"/>
      <c r="S70" s="17"/>
      <c r="T70" s="17"/>
      <c r="U70" s="17"/>
      <c r="V70" s="17"/>
    </row>
    <row r="71" spans="1:22" x14ac:dyDescent="0.3">
      <c r="A71" s="2">
        <v>43761</v>
      </c>
      <c r="B71" s="17">
        <v>1.3736606E-2</v>
      </c>
      <c r="C71" s="17">
        <v>5.6000950000000002E-3</v>
      </c>
      <c r="D71" s="17">
        <v>-2.2400022000000002E-2</v>
      </c>
      <c r="E71" s="17">
        <v>-9.3040465999999992E-3</v>
      </c>
      <c r="F71" s="17">
        <v>9.0289115999999999E-3</v>
      </c>
      <c r="G71" s="17">
        <v>2.2536993000000002E-2</v>
      </c>
      <c r="H71" s="17">
        <v>-2.2347867E-2</v>
      </c>
      <c r="I71" s="17">
        <v>-1.5060723E-2</v>
      </c>
      <c r="J71" s="17">
        <v>2.6848435E-2</v>
      </c>
      <c r="K71" s="17">
        <v>2.9058695000000002E-2</v>
      </c>
      <c r="L71" s="17">
        <v>2.1093369000000001E-2</v>
      </c>
      <c r="M71" s="17">
        <v>5.3427460000000003E-2</v>
      </c>
      <c r="N71" s="17">
        <v>2.9401183000000001E-2</v>
      </c>
      <c r="O71" s="17">
        <v>1.1060476E-2</v>
      </c>
      <c r="P71" s="17"/>
      <c r="Q71" s="17"/>
      <c r="R71" s="17"/>
      <c r="S71" s="17"/>
      <c r="T71" s="17"/>
      <c r="U71" s="17"/>
      <c r="V71" s="17"/>
    </row>
    <row r="72" spans="1:22" x14ac:dyDescent="0.3">
      <c r="A72" s="2">
        <v>43791</v>
      </c>
      <c r="B72" s="17">
        <v>1.2952805000000001E-2</v>
      </c>
      <c r="C72" s="17">
        <v>3.6948084999999999E-2</v>
      </c>
      <c r="D72" s="17">
        <v>-1.9853354E-2</v>
      </c>
      <c r="E72" s="17">
        <v>1.0894060000000001E-2</v>
      </c>
      <c r="F72" s="17">
        <v>4.9994826000000006E-2</v>
      </c>
      <c r="G72" s="17">
        <v>9.4459056999999999E-3</v>
      </c>
      <c r="H72" s="17">
        <v>3.8483740000000002E-2</v>
      </c>
      <c r="I72" s="17">
        <v>4.7639607999999996E-3</v>
      </c>
      <c r="J72" s="17">
        <v>1.6304255E-2</v>
      </c>
      <c r="K72" s="17">
        <v>5.469799E-3</v>
      </c>
      <c r="L72" s="17">
        <v>2.5477647999999999E-2</v>
      </c>
      <c r="M72" s="17">
        <v>1.0845304E-2</v>
      </c>
      <c r="N72" s="17">
        <v>2.6798367999999999E-2</v>
      </c>
      <c r="O72" s="17">
        <v>2.9279350999999999E-2</v>
      </c>
      <c r="P72" s="17"/>
      <c r="Q72" s="17"/>
      <c r="R72" s="17"/>
      <c r="S72" s="17"/>
      <c r="T72" s="17"/>
      <c r="U72" s="17"/>
      <c r="V72" s="17"/>
    </row>
    <row r="73" spans="1:22" x14ac:dyDescent="0.3">
      <c r="A73" s="2">
        <v>43822</v>
      </c>
      <c r="B73" s="17">
        <v>6.036234E-2</v>
      </c>
      <c r="C73" s="17">
        <v>3.8051248000000003E-2</v>
      </c>
      <c r="D73" s="17">
        <v>1.6044617000000001E-2</v>
      </c>
      <c r="E73" s="17">
        <v>-4.6035049999999999E-3</v>
      </c>
      <c r="F73" s="17">
        <v>5.1715016000000003E-2</v>
      </c>
      <c r="G73" s="17">
        <v>3.0391096999999999E-2</v>
      </c>
      <c r="H73" s="17">
        <v>5.4895519999999996E-2</v>
      </c>
      <c r="I73" s="17">
        <v>-2.1406352999999999E-2</v>
      </c>
      <c r="J73" s="17">
        <v>4.1912675000000003E-2</v>
      </c>
      <c r="K73" s="17">
        <v>5.4146767000000005E-2</v>
      </c>
      <c r="L73" s="17">
        <v>1.5272974999999999E-2</v>
      </c>
      <c r="M73" s="17">
        <v>5.7906029999999997E-2</v>
      </c>
      <c r="N73" s="17">
        <v>2.7018665999999997E-2</v>
      </c>
      <c r="O73" s="17">
        <v>3.5731315999999999E-2</v>
      </c>
      <c r="P73" s="17"/>
      <c r="Q73" s="17"/>
      <c r="R73" s="17"/>
      <c r="S73" s="17"/>
      <c r="T73" s="17"/>
      <c r="U73" s="17"/>
      <c r="V73" s="17"/>
    </row>
    <row r="74" spans="1:22" x14ac:dyDescent="0.3">
      <c r="A74" s="2">
        <v>43853</v>
      </c>
      <c r="B74" s="17">
        <v>9.2718599999999998E-3</v>
      </c>
      <c r="C74" s="17">
        <v>3.2687902000000005E-2</v>
      </c>
      <c r="D74" s="17">
        <v>5.1232575999999995E-2</v>
      </c>
      <c r="E74" s="17">
        <v>3.4272669999999999E-3</v>
      </c>
      <c r="F74" s="17">
        <v>6.0337066999999994E-2</v>
      </c>
      <c r="G74" s="17">
        <v>9.225011E-3</v>
      </c>
      <c r="H74" s="17">
        <v>-7.2640895999999996E-2</v>
      </c>
      <c r="I74" s="17">
        <v>3.2905817000000004E-2</v>
      </c>
      <c r="J74" s="17">
        <v>5.8499575E-3</v>
      </c>
      <c r="K74" s="17">
        <v>1.1448026E-2</v>
      </c>
      <c r="L74" s="17">
        <v>-1.6736984000000001E-4</v>
      </c>
      <c r="M74" s="17">
        <v>-3.6242603999999999E-3</v>
      </c>
      <c r="N74" s="17">
        <v>-1.0437727000000001E-2</v>
      </c>
      <c r="O74" s="17">
        <v>2.2847295E-2</v>
      </c>
      <c r="P74" s="17"/>
      <c r="Q74" s="17"/>
      <c r="R74" s="17"/>
      <c r="S74" s="17"/>
      <c r="T74" s="17"/>
      <c r="U74" s="17"/>
      <c r="V74" s="17"/>
    </row>
    <row r="75" spans="1:22" x14ac:dyDescent="0.3">
      <c r="A75" s="2">
        <v>43882</v>
      </c>
      <c r="B75" s="17">
        <v>-3.1593084E-2</v>
      </c>
      <c r="C75" s="17">
        <v>5.3057670000000003E-3</v>
      </c>
      <c r="D75" s="17">
        <v>5.1522613000000002E-2</v>
      </c>
      <c r="E75" s="17">
        <v>1.8216251999999999E-2</v>
      </c>
      <c r="F75" s="17">
        <v>2.5290607999999999E-2</v>
      </c>
      <c r="G75" s="17">
        <v>-2.6812909999999999E-2</v>
      </c>
      <c r="H75" s="17">
        <v>-3.6103725000000003E-2</v>
      </c>
      <c r="I75" s="17">
        <v>5.2122355000000002E-2</v>
      </c>
      <c r="J75" s="17">
        <v>-7.0133210000000003E-3</v>
      </c>
      <c r="K75" s="17">
        <v>-5.4186344000000004E-2</v>
      </c>
      <c r="L75" s="17">
        <v>-5.2376149999999996E-2</v>
      </c>
      <c r="M75" s="17">
        <v>1.8187283999999998E-2</v>
      </c>
      <c r="N75" s="17">
        <v>1.1228323E-2</v>
      </c>
      <c r="O75" s="17">
        <v>1.5883446000000002E-3</v>
      </c>
      <c r="P75" s="17"/>
      <c r="Q75" s="17"/>
      <c r="R75" s="17"/>
      <c r="S75" s="17"/>
      <c r="T75" s="17"/>
      <c r="U75" s="17"/>
      <c r="V75" s="17"/>
    </row>
    <row r="76" spans="1:22" x14ac:dyDescent="0.3">
      <c r="A76" s="2">
        <v>43913</v>
      </c>
      <c r="B76" s="17">
        <v>-0.29388947000000004</v>
      </c>
      <c r="C76" s="17">
        <v>-0.32733714999999997</v>
      </c>
      <c r="D76" s="17">
        <v>-5.4298580000000006E-2</v>
      </c>
      <c r="E76" s="17">
        <v>4.2489766999999998E-2</v>
      </c>
      <c r="F76" s="17">
        <v>-0.25816349999999999</v>
      </c>
      <c r="G76" s="17">
        <v>-0.1020664</v>
      </c>
      <c r="H76" s="17">
        <v>-0.51776470000000008</v>
      </c>
      <c r="I76" s="17">
        <v>0.12298845999999999</v>
      </c>
      <c r="J76" s="17">
        <v>-0.35666156999999998</v>
      </c>
      <c r="K76" s="17">
        <v>-0.35456992999999998</v>
      </c>
      <c r="L76" s="17">
        <v>-0.21172523000000001</v>
      </c>
      <c r="M76" s="17">
        <v>-0.3602263</v>
      </c>
      <c r="N76" s="17">
        <v>-0.36675635999999995</v>
      </c>
      <c r="O76" s="17">
        <v>-0.33204479999999997</v>
      </c>
      <c r="P76" s="17"/>
      <c r="Q76" s="17"/>
      <c r="R76" s="17"/>
      <c r="S76" s="17"/>
      <c r="T76" s="17"/>
      <c r="U76" s="17"/>
      <c r="V76" s="17"/>
    </row>
    <row r="77" spans="1:22" x14ac:dyDescent="0.3">
      <c r="A77" s="2">
        <v>43944</v>
      </c>
      <c r="B77" s="17">
        <v>0.15364408499999999</v>
      </c>
      <c r="C77" s="17">
        <v>0.25176048000000001</v>
      </c>
      <c r="D77" s="17">
        <v>0.11647296000000001</v>
      </c>
      <c r="E77" s="17">
        <v>-2.6456891999999999E-2</v>
      </c>
      <c r="F77" s="17">
        <v>0.2350111</v>
      </c>
      <c r="G77" s="17">
        <v>-5.4393289999999997E-2</v>
      </c>
      <c r="H77" s="17">
        <v>3.3456087000000002E-3</v>
      </c>
      <c r="I77" s="17">
        <v>2.8210044E-2</v>
      </c>
      <c r="J77" s="17">
        <v>0.18921840000000001</v>
      </c>
      <c r="K77" s="17">
        <v>0.19790995</v>
      </c>
      <c r="L77" s="17">
        <v>0.13127243</v>
      </c>
      <c r="M77" s="17">
        <v>0.21824110000000002</v>
      </c>
      <c r="N77" s="17">
        <v>5.4197670000000003E-2</v>
      </c>
      <c r="O77" s="17">
        <v>0.23059796999999999</v>
      </c>
      <c r="P77" s="17"/>
      <c r="Q77" s="17"/>
      <c r="R77" s="17"/>
      <c r="S77" s="17"/>
      <c r="T77" s="17"/>
      <c r="U77" s="17"/>
      <c r="V77" s="17"/>
    </row>
    <row r="78" spans="1:22" x14ac:dyDescent="0.3">
      <c r="A78" s="2">
        <v>43973</v>
      </c>
      <c r="B78" s="17">
        <v>2.7888416999999999E-2</v>
      </c>
      <c r="C78" s="17">
        <v>5.8621287000000001E-2</v>
      </c>
      <c r="D78" s="17">
        <v>-7.9584119999999989E-4</v>
      </c>
      <c r="E78" s="17">
        <v>-8.8137983999999996E-3</v>
      </c>
      <c r="F78" s="17">
        <v>9.0917700000000004E-2</v>
      </c>
      <c r="G78" s="17">
        <v>-3.6873220000000003E-3</v>
      </c>
      <c r="H78" s="17">
        <v>0.28064191999999999</v>
      </c>
      <c r="I78" s="17">
        <v>-2.7440012E-2</v>
      </c>
      <c r="J78" s="17">
        <v>5.1223992999999995E-2</v>
      </c>
      <c r="K78" s="17">
        <v>3.8295269999999999E-2</v>
      </c>
      <c r="L78" s="17">
        <v>4.2970300000000003E-2</v>
      </c>
      <c r="M78" s="17">
        <v>7.1428537E-2</v>
      </c>
      <c r="N78" s="17">
        <v>5.0403237000000004E-2</v>
      </c>
      <c r="O78" s="17">
        <v>5.4624319999999997E-2</v>
      </c>
      <c r="P78" s="17"/>
      <c r="Q78" s="17"/>
      <c r="R78" s="17"/>
      <c r="S78" s="17"/>
      <c r="T78" s="17"/>
      <c r="U78" s="17"/>
      <c r="V78" s="17"/>
    </row>
    <row r="79" spans="1:22" x14ac:dyDescent="0.3">
      <c r="A79" s="2">
        <v>44005</v>
      </c>
      <c r="B79" s="17">
        <v>0.12518549000000001</v>
      </c>
      <c r="C79" s="17">
        <v>6.0896753999999997E-2</v>
      </c>
      <c r="D79" s="17">
        <v>2.0035504999999999E-2</v>
      </c>
      <c r="E79" s="17">
        <v>-3.1122625000000001E-2</v>
      </c>
      <c r="F79" s="17">
        <v>8.5377810000000012E-2</v>
      </c>
      <c r="G79" s="17">
        <v>-7.4023009999999996E-4</v>
      </c>
      <c r="H79" s="17">
        <v>0.17854081999999999</v>
      </c>
      <c r="I79" s="17">
        <v>-2.4410009999999999E-2</v>
      </c>
      <c r="J79" s="17">
        <v>0.113385315</v>
      </c>
      <c r="K79" s="17">
        <v>0.11765038999999999</v>
      </c>
      <c r="L79" s="17">
        <v>8.2465650000000001E-2</v>
      </c>
      <c r="M79" s="17">
        <v>0.11973059</v>
      </c>
      <c r="N79" s="17">
        <v>0.19228697</v>
      </c>
      <c r="O79" s="17">
        <v>7.8664063999999992E-2</v>
      </c>
      <c r="P79" s="17"/>
      <c r="Q79" s="17"/>
      <c r="R79" s="17"/>
      <c r="S79" s="17"/>
      <c r="T79" s="17"/>
      <c r="U79" s="17"/>
      <c r="V79" s="17"/>
    </row>
    <row r="80" spans="1:22" x14ac:dyDescent="0.3">
      <c r="A80" s="2">
        <v>44035</v>
      </c>
      <c r="B80" s="17">
        <v>6.2268375999999993E-2</v>
      </c>
      <c r="C80" s="17">
        <v>3.4962415999999996E-2</v>
      </c>
      <c r="D80" s="17">
        <v>6.4271927000000006E-2</v>
      </c>
      <c r="E80" s="17">
        <v>-2.065003E-2</v>
      </c>
      <c r="F80" s="17">
        <v>3.6851047999999997E-2</v>
      </c>
      <c r="G80" s="17">
        <v>1.7037034E-2</v>
      </c>
      <c r="H80" s="17">
        <v>2.1129726999999997E-2</v>
      </c>
      <c r="I80" s="17">
        <v>5.3621054000000001E-2</v>
      </c>
      <c r="J80" s="17">
        <v>4.1333556E-2</v>
      </c>
      <c r="K80" s="17">
        <v>4.5865179999999998E-2</v>
      </c>
      <c r="L80" s="17">
        <v>-1.1845886999999999E-2</v>
      </c>
      <c r="M80" s="17">
        <v>0.10763335</v>
      </c>
      <c r="N80" s="17">
        <v>5.2460313000000001E-2</v>
      </c>
      <c r="O80" s="17">
        <v>3.3832908000000002E-2</v>
      </c>
      <c r="P80" s="17"/>
      <c r="Q80" s="17"/>
      <c r="R80" s="17"/>
      <c r="S80" s="17"/>
      <c r="T80" s="17"/>
      <c r="U80" s="17"/>
      <c r="V80" s="17"/>
    </row>
    <row r="81" spans="1:22" x14ac:dyDescent="0.3">
      <c r="A81" s="2">
        <v>44064</v>
      </c>
      <c r="B81" s="17">
        <v>2.2796034999999999E-2</v>
      </c>
      <c r="C81" s="17">
        <v>5.1151869999999995E-2</v>
      </c>
      <c r="D81" s="17">
        <v>2.7373313999999999E-2</v>
      </c>
      <c r="E81" s="17">
        <v>-1.6790329999999999E-2</v>
      </c>
      <c r="F81" s="17">
        <v>9.2476959999999997E-2</v>
      </c>
      <c r="G81" s="17">
        <v>4.0786624E-2</v>
      </c>
      <c r="H81" s="17">
        <v>2.2903562000000002E-2</v>
      </c>
      <c r="I81" s="17">
        <v>-1.9817769999999998E-2</v>
      </c>
      <c r="J81" s="17">
        <v>7.3020459999999995E-3</v>
      </c>
      <c r="K81" s="17">
        <v>1.8884540000000002E-2</v>
      </c>
      <c r="L81" s="17">
        <v>3.0774712999999999E-2</v>
      </c>
      <c r="M81" s="17">
        <v>6.6320895999999992E-3</v>
      </c>
      <c r="N81" s="17">
        <v>-1.0046303000000001E-2</v>
      </c>
      <c r="O81" s="17">
        <v>4.1735649999999999E-2</v>
      </c>
      <c r="P81" s="17"/>
      <c r="Q81" s="17"/>
      <c r="R81" s="17"/>
      <c r="S81" s="17"/>
      <c r="T81" s="17"/>
      <c r="U81" s="17"/>
      <c r="V81" s="17"/>
    </row>
    <row r="82" spans="1:22" x14ac:dyDescent="0.3">
      <c r="A82" s="2">
        <v>44097</v>
      </c>
      <c r="B82" s="17">
        <v>-2.8990507000000002E-2</v>
      </c>
      <c r="C82" s="17">
        <v>-4.5755863000000001E-2</v>
      </c>
      <c r="D82" s="17">
        <v>-3.9773703000000001E-2</v>
      </c>
      <c r="E82" s="17">
        <v>1.3502836000000001E-2</v>
      </c>
      <c r="F82" s="17">
        <v>-6.1470212999999996E-2</v>
      </c>
      <c r="G82" s="17">
        <v>2.3093104000000003E-2</v>
      </c>
      <c r="H82" s="17">
        <v>-7.3974789999999999E-2</v>
      </c>
      <c r="I82" s="17">
        <v>-9.183943E-3</v>
      </c>
      <c r="J82" s="17">
        <v>-3.7024020000000005E-2</v>
      </c>
      <c r="K82" s="17">
        <v>-2.1678924999999998E-2</v>
      </c>
      <c r="L82" s="17">
        <v>2.2391914999999998E-2</v>
      </c>
      <c r="M82" s="17">
        <v>-1.8332839E-2</v>
      </c>
      <c r="N82" s="17">
        <v>-6.0499669999999998E-2</v>
      </c>
      <c r="O82" s="17">
        <v>-4.0162982999999999E-2</v>
      </c>
      <c r="P82" s="17"/>
      <c r="Q82" s="17"/>
      <c r="R82" s="17"/>
      <c r="S82" s="17"/>
      <c r="T82" s="17"/>
      <c r="U82" s="17"/>
      <c r="V82" s="17"/>
    </row>
    <row r="83" spans="1:22" x14ac:dyDescent="0.3">
      <c r="A83" s="2">
        <v>44127</v>
      </c>
      <c r="B83" s="17">
        <v>7.2847724000000003E-2</v>
      </c>
      <c r="C83" s="17">
        <v>7.1720720000000002E-2</v>
      </c>
      <c r="D83" s="17">
        <v>2.2026420000000001E-2</v>
      </c>
      <c r="E83" s="17">
        <v>-1.8808782E-2</v>
      </c>
      <c r="F83" s="17">
        <v>7.7907324E-2</v>
      </c>
      <c r="G83" s="17">
        <v>2.1887780000000003E-2</v>
      </c>
      <c r="H83" s="17">
        <v>-6.8857073999999997E-3</v>
      </c>
      <c r="I83" s="17">
        <v>-3.8400412000000002E-2</v>
      </c>
      <c r="J83" s="17">
        <v>3.8827420000000001E-2</v>
      </c>
      <c r="K83" s="17">
        <v>6.1812043000000004E-2</v>
      </c>
      <c r="L83" s="17">
        <v>6.7911149999999995E-3</v>
      </c>
      <c r="M83" s="17">
        <v>6.7114115000000002E-2</v>
      </c>
      <c r="N83" s="17">
        <v>3.7390947000000001E-2</v>
      </c>
      <c r="O83" s="17">
        <v>5.9968830000000001E-2</v>
      </c>
      <c r="P83" s="17"/>
      <c r="Q83" s="17"/>
      <c r="R83" s="17"/>
      <c r="S83" s="17"/>
      <c r="T83" s="17"/>
      <c r="U83" s="17"/>
      <c r="V83" s="17"/>
    </row>
    <row r="84" spans="1:22" x14ac:dyDescent="0.3">
      <c r="A84" s="2">
        <v>44158</v>
      </c>
      <c r="B84" s="17">
        <v>5.5776000000000006E-2</v>
      </c>
      <c r="C84" s="17">
        <v>3.3778667000000005E-2</v>
      </c>
      <c r="D84" s="17">
        <v>-3.5882234999999998E-2</v>
      </c>
      <c r="E84" s="17">
        <v>-2.795577E-3</v>
      </c>
      <c r="F84" s="17">
        <v>1.9842744000000002E-2</v>
      </c>
      <c r="G84" s="17">
        <v>3.8152695E-2</v>
      </c>
      <c r="H84" s="17">
        <v>6.5602303000000001E-2</v>
      </c>
      <c r="I84" s="17">
        <v>1.8554449000000001E-2</v>
      </c>
      <c r="J84" s="17">
        <v>7.5313089999999999E-2</v>
      </c>
      <c r="K84" s="17">
        <v>8.7863079999999996E-2</v>
      </c>
      <c r="L84" s="17">
        <v>9.2411519999999997E-2</v>
      </c>
      <c r="M84" s="17">
        <v>6.5080642999999994E-2</v>
      </c>
      <c r="N84" s="17">
        <v>0.1257509</v>
      </c>
      <c r="O84" s="17">
        <v>5.0029396999999996E-2</v>
      </c>
      <c r="P84" s="17"/>
      <c r="Q84" s="17"/>
      <c r="R84" s="17"/>
      <c r="S84" s="17"/>
      <c r="T84" s="17"/>
      <c r="U84" s="17"/>
      <c r="V84" s="17"/>
    </row>
    <row r="85" spans="1:22" x14ac:dyDescent="0.3">
      <c r="A85" s="2">
        <v>44188</v>
      </c>
      <c r="B85" s="17">
        <v>3.3655404999999999E-2</v>
      </c>
      <c r="C85" s="17">
        <v>3.2683730000000001E-2</v>
      </c>
      <c r="D85" s="17">
        <v>1.9857168000000001E-2</v>
      </c>
      <c r="E85" s="17">
        <v>-2.5630712999999999E-2</v>
      </c>
      <c r="F85" s="17">
        <v>6.3259720000000005E-2</v>
      </c>
      <c r="G85" s="17">
        <v>1.7408132999999999E-2</v>
      </c>
      <c r="H85" s="17">
        <v>0.11067545000000001</v>
      </c>
      <c r="I85" s="17">
        <v>-2.3473918E-2</v>
      </c>
      <c r="J85" s="17">
        <v>5.0090909999999995E-2</v>
      </c>
      <c r="K85" s="17">
        <v>6.4833760000000004E-2</v>
      </c>
      <c r="L85" s="17">
        <v>2.3755193000000001E-2</v>
      </c>
      <c r="M85" s="17">
        <v>2.610755E-2</v>
      </c>
      <c r="N85" s="17">
        <v>5.7040452999999998E-2</v>
      </c>
      <c r="O85" s="17">
        <v>4.1635036E-2</v>
      </c>
      <c r="P85" s="17"/>
      <c r="Q85" s="17"/>
      <c r="R85" s="17"/>
      <c r="S85" s="17"/>
      <c r="T85" s="17"/>
      <c r="U85" s="17"/>
      <c r="V85" s="17"/>
    </row>
    <row r="86" spans="1:22" x14ac:dyDescent="0.3">
      <c r="A86" s="2">
        <v>44218</v>
      </c>
      <c r="B86" s="17">
        <v>9.7560999999999995E-2</v>
      </c>
      <c r="C86" s="17">
        <v>4.1651964E-2</v>
      </c>
      <c r="D86" s="17">
        <v>-9.9629760000000001E-3</v>
      </c>
      <c r="E86" s="17">
        <v>4.1103362999999997E-4</v>
      </c>
      <c r="F86" s="17">
        <v>5.58728E-2</v>
      </c>
      <c r="G86" s="17">
        <v>2.7249694000000001E-2</v>
      </c>
      <c r="H86" s="17">
        <v>7.2704672999999997E-2</v>
      </c>
      <c r="I86" s="17">
        <v>-3.0573784999999999E-2</v>
      </c>
      <c r="J86" s="17">
        <v>3.2145262000000001E-2</v>
      </c>
      <c r="K86" s="17">
        <v>8.7493660000000001E-2</v>
      </c>
      <c r="L86" s="17">
        <v>4.8138021999999996E-2</v>
      </c>
      <c r="M86" s="17">
        <v>6.2263726999999998E-2</v>
      </c>
      <c r="N86" s="17">
        <v>-6.1078670000000003E-3</v>
      </c>
      <c r="O86" s="17">
        <v>3.7973523000000002E-2</v>
      </c>
      <c r="P86" s="17"/>
      <c r="Q86" s="17"/>
      <c r="R86" s="17"/>
      <c r="S86" s="17"/>
      <c r="T86" s="17"/>
      <c r="U86" s="17"/>
      <c r="V86" s="17"/>
    </row>
    <row r="87" spans="1:22" x14ac:dyDescent="0.3">
      <c r="A87" s="2">
        <v>44250</v>
      </c>
      <c r="B87" s="17">
        <v>1.4444470000000001E-2</v>
      </c>
      <c r="C87" s="17">
        <v>1.2066482999999999E-2</v>
      </c>
      <c r="D87" s="17">
        <v>-2.7487040000000001E-2</v>
      </c>
      <c r="E87" s="17">
        <v>-1.6434193E-3</v>
      </c>
      <c r="F87" s="17">
        <v>-1.2107432E-2</v>
      </c>
      <c r="G87" s="17">
        <v>7.1560860000000004E-2</v>
      </c>
      <c r="H87" s="17">
        <v>0.18248176999999999</v>
      </c>
      <c r="I87" s="17">
        <v>-6.5486192999999998E-2</v>
      </c>
      <c r="J87" s="17">
        <v>8.2297324999999998E-3</v>
      </c>
      <c r="K87" s="17">
        <v>-2.1641850000000003E-3</v>
      </c>
      <c r="L87" s="17">
        <v>2.556336E-2</v>
      </c>
      <c r="M87" s="17">
        <v>1.8509746000000001E-2</v>
      </c>
      <c r="N87" s="17">
        <v>3.4141301999999998E-2</v>
      </c>
      <c r="O87" s="17">
        <v>1.3957500000000001E-2</v>
      </c>
      <c r="P87" s="17"/>
      <c r="Q87" s="17"/>
      <c r="R87" s="17"/>
      <c r="S87" s="17"/>
      <c r="T87" s="17"/>
      <c r="U87" s="17"/>
      <c r="V87" s="17"/>
    </row>
    <row r="88" spans="1:22" x14ac:dyDescent="0.3">
      <c r="A88" s="2">
        <v>44278</v>
      </c>
      <c r="B88" s="17">
        <v>-5.3718804999999994E-2</v>
      </c>
      <c r="C88" s="17">
        <v>8.4589720000000004E-3</v>
      </c>
      <c r="D88" s="17">
        <v>-4.3223739999999997E-2</v>
      </c>
      <c r="E88" s="17">
        <v>2.3868322000000001E-2</v>
      </c>
      <c r="F88" s="17">
        <v>-1.2028873000000001E-2</v>
      </c>
      <c r="G88" s="17">
        <v>-2.7633905E-2</v>
      </c>
      <c r="H88" s="17">
        <v>-4.3770969999999999E-2</v>
      </c>
      <c r="I88" s="17">
        <v>-2.9009103999999997E-2</v>
      </c>
      <c r="J88" s="17">
        <v>4.3141841999999998E-4</v>
      </c>
      <c r="K88" s="17">
        <v>-2.8695344999999997E-2</v>
      </c>
      <c r="L88" s="17">
        <v>-2.5911927000000001E-2</v>
      </c>
      <c r="M88" s="17">
        <v>2.9356956E-2</v>
      </c>
      <c r="N88" s="17">
        <v>2.1129011999999999E-2</v>
      </c>
      <c r="O88" s="17">
        <v>3.4201145000000002E-4</v>
      </c>
      <c r="P88" s="17"/>
      <c r="Q88" s="17"/>
      <c r="R88" s="17"/>
      <c r="S88" s="17"/>
      <c r="T88" s="17"/>
      <c r="U88" s="17"/>
      <c r="V88" s="17"/>
    </row>
    <row r="89" spans="1:22" x14ac:dyDescent="0.3">
      <c r="A89" s="2">
        <v>44309</v>
      </c>
      <c r="B89" s="17">
        <v>2.9747010000000001E-2</v>
      </c>
      <c r="C89" s="17">
        <v>6.9935799999999992E-2</v>
      </c>
      <c r="D89" s="17">
        <v>2.8366565999999999E-2</v>
      </c>
      <c r="E89" s="17">
        <v>-1.7282903000000002E-2</v>
      </c>
      <c r="F89" s="17">
        <v>6.9983006E-2</v>
      </c>
      <c r="G89" s="17">
        <v>7.8152775999999993E-2</v>
      </c>
      <c r="H89" s="17">
        <v>7.7388405999999993E-2</v>
      </c>
      <c r="I89" s="17">
        <v>2.0063162000000002E-2</v>
      </c>
      <c r="J89" s="17">
        <v>6.9408655E-2</v>
      </c>
      <c r="K89" s="17">
        <v>4.3284059999999999E-2</v>
      </c>
      <c r="L89" s="17">
        <v>-1.0119676599999999E-3</v>
      </c>
      <c r="M89" s="17">
        <v>7.6957940000000002E-2</v>
      </c>
      <c r="N89" s="17">
        <v>4.073715E-2</v>
      </c>
      <c r="O89" s="17">
        <v>6.1709404000000002E-2</v>
      </c>
      <c r="P89" s="17"/>
      <c r="Q89" s="17"/>
      <c r="R89" s="17"/>
      <c r="S89" s="17"/>
      <c r="T89" s="17"/>
      <c r="U89" s="17"/>
      <c r="V89" s="17"/>
    </row>
    <row r="90" spans="1:22" x14ac:dyDescent="0.3">
      <c r="A90" s="2">
        <v>44337</v>
      </c>
      <c r="B90" s="17">
        <v>-2.3260236E-2</v>
      </c>
      <c r="C90" s="17">
        <v>-4.319191E-3</v>
      </c>
      <c r="D90" s="17">
        <v>5.7932734000000007E-2</v>
      </c>
      <c r="E90" s="17">
        <v>-9.4069840000000002E-3</v>
      </c>
      <c r="F90" s="17">
        <v>-3.6562383000000004E-2</v>
      </c>
      <c r="G90" s="17">
        <v>9.8847149999999988E-3</v>
      </c>
      <c r="H90" s="17">
        <v>2.9021740000000001E-2</v>
      </c>
      <c r="I90" s="17">
        <v>-1.5623152E-2</v>
      </c>
      <c r="J90" s="17">
        <v>2.6141882000000002E-2</v>
      </c>
      <c r="K90" s="17">
        <v>-8.2318186999999991E-3</v>
      </c>
      <c r="L90" s="17">
        <v>-1.6931951000000001E-2</v>
      </c>
      <c r="M90" s="17">
        <v>1.0508656999999999E-2</v>
      </c>
      <c r="N90" s="17">
        <v>2.9201746000000001E-2</v>
      </c>
      <c r="O90" s="17">
        <v>-3.2204389999999997E-4</v>
      </c>
      <c r="P90" s="17"/>
      <c r="Q90" s="17"/>
      <c r="R90" s="17"/>
      <c r="S90" s="17"/>
      <c r="T90" s="17"/>
      <c r="U90" s="17"/>
      <c r="V90" s="17"/>
    </row>
    <row r="91" spans="1:22" x14ac:dyDescent="0.3">
      <c r="A91" s="2">
        <v>44370</v>
      </c>
      <c r="B91" s="17">
        <v>3.7079333999999999E-2</v>
      </c>
      <c r="C91" s="17">
        <v>2.1837829999999999E-2</v>
      </c>
      <c r="D91" s="17">
        <v>-5.6237163999999999E-2</v>
      </c>
      <c r="E91" s="17">
        <v>1.9818425000000001E-2</v>
      </c>
      <c r="F91" s="17">
        <v>6.4617753E-2</v>
      </c>
      <c r="G91" s="17">
        <v>-2.6644886E-2</v>
      </c>
      <c r="H91" s="17">
        <v>0.13553715</v>
      </c>
      <c r="I91" s="17">
        <v>4.2177439999999997E-2</v>
      </c>
      <c r="J91" s="17">
        <v>-3.5667419999999998E-4</v>
      </c>
      <c r="K91" s="17">
        <v>3.5385013E-2</v>
      </c>
      <c r="L91" s="17">
        <v>1.2601614E-3</v>
      </c>
      <c r="M91" s="17">
        <v>-1.6512156E-2</v>
      </c>
      <c r="N91" s="17">
        <v>-7.6662900000000001E-3</v>
      </c>
      <c r="O91" s="17">
        <v>1.7970919999999998E-2</v>
      </c>
      <c r="P91" s="17"/>
      <c r="Q91" s="17"/>
      <c r="R91" s="17"/>
      <c r="S91" s="17"/>
      <c r="T91" s="17"/>
      <c r="U91" s="17"/>
      <c r="V91" s="17"/>
    </row>
    <row r="92" spans="1:22" x14ac:dyDescent="0.3">
      <c r="A92" s="2">
        <v>44400</v>
      </c>
      <c r="B92" s="17">
        <v>-3.2762527E-2</v>
      </c>
      <c r="C92" s="17">
        <v>4.1031720000000001E-2</v>
      </c>
      <c r="D92" s="17">
        <v>1.4566064E-2</v>
      </c>
      <c r="E92" s="17">
        <v>1.1335969E-2</v>
      </c>
      <c r="F92" s="17">
        <v>5.8837175000000005E-2</v>
      </c>
      <c r="G92" s="17">
        <v>5.1955340000000003E-2</v>
      </c>
      <c r="H92" s="17">
        <v>-3.8224459999999997E-3</v>
      </c>
      <c r="I92" s="17">
        <v>3.7852526000000004E-2</v>
      </c>
      <c r="J92" s="17">
        <v>4.4417379999999998E-3</v>
      </c>
      <c r="K92" s="17">
        <v>-1.5293002E-2</v>
      </c>
      <c r="L92" s="17">
        <v>5.1836970000000001E-3</v>
      </c>
      <c r="M92" s="17">
        <v>4.1549443999999998E-2</v>
      </c>
      <c r="N92" s="17">
        <v>-1.4778316E-2</v>
      </c>
      <c r="O92" s="17">
        <v>3.0058980000000003E-2</v>
      </c>
      <c r="P92" s="17"/>
      <c r="Q92" s="17"/>
      <c r="R92" s="17"/>
      <c r="S92" s="17"/>
      <c r="T92" s="17"/>
      <c r="U92" s="17"/>
      <c r="V92" s="17"/>
    </row>
    <row r="93" spans="1:22" x14ac:dyDescent="0.3">
      <c r="A93" s="2">
        <v>44431</v>
      </c>
      <c r="B93" s="17">
        <v>-3.6566556E-2</v>
      </c>
      <c r="C93" s="17">
        <v>1.6638637000000001E-2</v>
      </c>
      <c r="D93" s="17">
        <v>1.0085106E-3</v>
      </c>
      <c r="E93" s="17">
        <v>-4.0030479999999998E-4</v>
      </c>
      <c r="F93" s="17">
        <v>1.3661026999999999E-2</v>
      </c>
      <c r="G93" s="17">
        <v>6.3728094000000002E-3</v>
      </c>
      <c r="H93" s="17">
        <v>-7.3467549999999993E-2</v>
      </c>
      <c r="I93" s="17">
        <v>1.4353275E-2</v>
      </c>
      <c r="J93" s="17">
        <v>2.3437619999999999E-2</v>
      </c>
      <c r="K93" s="17">
        <v>-1.2914776999999999E-2</v>
      </c>
      <c r="L93" s="17">
        <v>-4.8622489999999999E-3</v>
      </c>
      <c r="M93" s="17">
        <v>-1.0388553E-2</v>
      </c>
      <c r="N93" s="17">
        <v>2.8125048E-2</v>
      </c>
      <c r="O93" s="17">
        <v>1.3468503999999999E-2</v>
      </c>
      <c r="P93" s="17"/>
      <c r="Q93" s="17"/>
      <c r="R93" s="17"/>
      <c r="S93" s="17"/>
      <c r="T93" s="17"/>
      <c r="U93" s="17"/>
      <c r="V93" s="17"/>
    </row>
    <row r="94" spans="1:22" x14ac:dyDescent="0.3">
      <c r="A94" s="2">
        <v>44462</v>
      </c>
      <c r="B94" s="17">
        <v>2.7480364E-2</v>
      </c>
      <c r="C94" s="17">
        <v>-5.9163569999999997E-3</v>
      </c>
      <c r="D94" s="17">
        <v>-3.0937016000000001E-2</v>
      </c>
      <c r="E94" s="17">
        <v>4.0054319999999996E-4</v>
      </c>
      <c r="F94" s="17">
        <v>4.6122074E-4</v>
      </c>
      <c r="G94" s="17">
        <v>-7.9156755999999998E-3</v>
      </c>
      <c r="H94" s="17">
        <v>0.12525261000000001</v>
      </c>
      <c r="I94" s="17">
        <v>-1.2637556000000001E-2</v>
      </c>
      <c r="J94" s="17">
        <v>-6.549895E-3</v>
      </c>
      <c r="K94" s="17">
        <v>2.9811144000000001E-2</v>
      </c>
      <c r="L94" s="17">
        <v>7.9508423999999994E-2</v>
      </c>
      <c r="M94" s="17">
        <v>-7.3483586000000004E-3</v>
      </c>
      <c r="N94" s="17">
        <v>-4.2554139999999999E-3</v>
      </c>
      <c r="O94" s="17">
        <v>-9.1648099999999991E-4</v>
      </c>
      <c r="P94" s="17"/>
      <c r="Q94" s="17"/>
      <c r="R94" s="17"/>
      <c r="S94" s="17"/>
      <c r="T94" s="17"/>
      <c r="U94" s="17"/>
      <c r="V94" s="17"/>
    </row>
    <row r="95" spans="1:22" x14ac:dyDescent="0.3">
      <c r="A95" s="2">
        <v>44491</v>
      </c>
      <c r="B95" s="17">
        <v>1.6290426E-2</v>
      </c>
      <c r="C95" s="17">
        <v>2.242887E-2</v>
      </c>
      <c r="D95" s="17">
        <v>2.6053548000000003E-2</v>
      </c>
      <c r="E95" s="17">
        <v>5.6045054999999998E-3</v>
      </c>
      <c r="F95" s="17">
        <v>3.0028820000000001E-3</v>
      </c>
      <c r="G95" s="17">
        <v>9.5745324999999999E-3</v>
      </c>
      <c r="H95" s="17">
        <v>0.12073601</v>
      </c>
      <c r="I95" s="17">
        <v>-2.728802E-2</v>
      </c>
      <c r="J95" s="17">
        <v>4.3750999999999998E-3</v>
      </c>
      <c r="K95" s="17">
        <v>-1.4152467E-2</v>
      </c>
      <c r="L95" s="17">
        <v>-6.1582860000000003E-2</v>
      </c>
      <c r="M95" s="17">
        <v>3.1091451999999999E-2</v>
      </c>
      <c r="N95" s="17">
        <v>1.8315076999999999E-2</v>
      </c>
      <c r="O95" s="17">
        <v>1.4754294999999999E-2</v>
      </c>
      <c r="P95" s="17"/>
      <c r="Q95" s="17"/>
      <c r="R95" s="17"/>
      <c r="S95" s="17"/>
      <c r="T95" s="17"/>
      <c r="U95" s="17"/>
      <c r="V95" s="17"/>
    </row>
    <row r="96" spans="1:22" x14ac:dyDescent="0.3">
      <c r="A96" s="2">
        <v>44523</v>
      </c>
      <c r="B96" s="17">
        <v>-2.3174942E-2</v>
      </c>
      <c r="C96" s="17">
        <v>3.3258320000000001E-2</v>
      </c>
      <c r="D96" s="17">
        <v>-2.9206872E-3</v>
      </c>
      <c r="E96" s="17">
        <v>2.9856682000000002E-2</v>
      </c>
      <c r="F96" s="17">
        <v>6.2496660000000002E-2</v>
      </c>
      <c r="G96" s="17">
        <v>7.0073724000000004E-2</v>
      </c>
      <c r="H96" s="17">
        <v>-3.0036032000000001E-2</v>
      </c>
      <c r="I96" s="17">
        <v>3.8557053000000002E-3</v>
      </c>
      <c r="J96" s="17">
        <v>-1.8005013E-2</v>
      </c>
      <c r="K96" s="17">
        <v>-4.8939586000000005E-3</v>
      </c>
      <c r="L96" s="17">
        <v>1.7684816999999999E-2</v>
      </c>
      <c r="M96" s="17">
        <v>-4.5333329999999998E-2</v>
      </c>
      <c r="N96" s="17">
        <v>-1.2589991E-2</v>
      </c>
      <c r="O96" s="17">
        <v>1.6498327E-2</v>
      </c>
      <c r="P96" s="17"/>
      <c r="Q96" s="17"/>
      <c r="R96" s="17"/>
      <c r="S96" s="17"/>
      <c r="T96" s="17"/>
      <c r="U96" s="17"/>
      <c r="V96" s="17"/>
    </row>
    <row r="97" spans="1:22" x14ac:dyDescent="0.3">
      <c r="A97" s="2">
        <v>44553</v>
      </c>
      <c r="B97" s="17">
        <v>-1.7957806999999999E-2</v>
      </c>
      <c r="C97" s="17">
        <v>8.7242125999999996E-3</v>
      </c>
      <c r="D97" s="17">
        <v>1.0102868000000001E-2</v>
      </c>
      <c r="E97" s="17">
        <v>-5.4117440000000004E-3</v>
      </c>
      <c r="F97" s="17">
        <v>-1.1980533999999999E-4</v>
      </c>
      <c r="G97" s="17">
        <v>-1.8709957999999999E-2</v>
      </c>
      <c r="H97" s="17">
        <v>-5.2435929999999999E-2</v>
      </c>
      <c r="I97" s="17">
        <v>3.0219078E-2</v>
      </c>
      <c r="J97" s="17">
        <v>1.0351061999999999E-2</v>
      </c>
      <c r="K97" s="17">
        <v>7.6651569999999997E-4</v>
      </c>
      <c r="L97" s="17">
        <v>-1.9174039E-2</v>
      </c>
      <c r="M97" s="17">
        <v>9.5111129999999999E-3</v>
      </c>
      <c r="N97" s="17">
        <v>7.5459480000000003E-5</v>
      </c>
      <c r="O97" s="17">
        <v>3.8470029999999999E-3</v>
      </c>
      <c r="P97" s="17"/>
      <c r="Q97" s="17"/>
      <c r="R97" s="17"/>
      <c r="S97" s="17"/>
      <c r="T97" s="17"/>
      <c r="U97" s="17"/>
      <c r="V97" s="17"/>
    </row>
    <row r="98" spans="1:22" x14ac:dyDescent="0.3">
      <c r="A98" s="2">
        <v>44582</v>
      </c>
      <c r="B98" s="17">
        <v>9.7600220000000001E-3</v>
      </c>
      <c r="C98" s="17">
        <v>-6.9315730000000006E-2</v>
      </c>
      <c r="D98" s="17">
        <v>1.2546539000000001E-2</v>
      </c>
      <c r="E98" s="17">
        <v>-4.6637654000000004E-3</v>
      </c>
      <c r="F98" s="17">
        <v>-0.11395246000000001</v>
      </c>
      <c r="G98" s="17">
        <v>1.1038542E-2</v>
      </c>
      <c r="H98" s="17">
        <v>0.14074075999999999</v>
      </c>
      <c r="I98" s="17">
        <v>-3.2924829999999995E-2</v>
      </c>
      <c r="J98" s="17">
        <v>-2.3806036000000003E-2</v>
      </c>
      <c r="K98" s="17">
        <v>2.6926993999999999E-3</v>
      </c>
      <c r="L98" s="17">
        <v>-3.8427353000000004E-2</v>
      </c>
      <c r="M98" s="17">
        <v>-6.9603680000000001E-2</v>
      </c>
      <c r="N98" s="17">
        <v>-2.1551846999999999E-3</v>
      </c>
      <c r="O98" s="17">
        <v>-6.1114790000000002E-2</v>
      </c>
      <c r="P98" s="17"/>
      <c r="Q98" s="17"/>
      <c r="R98" s="17"/>
      <c r="S98" s="17"/>
      <c r="T98" s="17"/>
      <c r="U98" s="17"/>
      <c r="V98" s="17"/>
    </row>
    <row r="99" spans="1:22" x14ac:dyDescent="0.3">
      <c r="A99" s="2">
        <v>44615</v>
      </c>
      <c r="B99" s="17">
        <v>-2.3962914999999998E-2</v>
      </c>
      <c r="C99" s="17">
        <v>-3.6599815000000001E-2</v>
      </c>
      <c r="D99" s="17">
        <v>4.2083143999999996E-2</v>
      </c>
      <c r="E99" s="17">
        <v>5.8571099999999996E-3</v>
      </c>
      <c r="F99" s="17">
        <v>-6.3322782999999994E-2</v>
      </c>
      <c r="G99" s="17">
        <v>6.2034725999999998E-2</v>
      </c>
      <c r="H99" s="17">
        <v>8.9763160000000008E-2</v>
      </c>
      <c r="I99" s="17">
        <v>-4.7057924000000001E-2</v>
      </c>
      <c r="J99" s="17">
        <v>-4.2562839999999998E-2</v>
      </c>
      <c r="K99" s="17">
        <v>-1.3251603000000001E-2</v>
      </c>
      <c r="L99" s="17">
        <v>-3.6105513999999998E-2</v>
      </c>
      <c r="M99" s="17">
        <v>-9.5799920000000011E-2</v>
      </c>
      <c r="N99" s="17">
        <v>-3.7025630000000004E-2</v>
      </c>
      <c r="O99" s="17">
        <v>-3.4630358E-2</v>
      </c>
      <c r="P99" s="17"/>
      <c r="Q99" s="17"/>
      <c r="R99" s="17"/>
      <c r="S99" s="17"/>
      <c r="T99" s="17"/>
      <c r="U99" s="17"/>
      <c r="V99" s="17"/>
    </row>
    <row r="100" spans="1:22" x14ac:dyDescent="0.3">
      <c r="A100" s="2">
        <v>44643</v>
      </c>
      <c r="B100" s="17">
        <v>-4.4666110000000002E-2</v>
      </c>
      <c r="C100" s="17">
        <v>5.5015444999999996E-2</v>
      </c>
      <c r="D100" s="17">
        <v>1.9743085E-2</v>
      </c>
      <c r="E100" s="17">
        <v>2.3680089999999997E-2</v>
      </c>
      <c r="F100" s="17">
        <v>6.9351673000000003E-2</v>
      </c>
      <c r="G100" s="17">
        <v>3.8785099999999996E-2</v>
      </c>
      <c r="H100" s="17">
        <v>0.25236584000000001</v>
      </c>
      <c r="I100" s="17">
        <v>-3.6640942000000003E-2</v>
      </c>
      <c r="J100" s="17">
        <v>-2.2021532E-2</v>
      </c>
      <c r="K100" s="17">
        <v>-3.474903E-2</v>
      </c>
      <c r="L100" s="17">
        <v>-6.4030885999999997E-3</v>
      </c>
      <c r="M100" s="17">
        <v>2.1137834000000001E-2</v>
      </c>
      <c r="N100" s="17">
        <v>-8.683109E-2</v>
      </c>
      <c r="O100" s="17">
        <v>3.8335203999999998E-2</v>
      </c>
      <c r="P100" s="17"/>
      <c r="Q100" s="17"/>
      <c r="R100" s="17"/>
      <c r="S100" s="17"/>
      <c r="T100" s="17"/>
      <c r="U100" s="17"/>
      <c r="V100" s="17"/>
    </row>
    <row r="101" spans="1:22" x14ac:dyDescent="0.3">
      <c r="A101" s="2">
        <v>44673</v>
      </c>
      <c r="B101" s="17">
        <v>-5.6096972999999994E-2</v>
      </c>
      <c r="C101" s="17">
        <v>-4.0017962000000004E-2</v>
      </c>
      <c r="D101" s="17">
        <v>-8.3603859999999992E-3</v>
      </c>
      <c r="E101" s="17">
        <v>2.5786877E-2</v>
      </c>
      <c r="F101" s="17">
        <v>-7.5121460000000001E-2</v>
      </c>
      <c r="G101" s="17">
        <v>4.4984817999999998E-3</v>
      </c>
      <c r="H101" s="17">
        <v>-8.2003960000000001E-2</v>
      </c>
      <c r="I101" s="17">
        <v>-8.6138069999999997E-2</v>
      </c>
      <c r="J101" s="17">
        <v>-1.8158197000000001E-2</v>
      </c>
      <c r="K101" s="17">
        <v>-3.6521733000000001E-2</v>
      </c>
      <c r="L101" s="17">
        <v>-8.3131969999999999E-2</v>
      </c>
      <c r="M101" s="17">
        <v>-2.9900372000000001E-2</v>
      </c>
      <c r="N101" s="17">
        <v>-5.6140420000000005E-3</v>
      </c>
      <c r="O101" s="17">
        <v>-4.3560686000000001E-2</v>
      </c>
      <c r="P101" s="17"/>
      <c r="Q101" s="17"/>
      <c r="R101" s="17"/>
      <c r="S101" s="17"/>
      <c r="T101" s="17"/>
      <c r="U101" s="17"/>
      <c r="V101" s="17"/>
    </row>
    <row r="102" spans="1:22" x14ac:dyDescent="0.3">
      <c r="A102" s="2">
        <v>44704</v>
      </c>
      <c r="B102" s="17">
        <v>-2.5241017000000001E-2</v>
      </c>
      <c r="C102" s="17">
        <v>-6.8350369999999994E-2</v>
      </c>
      <c r="D102" s="17">
        <v>-4.1377725999999997E-2</v>
      </c>
      <c r="E102" s="17">
        <v>8.8725089999999989E-3</v>
      </c>
      <c r="F102" s="17">
        <v>-9.8094579999999987E-2</v>
      </c>
      <c r="G102" s="17">
        <v>4.9260854999999999E-3</v>
      </c>
      <c r="H102" s="17">
        <v>7.164645E-2</v>
      </c>
      <c r="I102" s="17">
        <v>-2.6901781999999999E-2</v>
      </c>
      <c r="J102" s="17">
        <v>-3.3850789999999999E-2</v>
      </c>
      <c r="K102" s="17">
        <v>-4.2057810000000001E-2</v>
      </c>
      <c r="L102" s="17">
        <v>1.2827277E-2</v>
      </c>
      <c r="M102" s="17">
        <v>-5.7955740000000006E-2</v>
      </c>
      <c r="N102" s="17">
        <v>-4.9399734000000004E-3</v>
      </c>
      <c r="O102" s="17">
        <v>-5.5629070000000003E-2</v>
      </c>
      <c r="P102" s="17"/>
      <c r="Q102" s="17"/>
      <c r="R102" s="17"/>
      <c r="S102" s="17"/>
      <c r="T102" s="17"/>
      <c r="U102" s="17"/>
      <c r="V102" s="17"/>
    </row>
    <row r="103" spans="1:22" x14ac:dyDescent="0.3">
      <c r="A103" s="2">
        <v>44735</v>
      </c>
      <c r="B103" s="17">
        <v>-2.0430386000000002E-2</v>
      </c>
      <c r="C103" s="17">
        <v>-4.3410596999999995E-2</v>
      </c>
      <c r="D103" s="17">
        <v>-1.4870167E-2</v>
      </c>
      <c r="E103" s="17">
        <v>2.0153880000000002E-2</v>
      </c>
      <c r="F103" s="17">
        <v>-2.7584672000000001E-2</v>
      </c>
      <c r="G103" s="17">
        <v>-7.9322695999999998E-2</v>
      </c>
      <c r="H103" s="17">
        <v>-3.3285974999999995E-2</v>
      </c>
      <c r="I103" s="17">
        <v>-1.9014059999999999E-2</v>
      </c>
      <c r="J103" s="17">
        <v>-8.7426779999999996E-2</v>
      </c>
      <c r="K103" s="17">
        <v>-9.3873979999999996E-2</v>
      </c>
      <c r="L103" s="17">
        <v>-7.7460409999999993E-2</v>
      </c>
      <c r="M103" s="17">
        <v>-0.118951025</v>
      </c>
      <c r="N103" s="17">
        <v>-0.106731415</v>
      </c>
      <c r="O103" s="17">
        <v>-5.6757030000000007E-2</v>
      </c>
      <c r="P103" s="17"/>
      <c r="Q103" s="17"/>
      <c r="R103" s="17"/>
      <c r="S103" s="17"/>
      <c r="T103" s="17"/>
      <c r="U103" s="17"/>
      <c r="V103" s="17"/>
    </row>
    <row r="104" spans="1:22" x14ac:dyDescent="0.3">
      <c r="A104" s="2">
        <v>44764</v>
      </c>
      <c r="B104" s="17">
        <v>-1.28299E-2</v>
      </c>
      <c r="C104" s="17">
        <v>4.5045732999999998E-2</v>
      </c>
      <c r="D104" s="17">
        <v>-5.6325617000000001E-2</v>
      </c>
      <c r="E104" s="17">
        <v>2.2988438999999999E-2</v>
      </c>
      <c r="F104" s="17">
        <v>6.0171960000000003E-2</v>
      </c>
      <c r="G104" s="17">
        <v>-6.5827727000000003E-2</v>
      </c>
      <c r="H104" s="17">
        <v>-6.0008763999999999E-2</v>
      </c>
      <c r="I104" s="17">
        <v>4.0671945000000001E-2</v>
      </c>
      <c r="J104" s="17">
        <v>1.8907547E-2</v>
      </c>
      <c r="K104" s="17">
        <v>1.595974E-2</v>
      </c>
      <c r="L104" s="17">
        <v>3.8739084999999999E-2</v>
      </c>
      <c r="M104" s="17">
        <v>5.7478785999999997E-2</v>
      </c>
      <c r="N104" s="17">
        <v>-5.4828166999999997E-2</v>
      </c>
      <c r="O104" s="17">
        <v>3.8569569999999997E-2</v>
      </c>
      <c r="P104" s="17"/>
      <c r="Q104" s="17"/>
      <c r="R104" s="17"/>
      <c r="S104" s="17"/>
      <c r="T104" s="17"/>
      <c r="U104" s="17"/>
      <c r="V104" s="17"/>
    </row>
    <row r="105" spans="1:22" x14ac:dyDescent="0.3">
      <c r="A105" s="2">
        <v>44796</v>
      </c>
      <c r="B105" s="17">
        <v>1.8391371E-2</v>
      </c>
      <c r="C105" s="17">
        <v>4.3686269999999999E-2</v>
      </c>
      <c r="D105" s="17">
        <v>1.3070345000000001E-2</v>
      </c>
      <c r="E105" s="17">
        <v>2.0014048E-2</v>
      </c>
      <c r="F105" s="17">
        <v>4.0100693999999999E-2</v>
      </c>
      <c r="G105" s="17">
        <v>6.4766883999999997E-2</v>
      </c>
      <c r="H105" s="17">
        <v>4.5994279999999998E-2</v>
      </c>
      <c r="I105" s="17">
        <v>-5.3236245999999994E-2</v>
      </c>
      <c r="J105" s="17">
        <v>-5.6232214000000004E-3</v>
      </c>
      <c r="K105" s="17">
        <v>4.1339397E-2</v>
      </c>
      <c r="L105" s="17">
        <v>8.9578629999999999E-3</v>
      </c>
      <c r="M105" s="17">
        <v>-3.8604140000000002E-2</v>
      </c>
      <c r="N105" s="17">
        <v>3.6363602000000002E-2</v>
      </c>
      <c r="O105" s="17">
        <v>3.4162640000000001E-2</v>
      </c>
      <c r="P105" s="17"/>
      <c r="Q105" s="17"/>
      <c r="R105" s="17"/>
      <c r="S105" s="17"/>
      <c r="T105" s="17"/>
      <c r="U105" s="17"/>
      <c r="V105" s="17"/>
    </row>
    <row r="106" spans="1:22" x14ac:dyDescent="0.3">
      <c r="A106" s="2">
        <v>44827</v>
      </c>
      <c r="B106" s="17">
        <v>-8.4386639999999999E-2</v>
      </c>
      <c r="C106" s="17">
        <v>-0.1039809</v>
      </c>
      <c r="D106" s="17">
        <v>-5.9961977E-2</v>
      </c>
      <c r="E106" s="17">
        <v>4.3717740000000005E-2</v>
      </c>
      <c r="F106" s="17">
        <v>-0.12129616999999999</v>
      </c>
      <c r="G106" s="17">
        <v>-1.4111876000000001E-2</v>
      </c>
      <c r="H106" s="17">
        <v>-0.15387612000000001</v>
      </c>
      <c r="I106" s="17">
        <v>-5.4554405E-2</v>
      </c>
      <c r="J106" s="17">
        <v>-0.11950075</v>
      </c>
      <c r="K106" s="17">
        <v>-9.1107610000000006E-2</v>
      </c>
      <c r="L106" s="17">
        <v>-9.3313989999999999E-2</v>
      </c>
      <c r="M106" s="17">
        <v>-0.13491803000000002</v>
      </c>
      <c r="N106" s="17">
        <v>-8.4377650000000012E-2</v>
      </c>
      <c r="O106" s="17">
        <v>-0.10755687999999999</v>
      </c>
      <c r="P106" s="17"/>
      <c r="Q106" s="17"/>
      <c r="R106" s="17"/>
      <c r="S106" s="17"/>
      <c r="T106" s="17"/>
      <c r="U106" s="17"/>
      <c r="V106" s="17"/>
    </row>
    <row r="107" spans="1:22" x14ac:dyDescent="0.3">
      <c r="A107" s="2">
        <v>44855</v>
      </c>
      <c r="B107" s="17">
        <v>-2.0522415999999998E-2</v>
      </c>
      <c r="C107" s="17">
        <v>1.723063E-2</v>
      </c>
      <c r="D107" s="17">
        <v>7.4504614000000004E-3</v>
      </c>
      <c r="E107" s="17">
        <v>-6.9261193000000002E-3</v>
      </c>
      <c r="F107" s="17">
        <v>-3.2663345000000005E-4</v>
      </c>
      <c r="G107" s="17">
        <v>-1.0365306999999999E-2</v>
      </c>
      <c r="H107" s="17">
        <v>8.6338410000000004E-2</v>
      </c>
      <c r="I107" s="17">
        <v>-0.1164707</v>
      </c>
      <c r="J107" s="17">
        <v>4.1711570000000003E-2</v>
      </c>
      <c r="K107" s="17">
        <v>1.2011289999999999E-2</v>
      </c>
      <c r="L107" s="17">
        <v>-1.4988005E-2</v>
      </c>
      <c r="M107" s="17">
        <v>5.161524E-2</v>
      </c>
      <c r="N107" s="17">
        <v>5.0182460000000005E-2</v>
      </c>
      <c r="O107" s="17">
        <v>1.8458842999999999E-2</v>
      </c>
      <c r="P107" s="17"/>
      <c r="Q107" s="17"/>
      <c r="R107" s="17"/>
      <c r="S107" s="17"/>
      <c r="T107" s="17"/>
      <c r="U107" s="17"/>
      <c r="V107" s="17"/>
    </row>
    <row r="108" spans="1:22" x14ac:dyDescent="0.3">
      <c r="A108" s="2">
        <v>44888</v>
      </c>
      <c r="B108" s="17">
        <v>5.9047580000000002E-2</v>
      </c>
      <c r="C108" s="17">
        <v>7.5155615999999995E-2</v>
      </c>
      <c r="D108" s="17">
        <v>5.7930590000000004E-2</v>
      </c>
      <c r="E108" s="17">
        <v>-5.0813730000000001E-2</v>
      </c>
      <c r="F108" s="17">
        <v>4.8652886999999999E-2</v>
      </c>
      <c r="G108" s="17">
        <v>-8.4788203000000003E-3</v>
      </c>
      <c r="H108" s="17">
        <v>-4.4930399999999995E-2</v>
      </c>
      <c r="I108" s="17">
        <v>0.11088789</v>
      </c>
      <c r="J108" s="17">
        <v>0.15789472999999998</v>
      </c>
      <c r="K108" s="17">
        <v>6.8838954000000008E-2</v>
      </c>
      <c r="L108" s="17">
        <v>0.12761211</v>
      </c>
      <c r="M108" s="17">
        <v>0.18467510000000001</v>
      </c>
      <c r="N108" s="17">
        <v>0.19417893999999999</v>
      </c>
      <c r="O108" s="17">
        <v>9.3690160000000008E-2</v>
      </c>
      <c r="P108" s="17"/>
      <c r="Q108" s="17"/>
      <c r="R108" s="17"/>
      <c r="S108" s="17"/>
      <c r="T108" s="17"/>
      <c r="U108" s="17"/>
      <c r="V108" s="17"/>
    </row>
    <row r="109" spans="1:22" x14ac:dyDescent="0.3">
      <c r="A109" s="2">
        <v>44918</v>
      </c>
      <c r="B109" s="17">
        <v>1.1856198E-2</v>
      </c>
      <c r="C109" s="17">
        <v>-4.4059157000000002E-2</v>
      </c>
      <c r="D109" s="17">
        <v>2.5631547000000001E-2</v>
      </c>
      <c r="E109" s="17">
        <v>-1.2392997999999999E-2</v>
      </c>
      <c r="F109" s="17">
        <v>-7.2053194000000001E-2</v>
      </c>
      <c r="G109" s="17">
        <v>2.1077990000000001E-2</v>
      </c>
      <c r="H109" s="17">
        <v>2.5915503999999999E-2</v>
      </c>
      <c r="I109" s="17">
        <v>-5.8816670000000001E-3</v>
      </c>
      <c r="J109" s="17">
        <v>-1.2130737000000001E-3</v>
      </c>
      <c r="K109" s="17">
        <v>-2.0775676E-2</v>
      </c>
      <c r="L109" s="17">
        <v>-1.2383521E-2</v>
      </c>
      <c r="M109" s="17">
        <v>-2.9355704999999999E-2</v>
      </c>
      <c r="N109" s="17">
        <v>-3.4249425E-3</v>
      </c>
      <c r="O109" s="17">
        <v>-3.3431947000000004E-2</v>
      </c>
      <c r="P109" s="17"/>
      <c r="Q109" s="17"/>
      <c r="R109" s="17"/>
      <c r="S109" s="17"/>
      <c r="T109" s="17"/>
      <c r="U109" s="17"/>
      <c r="V109" s="17"/>
    </row>
    <row r="110" spans="1:22" x14ac:dyDescent="0.3">
      <c r="A110" s="2">
        <v>44949</v>
      </c>
      <c r="B110" s="17">
        <v>0.10451613999999999</v>
      </c>
      <c r="C110" s="17">
        <v>4.6277165000000002E-2</v>
      </c>
      <c r="D110" s="17">
        <v>7.3956729999999998E-2</v>
      </c>
      <c r="E110" s="17">
        <v>-1.7869889999999999E-2</v>
      </c>
      <c r="F110" s="17">
        <v>8.078993000000001E-2</v>
      </c>
      <c r="G110" s="17">
        <v>-4.0594159999999997E-2</v>
      </c>
      <c r="H110" s="17">
        <v>3.0574918000000003E-2</v>
      </c>
      <c r="I110" s="17">
        <v>3.4651517999999999E-2</v>
      </c>
      <c r="J110" s="17">
        <v>9.1856960000000001E-2</v>
      </c>
      <c r="K110" s="17">
        <v>7.887566E-2</v>
      </c>
      <c r="L110" s="17">
        <v>5.3313850000000003E-2</v>
      </c>
      <c r="M110" s="17">
        <v>0.11272383</v>
      </c>
      <c r="N110" s="17">
        <v>9.6702460000000004E-2</v>
      </c>
      <c r="O110" s="17">
        <v>5.7200192999999996E-2</v>
      </c>
      <c r="P110" s="17"/>
      <c r="Q110" s="17"/>
      <c r="R110" s="17"/>
      <c r="S110" s="17"/>
      <c r="T110" s="17"/>
      <c r="U110" s="17"/>
      <c r="V110" s="17"/>
    </row>
    <row r="111" spans="1:22" x14ac:dyDescent="0.3">
      <c r="A111" s="2">
        <v>44980</v>
      </c>
      <c r="B111" s="17">
        <v>-6.0046730000000006E-2</v>
      </c>
      <c r="C111" s="17">
        <v>7.4863433999999992E-5</v>
      </c>
      <c r="D111" s="17">
        <v>-5.6003990000000003E-2</v>
      </c>
      <c r="E111" s="17">
        <v>2.9112100000000002E-2</v>
      </c>
      <c r="F111" s="17">
        <v>2.7201056000000001E-2</v>
      </c>
      <c r="G111" s="17">
        <v>6.0887574999999999E-2</v>
      </c>
      <c r="H111" s="17">
        <v>-6.9009959999999995E-2</v>
      </c>
      <c r="I111" s="17">
        <v>-2.9701710000000003E-2</v>
      </c>
      <c r="J111" s="17">
        <v>-4.6098827999999994E-3</v>
      </c>
      <c r="K111" s="17">
        <v>-4.4332085E-2</v>
      </c>
      <c r="L111" s="17">
        <v>-2.1320820000000001E-2</v>
      </c>
      <c r="M111" s="17">
        <v>-1.0824323E-2</v>
      </c>
      <c r="N111" s="17">
        <v>1.6553998E-2</v>
      </c>
      <c r="O111" s="17">
        <v>-4.5807957999999998E-3</v>
      </c>
      <c r="P111" s="17"/>
      <c r="Q111" s="17"/>
      <c r="R111" s="17"/>
      <c r="S111" s="17"/>
      <c r="T111" s="17"/>
      <c r="U111" s="17"/>
      <c r="V111" s="17"/>
    </row>
    <row r="112" spans="1:22" x14ac:dyDescent="0.3">
      <c r="A112" s="2">
        <v>45008</v>
      </c>
      <c r="B112" s="17">
        <v>-1.0220408E-2</v>
      </c>
      <c r="C112" s="17">
        <v>-1.4904140999999999E-2</v>
      </c>
      <c r="D112" s="17">
        <v>9.5358850000000009E-2</v>
      </c>
      <c r="E112" s="17">
        <v>-1.4851510000000002E-2</v>
      </c>
      <c r="F112" s="17">
        <v>4.5172334000000001E-2</v>
      </c>
      <c r="G112" s="17">
        <v>-4.3774309999999997E-2</v>
      </c>
      <c r="H112" s="17">
        <v>-7.8656077000000005E-2</v>
      </c>
      <c r="I112" s="17">
        <v>4.2666316000000003E-2</v>
      </c>
      <c r="J112" s="17">
        <v>-2.4555802000000002E-2</v>
      </c>
      <c r="K112" s="17">
        <v>-1.1393726E-2</v>
      </c>
      <c r="L112" s="17">
        <v>8.8558200000000004E-3</v>
      </c>
      <c r="M112" s="17">
        <v>-4.9663304999999998E-2</v>
      </c>
      <c r="N112" s="17">
        <v>-2.4260519999999997E-2</v>
      </c>
      <c r="O112" s="17">
        <v>-1.8060267000000001E-2</v>
      </c>
      <c r="P112" s="17"/>
      <c r="Q112" s="17"/>
      <c r="R112" s="17"/>
      <c r="S112" s="17"/>
      <c r="T112" s="17"/>
      <c r="U112" s="17"/>
      <c r="V112" s="17"/>
    </row>
    <row r="113" spans="1:22" x14ac:dyDescent="0.3">
      <c r="A113" s="2">
        <v>45037</v>
      </c>
      <c r="B113" s="17">
        <v>4.0210484999999999E-3</v>
      </c>
      <c r="C113" s="17">
        <v>4.8401474999999999E-2</v>
      </c>
      <c r="D113" s="17">
        <v>-8.0220103000000001E-3</v>
      </c>
      <c r="E113" s="17">
        <v>-3.9483310000000002E-3</v>
      </c>
      <c r="F113" s="17">
        <v>2.2146819999999998E-2</v>
      </c>
      <c r="G113" s="17">
        <v>6.5106869999999997E-2</v>
      </c>
      <c r="H113" s="17">
        <v>0.10078502</v>
      </c>
      <c r="I113" s="17">
        <v>-1.6323209000000002E-2</v>
      </c>
      <c r="J113" s="17">
        <v>7.9135536999999992E-2</v>
      </c>
      <c r="K113" s="17">
        <v>1.9345522E-2</v>
      </c>
      <c r="L113" s="17">
        <v>3.599012E-2</v>
      </c>
      <c r="M113" s="17">
        <v>7.8535557000000006E-2</v>
      </c>
      <c r="N113" s="17">
        <v>7.9359650000000004E-2</v>
      </c>
      <c r="O113" s="17">
        <v>5.4204700000000001E-2</v>
      </c>
      <c r="P113" s="17"/>
      <c r="Q113" s="17"/>
      <c r="R113" s="17"/>
      <c r="S113" s="17"/>
      <c r="T113" s="17"/>
      <c r="U113" s="17"/>
      <c r="V113" s="17"/>
    </row>
    <row r="114" spans="1:22" x14ac:dyDescent="0.3">
      <c r="A114" s="2">
        <v>45069</v>
      </c>
      <c r="B114" s="17">
        <v>-1.0012567000000002E-2</v>
      </c>
      <c r="C114" s="17">
        <v>4.5851470000000004E-3</v>
      </c>
      <c r="D114" s="17">
        <v>-4.4504999999999996E-3</v>
      </c>
      <c r="E114" s="17">
        <v>2.2342323999999997E-2</v>
      </c>
      <c r="F114" s="17">
        <v>5.290425E-2</v>
      </c>
      <c r="G114" s="17">
        <v>-9.5511080000000009E-3</v>
      </c>
      <c r="H114" s="17">
        <v>-3.5792350000000001E-2</v>
      </c>
      <c r="I114" s="17">
        <v>-2.9764889999999999E-2</v>
      </c>
      <c r="J114" s="17">
        <v>-2.270931E-2</v>
      </c>
      <c r="K114" s="17">
        <v>1.231575E-2</v>
      </c>
      <c r="L114" s="17">
        <v>2.2708058000000003E-2</v>
      </c>
      <c r="M114" s="17">
        <v>-3.1480908000000002E-2</v>
      </c>
      <c r="N114" s="17">
        <v>-2.4929046999999999E-2</v>
      </c>
      <c r="O114" s="17">
        <v>-1.593709E-3</v>
      </c>
      <c r="P114" s="17"/>
      <c r="Q114" s="17"/>
      <c r="R114" s="17"/>
      <c r="S114" s="17"/>
      <c r="T114" s="17"/>
      <c r="U114" s="17"/>
      <c r="V114" s="17"/>
    </row>
    <row r="115" spans="1:22" x14ac:dyDescent="0.3">
      <c r="A115" s="2">
        <v>45100</v>
      </c>
      <c r="B115" s="17">
        <v>2.0787954000000001E-2</v>
      </c>
      <c r="C115" s="17">
        <v>5.0073860000000005E-2</v>
      </c>
      <c r="D115" s="17">
        <v>-2.8512240000000001E-2</v>
      </c>
      <c r="E115" s="17">
        <v>-7.0500374000000002E-4</v>
      </c>
      <c r="F115" s="17">
        <v>8.9026809999999998E-2</v>
      </c>
      <c r="G115" s="17">
        <v>3.8090706000000002E-2</v>
      </c>
      <c r="H115" s="17" t="e">
        <v>#N/A</v>
      </c>
      <c r="I115" s="17">
        <v>2.5473713999999998E-2</v>
      </c>
      <c r="J115" s="17">
        <v>-1.1146008999999998E-2</v>
      </c>
      <c r="K115" s="17">
        <v>3.6025046999999998E-2</v>
      </c>
      <c r="L115" s="17">
        <v>1.6404510000000001E-2</v>
      </c>
      <c r="M115" s="17">
        <v>-3.1373680000000001E-2</v>
      </c>
      <c r="N115" s="17">
        <v>1.3595581000000001E-2</v>
      </c>
      <c r="O115" s="17">
        <v>3.3147811999999999E-2</v>
      </c>
      <c r="P115" s="17"/>
      <c r="Q115" s="17"/>
      <c r="R115" s="17"/>
      <c r="S115" s="17"/>
      <c r="T115" s="17"/>
      <c r="U115" s="17"/>
      <c r="V115" s="17"/>
    </row>
    <row r="116" spans="1:22" x14ac:dyDescent="0.3">
      <c r="A116" s="2">
        <v>45128</v>
      </c>
      <c r="B116" s="17">
        <v>2.9638767E-2</v>
      </c>
      <c r="C116" s="17">
        <v>4.3789386999999999E-2</v>
      </c>
      <c r="D116" s="17">
        <v>2.2334455999999999E-2</v>
      </c>
      <c r="E116" s="17">
        <v>-1.3756633000000001E-2</v>
      </c>
      <c r="F116" s="17">
        <v>3.6106348000000003E-2</v>
      </c>
      <c r="G116" s="17">
        <v>2.2294402000000001E-2</v>
      </c>
      <c r="H116" s="17" t="e">
        <v>#N/A</v>
      </c>
      <c r="I116" s="17">
        <v>-1.2805938999999999E-2</v>
      </c>
      <c r="J116" s="17">
        <v>5.3488373999999998E-2</v>
      </c>
      <c r="K116" s="17">
        <v>3.1801461999999996E-2</v>
      </c>
      <c r="L116" s="17">
        <v>2.4626492999999999E-2</v>
      </c>
      <c r="M116" s="17">
        <v>4.4353724000000004E-2</v>
      </c>
      <c r="N116" s="17">
        <v>7.8181148000000006E-2</v>
      </c>
      <c r="O116" s="17">
        <v>4.6062946E-2</v>
      </c>
      <c r="P116" s="17"/>
      <c r="Q116" s="17"/>
      <c r="R116" s="17"/>
      <c r="S116" s="17"/>
      <c r="T116" s="17"/>
      <c r="U116" s="17"/>
      <c r="V116" s="17"/>
    </row>
    <row r="117" spans="1:22" x14ac:dyDescent="0.3">
      <c r="A117" s="2">
        <v>45161</v>
      </c>
      <c r="B117" s="17">
        <v>-2.2012591000000001E-2</v>
      </c>
      <c r="C117" s="17">
        <v>-2.0235300000000001E-2</v>
      </c>
      <c r="D117" s="17">
        <v>-2.3548125999999999E-2</v>
      </c>
      <c r="E117" s="17">
        <v>2.7896999999999998E-2</v>
      </c>
      <c r="F117" s="17">
        <v>-1.7357528000000001E-2</v>
      </c>
      <c r="G117" s="17">
        <v>-2.8623401999999999E-2</v>
      </c>
      <c r="H117" s="17" t="e">
        <v>#N/A</v>
      </c>
      <c r="I117" s="17">
        <v>-5.8213052999999994E-2</v>
      </c>
      <c r="J117" s="17">
        <v>-4.7303677000000002E-2</v>
      </c>
      <c r="K117" s="17">
        <v>-3.0257463000000002E-2</v>
      </c>
      <c r="L117" s="17">
        <v>-3.1405210000000003E-2</v>
      </c>
      <c r="M117" s="17">
        <v>-7.6557755000000005E-2</v>
      </c>
      <c r="N117" s="17">
        <v>-4.1868925000000001E-2</v>
      </c>
      <c r="O117" s="17">
        <v>-3.0533730000000002E-2</v>
      </c>
      <c r="P117" s="17"/>
      <c r="Q117" s="17"/>
      <c r="R117" s="17"/>
      <c r="S117" s="17"/>
      <c r="T117" s="17"/>
      <c r="U117" s="17"/>
      <c r="V117" s="17"/>
    </row>
    <row r="118" spans="1:22" x14ac:dyDescent="0.3">
      <c r="A118" s="2">
        <v>45191</v>
      </c>
      <c r="B118" s="17">
        <v>-1.1293054E-2</v>
      </c>
      <c r="C118" s="17">
        <v>-2.4993896000000002E-2</v>
      </c>
      <c r="D118" s="17">
        <v>4.1036605999999996E-3</v>
      </c>
      <c r="E118" s="17">
        <v>2.7487873999999999E-2</v>
      </c>
      <c r="F118" s="17">
        <v>-2.8942108000000001E-2</v>
      </c>
      <c r="G118" s="17">
        <v>2.2450923999999997E-2</v>
      </c>
      <c r="H118" s="17" t="e">
        <v>#N/A</v>
      </c>
      <c r="I118" s="17">
        <v>-4.0107070000000002E-2</v>
      </c>
      <c r="J118" s="17">
        <v>-2.4711668000000003E-2</v>
      </c>
      <c r="K118" s="17">
        <v>-2.3061989999999997E-2</v>
      </c>
      <c r="L118" s="17">
        <v>2.233243E-2</v>
      </c>
      <c r="M118" s="17">
        <v>-1.6943931999999998E-2</v>
      </c>
      <c r="N118" s="17">
        <v>-1.773274E-2</v>
      </c>
      <c r="O118" s="17">
        <v>-1.8945872999999998E-2</v>
      </c>
      <c r="P118" s="17"/>
      <c r="Q118" s="17"/>
      <c r="R118" s="17"/>
      <c r="S118" s="17"/>
      <c r="T118" s="17"/>
      <c r="U118" s="17"/>
      <c r="V118" s="17"/>
    </row>
    <row r="119" spans="1:22" x14ac:dyDescent="0.3">
      <c r="A119" s="2">
        <v>45222</v>
      </c>
      <c r="B119" s="17">
        <v>-4.6153902999999996E-2</v>
      </c>
      <c r="C119" s="17">
        <v>-2.3140252E-2</v>
      </c>
      <c r="D119" s="17">
        <v>2.4353384999999998E-2</v>
      </c>
      <c r="E119" s="17">
        <v>5.4181813999999995E-3</v>
      </c>
      <c r="F119" s="17">
        <v>-6.2585473000000003E-3</v>
      </c>
      <c r="G119" s="17">
        <v>3.2022000000000001E-3</v>
      </c>
      <c r="H119" s="17" t="e">
        <v>#N/A</v>
      </c>
      <c r="I119" s="17">
        <v>-7.5671615999999997E-2</v>
      </c>
      <c r="J119" s="17">
        <v>-4.3804350000000006E-2</v>
      </c>
      <c r="K119" s="17">
        <v>-3.4715354000000004E-2</v>
      </c>
      <c r="L119" s="17">
        <v>-6.1650457000000006E-2</v>
      </c>
      <c r="M119" s="17">
        <v>-3.016317E-2</v>
      </c>
      <c r="N119" s="17">
        <v>-4.1263699999999993E-2</v>
      </c>
      <c r="O119" s="17">
        <v>-3.0287980000000003E-2</v>
      </c>
      <c r="P119" s="17"/>
      <c r="Q119" s="17"/>
      <c r="R119" s="17"/>
      <c r="S119" s="17"/>
      <c r="T119" s="17"/>
      <c r="U119" s="17"/>
      <c r="V119" s="17"/>
    </row>
    <row r="120" spans="1:22" x14ac:dyDescent="0.3">
      <c r="A120" s="2">
        <v>45252</v>
      </c>
      <c r="B120" s="17">
        <v>7.0068835999999995E-2</v>
      </c>
      <c r="C120" s="17">
        <v>8.219564E-2</v>
      </c>
      <c r="D120" s="17">
        <v>8.6898803999999989E-3</v>
      </c>
      <c r="E120" s="17">
        <v>-1.1788487E-2</v>
      </c>
      <c r="F120" s="17">
        <v>9.6690650000000003E-2</v>
      </c>
      <c r="G120" s="17">
        <v>6.383896E-3</v>
      </c>
      <c r="H120" s="17" t="e">
        <v>#N/A</v>
      </c>
      <c r="I120" s="17">
        <v>8.2332730000000007E-2</v>
      </c>
      <c r="J120" s="17">
        <v>8.7700609999999998E-2</v>
      </c>
      <c r="K120" s="17">
        <v>7.7887416000000001E-2</v>
      </c>
      <c r="L120" s="17">
        <v>7.7599525000000003E-2</v>
      </c>
      <c r="M120" s="17">
        <v>0.13487780000000002</v>
      </c>
      <c r="N120" s="17">
        <v>8.9105610000000002E-2</v>
      </c>
      <c r="O120" s="17">
        <v>8.2808489999999998E-2</v>
      </c>
      <c r="P120" s="17"/>
      <c r="Q120" s="17"/>
      <c r="R120" s="17"/>
      <c r="S120" s="17"/>
      <c r="T120" s="17"/>
      <c r="U120" s="17"/>
      <c r="V120" s="17"/>
    </row>
    <row r="121" spans="1:22" x14ac:dyDescent="0.3">
      <c r="A121" s="2">
        <v>45282</v>
      </c>
      <c r="B121" s="17">
        <v>1.6214251999999998E-2</v>
      </c>
      <c r="C121" s="17">
        <v>4.5170902999999998E-2</v>
      </c>
      <c r="D121" s="17">
        <v>3.0938506000000001E-2</v>
      </c>
      <c r="E121" s="17">
        <v>-1.5562415000000001E-2</v>
      </c>
      <c r="F121" s="17">
        <v>4.904592E-2</v>
      </c>
      <c r="G121" s="17">
        <v>-1.0217011E-2</v>
      </c>
      <c r="H121" s="17" t="e">
        <v>#N/A</v>
      </c>
      <c r="I121" s="17">
        <v>9.0466384999999996E-2</v>
      </c>
      <c r="J121" s="17">
        <v>5.8071732999999993E-2</v>
      </c>
      <c r="K121" s="17">
        <v>5.0513506E-2</v>
      </c>
      <c r="L121" s="17">
        <v>2.7726649999999999E-2</v>
      </c>
      <c r="M121" s="17">
        <v>0.12985730000000001</v>
      </c>
      <c r="N121" s="17">
        <v>5.5134059999999999E-2</v>
      </c>
      <c r="O121" s="17">
        <v>4.955089E-2</v>
      </c>
      <c r="P121" s="17"/>
      <c r="Q121" s="17"/>
      <c r="R121" s="17"/>
      <c r="S121" s="17"/>
      <c r="T121" s="17"/>
      <c r="U121" s="17"/>
      <c r="V121" s="17"/>
    </row>
    <row r="122" spans="1:22" x14ac:dyDescent="0.3">
      <c r="A122" s="2">
        <v>45314</v>
      </c>
      <c r="B122" s="17">
        <v>-1.7883718E-2</v>
      </c>
      <c r="C122" s="17">
        <v>2.3667216000000001E-2</v>
      </c>
      <c r="D122" s="17">
        <v>-1.2193263000000001E-2</v>
      </c>
      <c r="E122" s="17">
        <v>2.3204446E-2</v>
      </c>
      <c r="F122" s="17">
        <v>3.7519217000000001E-2</v>
      </c>
      <c r="G122" s="17">
        <v>2.1541476E-2</v>
      </c>
      <c r="H122" s="17" t="e">
        <v>#N/A</v>
      </c>
      <c r="I122" s="17">
        <v>-4.6458483000000002E-2</v>
      </c>
      <c r="J122" s="17">
        <v>-2.5740980000000004E-2</v>
      </c>
      <c r="K122" s="17">
        <v>-1.3039469999999999E-2</v>
      </c>
      <c r="L122" s="17">
        <v>4.3581130000000003E-2</v>
      </c>
      <c r="M122" s="17">
        <v>-6.5939609999999996E-2</v>
      </c>
      <c r="N122" s="27">
        <v>-2.0444393000000002E-2</v>
      </c>
      <c r="O122">
        <v>1.2686014000000001E-2</v>
      </c>
    </row>
    <row r="123" spans="1:22" x14ac:dyDescent="0.3">
      <c r="A123" s="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22" x14ac:dyDescent="0.3">
      <c r="A124" s="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22" x14ac:dyDescent="0.3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22" x14ac:dyDescent="0.3">
      <c r="A126" t="s">
        <v>91</v>
      </c>
      <c r="B126" s="17" cm="1">
        <f t="array" ref="B126">MAX(_xlfn._xlws.FILTER(B1:B122, ISNUMBER(B1:B122)))</f>
        <v>0.15364408499999999</v>
      </c>
      <c r="C126" s="17" cm="1">
        <f t="array" ref="C126">MAX(_xlfn._xlws.FILTER(C1:C122, ISNUMBER(C1:C122)))</f>
        <v>0.25176048000000001</v>
      </c>
      <c r="D126" s="17" cm="1">
        <f t="array" ref="D126">MAX(_xlfn._xlws.FILTER(D1:D122, ISNUMBER(D1:D122)))</f>
        <v>0.11647296000000001</v>
      </c>
      <c r="E126" s="17" cm="1">
        <f t="array" ref="E126">MAX(_xlfn._xlws.FILTER(E1:E122, ISNUMBER(E1:E122)))</f>
        <v>5.4370522000000004E-2</v>
      </c>
      <c r="F126" s="17" cm="1">
        <f t="array" ref="F126">MAX(_xlfn._xlws.FILTER(F1:F122, ISNUMBER(F1:F122)))</f>
        <v>0.2350111</v>
      </c>
      <c r="G126" s="17" cm="1">
        <f t="array" ref="G126">MAX(_xlfn._xlws.FILTER(G1:G122, ISNUMBER(G1:G122)))</f>
        <v>9.7651369999999987E-2</v>
      </c>
      <c r="H126" s="17" cm="1">
        <f t="array" ref="H126">MAX(_xlfn._xlws.FILTER(H1:H122, ISNUMBER(H1:H122)))</f>
        <v>0.28064191999999999</v>
      </c>
      <c r="I126" s="17" cm="1">
        <f t="array" ref="I126">MAX(_xlfn._xlws.FILTER(I1:I122, ISNUMBER(I1:I122)))</f>
        <v>0.12298845999999999</v>
      </c>
      <c r="J126" s="17" cm="1">
        <f t="array" ref="J126">MAX(_xlfn._xlws.FILTER(J1:J122, ISNUMBER(J1:J122)))</f>
        <v>0.18921840000000001</v>
      </c>
      <c r="K126" s="17" cm="1">
        <f t="array" ref="K126">MAX(_xlfn._xlws.FILTER(K1:K122, ISNUMBER(K1:K122)))</f>
        <v>0.19790995</v>
      </c>
      <c r="L126" s="17" cm="1">
        <f t="array" ref="L126">MAX(_xlfn._xlws.FILTER(L1:L122, ISNUMBER(L1:L122)))</f>
        <v>0.13127243</v>
      </c>
      <c r="M126" s="17" cm="1">
        <f t="array" ref="M126">MAX(_xlfn._xlws.FILTER(M1:M122, ISNUMBER(M1:M122)))</f>
        <v>0.21824110000000002</v>
      </c>
      <c r="N126" s="17" cm="1">
        <f t="array" ref="N126">MAX(_xlfn._xlws.FILTER(N1:N122, ISNUMBER(N1:N122)))</f>
        <v>0.19417893999999999</v>
      </c>
      <c r="O126" s="17" cm="1">
        <f t="array" ref="O126">MAX(_xlfn._xlws.FILTER(O1:O122, ISNUMBER(O1:O122)))</f>
        <v>0.23059796999999999</v>
      </c>
    </row>
    <row r="127" spans="1:22" x14ac:dyDescent="0.3">
      <c r="A127" t="s">
        <v>28</v>
      </c>
      <c r="B127" s="17" cm="1">
        <f t="array" ref="B127">MIN(_xlfn._xlws.FILTER(B2:B122, ISNUMBER(B2:B122)))</f>
        <v>-0.29388947000000004</v>
      </c>
      <c r="C127" s="17" cm="1">
        <f t="array" ref="C127">MIN(_xlfn._xlws.FILTER(C2:C122, ISNUMBER(C2:C122)))</f>
        <v>-0.32733714999999997</v>
      </c>
      <c r="D127" s="17" cm="1">
        <f t="array" ref="D127">MIN(_xlfn._xlws.FILTER(D2:D122, ISNUMBER(D2:D122)))</f>
        <v>-8.2869949999999998E-2</v>
      </c>
      <c r="E127" s="17" cm="1">
        <f t="array" ref="E127">MIN(_xlfn._xlws.FILTER(E2:E122, ISNUMBER(E2:E122)))</f>
        <v>-5.0813730000000001E-2</v>
      </c>
      <c r="F127" s="17" cm="1">
        <f t="array" ref="F127">MIN(_xlfn._xlws.FILTER(F2:F122, ISNUMBER(F2:F122)))</f>
        <v>-0.25816349999999999</v>
      </c>
      <c r="G127" s="17" cm="1">
        <f t="array" ref="G127">MIN(_xlfn._xlws.FILTER(G2:G122, ISNUMBER(G2:G122)))</f>
        <v>-0.1020664</v>
      </c>
      <c r="H127" s="17" cm="1">
        <f t="array" ref="H127">MIN(_xlfn._xlws.FILTER(H2:H122, ISNUMBER(H2:H122)))</f>
        <v>-0.51776470000000008</v>
      </c>
      <c r="I127" s="17" cm="1">
        <f t="array" ref="I127">MIN(_xlfn._xlws.FILTER(I2:I122, ISNUMBER(I2:I122)))</f>
        <v>-0.1164707</v>
      </c>
      <c r="J127" s="17" cm="1">
        <f t="array" ref="J127">MIN(_xlfn._xlws.FILTER(J2:J122, ISNUMBER(J2:J122)))</f>
        <v>-0.35666156999999998</v>
      </c>
      <c r="K127" s="17" cm="1">
        <f t="array" ref="K127">MIN(_xlfn._xlws.FILTER(K2:K122, ISNUMBER(K2:K122)))</f>
        <v>-0.35456992999999998</v>
      </c>
      <c r="L127" s="17" cm="1">
        <f t="array" ref="L127">MIN(_xlfn._xlws.FILTER(L2:L122, ISNUMBER(L2:L122)))</f>
        <v>-0.21172523000000001</v>
      </c>
      <c r="M127" s="17" cm="1">
        <f t="array" ref="M127">MIN(_xlfn._xlws.FILTER(M2:M122, ISNUMBER(M2:M122)))</f>
        <v>-0.3602263</v>
      </c>
      <c r="N127" s="17" cm="1">
        <f t="array" ref="N127">MIN(_xlfn._xlws.FILTER(N2:N122, ISNUMBER(N2:N122)))</f>
        <v>-0.36675635999999995</v>
      </c>
      <c r="O127" s="17" cm="1">
        <f t="array" ref="O127">MIN(_xlfn._xlws.FILTER(O2:O122, ISNUMBER(O2:O122)))</f>
        <v>-0.33204479999999997</v>
      </c>
      <c r="P127" s="17"/>
      <c r="Q127" s="17"/>
      <c r="R127" s="17"/>
      <c r="S127" s="17"/>
      <c r="T127" s="17"/>
      <c r="U127" s="17"/>
      <c r="V127" s="17"/>
    </row>
    <row r="129" spans="1:15" x14ac:dyDescent="0.3">
      <c r="A129" t="s">
        <v>30</v>
      </c>
      <c r="B129">
        <f>COUNTIF(B2:B122, "&lt;"&amp;#REF!)</f>
        <v>0</v>
      </c>
      <c r="C129">
        <f>COUNTIF(C2:C122, "&lt;"&amp;#REF!)</f>
        <v>0</v>
      </c>
      <c r="D129">
        <f>COUNTIF(D2:D122, "&lt;"&amp;#REF!)</f>
        <v>0</v>
      </c>
      <c r="E129">
        <f>COUNTIF(E2:E122, "&lt;"&amp;#REF!)</f>
        <v>0</v>
      </c>
      <c r="F129">
        <f>COUNTIF(F2:F122, "&lt;"&amp;#REF!)</f>
        <v>0</v>
      </c>
      <c r="G129">
        <f>COUNTIF(G2:G122, "&lt;"&amp;#REF!)</f>
        <v>0</v>
      </c>
      <c r="H129">
        <f>COUNTIF(H2:H122, "&lt;"&amp;#REF!)</f>
        <v>0</v>
      </c>
      <c r="I129">
        <f>COUNTIF(I2:I122, "&lt;"&amp;#REF!)</f>
        <v>0</v>
      </c>
      <c r="J129">
        <f>COUNTIF(J2:J122, "&lt;"&amp;#REF!)</f>
        <v>0</v>
      </c>
      <c r="K129">
        <f>COUNTIF(K2:K122, "&lt;"&amp;#REF!)</f>
        <v>0</v>
      </c>
      <c r="L129">
        <f>COUNTIF(L2:L122, "&lt;"&amp;#REF!)</f>
        <v>0</v>
      </c>
      <c r="M129">
        <f>COUNTIF(M2:M122, "&lt;"&amp;#REF!)</f>
        <v>0</v>
      </c>
      <c r="N129">
        <f>COUNTIF(N2:N122, "&lt;"&amp;#REF!)</f>
        <v>0</v>
      </c>
      <c r="O129">
        <f>COUNTIF(O2:O122, "&lt;"&amp;#REF!)</f>
        <v>0</v>
      </c>
    </row>
    <row r="130" spans="1:15" x14ac:dyDescent="0.3">
      <c r="A130" t="s">
        <v>29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113</v>
      </c>
      <c r="I130">
        <f t="shared" si="0"/>
        <v>121</v>
      </c>
      <c r="J130">
        <f t="shared" si="0"/>
        <v>121</v>
      </c>
      <c r="K130">
        <f t="shared" ref="K130:N130" si="1">COUNT(K1:K122)</f>
        <v>78</v>
      </c>
      <c r="L130">
        <f t="shared" si="1"/>
        <v>121</v>
      </c>
      <c r="M130">
        <f t="shared" si="1"/>
        <v>121</v>
      </c>
      <c r="N130">
        <f t="shared" si="1"/>
        <v>121</v>
      </c>
      <c r="O130">
        <f t="shared" ref="O130" si="2">COUNT(O1:O122)</f>
        <v>121</v>
      </c>
    </row>
    <row r="132" spans="1:15" x14ac:dyDescent="0.3">
      <c r="A132" t="s">
        <v>31</v>
      </c>
      <c r="B132" s="8">
        <f t="shared" ref="B132:J132" si="3">B129/B130</f>
        <v>0</v>
      </c>
      <c r="C132" s="8">
        <f t="shared" si="3"/>
        <v>0</v>
      </c>
      <c r="D132" s="8">
        <f t="shared" si="3"/>
        <v>0</v>
      </c>
      <c r="E132" s="8">
        <f t="shared" si="3"/>
        <v>0</v>
      </c>
      <c r="F132" s="8">
        <f t="shared" si="3"/>
        <v>0</v>
      </c>
      <c r="G132" s="8">
        <f t="shared" si="3"/>
        <v>0</v>
      </c>
      <c r="H132" s="8">
        <f t="shared" si="3"/>
        <v>0</v>
      </c>
      <c r="I132" s="8">
        <f t="shared" si="3"/>
        <v>0</v>
      </c>
      <c r="J132" s="8">
        <f t="shared" si="3"/>
        <v>0</v>
      </c>
      <c r="K132" s="8">
        <f t="shared" ref="K132:N132" si="4">K129/K130</f>
        <v>0</v>
      </c>
      <c r="L132" s="8">
        <f t="shared" si="4"/>
        <v>0</v>
      </c>
      <c r="M132" s="8">
        <f t="shared" si="4"/>
        <v>0</v>
      </c>
      <c r="N132" s="8">
        <f t="shared" si="4"/>
        <v>0</v>
      </c>
      <c r="O132" s="8">
        <f t="shared" ref="O132" si="5">O129/O130</f>
        <v>0</v>
      </c>
    </row>
    <row r="134" spans="1:15" x14ac:dyDescent="0.3">
      <c r="A134" t="s">
        <v>34</v>
      </c>
      <c r="B134" s="8" cm="1">
        <f t="array" ref="B134">_xlfn.PERCENTRANK.EXC(_xlfn._xlws.FILTER(B2:B122, ISNUMBER(B2:B122)),B122)</f>
        <v>0.32700000000000001</v>
      </c>
      <c r="C134" s="8" cm="1">
        <f t="array" ref="C134">_xlfn.PERCENTRANK.EXC(_xlfn._xlws.FILTER(C2:C122, ISNUMBER(C2:C122)),C122)</f>
        <v>0.59799999999999998</v>
      </c>
      <c r="D134" s="8" cm="1">
        <f t="array" ref="D134">_xlfn.PERCENTRANK.EXC(_xlfn._xlws.FILTER(D2:D122, ISNUMBER(D2:D122)),D122)</f>
        <v>0.311</v>
      </c>
      <c r="E134" s="8" cm="1">
        <f t="array" ref="E134">_xlfn.PERCENTRANK.EXC(_xlfn._xlws.FILTER(E2:E122, ISNUMBER(E2:E122)),E122)</f>
        <v>0.85199999999999998</v>
      </c>
      <c r="F134" s="8" cm="1">
        <f t="array" ref="F134">_xlfn.PERCENTRANK.EXC(_xlfn._xlws.FILTER(F2:F122, ISNUMBER(F2:F122)),F122)</f>
        <v>0.66300000000000003</v>
      </c>
      <c r="G134" s="8" cm="1">
        <f t="array" ref="G134">_xlfn.PERCENTRANK.EXC(_xlfn._xlws.FILTER(G2:G122, ISNUMBER(G2:G122)),G122)</f>
        <v>0.71299999999999997</v>
      </c>
      <c r="H134" s="8" t="e" cm="1">
        <f t="array" ref="H134">_xlfn.PERCENTRANK.EXC(_xlfn._xlws.FILTER(H2:H122, ISNUMBER(H2:H122)),H122)</f>
        <v>#N/A</v>
      </c>
      <c r="I134" s="8" cm="1">
        <f t="array" ref="I134">_xlfn.PERCENTRANK.EXC(_xlfn._xlws.FILTER(I2:I122, ISNUMBER(I2:I122)),I122)</f>
        <v>9.8000000000000004E-2</v>
      </c>
      <c r="J134" s="8" cm="1">
        <f t="array" ref="J134">_xlfn.PERCENTRANK.EXC(_xlfn._xlws.FILTER(J2:J122, ISNUMBER(J2:J122)),J122)</f>
        <v>0.21299999999999999</v>
      </c>
      <c r="K134" s="8" cm="1">
        <f t="array" ref="K134">_xlfn.PERCENTRANK.EXC(_xlfn._xlws.FILTER(K2:K122, ISNUMBER(K2:K122)),K122)</f>
        <v>0.316</v>
      </c>
      <c r="L134" s="8" cm="1">
        <f t="array" ref="L134">_xlfn.PERCENTRANK.EXC(_xlfn._xlws.FILTER(L2:L122, ISNUMBER(L2:L122)),L122)</f>
        <v>0.83599999999999997</v>
      </c>
      <c r="M134" s="8" cm="1">
        <f t="array" ref="M134">_xlfn.PERCENTRANK.EXC(_xlfn._xlws.FILTER(M2:M122, ISNUMBER(M2:M122)),M122)</f>
        <v>0.09</v>
      </c>
      <c r="N134" s="8" cm="1">
        <f t="array" ref="N134">_xlfn.PERCENTRANK.EXC(_xlfn._xlws.FILTER(N2:N122, ISNUMBER(N2:N122)),N122)</f>
        <v>0.33600000000000002</v>
      </c>
      <c r="O134" s="8" cm="1">
        <f t="array" ref="O134">_xlfn.PERCENTRANK.EXC(_xlfn._xlws.FILTER(O2:O122, ISNUMBER(O2:O122)),O122)</f>
        <v>0.51600000000000001</v>
      </c>
    </row>
    <row r="136" spans="1:15" x14ac:dyDescent="0.3">
      <c r="A136" s="8"/>
      <c r="B136" s="8" cm="1">
        <f t="array" ref="B136">_xlfn.PERCENTRANK.EXC(_xlfn._xlws.FILTER(B4:B125, ISNUMBER(B4:B125)),B113)</f>
        <v>0.47499999999999998</v>
      </c>
      <c r="C136" s="8" cm="1">
        <f t="array" ref="C136">_xlfn.PERCENTRANK.EXC(_xlfn._xlws.FILTER(C4:C125, ISNUMBER(C4:C125)),C113)</f>
        <v>0.84099999999999997</v>
      </c>
      <c r="D136" s="8" cm="1">
        <f t="array" ref="D136">_xlfn.PERCENTRANK.EXC(_xlfn._xlws.FILTER(D4:D125, ISNUMBER(D4:D125)),D113)</f>
        <v>0.38300000000000001</v>
      </c>
      <c r="E136" s="8" cm="1">
        <f t="array" ref="E136">_xlfn.PERCENTRANK.EXC(_xlfn._xlws.FILTER(E4:E125, ISNUMBER(E4:E125)),E113)</f>
        <v>0.36599999999999999</v>
      </c>
      <c r="F136" s="8" cm="1">
        <f t="array" ref="F136">_xlfn.PERCENTRANK.EXC(_xlfn._xlws.FILTER(F4:F125, ISNUMBER(F4:F125)),F113)</f>
        <v>0.53300000000000003</v>
      </c>
      <c r="G136" s="8" cm="1">
        <f t="array" ref="G136">_xlfn.PERCENTRANK.EXC(_xlfn._xlws.FILTER(G4:G125, ISNUMBER(G4:G125)),G113)</f>
        <v>0.96599999999999997</v>
      </c>
      <c r="H136" s="8" cm="1">
        <f t="array" ref="H136">_xlfn.PERCENTRANK.EXC(_xlfn._xlws.FILTER(H4:H125, ISNUMBER(H4:H125)),H113)</f>
        <v>0.85699999999999998</v>
      </c>
      <c r="I136" s="8" cm="1">
        <f t="array" ref="I136">_xlfn.PERCENTRANK.EXC(_xlfn._xlws.FILTER(I4:I125, ISNUMBER(I4:I125)),I113)</f>
        <v>0.33300000000000002</v>
      </c>
      <c r="J136" s="8" cm="1">
        <f t="array" ref="J136">_xlfn.PERCENTRANK.EXC(_xlfn._xlws.FILTER(J4:J125, ISNUMBER(J4:J125)),J113)</f>
        <v>0.94099999999999995</v>
      </c>
      <c r="K136" s="8" cm="1">
        <f t="array" ref="K136">_xlfn.PERCENTRANK.EXC(_xlfn._xlws.FILTER(K4:K125, ISNUMBER(K4:K125)),K113)</f>
        <v>0.64500000000000002</v>
      </c>
      <c r="L136" s="8" cm="1">
        <f t="array" ref="L136">_xlfn.PERCENTRANK.EXC(_xlfn._xlws.FILTER(L4:L125, ISNUMBER(L4:L125)),L113)</f>
        <v>0.77500000000000002</v>
      </c>
      <c r="M136" s="8" cm="1">
        <f t="array" ref="M136">_xlfn.PERCENTRANK.EXC(_xlfn._xlws.FILTER(M4:M125, ISNUMBER(M4:M125)),M113)</f>
        <v>0.91600000000000004</v>
      </c>
      <c r="N136" s="8" cm="1">
        <f t="array" ref="N136">_xlfn.PERCENTRANK.EXC(_xlfn._xlws.FILTER(N4:N125, ISNUMBER(N4:N125)),N113)</f>
        <v>0.89100000000000001</v>
      </c>
      <c r="O136" s="8" cm="1">
        <f t="array" ref="O136">_xlfn.PERCENTRANK.EXC(_xlfn._xlws.FILTER(O4:O125, ISNUMBER(O4:O125)),O113)</f>
        <v>0.88300000000000001</v>
      </c>
    </row>
    <row r="138" spans="1:15" x14ac:dyDescent="0.3">
      <c r="A138" t="s">
        <v>126</v>
      </c>
      <c r="B138">
        <f t="shared" ref="B138:J138" si="6">STDEV(B40:B122)</f>
        <v>5.7335815130118498E-2</v>
      </c>
      <c r="C138">
        <f t="shared" si="6"/>
        <v>6.0948407167200347E-2</v>
      </c>
      <c r="D138">
        <f t="shared" si="6"/>
        <v>3.5879682617828798E-2</v>
      </c>
      <c r="E138">
        <f t="shared" si="6"/>
        <v>1.8235187704692613E-2</v>
      </c>
      <c r="F138">
        <f t="shared" si="6"/>
        <v>6.4467986361958232E-2</v>
      </c>
      <c r="G138">
        <f t="shared" si="6"/>
        <v>3.8228196098680049E-2</v>
      </c>
      <c r="H138" t="e">
        <f t="shared" si="6"/>
        <v>#N/A</v>
      </c>
      <c r="I138">
        <f t="shared" si="6"/>
        <v>4.2905174824592232E-2</v>
      </c>
      <c r="J138">
        <f t="shared" si="6"/>
        <v>6.4648243048713638E-2</v>
      </c>
      <c r="K138" t="e">
        <f t="shared" ref="K138:N138" si="7">STDEV(K40:K122)</f>
        <v>#N/A</v>
      </c>
      <c r="L138">
        <f t="shared" si="7"/>
        <v>5.0597739807419911E-2</v>
      </c>
      <c r="M138">
        <f t="shared" si="7"/>
        <v>7.690895814880766E-2</v>
      </c>
      <c r="N138">
        <f t="shared" si="7"/>
        <v>7.2988002655614836E-2</v>
      </c>
      <c r="O138">
        <f t="shared" ref="O138" si="8">STDEV(O40:O122)</f>
        <v>5.9889243830659605E-2</v>
      </c>
    </row>
    <row r="139" spans="1:15" x14ac:dyDescent="0.3">
      <c r="A139" t="s">
        <v>127</v>
      </c>
      <c r="B139" s="34">
        <f t="shared" ref="B139:J139" si="9">B138*SQRT(12)</f>
        <v>0.19861708979748319</v>
      </c>
      <c r="C139" s="34">
        <f t="shared" si="9"/>
        <v>0.21113147570797219</v>
      </c>
      <c r="D139" s="34">
        <f t="shared" si="9"/>
        <v>0.12429086650705075</v>
      </c>
      <c r="E139" s="34">
        <f t="shared" si="9"/>
        <v>6.3168543180165806E-2</v>
      </c>
      <c r="F139" s="34">
        <f t="shared" si="9"/>
        <v>0.22332365568113824</v>
      </c>
      <c r="G139" s="34">
        <f t="shared" si="9"/>
        <v>0.13242635584924037</v>
      </c>
      <c r="H139" s="34" t="e">
        <f t="shared" si="9"/>
        <v>#N/A</v>
      </c>
      <c r="I139" s="34">
        <f t="shared" si="9"/>
        <v>0.14862788540763766</v>
      </c>
      <c r="J139" s="34">
        <f t="shared" si="9"/>
        <v>0.22394808316086701</v>
      </c>
      <c r="K139" s="34" t="e">
        <f t="shared" ref="K139:N139" si="10">K138*SQRT(12)</f>
        <v>#N/A</v>
      </c>
      <c r="L139" s="34">
        <f t="shared" si="10"/>
        <v>0.17527571218920315</v>
      </c>
      <c r="M139" s="34">
        <f t="shared" si="10"/>
        <v>0.26642044614184657</v>
      </c>
      <c r="N139" s="34">
        <f t="shared" si="10"/>
        <v>0.25283785788499408</v>
      </c>
      <c r="O139" s="34">
        <f t="shared" ref="O139" si="11">O138*SQRT(12)</f>
        <v>0.20746242628316672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613"/>
  <sheetViews>
    <sheetView zoomScaleNormal="100" workbookViewId="0">
      <pane ySplit="1" topLeftCell="A97" activePane="bottomLeft" state="frozen"/>
      <selection pane="bottomLeft" activeCell="Z122" sqref="Z122"/>
    </sheetView>
  </sheetViews>
  <sheetFormatPr defaultRowHeight="14.4" x14ac:dyDescent="0.3"/>
  <cols>
    <col min="1" max="1" width="24.6640625" customWidth="1"/>
    <col min="11" max="11" width="8.88671875" customWidth="1"/>
  </cols>
  <sheetData>
    <row r="1" spans="1:16" x14ac:dyDescent="0.3">
      <c r="A1" s="2" t="s">
        <v>45</v>
      </c>
      <c r="B1" s="45" t="s">
        <v>4</v>
      </c>
      <c r="C1" s="45" t="s">
        <v>1</v>
      </c>
      <c r="D1" s="45" t="s">
        <v>147</v>
      </c>
      <c r="E1" s="45" t="s">
        <v>148</v>
      </c>
      <c r="F1" s="45" t="s">
        <v>15</v>
      </c>
      <c r="G1" s="45" t="s">
        <v>149</v>
      </c>
      <c r="H1" s="45" t="s">
        <v>61</v>
      </c>
      <c r="I1" s="45" t="s">
        <v>150</v>
      </c>
      <c r="J1" s="45" t="s">
        <v>71</v>
      </c>
      <c r="K1" s="45" t="s">
        <v>161</v>
      </c>
      <c r="L1" s="45" t="s">
        <v>12</v>
      </c>
      <c r="M1" t="s">
        <v>140</v>
      </c>
      <c r="N1" t="s">
        <v>142</v>
      </c>
      <c r="O1" s="29" t="s">
        <v>89</v>
      </c>
      <c r="P1" s="29"/>
    </row>
    <row r="2" spans="1:16" x14ac:dyDescent="0.3">
      <c r="A2" s="2" cm="1">
        <f t="array" ref="A2:A122">_xll.FDS(B1,"JULIAN(P_PRICE_RETURNS_PR('52W',2,-10AY,0,AM).dates)")</f>
        <v>41662</v>
      </c>
      <c r="B2" s="7" cm="1">
        <f t="array" ref="B2:B122">_xll.FDS(B1,"P_PRICE_RETURNS_PR('52W',2,-10AY,0,AM)")</f>
        <v>-10.611439000000001</v>
      </c>
      <c r="C2" s="7" cm="1">
        <f t="array" ref="C2:C122">_xll.FDS(C1,"P_PRICE_RETURNS_PR('52W',2,-10AY,0,AM)")</f>
        <v>24.844086000000001</v>
      </c>
      <c r="D2" s="7" cm="1">
        <f t="array" ref="D2:D122">_xll.FDS(D1,"P_PRICE_RETURNS_PR('52W',2,-10AY,0,AM)")</f>
        <v>-25.378353000000001</v>
      </c>
      <c r="E2" s="7" cm="1">
        <f t="array" ref="E2:E122">_xll.FDS(E1,"P_PRICE_RETURNS_PR('52W',2,-10AY,0,AM)")</f>
        <v>-1.0994017</v>
      </c>
      <c r="F2" s="7" cm="1">
        <f t="array" ref="F2:F122">_xll.FDS(F1,"P_PRICE_RETURNS_PR('52W',2,-10AY,0,AM)")</f>
        <v>32.439864999999998</v>
      </c>
      <c r="G2" s="7" cm="1">
        <f t="array" ref="G2:G122">_xll.FDS(G1,"P_PRICE_RETURNS_PR('52W',2,-10AY,0,AM)")</f>
        <v>-12.4142885</v>
      </c>
      <c r="H2" s="7" cm="1">
        <f t="array" ref="H2:H122">_xll.FDS(H1,"P_PRICE_RETURNS_PR('52W',2,-10AY,0,AM)")</f>
        <v>2.8886675999999998</v>
      </c>
      <c r="I2" s="7" cm="1">
        <f t="array" ref="I2:I122">_xll.FDS(I1,"P_PRICE_RETURNS_PR('52W',2,-10AY,0,AM)")</f>
        <v>-8.3546279999999999</v>
      </c>
      <c r="J2" s="7" cm="1">
        <f t="array" ref="J2:J122">_xll.FDS(J1,"P_PRICE_RETURNS_PR('52W',2,-10AY,0,AM)")</f>
        <v>21.683157000000001</v>
      </c>
      <c r="K2" s="38" t="e" cm="1">
        <f t="array" ref="K2:K122">_xll.FDS(K1,"P_PRICE_RETURNS_PR('52W',2,-10AY,0,AM)")</f>
        <v>#N/A</v>
      </c>
      <c r="L2" s="38" cm="1">
        <f t="array" ref="L2:L122">_xll.FDS(L1,"P_PRICE_RETURNS_PR('52W',2,-10AY,0,AM)")</f>
        <v>23.822212</v>
      </c>
      <c r="M2" s="38" cm="1">
        <f t="array" ref="M2:M122">_xll.FDS(M1,"P_PRICE_RETURNS_PR('52W',2,-10AY,0,AM)")</f>
        <v>21.684944000000002</v>
      </c>
      <c r="N2" s="38" cm="1">
        <f t="array" ref="N2:N122">_xll.FDS(N1,"P_PRICE_RETURNS_PR('52W',2,-10AY,0,AM)")</f>
        <v>15.6317</v>
      </c>
      <c r="O2" s="38" cm="1">
        <f t="array" ref="O2:O122">_xll.FDS(O1,"P_PRICE_RETURNS_PR('52W',2,-10AY,0,AM)")</f>
        <v>18.989657999999999</v>
      </c>
    </row>
    <row r="3" spans="1:16" x14ac:dyDescent="0.3">
      <c r="A3" s="2">
        <v>41691</v>
      </c>
      <c r="B3" s="18">
        <v>-7.6039789999999998</v>
      </c>
      <c r="C3" s="18">
        <v>24.718678000000001</v>
      </c>
      <c r="D3" s="18">
        <v>-16.406756999999999</v>
      </c>
      <c r="E3" s="18">
        <v>-3.1503081000000002</v>
      </c>
      <c r="F3" s="18">
        <v>36.878394999999998</v>
      </c>
      <c r="G3" s="18">
        <v>1.2542724999999999</v>
      </c>
      <c r="H3" s="18">
        <v>11.614644999999999</v>
      </c>
      <c r="I3" s="18">
        <v>-5.9745790000000003</v>
      </c>
      <c r="J3" s="18">
        <v>25.290811999999999</v>
      </c>
      <c r="K3" s="25" t="e">
        <v>#N/A</v>
      </c>
      <c r="L3" s="25">
        <v>16.793251000000001</v>
      </c>
      <c r="M3" s="25">
        <v>14.229321499999999</v>
      </c>
      <c r="N3" s="25">
        <v>34.490226999999997</v>
      </c>
      <c r="O3">
        <v>21.227146000000001</v>
      </c>
    </row>
    <row r="4" spans="1:16" x14ac:dyDescent="0.3">
      <c r="A4" s="2">
        <v>41719</v>
      </c>
      <c r="B4" s="18">
        <v>-5.8720109999999996</v>
      </c>
      <c r="C4" s="18">
        <v>23.059940000000001</v>
      </c>
      <c r="D4" s="18">
        <v>-17.777097999999999</v>
      </c>
      <c r="E4" s="18">
        <v>-4.8125743999999999</v>
      </c>
      <c r="F4" s="18">
        <v>33.096969999999999</v>
      </c>
      <c r="G4" s="18">
        <v>6.5009594000000002</v>
      </c>
      <c r="H4" s="18">
        <v>11.549759</v>
      </c>
      <c r="I4" s="18">
        <v>-4.8089146999999999</v>
      </c>
      <c r="J4" s="18">
        <v>21.541202999999999</v>
      </c>
      <c r="K4" s="25" t="e">
        <v>#N/A</v>
      </c>
      <c r="L4" s="25">
        <v>2.5809764999999998</v>
      </c>
      <c r="M4" s="25">
        <v>16.925632</v>
      </c>
      <c r="N4" s="25">
        <v>41.124557000000003</v>
      </c>
      <c r="O4">
        <v>18.018543000000001</v>
      </c>
    </row>
    <row r="5" spans="1:16" x14ac:dyDescent="0.3">
      <c r="A5" s="2">
        <v>41752</v>
      </c>
      <c r="B5" s="18">
        <v>-0.84797739999999999</v>
      </c>
      <c r="C5" s="18">
        <v>21.199953000000001</v>
      </c>
      <c r="D5" s="18">
        <v>-9.5850410000000004</v>
      </c>
      <c r="E5" s="18">
        <v>-5.3167876999999999</v>
      </c>
      <c r="F5" s="18">
        <v>26.907433000000001</v>
      </c>
      <c r="G5" s="18">
        <v>14.190769</v>
      </c>
      <c r="H5" s="18">
        <v>19.384920000000001</v>
      </c>
      <c r="I5" s="18">
        <v>-6.5494479999999999</v>
      </c>
      <c r="J5" s="18">
        <v>24.890840000000001</v>
      </c>
      <c r="K5" s="25" t="e">
        <v>#N/A</v>
      </c>
      <c r="L5" s="25">
        <v>-1.5316725</v>
      </c>
      <c r="M5" s="25">
        <v>19.48273</v>
      </c>
      <c r="N5" s="25">
        <v>43.363750000000003</v>
      </c>
      <c r="O5">
        <v>18.850649000000001</v>
      </c>
    </row>
    <row r="6" spans="1:16" x14ac:dyDescent="0.3">
      <c r="A6" s="2">
        <v>41782</v>
      </c>
      <c r="B6" s="18">
        <v>2.1710156999999999</v>
      </c>
      <c r="C6" s="18">
        <v>17.369461000000001</v>
      </c>
      <c r="D6" s="18">
        <v>-7.5031575999999998</v>
      </c>
      <c r="E6" s="18">
        <v>-5.5408955000000004</v>
      </c>
      <c r="F6" s="18">
        <v>24.311409999999999</v>
      </c>
      <c r="G6" s="18">
        <v>10.883284</v>
      </c>
      <c r="H6" s="18">
        <v>18.403137000000001</v>
      </c>
      <c r="I6" s="18">
        <v>-0.29343963000000001</v>
      </c>
      <c r="J6" s="18">
        <v>21.152449000000001</v>
      </c>
      <c r="K6" s="25" t="e">
        <v>#N/A</v>
      </c>
      <c r="L6" s="25">
        <v>-0.83573459999999999</v>
      </c>
      <c r="M6" s="25">
        <v>15.851461</v>
      </c>
      <c r="N6" s="25">
        <v>30.626179</v>
      </c>
      <c r="O6">
        <v>13.549863999999999</v>
      </c>
    </row>
    <row r="7" spans="1:16" x14ac:dyDescent="0.3">
      <c r="A7" s="2">
        <v>41813</v>
      </c>
      <c r="B7" s="18">
        <v>18.190134</v>
      </c>
      <c r="C7" s="18">
        <v>25.561654999999998</v>
      </c>
      <c r="D7" s="18">
        <v>1.4394164</v>
      </c>
      <c r="E7" s="18">
        <v>-4.2077007000000002</v>
      </c>
      <c r="F7" s="18">
        <v>33.773826999999997</v>
      </c>
      <c r="G7" s="18">
        <v>9.8814250000000001</v>
      </c>
      <c r="H7" s="18">
        <v>21.515549</v>
      </c>
      <c r="I7" s="18">
        <v>6.1154840000000004</v>
      </c>
      <c r="J7" s="18">
        <v>31.005264</v>
      </c>
      <c r="K7" s="25" t="e">
        <v>#N/A</v>
      </c>
      <c r="L7" s="25">
        <v>9.9420660000000005</v>
      </c>
      <c r="M7" s="25">
        <v>24.968874</v>
      </c>
      <c r="N7" s="25">
        <v>51.275919999999999</v>
      </c>
      <c r="O7">
        <v>20.521152000000001</v>
      </c>
    </row>
    <row r="8" spans="1:16" x14ac:dyDescent="0.3">
      <c r="A8" s="2">
        <v>41843</v>
      </c>
      <c r="B8" s="18">
        <v>13.934875</v>
      </c>
      <c r="C8" s="18">
        <v>19.750022999999999</v>
      </c>
      <c r="D8" s="18">
        <v>-3.1531929999999999</v>
      </c>
      <c r="E8" s="18">
        <v>-2.8841853</v>
      </c>
      <c r="F8" s="18">
        <v>32.941184999999997</v>
      </c>
      <c r="G8" s="18">
        <v>6.519997</v>
      </c>
      <c r="H8" s="18">
        <v>5.7300329999999997</v>
      </c>
      <c r="I8" s="18">
        <v>9.2002869999999994</v>
      </c>
      <c r="J8" s="18">
        <v>19.157553</v>
      </c>
      <c r="K8" s="25" t="e">
        <v>#N/A</v>
      </c>
      <c r="L8" s="25">
        <v>2.9537797000000001</v>
      </c>
      <c r="M8" s="25">
        <v>9.5281959999999994</v>
      </c>
      <c r="N8" s="25">
        <v>33.866680000000002</v>
      </c>
      <c r="O8">
        <v>17.602169</v>
      </c>
    </row>
    <row r="9" spans="1:16" x14ac:dyDescent="0.3">
      <c r="A9" s="2">
        <v>41873</v>
      </c>
      <c r="B9" s="18">
        <v>20.812393</v>
      </c>
      <c r="C9" s="18">
        <v>22.308803999999999</v>
      </c>
      <c r="D9" s="18">
        <v>-7.2434244000000003</v>
      </c>
      <c r="E9" s="18">
        <v>-0.40853620000000002</v>
      </c>
      <c r="F9" s="18">
        <v>32.055103000000003</v>
      </c>
      <c r="G9" s="18">
        <v>4.9372790000000002</v>
      </c>
      <c r="H9" s="18">
        <v>-1.9923090999999999</v>
      </c>
      <c r="I9" s="18">
        <v>17.383158000000002</v>
      </c>
      <c r="J9" s="18">
        <v>12.522137000000001</v>
      </c>
      <c r="K9" s="25" t="e">
        <v>#N/A</v>
      </c>
      <c r="L9" s="25">
        <v>8.6278679999999994</v>
      </c>
      <c r="M9" s="25">
        <v>6.4263700000000004</v>
      </c>
      <c r="N9" s="25">
        <v>16.935670000000002</v>
      </c>
      <c r="O9">
        <v>14.900684</v>
      </c>
    </row>
    <row r="10" spans="1:16" x14ac:dyDescent="0.3">
      <c r="A10" s="2">
        <v>41905</v>
      </c>
      <c r="B10" s="18">
        <v>5.1992297000000001</v>
      </c>
      <c r="C10" s="18">
        <v>18.788219999999999</v>
      </c>
      <c r="D10" s="18">
        <v>-7.8008649999999999</v>
      </c>
      <c r="E10" s="18">
        <v>3.8248896999999999</v>
      </c>
      <c r="F10" s="18">
        <v>27.154505</v>
      </c>
      <c r="G10" s="18">
        <v>-0.31758546999999998</v>
      </c>
      <c r="H10" s="18">
        <v>-4.1764140000000003</v>
      </c>
      <c r="I10" s="18">
        <v>12.746810999999999</v>
      </c>
      <c r="J10" s="18">
        <v>6.6841363999999999</v>
      </c>
      <c r="K10" s="25" t="e">
        <v>#N/A</v>
      </c>
      <c r="L10" s="25">
        <v>0.11128187</v>
      </c>
      <c r="M10" s="25">
        <v>-0.57570933999999996</v>
      </c>
      <c r="N10" s="25">
        <v>10.7109785</v>
      </c>
      <c r="O10">
        <v>10.703314000000001</v>
      </c>
    </row>
    <row r="11" spans="1:16" x14ac:dyDescent="0.3">
      <c r="A11" s="2">
        <v>41935</v>
      </c>
      <c r="B11" s="18">
        <v>0.67020654999999996</v>
      </c>
      <c r="C11" s="18">
        <v>13.832259000000001</v>
      </c>
      <c r="D11" s="18">
        <v>-7.9027175999999999</v>
      </c>
      <c r="E11" s="18">
        <v>6.8351984000000003</v>
      </c>
      <c r="F11" s="18">
        <v>21.124791999999999</v>
      </c>
      <c r="G11" s="18">
        <v>1.1709571000000001</v>
      </c>
      <c r="H11" s="18">
        <v>-10.156053999999999</v>
      </c>
      <c r="I11" s="18">
        <v>13.954103</v>
      </c>
      <c r="J11" s="18">
        <v>-3.3240557000000002</v>
      </c>
      <c r="K11" s="25" t="e">
        <v>#N/A</v>
      </c>
      <c r="L11" s="25">
        <v>-4.3673697000000002</v>
      </c>
      <c r="M11" s="25">
        <v>-5.5515470000000002</v>
      </c>
      <c r="N11" s="25">
        <v>-3.9180337999999999</v>
      </c>
      <c r="O11">
        <v>6.0213922999999996</v>
      </c>
    </row>
    <row r="12" spans="1:16" x14ac:dyDescent="0.3">
      <c r="A12" s="2">
        <v>41964</v>
      </c>
      <c r="B12" s="18">
        <v>7.8945755999999996</v>
      </c>
      <c r="C12" s="18">
        <v>17.111470000000001</v>
      </c>
      <c r="D12" s="18">
        <v>-3.7935674000000001</v>
      </c>
      <c r="E12" s="18">
        <v>7.5406789999999999</v>
      </c>
      <c r="F12" s="18">
        <v>26.168215</v>
      </c>
      <c r="G12" s="18">
        <v>3.4219027</v>
      </c>
      <c r="H12" s="18">
        <v>-14.485633999999999</v>
      </c>
      <c r="I12" s="18">
        <v>20.355426999999999</v>
      </c>
      <c r="J12" s="18">
        <v>0.7521987</v>
      </c>
      <c r="K12" s="25" t="e">
        <v>#N/A</v>
      </c>
      <c r="L12" s="25">
        <v>-3.0303119999999999</v>
      </c>
      <c r="M12" s="25">
        <v>2.0288110000000001</v>
      </c>
      <c r="N12" s="25">
        <v>-0.62915087000000003</v>
      </c>
      <c r="O12">
        <v>7.9991459999999996</v>
      </c>
    </row>
    <row r="13" spans="1:16" x14ac:dyDescent="0.3">
      <c r="A13" s="2">
        <v>41996</v>
      </c>
      <c r="B13" s="18">
        <v>1.3266443999999999</v>
      </c>
      <c r="C13" s="18">
        <v>16.039192</v>
      </c>
      <c r="D13" s="18">
        <v>-2.4487317000000002</v>
      </c>
      <c r="E13" s="18">
        <v>10.592043</v>
      </c>
      <c r="F13" s="18">
        <v>21.04429</v>
      </c>
      <c r="G13" s="18">
        <v>2.9209018000000002</v>
      </c>
      <c r="H13" s="18">
        <v>-36.45485</v>
      </c>
      <c r="I13" s="18">
        <v>22.866046999999998</v>
      </c>
      <c r="J13" s="18">
        <v>-3.2160342000000002</v>
      </c>
      <c r="K13" s="25" t="e">
        <v>#N/A</v>
      </c>
      <c r="L13" s="25">
        <v>-2.2915542000000002</v>
      </c>
      <c r="M13" s="25">
        <v>-4.1244209999999999</v>
      </c>
      <c r="N13" s="25">
        <v>-6.2803389999999997</v>
      </c>
      <c r="O13">
        <v>7.5059769999999997</v>
      </c>
    </row>
    <row r="14" spans="1:16" x14ac:dyDescent="0.3">
      <c r="A14" s="2">
        <v>42027</v>
      </c>
      <c r="B14" s="18">
        <v>9.9913709999999991</v>
      </c>
      <c r="C14" s="18">
        <v>14.32358</v>
      </c>
      <c r="D14" s="18">
        <v>2.0034551999999999</v>
      </c>
      <c r="E14" s="18">
        <v>16.767014</v>
      </c>
      <c r="F14" s="18">
        <v>19.637882000000001</v>
      </c>
      <c r="G14" s="18">
        <v>-3.2550514000000002</v>
      </c>
      <c r="H14" s="18">
        <v>-46.090854999999998</v>
      </c>
      <c r="I14" s="18">
        <v>29.954529000000001</v>
      </c>
      <c r="J14" s="18">
        <v>-6.8168582999999998</v>
      </c>
      <c r="K14" s="25" t="e">
        <v>#N/A</v>
      </c>
      <c r="L14" s="25">
        <v>-2.1388172999999999</v>
      </c>
      <c r="M14" s="25">
        <v>-9.5828950000000006</v>
      </c>
      <c r="N14" s="25">
        <v>-13.612824</v>
      </c>
      <c r="O14">
        <v>4.9637079999999996</v>
      </c>
    </row>
    <row r="15" spans="1:16" x14ac:dyDescent="0.3">
      <c r="A15" s="2">
        <v>42058</v>
      </c>
      <c r="B15" s="18">
        <v>8.7783929999999994</v>
      </c>
      <c r="C15" s="18">
        <v>17.098735999999999</v>
      </c>
      <c r="D15" s="18">
        <v>-9.5234389999999998</v>
      </c>
      <c r="E15" s="18">
        <v>16.310406</v>
      </c>
      <c r="F15" s="18">
        <v>22.518384999999999</v>
      </c>
      <c r="G15" s="18">
        <v>-13.738739000000001</v>
      </c>
      <c r="H15" s="18">
        <v>-44.779580000000003</v>
      </c>
      <c r="I15" s="18">
        <v>23.495101999999999</v>
      </c>
      <c r="J15" s="18">
        <v>-2.5785326999999998</v>
      </c>
      <c r="K15" s="25" t="e">
        <v>#N/A</v>
      </c>
      <c r="L15" s="25">
        <v>7.8762053999999999</v>
      </c>
      <c r="M15" s="25">
        <v>-0.3734827</v>
      </c>
      <c r="N15" s="25">
        <v>-8.418965</v>
      </c>
      <c r="O15">
        <v>8.8690759999999997</v>
      </c>
    </row>
    <row r="16" spans="1:16" x14ac:dyDescent="0.3">
      <c r="A16" s="2">
        <v>42086</v>
      </c>
      <c r="B16" s="18">
        <v>8.5517409999999998</v>
      </c>
      <c r="C16" s="18">
        <v>14.983475</v>
      </c>
      <c r="D16" s="18">
        <v>-11.037594</v>
      </c>
      <c r="E16" s="18">
        <v>18.956696999999998</v>
      </c>
      <c r="F16" s="18">
        <v>23.05913</v>
      </c>
      <c r="G16" s="18">
        <v>-18.348295</v>
      </c>
      <c r="H16" s="18">
        <v>-47.574370000000002</v>
      </c>
      <c r="I16" s="18">
        <v>24.857043999999998</v>
      </c>
      <c r="J16" s="18">
        <v>0.40054319999999999</v>
      </c>
      <c r="K16" s="25" t="e">
        <v>#N/A</v>
      </c>
      <c r="L16" s="25">
        <v>19.800926</v>
      </c>
      <c r="M16" s="25">
        <v>-1.1660397</v>
      </c>
      <c r="N16" s="25">
        <v>-9.6155170000000005</v>
      </c>
      <c r="O16">
        <v>9.7903730000000007</v>
      </c>
    </row>
    <row r="17" spans="1:15" x14ac:dyDescent="0.3">
      <c r="A17" s="2">
        <v>42117</v>
      </c>
      <c r="B17" s="18">
        <v>11.466241</v>
      </c>
      <c r="C17" s="18">
        <v>14.847636</v>
      </c>
      <c r="D17" s="18">
        <v>-7.3529425000000002</v>
      </c>
      <c r="E17" s="18">
        <v>19.887696999999999</v>
      </c>
      <c r="F17" s="18">
        <v>27.098703</v>
      </c>
      <c r="G17" s="18">
        <v>-23.724747000000001</v>
      </c>
      <c r="H17" s="18">
        <v>-42.261702999999997</v>
      </c>
      <c r="I17" s="18">
        <v>18.866491</v>
      </c>
      <c r="J17" s="18">
        <v>-2.0739317000000002</v>
      </c>
      <c r="K17" s="25" t="e">
        <v>#N/A</v>
      </c>
      <c r="L17" s="25">
        <v>20.658756</v>
      </c>
      <c r="M17" s="25">
        <v>-1.1319338999999999</v>
      </c>
      <c r="N17" s="25">
        <v>-14.112621000000001</v>
      </c>
      <c r="O17">
        <v>8.2189200000000007</v>
      </c>
    </row>
    <row r="18" spans="1:15" x14ac:dyDescent="0.3">
      <c r="A18" s="2">
        <v>42146</v>
      </c>
      <c r="B18" s="18">
        <v>5.1752805999999998</v>
      </c>
      <c r="C18" s="18">
        <v>14.535368</v>
      </c>
      <c r="D18" s="18">
        <v>-7.2752055999999996</v>
      </c>
      <c r="E18" s="18">
        <v>17.910443999999998</v>
      </c>
      <c r="F18" s="18">
        <v>25.178194000000001</v>
      </c>
      <c r="G18" s="18">
        <v>-21.198153999999999</v>
      </c>
      <c r="H18" s="18">
        <v>-42.324756999999998</v>
      </c>
      <c r="I18" s="18">
        <v>10.403252</v>
      </c>
      <c r="J18" s="18">
        <v>-1.1971772000000001</v>
      </c>
      <c r="K18" s="25" t="e">
        <v>#N/A</v>
      </c>
      <c r="L18" s="25">
        <v>19.233822</v>
      </c>
      <c r="M18" s="25">
        <v>-3.7867188000000001</v>
      </c>
      <c r="N18" s="25">
        <v>-3.1716228000000002</v>
      </c>
      <c r="O18">
        <v>9.2688319999999997</v>
      </c>
    </row>
    <row r="19" spans="1:15" x14ac:dyDescent="0.3">
      <c r="A19" s="2">
        <v>42178</v>
      </c>
      <c r="B19" s="18">
        <v>0.22749901</v>
      </c>
      <c r="C19" s="18">
        <v>10.374605000000001</v>
      </c>
      <c r="D19" s="18">
        <v>-11.005121000000001</v>
      </c>
      <c r="E19" s="18">
        <v>16.915894000000002</v>
      </c>
      <c r="F19" s="18">
        <v>20.679462000000001</v>
      </c>
      <c r="G19" s="18">
        <v>-20.143878999999998</v>
      </c>
      <c r="H19" s="18">
        <v>-44.313299999999998</v>
      </c>
      <c r="I19" s="18">
        <v>6.8981529999999998</v>
      </c>
      <c r="J19" s="18">
        <v>-3.3083916000000002</v>
      </c>
      <c r="K19" s="25" t="e">
        <v>#N/A</v>
      </c>
      <c r="L19" s="25">
        <v>10.5752945</v>
      </c>
      <c r="M19" s="25">
        <v>-2.0143925999999999</v>
      </c>
      <c r="N19" s="25">
        <v>-8.5733529999999991</v>
      </c>
      <c r="O19">
        <v>4.4478059999999999</v>
      </c>
    </row>
    <row r="20" spans="1:15" x14ac:dyDescent="0.3">
      <c r="A20" s="2">
        <v>42208</v>
      </c>
      <c r="B20" s="18">
        <v>-10.916269</v>
      </c>
      <c r="C20" s="18">
        <v>7.8862785999999998</v>
      </c>
      <c r="D20" s="18">
        <v>-16.947937</v>
      </c>
      <c r="E20" s="18">
        <v>17.911839000000001</v>
      </c>
      <c r="F20" s="18">
        <v>16.637957</v>
      </c>
      <c r="G20" s="18">
        <v>-17.236190000000001</v>
      </c>
      <c r="H20" s="18">
        <v>-53.853490000000001</v>
      </c>
      <c r="I20" s="18">
        <v>7.9821825000000004</v>
      </c>
      <c r="J20" s="18">
        <v>-3.4696042999999999</v>
      </c>
      <c r="K20" s="25" t="e">
        <v>#N/A</v>
      </c>
      <c r="L20" s="25">
        <v>7.0868373</v>
      </c>
      <c r="M20" s="25">
        <v>-3.8737655000000002</v>
      </c>
      <c r="N20" s="25">
        <v>-5.3614674000000004</v>
      </c>
      <c r="O20">
        <v>2.1244763999999998</v>
      </c>
    </row>
    <row r="21" spans="1:15" x14ac:dyDescent="0.3">
      <c r="A21" s="2">
        <v>42237</v>
      </c>
      <c r="B21" s="18">
        <v>-23.123276000000001</v>
      </c>
      <c r="C21" s="18">
        <v>1.0070086</v>
      </c>
      <c r="D21" s="18">
        <v>-9.5621770000000001</v>
      </c>
      <c r="E21" s="18">
        <v>13.293742999999999</v>
      </c>
      <c r="F21" s="18">
        <v>4.6496034000000002</v>
      </c>
      <c r="G21" s="18">
        <v>-19.435852000000001</v>
      </c>
      <c r="H21" s="18">
        <v>-59.307155999999999</v>
      </c>
      <c r="I21" s="18">
        <v>11.256254</v>
      </c>
      <c r="J21" s="18">
        <v>-7.6250020000000003</v>
      </c>
      <c r="K21" s="25" t="e">
        <v>#N/A</v>
      </c>
      <c r="L21" s="25">
        <v>0.33838750000000001</v>
      </c>
      <c r="M21" s="25">
        <v>-8.5519680000000005</v>
      </c>
      <c r="N21" s="25">
        <v>-5.0033750000000001</v>
      </c>
      <c r="O21">
        <v>-4.5837820000000002</v>
      </c>
    </row>
    <row r="22" spans="1:15" x14ac:dyDescent="0.3">
      <c r="A22" s="2">
        <v>42270</v>
      </c>
      <c r="B22" s="18">
        <v>-20.713335000000001</v>
      </c>
      <c r="C22" s="18">
        <v>-0.24779439</v>
      </c>
      <c r="D22" s="18">
        <v>-7.9761863000000002</v>
      </c>
      <c r="E22" s="18">
        <v>11.495780999999999</v>
      </c>
      <c r="F22" s="18">
        <v>6.6075920000000004</v>
      </c>
      <c r="G22" s="18">
        <v>-17.602550000000001</v>
      </c>
      <c r="H22" s="18">
        <v>-54.535465000000002</v>
      </c>
      <c r="I22" s="18">
        <v>8.2674500000000002</v>
      </c>
      <c r="J22" s="18">
        <v>-10.316306000000001</v>
      </c>
      <c r="K22" s="25" t="e">
        <v>#N/A</v>
      </c>
      <c r="L22" s="25">
        <v>-2.0793735999999998</v>
      </c>
      <c r="M22" s="25">
        <v>-10.463165999999999</v>
      </c>
      <c r="N22" s="25">
        <v>-7.4431124000000004</v>
      </c>
      <c r="O22">
        <v>-5.2056370000000003</v>
      </c>
    </row>
    <row r="23" spans="1:15" x14ac:dyDescent="0.3">
      <c r="A23" s="2">
        <v>42300</v>
      </c>
      <c r="B23" s="18">
        <v>-8.75197</v>
      </c>
      <c r="C23" s="18">
        <v>8.6086989999999997</v>
      </c>
      <c r="D23" s="18">
        <v>-5.9230510000000001</v>
      </c>
      <c r="E23" s="18">
        <v>10.867654999999999</v>
      </c>
      <c r="F23" s="18">
        <v>16.540586000000001</v>
      </c>
      <c r="G23" s="18">
        <v>-18.711424000000001</v>
      </c>
      <c r="H23" s="18">
        <v>-50.007057000000003</v>
      </c>
      <c r="I23" s="18">
        <v>5.6981564000000002</v>
      </c>
      <c r="J23" s="18">
        <v>2.5064109999999999</v>
      </c>
      <c r="K23" s="25" t="e">
        <v>#N/A</v>
      </c>
      <c r="L23" s="25">
        <v>12.719309000000001</v>
      </c>
      <c r="M23" s="25">
        <v>-1.0473787999999999</v>
      </c>
      <c r="N23" s="25">
        <v>5.8309436000000003</v>
      </c>
      <c r="O23">
        <v>3.9820433</v>
      </c>
    </row>
    <row r="24" spans="1:15" x14ac:dyDescent="0.3">
      <c r="A24" s="2">
        <v>42331</v>
      </c>
      <c r="B24" s="18">
        <v>-16.583144999999998</v>
      </c>
      <c r="C24" s="18">
        <v>3.2042264999999999</v>
      </c>
      <c r="D24" s="18">
        <v>-11.378800999999999</v>
      </c>
      <c r="E24" s="18">
        <v>10.741687000000001</v>
      </c>
      <c r="F24" s="18">
        <v>11.085808</v>
      </c>
      <c r="G24" s="18">
        <v>-19.268204000000001</v>
      </c>
      <c r="H24" s="18">
        <v>-50.100203999999998</v>
      </c>
      <c r="I24" s="18">
        <v>3.1988143999999998</v>
      </c>
      <c r="J24" s="18">
        <v>-4.1527510000000003</v>
      </c>
      <c r="K24" s="25" t="e">
        <v>#N/A</v>
      </c>
      <c r="L24" s="25">
        <v>9.1332550000000001</v>
      </c>
      <c r="M24" s="25">
        <v>-6.1996099999999998</v>
      </c>
      <c r="N24" s="25">
        <v>-2.1036446</v>
      </c>
      <c r="O24">
        <v>-0.57751536000000003</v>
      </c>
    </row>
    <row r="25" spans="1:15" x14ac:dyDescent="0.3">
      <c r="A25" s="2">
        <v>42361</v>
      </c>
      <c r="B25" s="18">
        <v>-13.190025</v>
      </c>
      <c r="C25" s="18">
        <v>1.2313843</v>
      </c>
      <c r="D25" s="18">
        <v>-9.2513740000000002</v>
      </c>
      <c r="E25" s="18">
        <v>6.8172335999999998</v>
      </c>
      <c r="F25" s="18">
        <v>9.1652869999999993</v>
      </c>
      <c r="G25" s="18">
        <v>-19.274733999999999</v>
      </c>
      <c r="H25" s="18">
        <v>-43.418796999999998</v>
      </c>
      <c r="I25" s="18">
        <v>0.77964069999999996</v>
      </c>
      <c r="J25" s="18">
        <v>-2.0349561999999999</v>
      </c>
      <c r="K25" s="25" t="e">
        <v>#N/A</v>
      </c>
      <c r="L25" s="25">
        <v>8.0146069999999998</v>
      </c>
      <c r="M25" s="25">
        <v>-4.1435122</v>
      </c>
      <c r="N25" s="25">
        <v>3.0921460000000001</v>
      </c>
      <c r="O25">
        <v>-0.71592330000000004</v>
      </c>
    </row>
    <row r="26" spans="1:15" x14ac:dyDescent="0.3">
      <c r="A26" s="2">
        <v>42391</v>
      </c>
      <c r="B26" s="18">
        <v>-27.514713</v>
      </c>
      <c r="C26" s="18">
        <v>-5.635345</v>
      </c>
      <c r="D26" s="18">
        <v>-16.154278000000001</v>
      </c>
      <c r="E26" s="18">
        <v>3.4813999999999998</v>
      </c>
      <c r="F26" s="18">
        <v>0.76974629999999999</v>
      </c>
      <c r="G26" s="18">
        <v>-15.170669999999999</v>
      </c>
      <c r="H26" s="18">
        <v>-42.251809999999999</v>
      </c>
      <c r="I26" s="18">
        <v>-3.2865584000000001</v>
      </c>
      <c r="J26" s="18">
        <v>-10.239565000000001</v>
      </c>
      <c r="K26" s="25" t="e">
        <v>#N/A</v>
      </c>
      <c r="L26" s="25">
        <v>-0.61246750000000005</v>
      </c>
      <c r="M26" s="25">
        <v>-11.135369000000001</v>
      </c>
      <c r="N26" s="25">
        <v>-10.12355</v>
      </c>
      <c r="O26">
        <v>-8.1569195000000008</v>
      </c>
    </row>
    <row r="27" spans="1:15" x14ac:dyDescent="0.3">
      <c r="A27" s="2">
        <v>42423</v>
      </c>
      <c r="B27" s="18">
        <v>-23.412942999999999</v>
      </c>
      <c r="C27" s="18">
        <v>-7.047987</v>
      </c>
      <c r="D27" s="18">
        <v>1.5507221</v>
      </c>
      <c r="E27" s="18">
        <v>0.95884800000000003</v>
      </c>
      <c r="F27" s="18">
        <v>-5.4382744000000001</v>
      </c>
      <c r="G27" s="18">
        <v>-13.011312500000001</v>
      </c>
      <c r="H27" s="18">
        <v>-47.340331999999997</v>
      </c>
      <c r="I27" s="18">
        <v>5.3375599999999999</v>
      </c>
      <c r="J27" s="18">
        <v>-15.810776000000001</v>
      </c>
      <c r="K27" s="25" t="e">
        <v>#N/A</v>
      </c>
      <c r="L27" s="25">
        <v>-10.5719385</v>
      </c>
      <c r="M27" s="25">
        <v>-15.996556999999999</v>
      </c>
      <c r="N27" s="25">
        <v>-23.173672</v>
      </c>
      <c r="O27">
        <v>-11.768228000000001</v>
      </c>
    </row>
    <row r="28" spans="1:15" x14ac:dyDescent="0.3">
      <c r="A28" s="2">
        <v>42452</v>
      </c>
      <c r="B28" s="18">
        <v>-14.451992000000001</v>
      </c>
      <c r="C28" s="18">
        <v>-1.1495948</v>
      </c>
      <c r="D28" s="18">
        <v>2.0299195999999999</v>
      </c>
      <c r="E28" s="18">
        <v>-2.4275660000000001</v>
      </c>
      <c r="F28" s="18">
        <v>7.2932239999999995E-2</v>
      </c>
      <c r="G28" s="18">
        <v>-7.7396690000000001</v>
      </c>
      <c r="H28" s="18">
        <v>-33.604557</v>
      </c>
      <c r="I28" s="18">
        <v>1.0917664</v>
      </c>
      <c r="J28" s="18">
        <v>-11.597908</v>
      </c>
      <c r="K28" s="25" t="e">
        <v>#N/A</v>
      </c>
      <c r="L28" s="25">
        <v>-10.169589999999999</v>
      </c>
      <c r="M28" s="25">
        <v>-12.585419999999999</v>
      </c>
      <c r="N28" s="25">
        <v>-16.761690000000002</v>
      </c>
      <c r="O28">
        <v>-6.8530559999999996</v>
      </c>
    </row>
    <row r="29" spans="1:15" x14ac:dyDescent="0.3">
      <c r="A29" s="2">
        <v>42482</v>
      </c>
      <c r="B29" s="18">
        <v>-18.446636000000002</v>
      </c>
      <c r="C29" s="18">
        <v>1.3486743000000001</v>
      </c>
      <c r="D29" s="18">
        <v>3.5667179999999998</v>
      </c>
      <c r="E29" s="18">
        <v>-4.4943809999999997</v>
      </c>
      <c r="F29" s="18">
        <v>1.3972163</v>
      </c>
      <c r="G29" s="18">
        <v>-6.7181167999999998</v>
      </c>
      <c r="H29" s="18">
        <v>-37.337856000000002</v>
      </c>
      <c r="I29" s="18">
        <v>3.0579329</v>
      </c>
      <c r="J29" s="18">
        <v>-8.6151009999999992</v>
      </c>
      <c r="K29" s="25" t="e">
        <v>#N/A</v>
      </c>
      <c r="L29" s="25">
        <v>-6.8504990000000001</v>
      </c>
      <c r="M29" s="25">
        <v>-7.818079</v>
      </c>
      <c r="N29" s="25">
        <v>-14.532356999999999</v>
      </c>
      <c r="O29">
        <v>-2.5830924999999998</v>
      </c>
    </row>
    <row r="30" spans="1:15" x14ac:dyDescent="0.3">
      <c r="A30" s="2">
        <v>42513</v>
      </c>
      <c r="B30" s="18">
        <v>-23.31137</v>
      </c>
      <c r="C30" s="18">
        <v>-1.5776515</v>
      </c>
      <c r="D30" s="18">
        <v>3.2612443</v>
      </c>
      <c r="E30" s="18">
        <v>-2.3734212000000001</v>
      </c>
      <c r="F30" s="18">
        <v>-2.6982963</v>
      </c>
      <c r="G30" s="18">
        <v>-6.1178502999999997</v>
      </c>
      <c r="H30" s="18">
        <v>-34.865386999999998</v>
      </c>
      <c r="I30" s="18">
        <v>11.090016</v>
      </c>
      <c r="J30" s="18">
        <v>-13.584781</v>
      </c>
      <c r="K30" s="25" t="e">
        <v>#N/A</v>
      </c>
      <c r="L30" s="25">
        <v>-11.799497000000001</v>
      </c>
      <c r="M30" s="25">
        <v>-13.628107</v>
      </c>
      <c r="N30" s="25">
        <v>-23.803799999999999</v>
      </c>
      <c r="O30">
        <v>-7.3731720000000003</v>
      </c>
    </row>
    <row r="31" spans="1:15" x14ac:dyDescent="0.3">
      <c r="A31" s="2">
        <v>42544</v>
      </c>
      <c r="B31" s="18">
        <v>-13.189769</v>
      </c>
      <c r="C31" s="18">
        <v>1.5951394999999999</v>
      </c>
      <c r="D31" s="18">
        <v>6.3956020000000002</v>
      </c>
      <c r="E31" s="18">
        <v>-3.4772216999999999</v>
      </c>
      <c r="F31" s="18">
        <v>-0.71544649999999999</v>
      </c>
      <c r="G31" s="18">
        <v>-0.45045017999999998</v>
      </c>
      <c r="H31" s="18">
        <v>-32.524085999999997</v>
      </c>
      <c r="I31" s="18">
        <v>16.920936999999999</v>
      </c>
      <c r="J31" s="18">
        <v>-8.3697739999999996</v>
      </c>
      <c r="K31" s="25" t="e">
        <v>#N/A</v>
      </c>
      <c r="L31" s="25">
        <v>-8.5509540000000008</v>
      </c>
      <c r="M31" s="25">
        <v>-9.9043369999999999</v>
      </c>
      <c r="N31" s="25">
        <v>-20.201445</v>
      </c>
      <c r="O31">
        <v>-2.1406589999999999</v>
      </c>
    </row>
    <row r="32" spans="1:15" x14ac:dyDescent="0.3">
      <c r="A32" s="2">
        <v>42573</v>
      </c>
      <c r="B32" s="18">
        <v>-3.5237311999999998</v>
      </c>
      <c r="C32" s="18">
        <v>5.025792</v>
      </c>
      <c r="D32" s="18">
        <v>20.562971000000001</v>
      </c>
      <c r="E32" s="18">
        <v>-1.1760116</v>
      </c>
      <c r="F32" s="18">
        <v>2.0533085</v>
      </c>
      <c r="G32" s="18">
        <v>-6.4530669999999999</v>
      </c>
      <c r="H32" s="18">
        <v>-29.285049999999998</v>
      </c>
      <c r="I32" s="18">
        <v>18.935203999999999</v>
      </c>
      <c r="J32" s="18">
        <v>-11.730760999999999</v>
      </c>
      <c r="K32" s="25" t="e">
        <v>#N/A</v>
      </c>
      <c r="L32" s="25">
        <v>-6.5129222999999996</v>
      </c>
      <c r="M32" s="25">
        <v>-10.965061</v>
      </c>
      <c r="N32" s="25">
        <v>-27.028321999999999</v>
      </c>
      <c r="O32">
        <v>-0.36752820000000003</v>
      </c>
    </row>
    <row r="33" spans="1:15" x14ac:dyDescent="0.3">
      <c r="A33" s="2">
        <v>42605</v>
      </c>
      <c r="B33" s="18">
        <v>14.285707</v>
      </c>
      <c r="C33" s="18">
        <v>13.222111</v>
      </c>
      <c r="D33" s="18">
        <v>14.964461</v>
      </c>
      <c r="E33" s="18">
        <v>-1.4919340999999999</v>
      </c>
      <c r="F33" s="18">
        <v>16.100156999999999</v>
      </c>
      <c r="G33" s="18">
        <v>0.67145823999999998</v>
      </c>
      <c r="H33" s="18">
        <v>-6.7055344999999997</v>
      </c>
      <c r="I33" s="18">
        <v>13.498068</v>
      </c>
      <c r="J33" s="18">
        <v>-1.1394321999999999</v>
      </c>
      <c r="K33" s="25" t="e">
        <v>#N/A</v>
      </c>
      <c r="L33" s="25">
        <v>5.4452777000000001</v>
      </c>
      <c r="M33" s="25">
        <v>-0.39029717000000003</v>
      </c>
      <c r="N33" s="25">
        <v>-20.477926</v>
      </c>
      <c r="O33">
        <v>9.1671230000000001</v>
      </c>
    </row>
    <row r="34" spans="1:15" x14ac:dyDescent="0.3">
      <c r="A34" s="2">
        <v>42636</v>
      </c>
      <c r="B34" s="18">
        <v>17.850662</v>
      </c>
      <c r="C34" s="18">
        <v>13.981509000000001</v>
      </c>
      <c r="D34" s="18">
        <v>17.954170000000001</v>
      </c>
      <c r="E34" s="18">
        <v>-1.7515957</v>
      </c>
      <c r="F34" s="18">
        <v>14.868212</v>
      </c>
      <c r="G34" s="18">
        <v>-1.063323</v>
      </c>
      <c r="H34" s="18">
        <v>-20.238994999999999</v>
      </c>
      <c r="I34" s="18">
        <v>15.074479999999999</v>
      </c>
      <c r="J34" s="18">
        <v>3.5835146999999998</v>
      </c>
      <c r="K34" s="25" t="e">
        <v>#N/A</v>
      </c>
      <c r="L34" s="25">
        <v>12.471951000000001</v>
      </c>
      <c r="M34" s="25">
        <v>4.7005296000000003</v>
      </c>
      <c r="N34" s="25">
        <v>-19.374275000000001</v>
      </c>
      <c r="O34">
        <v>10.6554985</v>
      </c>
    </row>
    <row r="35" spans="1:15" x14ac:dyDescent="0.3">
      <c r="A35" s="2">
        <v>42664</v>
      </c>
      <c r="B35" s="18">
        <v>10.324025000000001</v>
      </c>
      <c r="C35" s="18">
        <v>8.3055020000000006</v>
      </c>
      <c r="D35" s="18">
        <v>8.1446290000000001</v>
      </c>
      <c r="E35" s="18">
        <v>3.1136273999999999</v>
      </c>
      <c r="F35" s="18">
        <v>11.130630500000001</v>
      </c>
      <c r="G35" s="18">
        <v>-4.8334064000000003</v>
      </c>
      <c r="H35" s="18">
        <v>-10.045223999999999</v>
      </c>
      <c r="I35" s="18">
        <v>10.03257</v>
      </c>
      <c r="J35" s="18">
        <v>-4.8349799999999998</v>
      </c>
      <c r="K35" s="25" t="e">
        <v>#N/A</v>
      </c>
      <c r="L35" s="25">
        <v>4.2645334999999998</v>
      </c>
      <c r="M35" s="25">
        <v>-1.0098636000000001</v>
      </c>
      <c r="N35" s="25">
        <v>-23.263227000000001</v>
      </c>
      <c r="O35">
        <v>4.6852945999999998</v>
      </c>
    </row>
    <row r="36" spans="1:15" x14ac:dyDescent="0.3">
      <c r="A36" s="2">
        <v>42697</v>
      </c>
      <c r="B36" s="18">
        <v>5.0535917000000001</v>
      </c>
      <c r="C36" s="18">
        <v>7.8491569999999999</v>
      </c>
      <c r="D36" s="18">
        <v>10.747109999999999</v>
      </c>
      <c r="E36" s="18">
        <v>1.1932254</v>
      </c>
      <c r="F36" s="18">
        <v>4.9152136000000004</v>
      </c>
      <c r="G36" s="18">
        <v>-2.2179305999999999</v>
      </c>
      <c r="H36" s="18">
        <v>-9.5488549999999996</v>
      </c>
      <c r="I36" s="18">
        <v>2.2084712999999998</v>
      </c>
      <c r="J36" s="18">
        <v>-7.0421877000000004</v>
      </c>
      <c r="K36" s="25" t="e">
        <v>#N/A</v>
      </c>
      <c r="L36" s="25">
        <v>0.86040497000000005</v>
      </c>
      <c r="M36" s="25">
        <v>-4.1862069999999996</v>
      </c>
      <c r="N36" s="25">
        <v>-22.356247</v>
      </c>
      <c r="O36">
        <v>3.2777905000000001</v>
      </c>
    </row>
    <row r="37" spans="1:15" x14ac:dyDescent="0.3">
      <c r="A37" s="2">
        <v>42727</v>
      </c>
      <c r="B37" s="18">
        <v>7.4273943999999998</v>
      </c>
      <c r="C37" s="18">
        <v>11.9133835</v>
      </c>
      <c r="D37" s="18">
        <v>5.4931163999999999</v>
      </c>
      <c r="E37" s="18">
        <v>4.2678120000000002</v>
      </c>
      <c r="F37" s="18">
        <v>7.9325080000000003</v>
      </c>
      <c r="G37" s="18">
        <v>-3.5644531000000002</v>
      </c>
      <c r="H37" s="18">
        <v>13.417398</v>
      </c>
      <c r="I37" s="18">
        <v>-0.199157</v>
      </c>
      <c r="J37" s="18">
        <v>-2.6746154</v>
      </c>
      <c r="K37" s="25" t="e">
        <v>#N/A</v>
      </c>
      <c r="L37" s="25">
        <v>3.3885480000000001</v>
      </c>
      <c r="M37" s="25">
        <v>-0.123399496</v>
      </c>
      <c r="N37" s="25">
        <v>-11.171996999999999</v>
      </c>
      <c r="O37">
        <v>6.8323729999999996</v>
      </c>
    </row>
    <row r="38" spans="1:15" x14ac:dyDescent="0.3">
      <c r="A38" s="2">
        <v>42758</v>
      </c>
      <c r="B38" s="18">
        <v>30.196200999999999</v>
      </c>
      <c r="C38" s="18">
        <v>21.254147</v>
      </c>
      <c r="D38" s="18">
        <v>10.276185999999999</v>
      </c>
      <c r="E38" s="18">
        <v>0.11600256</v>
      </c>
      <c r="F38" s="18">
        <v>20.196580000000001</v>
      </c>
      <c r="G38" s="18">
        <v>3.6761165</v>
      </c>
      <c r="H38" s="18">
        <v>30.733765000000002</v>
      </c>
      <c r="I38" s="18">
        <v>-1.0206877999999999</v>
      </c>
      <c r="J38" s="18">
        <v>10.14142</v>
      </c>
      <c r="K38" s="25" t="e">
        <v>#N/A</v>
      </c>
      <c r="L38" s="25">
        <v>14.079094</v>
      </c>
      <c r="M38" s="25">
        <v>13.041449</v>
      </c>
      <c r="N38" s="25">
        <v>3.9668201999999999</v>
      </c>
      <c r="O38">
        <v>18.871403000000001</v>
      </c>
    </row>
    <row r="39" spans="1:15" x14ac:dyDescent="0.3">
      <c r="A39" s="2">
        <v>42789</v>
      </c>
      <c r="B39" s="18">
        <v>32.095970000000001</v>
      </c>
      <c r="C39" s="18">
        <v>25.584816</v>
      </c>
      <c r="D39" s="18">
        <v>1.4673233000000001</v>
      </c>
      <c r="E39" s="18">
        <v>3.2053828000000002</v>
      </c>
      <c r="F39" s="18">
        <v>29.417587000000001</v>
      </c>
      <c r="G39" s="18">
        <v>2.4512290000000001</v>
      </c>
      <c r="H39" s="18">
        <v>34.046112000000001</v>
      </c>
      <c r="I39" s="18">
        <v>-5.9762535000000003</v>
      </c>
      <c r="J39" s="18">
        <v>14.012587</v>
      </c>
      <c r="K39" s="25" t="e">
        <v>#N/A</v>
      </c>
      <c r="L39" s="25">
        <v>21.537517999999999</v>
      </c>
      <c r="M39" s="25">
        <v>15.979898</v>
      </c>
      <c r="N39" s="25">
        <v>8.6637380000000004</v>
      </c>
      <c r="O39">
        <v>22.992146000000002</v>
      </c>
    </row>
    <row r="40" spans="1:15" x14ac:dyDescent="0.3">
      <c r="A40" s="2">
        <v>42817</v>
      </c>
      <c r="B40" s="18">
        <v>21.490691999999999</v>
      </c>
      <c r="C40" s="18">
        <v>17.552779999999998</v>
      </c>
      <c r="D40" s="18">
        <v>1.7665744000000001</v>
      </c>
      <c r="E40" s="18">
        <v>3.3306599000000001</v>
      </c>
      <c r="F40" s="18">
        <v>22.820938000000002</v>
      </c>
      <c r="G40" s="18">
        <v>-3.9561510000000002</v>
      </c>
      <c r="H40" s="18">
        <v>0.17902851</v>
      </c>
      <c r="I40" s="18">
        <v>-4.7103460000000004</v>
      </c>
      <c r="J40" s="18">
        <v>10.998022000000001</v>
      </c>
      <c r="K40" s="25" t="e">
        <v>#N/A</v>
      </c>
      <c r="L40" s="25">
        <v>15.079821000000001</v>
      </c>
      <c r="M40" s="25">
        <v>12.926064999999999</v>
      </c>
      <c r="N40" s="25">
        <v>8.5626960000000008</v>
      </c>
      <c r="O40">
        <v>15.684723999999999</v>
      </c>
    </row>
    <row r="41" spans="1:15" x14ac:dyDescent="0.3">
      <c r="A41" s="2">
        <v>42846</v>
      </c>
      <c r="B41" s="18">
        <v>15.864611</v>
      </c>
      <c r="C41" s="18">
        <v>14.585661999999999</v>
      </c>
      <c r="D41" s="18">
        <v>2.420032</v>
      </c>
      <c r="E41" s="18">
        <v>5.3039550000000002</v>
      </c>
      <c r="F41" s="18">
        <v>21.033455</v>
      </c>
      <c r="G41" s="18">
        <v>-8.0552820000000001</v>
      </c>
      <c r="H41" s="18">
        <v>-3.6236465</v>
      </c>
      <c r="I41" s="18">
        <v>-1.655978</v>
      </c>
      <c r="J41" s="18">
        <v>6.7514539999999998</v>
      </c>
      <c r="K41" s="25" t="e">
        <v>#N/A</v>
      </c>
      <c r="L41" s="25">
        <v>8.2439900000000002</v>
      </c>
      <c r="M41" s="25">
        <v>6.1112165000000003</v>
      </c>
      <c r="N41" s="25">
        <v>3.4668326</v>
      </c>
      <c r="O41">
        <v>11.520254</v>
      </c>
    </row>
    <row r="42" spans="1:15" x14ac:dyDescent="0.3">
      <c r="A42" s="2">
        <v>42878</v>
      </c>
      <c r="B42" s="18">
        <v>27.440369</v>
      </c>
      <c r="C42" s="18">
        <v>19.400977999999999</v>
      </c>
      <c r="D42" s="18">
        <v>-0.19268394</v>
      </c>
      <c r="E42" s="18">
        <v>1.9448875999999999</v>
      </c>
      <c r="F42" s="18">
        <v>32.202755000000003</v>
      </c>
      <c r="G42" s="18">
        <v>-4.0728330000000001</v>
      </c>
      <c r="H42" s="18">
        <v>-9.6545579999999998</v>
      </c>
      <c r="I42" s="18">
        <v>-3.7541091</v>
      </c>
      <c r="J42" s="18">
        <v>20.355844000000001</v>
      </c>
      <c r="K42" s="25" t="e">
        <v>#N/A</v>
      </c>
      <c r="L42" s="25">
        <v>16.981183999999999</v>
      </c>
      <c r="M42" s="25">
        <v>23.068677999999998</v>
      </c>
      <c r="N42" s="25">
        <v>26.355350000000001</v>
      </c>
      <c r="O42">
        <v>18.498837999999999</v>
      </c>
    </row>
    <row r="43" spans="1:15" x14ac:dyDescent="0.3">
      <c r="A43" s="2">
        <v>42909</v>
      </c>
      <c r="B43" s="18">
        <v>17.68403</v>
      </c>
      <c r="C43" s="18">
        <v>17.679988999999999</v>
      </c>
      <c r="D43" s="18">
        <v>-0.56614876000000003</v>
      </c>
      <c r="E43" s="18">
        <v>4.1407824</v>
      </c>
      <c r="F43" s="18">
        <v>31.193864999999999</v>
      </c>
      <c r="G43" s="18">
        <v>-13.800907</v>
      </c>
      <c r="H43" s="18">
        <v>-25.504857999999999</v>
      </c>
      <c r="I43" s="18">
        <v>-0.99027156999999999</v>
      </c>
      <c r="J43" s="18">
        <v>13.002359</v>
      </c>
      <c r="K43" s="25" t="e">
        <v>#N/A</v>
      </c>
      <c r="L43" s="25">
        <v>16.306436999999999</v>
      </c>
      <c r="M43" s="25">
        <v>17.790068000000002</v>
      </c>
      <c r="N43" s="25">
        <v>16.185057</v>
      </c>
      <c r="O43">
        <v>15.058804</v>
      </c>
    </row>
    <row r="44" spans="1:15" x14ac:dyDescent="0.3">
      <c r="A44" s="2">
        <v>42937</v>
      </c>
      <c r="B44" s="18">
        <v>19.19136</v>
      </c>
      <c r="C44" s="18">
        <v>16.480945999999999</v>
      </c>
      <c r="D44" s="18">
        <v>-6.3157915999999998</v>
      </c>
      <c r="E44" s="18">
        <v>-3.0303059999999999</v>
      </c>
      <c r="F44" s="18">
        <v>28.643941999999999</v>
      </c>
      <c r="G44" s="18">
        <v>-2.8943598000000001</v>
      </c>
      <c r="H44" s="18">
        <v>-11.369503</v>
      </c>
      <c r="I44" s="18">
        <v>-7.0352674000000004</v>
      </c>
      <c r="J44" s="18">
        <v>22.896778000000001</v>
      </c>
      <c r="K44" s="25" t="e">
        <v>#N/A</v>
      </c>
      <c r="L44" s="25">
        <v>16.874718000000001</v>
      </c>
      <c r="M44" s="25">
        <v>26.376045000000001</v>
      </c>
      <c r="N44" s="25">
        <v>36.418987000000001</v>
      </c>
      <c r="O44">
        <v>17.000972999999998</v>
      </c>
    </row>
    <row r="45" spans="1:15" x14ac:dyDescent="0.3">
      <c r="A45" s="2">
        <v>42970</v>
      </c>
      <c r="B45" s="18">
        <v>19.040023999999999</v>
      </c>
      <c r="C45" s="18">
        <v>13.960945000000001</v>
      </c>
      <c r="D45" s="18">
        <v>-3.9840339999999999</v>
      </c>
      <c r="E45" s="18">
        <v>-1.1870681999999999</v>
      </c>
      <c r="F45" s="18">
        <v>22.630596000000001</v>
      </c>
      <c r="G45" s="18">
        <v>-11.958074999999999</v>
      </c>
      <c r="H45" s="18">
        <v>-9.4687520000000003</v>
      </c>
      <c r="I45" s="18">
        <v>-6.8041799999999997</v>
      </c>
      <c r="J45" s="18">
        <v>17.835450000000002</v>
      </c>
      <c r="K45" s="25" t="e">
        <v>#N/A</v>
      </c>
      <c r="L45" s="25">
        <v>11.982417</v>
      </c>
      <c r="M45" s="25">
        <v>20.709752999999999</v>
      </c>
      <c r="N45" s="25">
        <v>36.769640000000003</v>
      </c>
      <c r="O45">
        <v>13.736653</v>
      </c>
    </row>
    <row r="46" spans="1:15" x14ac:dyDescent="0.3">
      <c r="A46" s="2">
        <v>43000</v>
      </c>
      <c r="B46" s="18">
        <v>18.55377</v>
      </c>
      <c r="C46" s="18">
        <v>17.179321000000002</v>
      </c>
      <c r="D46" s="18">
        <v>-3.3942163000000001</v>
      </c>
      <c r="E46" s="18">
        <v>-2.9995918000000001</v>
      </c>
      <c r="F46" s="18">
        <v>22.399961000000001</v>
      </c>
      <c r="G46" s="18">
        <v>-7.2957219999999996</v>
      </c>
      <c r="H46" s="18">
        <v>-1.1711121</v>
      </c>
      <c r="I46" s="18">
        <v>-5.5077132999999998</v>
      </c>
      <c r="J46" s="18">
        <v>21.576763</v>
      </c>
      <c r="K46" s="25" t="e">
        <v>#N/A</v>
      </c>
      <c r="L46" s="25">
        <v>10.065115</v>
      </c>
      <c r="M46" s="25">
        <v>25.112760000000002</v>
      </c>
      <c r="N46" s="25">
        <v>45.069659999999999</v>
      </c>
      <c r="O46">
        <v>17.283106</v>
      </c>
    </row>
    <row r="47" spans="1:15" x14ac:dyDescent="0.3">
      <c r="A47" s="2">
        <v>43031</v>
      </c>
      <c r="B47" s="18">
        <v>19.546593000000001</v>
      </c>
      <c r="C47" s="18">
        <v>22.111916000000001</v>
      </c>
      <c r="D47" s="18">
        <v>0.80277920000000003</v>
      </c>
      <c r="E47" s="18">
        <v>-4.3921590000000004</v>
      </c>
      <c r="F47" s="18">
        <v>26.29739</v>
      </c>
      <c r="G47" s="18">
        <v>-6.0650944999999998</v>
      </c>
      <c r="H47" s="18">
        <v>-8.0191429999999997</v>
      </c>
      <c r="I47" s="18">
        <v>-4.4445696000000003</v>
      </c>
      <c r="J47" s="18">
        <v>25.998915</v>
      </c>
      <c r="K47" s="25" t="e">
        <v>#N/A</v>
      </c>
      <c r="L47" s="25">
        <v>16.770244999999999</v>
      </c>
      <c r="M47" s="25">
        <v>30.060911000000001</v>
      </c>
      <c r="N47" s="25">
        <v>40.251719999999999</v>
      </c>
      <c r="O47">
        <v>22.045981999999999</v>
      </c>
    </row>
    <row r="48" spans="1:15" x14ac:dyDescent="0.3">
      <c r="A48" s="2">
        <v>43061</v>
      </c>
      <c r="B48" s="18">
        <v>29.859138000000002</v>
      </c>
      <c r="C48" s="18">
        <v>20.146405999999999</v>
      </c>
      <c r="D48" s="18">
        <v>6.1364055000000004</v>
      </c>
      <c r="E48" s="18">
        <v>-7.2330655999999998</v>
      </c>
      <c r="F48" s="18">
        <v>32.254016999999997</v>
      </c>
      <c r="G48" s="18">
        <v>-5.6129932</v>
      </c>
      <c r="H48" s="18">
        <v>8.024502</v>
      </c>
      <c r="I48" s="18">
        <v>7.7011346999999999</v>
      </c>
      <c r="J48" s="18">
        <v>29.988133999999999</v>
      </c>
      <c r="K48" s="25" t="e">
        <v>#N/A</v>
      </c>
      <c r="L48" s="25">
        <v>21.51221</v>
      </c>
      <c r="M48" s="25">
        <v>27.906894999999999</v>
      </c>
      <c r="N48" s="25">
        <v>48.147095</v>
      </c>
      <c r="O48">
        <v>22.399569</v>
      </c>
    </row>
    <row r="49" spans="1:15" x14ac:dyDescent="0.3">
      <c r="A49" s="2">
        <v>43091</v>
      </c>
      <c r="B49" s="18">
        <v>33.538853000000003</v>
      </c>
      <c r="C49" s="18">
        <v>20.995377999999999</v>
      </c>
      <c r="D49" s="18">
        <v>12.40822</v>
      </c>
      <c r="E49" s="18">
        <v>-8.8445549999999997</v>
      </c>
      <c r="F49" s="18">
        <v>32.205820000000003</v>
      </c>
      <c r="G49" s="18">
        <v>-7.1608663000000004</v>
      </c>
      <c r="H49" s="18">
        <v>1.5841246</v>
      </c>
      <c r="I49" s="18">
        <v>8.5857980000000005</v>
      </c>
      <c r="J49" s="18">
        <v>27.719557000000002</v>
      </c>
      <c r="K49" s="25" t="e">
        <v>#N/A</v>
      </c>
      <c r="L49" s="25">
        <v>22.410451999999999</v>
      </c>
      <c r="M49" s="25">
        <v>24.02674</v>
      </c>
      <c r="N49" s="25">
        <v>31.971205000000001</v>
      </c>
      <c r="O49">
        <v>22.559977</v>
      </c>
    </row>
    <row r="50" spans="1:15" x14ac:dyDescent="0.3">
      <c r="A50" s="2">
        <v>43123</v>
      </c>
      <c r="B50" s="18">
        <v>36.597969999999997</v>
      </c>
      <c r="C50" s="18">
        <v>27.696429999999999</v>
      </c>
      <c r="D50" s="18">
        <v>9.9231359999999995</v>
      </c>
      <c r="E50" s="18">
        <v>-9.1069519999999997</v>
      </c>
      <c r="F50" s="18">
        <v>38.675606000000002</v>
      </c>
      <c r="G50" s="18">
        <v>-10.781026000000001</v>
      </c>
      <c r="H50" s="18">
        <v>13.389122</v>
      </c>
      <c r="I50" s="18">
        <v>4.703748</v>
      </c>
      <c r="J50" s="18">
        <v>31.851089999999999</v>
      </c>
      <c r="K50" s="25" t="e">
        <v>#N/A</v>
      </c>
      <c r="L50" s="25">
        <v>29.335571000000002</v>
      </c>
      <c r="M50" s="25">
        <v>27.065239999999999</v>
      </c>
      <c r="N50" s="25">
        <v>41.117539999999998</v>
      </c>
      <c r="O50">
        <v>27.351389999999999</v>
      </c>
    </row>
    <row r="51" spans="1:15" x14ac:dyDescent="0.3">
      <c r="A51" s="2">
        <v>43154</v>
      </c>
      <c r="B51" s="18">
        <v>25.854946000000002</v>
      </c>
      <c r="C51" s="18">
        <v>18.439781</v>
      </c>
      <c r="D51" s="18">
        <v>6.0534716</v>
      </c>
      <c r="E51" s="18">
        <v>-9.8075209999999995</v>
      </c>
      <c r="F51" s="18">
        <v>30.53162</v>
      </c>
      <c r="G51" s="18">
        <v>-6.7382755000000003</v>
      </c>
      <c r="H51" s="18">
        <v>11.488092</v>
      </c>
      <c r="I51" s="18">
        <v>0.36374329999999999</v>
      </c>
      <c r="J51" s="18">
        <v>23.284006000000002</v>
      </c>
      <c r="K51" s="25" t="e">
        <v>#N/A</v>
      </c>
      <c r="L51" s="25">
        <v>21.001387000000001</v>
      </c>
      <c r="M51" s="25">
        <v>15.855980000000001</v>
      </c>
      <c r="N51" s="25">
        <v>41.631830000000001</v>
      </c>
      <c r="O51">
        <v>18.815087999999999</v>
      </c>
    </row>
    <row r="52" spans="1:15" x14ac:dyDescent="0.3">
      <c r="A52" s="2">
        <v>43182</v>
      </c>
      <c r="B52" s="18">
        <v>17.005967999999999</v>
      </c>
      <c r="C52" s="18">
        <v>12.362469000000001</v>
      </c>
      <c r="D52" s="18">
        <v>7.5335026000000003</v>
      </c>
      <c r="E52" s="18">
        <v>-8.962631</v>
      </c>
      <c r="F52" s="18">
        <v>22.651040999999999</v>
      </c>
      <c r="G52" s="18">
        <v>-6.3523529999999999</v>
      </c>
      <c r="H52" s="18">
        <v>31.685184</v>
      </c>
      <c r="I52" s="18">
        <v>2.2880316000000001</v>
      </c>
      <c r="J52" s="18">
        <v>14.180922499999999</v>
      </c>
      <c r="K52" s="25" t="e">
        <v>#N/A</v>
      </c>
      <c r="L52" s="25">
        <v>14.545977000000001</v>
      </c>
      <c r="M52" s="25">
        <v>7.7659606999999999</v>
      </c>
      <c r="N52" s="25">
        <v>26.813866000000001</v>
      </c>
      <c r="O52">
        <v>12.329698</v>
      </c>
    </row>
    <row r="53" spans="1:15" x14ac:dyDescent="0.3">
      <c r="A53" s="2">
        <v>43213</v>
      </c>
      <c r="B53" s="18">
        <v>18.303657999999999</v>
      </c>
      <c r="C53" s="18">
        <v>15.795267000000001</v>
      </c>
      <c r="D53" s="18">
        <v>2.7062415999999998</v>
      </c>
      <c r="E53" s="18">
        <v>-7.4291049999999998</v>
      </c>
      <c r="F53" s="18">
        <v>23.187446999999999</v>
      </c>
      <c r="G53" s="18">
        <v>-2.5920152999999999</v>
      </c>
      <c r="H53" s="18">
        <v>35.092342000000002</v>
      </c>
      <c r="I53" s="18">
        <v>-1.6602755</v>
      </c>
      <c r="J53" s="18">
        <v>19.689333000000001</v>
      </c>
      <c r="K53" s="25" t="e">
        <v>#N/A</v>
      </c>
      <c r="L53" s="25">
        <v>19.333803</v>
      </c>
      <c r="M53" s="25">
        <v>12.232601000000001</v>
      </c>
      <c r="N53" s="25">
        <v>39.924576000000002</v>
      </c>
      <c r="O53">
        <v>15.954399</v>
      </c>
    </row>
    <row r="54" spans="1:15" x14ac:dyDescent="0.3">
      <c r="A54" s="2">
        <v>43243</v>
      </c>
      <c r="B54" s="18">
        <v>13.973008999999999</v>
      </c>
      <c r="C54" s="18">
        <v>16.043865</v>
      </c>
      <c r="D54" s="18">
        <v>2.8537870000000001</v>
      </c>
      <c r="E54" s="18">
        <v>-1.6957819999999999</v>
      </c>
      <c r="F54" s="18">
        <v>22.95121</v>
      </c>
      <c r="G54" s="18">
        <v>-3.64635</v>
      </c>
      <c r="H54" s="18">
        <v>41.830063000000003</v>
      </c>
      <c r="I54" s="18">
        <v>-1.3072311999999999</v>
      </c>
      <c r="J54" s="18">
        <v>8.5717920000000003</v>
      </c>
      <c r="K54" s="25" t="e">
        <v>#N/A</v>
      </c>
      <c r="L54" s="25">
        <v>15.841699</v>
      </c>
      <c r="M54" s="25">
        <v>2.1135092000000002</v>
      </c>
      <c r="N54" s="25">
        <v>12.984133</v>
      </c>
      <c r="O54">
        <v>13.477086999999999</v>
      </c>
    </row>
    <row r="55" spans="1:15" x14ac:dyDescent="0.3">
      <c r="A55" s="2">
        <v>43273</v>
      </c>
      <c r="B55" s="18">
        <v>8.0779189999999996</v>
      </c>
      <c r="C55" s="18">
        <v>15.245974</v>
      </c>
      <c r="D55" s="18">
        <v>1.1940837</v>
      </c>
      <c r="E55" s="18">
        <v>-1.2147486000000001</v>
      </c>
      <c r="F55" s="18">
        <v>25.614082</v>
      </c>
      <c r="G55" s="18">
        <v>-3.9556979999999999</v>
      </c>
      <c r="H55" s="18">
        <v>56.914149999999999</v>
      </c>
      <c r="I55" s="18">
        <v>-3.3006250000000001</v>
      </c>
      <c r="J55" s="18">
        <v>7.1161029999999998</v>
      </c>
      <c r="K55" s="25" t="e">
        <v>#N/A</v>
      </c>
      <c r="L55" s="25">
        <v>10.443211</v>
      </c>
      <c r="M55" s="25">
        <v>-1.7251848999999999</v>
      </c>
      <c r="N55" s="25">
        <v>9.4985719999999993</v>
      </c>
      <c r="O55">
        <v>12.557816499999999</v>
      </c>
    </row>
    <row r="56" spans="1:15" x14ac:dyDescent="0.3">
      <c r="A56" s="2">
        <v>43304</v>
      </c>
      <c r="B56" s="18">
        <v>2.9290438000000001</v>
      </c>
      <c r="C56" s="18">
        <v>15.612912</v>
      </c>
      <c r="D56" s="18">
        <v>-2.7335227</v>
      </c>
      <c r="E56" s="18">
        <v>2.8519988000000001</v>
      </c>
      <c r="F56" s="18">
        <v>25.60774</v>
      </c>
      <c r="G56" s="18">
        <v>-13.164431</v>
      </c>
      <c r="H56" s="18">
        <v>49.271129999999999</v>
      </c>
      <c r="I56" s="18">
        <v>-2.6557027999999998</v>
      </c>
      <c r="J56" s="18">
        <v>4.8851966999999998</v>
      </c>
      <c r="K56" s="25">
        <v>-0.61909555999999999</v>
      </c>
      <c r="L56" s="25">
        <v>9.148085</v>
      </c>
      <c r="M56" s="25">
        <v>-2.8701781999999998</v>
      </c>
      <c r="N56" s="25">
        <v>3.1917333999999999</v>
      </c>
      <c r="O56">
        <v>11.666166</v>
      </c>
    </row>
    <row r="57" spans="1:15" x14ac:dyDescent="0.3">
      <c r="A57" s="2">
        <v>43335</v>
      </c>
      <c r="B57" s="18">
        <v>-2.5901556000000001</v>
      </c>
      <c r="C57" s="18">
        <v>19.038032999999999</v>
      </c>
      <c r="D57" s="18">
        <v>-8.5350929999999998</v>
      </c>
      <c r="E57" s="18">
        <v>4.987228</v>
      </c>
      <c r="F57" s="18">
        <v>27.733791</v>
      </c>
      <c r="G57" s="18">
        <v>-8.0627680000000002</v>
      </c>
      <c r="H57" s="18">
        <v>44.252679999999998</v>
      </c>
      <c r="I57" s="18">
        <v>-1.6370833</v>
      </c>
      <c r="J57" s="18">
        <v>3.1425475999999999</v>
      </c>
      <c r="K57" s="25">
        <v>-2.4651407999999999</v>
      </c>
      <c r="L57" s="25">
        <v>6.9542646000000001</v>
      </c>
      <c r="M57" s="25">
        <v>-2.4049222000000001</v>
      </c>
      <c r="N57" s="25">
        <v>-5.5204152999999998</v>
      </c>
      <c r="O57">
        <v>13.061999999999999</v>
      </c>
    </row>
    <row r="58" spans="1:15" x14ac:dyDescent="0.3">
      <c r="A58" s="2">
        <v>43364</v>
      </c>
      <c r="B58" s="18">
        <v>-4.7343729999999997</v>
      </c>
      <c r="C58" s="18">
        <v>19.214594000000002</v>
      </c>
      <c r="D58" s="18">
        <v>-7.4910344999999996</v>
      </c>
      <c r="E58" s="18">
        <v>4.4409394000000004</v>
      </c>
      <c r="F58" s="18">
        <v>27.918742999999999</v>
      </c>
      <c r="G58" s="18">
        <v>-10.388242999999999</v>
      </c>
      <c r="H58" s="18">
        <v>45.023069999999997</v>
      </c>
      <c r="I58" s="18">
        <v>-4.5127272999999999</v>
      </c>
      <c r="J58" s="18">
        <v>1.8361807000000001</v>
      </c>
      <c r="K58" s="25">
        <v>-2.6816784999999999</v>
      </c>
      <c r="L58" s="25">
        <v>10.015631000000001</v>
      </c>
      <c r="M58" s="25">
        <v>-1.4743268</v>
      </c>
      <c r="N58" s="25">
        <v>-4.3923974000000001</v>
      </c>
      <c r="O58">
        <v>13.028896</v>
      </c>
    </row>
    <row r="59" spans="1:15" x14ac:dyDescent="0.3">
      <c r="A59" s="2">
        <v>43396</v>
      </c>
      <c r="B59" s="18">
        <v>-12.06305</v>
      </c>
      <c r="C59" s="18">
        <v>8.7792159999999999</v>
      </c>
      <c r="D59" s="18">
        <v>-4.4417086000000001</v>
      </c>
      <c r="E59" s="18">
        <v>4.7748445999999998</v>
      </c>
      <c r="F59" s="18">
        <v>18.182278</v>
      </c>
      <c r="G59" s="18">
        <v>-7.2965859999999996</v>
      </c>
      <c r="H59" s="18">
        <v>35.426163000000003</v>
      </c>
      <c r="I59" s="18">
        <v>-5.8589697000000003</v>
      </c>
      <c r="J59" s="18">
        <v>-7.8537759999999999</v>
      </c>
      <c r="K59" s="25">
        <v>-10.692674</v>
      </c>
      <c r="L59" s="25">
        <v>-2.0783423999999999</v>
      </c>
      <c r="M59" s="25">
        <v>-13.522826999999999</v>
      </c>
      <c r="N59" s="25">
        <v>-14.399367</v>
      </c>
      <c r="O59">
        <v>2.2606492</v>
      </c>
    </row>
    <row r="60" spans="1:15" x14ac:dyDescent="0.3">
      <c r="A60" s="2">
        <v>43427</v>
      </c>
      <c r="B60" s="18">
        <v>-13.601338999999999</v>
      </c>
      <c r="C60" s="18">
        <v>3.1897544999999998</v>
      </c>
      <c r="D60" s="18">
        <v>-5.5940630000000002</v>
      </c>
      <c r="E60" s="18">
        <v>6.8252443999999999</v>
      </c>
      <c r="F60" s="18">
        <v>3.0473113000000001</v>
      </c>
      <c r="G60" s="18">
        <v>-10.485136000000001</v>
      </c>
      <c r="H60" s="18">
        <v>-6.2142075999999999</v>
      </c>
      <c r="I60" s="18">
        <v>-7.0292709999999996</v>
      </c>
      <c r="J60" s="18">
        <v>-9.7988370000000007</v>
      </c>
      <c r="K60" s="25">
        <v>-12.150103</v>
      </c>
      <c r="L60" s="25">
        <v>-7.8765510000000001</v>
      </c>
      <c r="M60" s="25">
        <v>-13.542676</v>
      </c>
      <c r="N60" s="25">
        <v>-16.982126000000001</v>
      </c>
      <c r="O60">
        <v>-1.6494333999999999</v>
      </c>
    </row>
    <row r="61" spans="1:15" x14ac:dyDescent="0.3">
      <c r="A61" s="2">
        <v>43455</v>
      </c>
      <c r="B61" s="18">
        <v>-14.280855000000001</v>
      </c>
      <c r="C61" s="18">
        <v>-8.3254760000000001</v>
      </c>
      <c r="D61" s="18">
        <v>-1.3215840000000001</v>
      </c>
      <c r="E61" s="18">
        <v>6.9249749999999999</v>
      </c>
      <c r="F61" s="18">
        <v>-5.8097659999999998</v>
      </c>
      <c r="G61" s="18">
        <v>-7.9588469999999996</v>
      </c>
      <c r="H61" s="18">
        <v>-16.403044000000001</v>
      </c>
      <c r="I61" s="18">
        <v>-0.47435759999999999</v>
      </c>
      <c r="J61" s="18">
        <v>-16.20543</v>
      </c>
      <c r="K61" s="25">
        <v>-12.289429</v>
      </c>
      <c r="L61" s="25">
        <v>-15.558201</v>
      </c>
      <c r="M61" s="25">
        <v>-16.030729999999998</v>
      </c>
      <c r="N61" s="25">
        <v>-18.983280000000001</v>
      </c>
      <c r="O61">
        <v>-11.148804999999999</v>
      </c>
    </row>
    <row r="62" spans="1:15" x14ac:dyDescent="0.3">
      <c r="A62" s="2">
        <v>43488</v>
      </c>
      <c r="B62" s="18">
        <v>-17.354016999999999</v>
      </c>
      <c r="C62" s="18">
        <v>-5.2395287000000001</v>
      </c>
      <c r="D62" s="18">
        <v>-4.7140180000000003</v>
      </c>
      <c r="E62" s="18">
        <v>9.6355550000000001</v>
      </c>
      <c r="F62" s="18">
        <v>-3.5240770000000001</v>
      </c>
      <c r="G62" s="18">
        <v>-6.7541304000000002</v>
      </c>
      <c r="H62" s="18">
        <v>-12.987869999999999</v>
      </c>
      <c r="I62" s="18">
        <v>-9.0491769999999999E-2</v>
      </c>
      <c r="J62" s="18">
        <v>-16.237228000000002</v>
      </c>
      <c r="K62" s="25">
        <v>-13.760692000000001</v>
      </c>
      <c r="L62" s="25">
        <v>-16.483450000000001</v>
      </c>
      <c r="M62" s="25">
        <v>-16.273827000000001</v>
      </c>
      <c r="N62" s="25">
        <v>-21.706372999999999</v>
      </c>
      <c r="O62">
        <v>-9.2401499999999999</v>
      </c>
    </row>
    <row r="63" spans="1:15" x14ac:dyDescent="0.3">
      <c r="A63" s="2">
        <v>43518</v>
      </c>
      <c r="B63" s="18">
        <v>-10.235065000000001</v>
      </c>
      <c r="C63" s="18">
        <v>5.2062749999999998</v>
      </c>
      <c r="D63" s="18">
        <v>-0.63341259999999999</v>
      </c>
      <c r="E63" s="18">
        <v>10.864364999999999</v>
      </c>
      <c r="F63" s="18">
        <v>5.8059215999999996</v>
      </c>
      <c r="G63" s="18">
        <v>-11.040324</v>
      </c>
      <c r="H63" s="18">
        <v>-3.1244934</v>
      </c>
      <c r="I63" s="18">
        <v>6.6721797</v>
      </c>
      <c r="J63" s="18">
        <v>-7.5627145999999996</v>
      </c>
      <c r="K63" s="25">
        <v>-8.5619560000000003</v>
      </c>
      <c r="L63" s="25">
        <v>-8.6133959999999998</v>
      </c>
      <c r="M63" s="25">
        <v>-8.5839990000000004</v>
      </c>
      <c r="N63" s="25">
        <v>-13.236814499999999</v>
      </c>
      <c r="O63">
        <v>0.93457699999999999</v>
      </c>
    </row>
    <row r="64" spans="1:15" x14ac:dyDescent="0.3">
      <c r="A64" s="2">
        <v>43546</v>
      </c>
      <c r="B64" s="18">
        <v>-7.6675772999999996</v>
      </c>
      <c r="C64" s="18">
        <v>7.9753400000000001</v>
      </c>
      <c r="D64" s="18">
        <v>-1.5954912000000001</v>
      </c>
      <c r="E64" s="18">
        <v>10.972583999999999</v>
      </c>
      <c r="F64" s="18">
        <v>10.636198</v>
      </c>
      <c r="G64" s="18">
        <v>-10.143649999999999</v>
      </c>
      <c r="H64" s="18">
        <v>-5.425948</v>
      </c>
      <c r="I64" s="18">
        <v>6.6850899999999998</v>
      </c>
      <c r="J64" s="18">
        <v>-3.5492241</v>
      </c>
      <c r="K64" s="25">
        <v>-8.2946960000000001</v>
      </c>
      <c r="L64" s="25">
        <v>-7.3922689999999998</v>
      </c>
      <c r="M64" s="25">
        <v>-3.7025749999999999</v>
      </c>
      <c r="N64" s="25">
        <v>-9.3471349999999997</v>
      </c>
      <c r="O64">
        <v>3.5825252999999999</v>
      </c>
    </row>
    <row r="65" spans="1:15" x14ac:dyDescent="0.3">
      <c r="A65" s="2">
        <v>43578</v>
      </c>
      <c r="B65" s="18">
        <v>-1.7286897000000001</v>
      </c>
      <c r="C65" s="18">
        <v>12.013541999999999</v>
      </c>
      <c r="D65" s="18">
        <v>-4.3782829999999997</v>
      </c>
      <c r="E65" s="18">
        <v>10.77689</v>
      </c>
      <c r="F65" s="18">
        <v>18.579350999999999</v>
      </c>
      <c r="G65" s="18">
        <v>-11.470269999999999</v>
      </c>
      <c r="H65" s="18">
        <v>-2.7104496999999999</v>
      </c>
      <c r="I65" s="18">
        <v>6.3034534000000004</v>
      </c>
      <c r="J65" s="18">
        <v>-3.825456</v>
      </c>
      <c r="K65" s="25">
        <v>-4.2743025000000001</v>
      </c>
      <c r="L65" s="25">
        <v>-7.0650997000000002</v>
      </c>
      <c r="M65" s="25">
        <v>0.26009083</v>
      </c>
      <c r="N65" s="25">
        <v>-13.572269</v>
      </c>
      <c r="O65">
        <v>6.1972620000000003</v>
      </c>
    </row>
    <row r="66" spans="1:15" x14ac:dyDescent="0.3">
      <c r="A66" s="2">
        <v>43608</v>
      </c>
      <c r="B66" s="18">
        <v>-9.6245580000000004</v>
      </c>
      <c r="C66" s="18">
        <v>5.2257059999999997</v>
      </c>
      <c r="D66" s="18">
        <v>-1.1180043</v>
      </c>
      <c r="E66" s="18">
        <v>7.7474236000000003</v>
      </c>
      <c r="F66" s="18">
        <v>6.0159326000000002</v>
      </c>
      <c r="G66" s="18">
        <v>-15.598637</v>
      </c>
      <c r="H66" s="18">
        <v>-18.730872999999999</v>
      </c>
      <c r="I66" s="18">
        <v>11.229253</v>
      </c>
      <c r="J66" s="18">
        <v>-7.244319</v>
      </c>
      <c r="K66" s="25">
        <v>-7.5494947000000003</v>
      </c>
      <c r="L66" s="25">
        <v>-11.436158000000001</v>
      </c>
      <c r="M66" s="25">
        <v>-7.7661275999999999</v>
      </c>
      <c r="N66" s="25">
        <v>-12.694019000000001</v>
      </c>
      <c r="O66">
        <v>0.70691110000000001</v>
      </c>
    </row>
    <row r="67" spans="1:15" x14ac:dyDescent="0.3">
      <c r="A67" s="2">
        <v>43637</v>
      </c>
      <c r="B67" s="18">
        <v>2.4942039999999999</v>
      </c>
      <c r="C67" s="18">
        <v>9.3379019999999997</v>
      </c>
      <c r="D67" s="18">
        <v>9.9375250000000008</v>
      </c>
      <c r="E67" s="18">
        <v>4.9627065999999997</v>
      </c>
      <c r="F67" s="18">
        <v>8.0223449999999996</v>
      </c>
      <c r="G67" s="18">
        <v>-7.6342699999999999</v>
      </c>
      <c r="H67" s="18">
        <v>-11.2925415</v>
      </c>
      <c r="I67" s="18">
        <v>12.001896</v>
      </c>
      <c r="J67" s="18">
        <v>1.0366678</v>
      </c>
      <c r="K67" s="25">
        <v>5.3980110000000003</v>
      </c>
      <c r="L67" s="25">
        <v>-5.4775895999999999</v>
      </c>
      <c r="M67" s="25">
        <v>3.3981322999999999</v>
      </c>
      <c r="N67" s="25">
        <v>0.64803359999999999</v>
      </c>
      <c r="O67">
        <v>5.7233095</v>
      </c>
    </row>
    <row r="68" spans="1:15" x14ac:dyDescent="0.3">
      <c r="A68" s="2">
        <v>43669</v>
      </c>
      <c r="B68" s="18">
        <v>2.5627732000000001</v>
      </c>
      <c r="C68" s="18">
        <v>9.2070690000000006</v>
      </c>
      <c r="D68" s="18">
        <v>15.250004000000001</v>
      </c>
      <c r="E68" s="18">
        <v>7.0255520000000002</v>
      </c>
      <c r="F68" s="18">
        <v>8.8723069999999993</v>
      </c>
      <c r="G68" s="18">
        <v>-4.2574405999999998</v>
      </c>
      <c r="H68" s="18">
        <v>-14.968264</v>
      </c>
      <c r="I68" s="18">
        <v>12.9800205</v>
      </c>
      <c r="J68" s="18">
        <v>-0.67827700000000002</v>
      </c>
      <c r="K68" s="25">
        <v>3.1381844999999999</v>
      </c>
      <c r="L68" s="25">
        <v>-4.0303946000000002</v>
      </c>
      <c r="M68" s="25">
        <v>4.8518180000000001E-2</v>
      </c>
      <c r="N68" s="25">
        <v>1.1945724</v>
      </c>
      <c r="O68">
        <v>5.9410809999999996</v>
      </c>
    </row>
    <row r="69" spans="1:15" x14ac:dyDescent="0.3">
      <c r="A69" s="2">
        <v>43700</v>
      </c>
      <c r="B69" s="18">
        <v>-2.906984</v>
      </c>
      <c r="C69" s="18">
        <v>1.6537428000000001</v>
      </c>
      <c r="D69" s="18">
        <v>28.493763000000001</v>
      </c>
      <c r="E69" s="18">
        <v>5.8701990000000004</v>
      </c>
      <c r="F69" s="18">
        <v>1.5864134000000001</v>
      </c>
      <c r="G69" s="18">
        <v>-11.132425</v>
      </c>
      <c r="H69" s="18">
        <v>-22.037814999999998</v>
      </c>
      <c r="I69" s="18">
        <v>22.771763</v>
      </c>
      <c r="J69" s="18">
        <v>-5.010027</v>
      </c>
      <c r="K69" s="25">
        <v>-5.5583596000000002</v>
      </c>
      <c r="L69" s="25">
        <v>-6.4928590000000002</v>
      </c>
      <c r="M69" s="25">
        <v>-9.3826180000000008</v>
      </c>
      <c r="N69" s="25">
        <v>-1.5424788</v>
      </c>
      <c r="O69">
        <v>-0.78545209999999999</v>
      </c>
    </row>
    <row r="70" spans="1:15" x14ac:dyDescent="0.3">
      <c r="A70" s="2">
        <v>43731</v>
      </c>
      <c r="B70" s="18">
        <v>2.3861884999999998</v>
      </c>
      <c r="C70" s="18">
        <v>4.1730999999999998</v>
      </c>
      <c r="D70" s="18">
        <v>26.663149000000001</v>
      </c>
      <c r="E70" s="18">
        <v>8.6839309999999994</v>
      </c>
      <c r="F70" s="18">
        <v>4.8172354999999998</v>
      </c>
      <c r="G70" s="18">
        <v>-8.1096944999999998</v>
      </c>
      <c r="H70" s="18">
        <v>-19.659096000000002</v>
      </c>
      <c r="I70" s="18">
        <v>24.304867000000002</v>
      </c>
      <c r="J70" s="18">
        <v>-2.4857520000000002</v>
      </c>
      <c r="K70" s="25">
        <v>-0.84083079999999999</v>
      </c>
      <c r="L70" s="25">
        <v>-3.6446393000000001</v>
      </c>
      <c r="M70" s="25">
        <v>-7.4363650000000003</v>
      </c>
      <c r="N70" s="25">
        <v>-0.67762730000000004</v>
      </c>
      <c r="O70">
        <v>2.0211220000000001</v>
      </c>
    </row>
    <row r="71" spans="1:15" x14ac:dyDescent="0.3">
      <c r="A71" s="2">
        <v>43761</v>
      </c>
      <c r="B71" s="18">
        <v>12.544001</v>
      </c>
      <c r="C71" s="18">
        <v>11.793577000000001</v>
      </c>
      <c r="D71" s="18">
        <v>20.740615999999999</v>
      </c>
      <c r="E71" s="18">
        <v>5.4365753999999997</v>
      </c>
      <c r="F71" s="18">
        <v>11.935449</v>
      </c>
      <c r="G71" s="18">
        <v>-9.1246790000000004</v>
      </c>
      <c r="H71" s="18">
        <v>-16.982942999999999</v>
      </c>
      <c r="I71" s="18">
        <v>25.568342000000001</v>
      </c>
      <c r="J71" s="18">
        <v>10.319936999999999</v>
      </c>
      <c r="K71" s="25">
        <v>10.491455</v>
      </c>
      <c r="L71" s="25">
        <v>6.1492323999999998</v>
      </c>
      <c r="M71" s="25">
        <v>9.7390174999999992</v>
      </c>
      <c r="N71" s="25">
        <v>17.292463000000001</v>
      </c>
      <c r="O71">
        <v>11.217283999999999</v>
      </c>
    </row>
    <row r="72" spans="1:15" x14ac:dyDescent="0.3">
      <c r="A72" s="2">
        <v>43791</v>
      </c>
      <c r="B72" s="18">
        <v>11.400175000000001</v>
      </c>
      <c r="C72" s="18">
        <v>19.681560000000001</v>
      </c>
      <c r="D72" s="18">
        <v>18.884861000000001</v>
      </c>
      <c r="E72" s="18">
        <v>5.3467989999999999</v>
      </c>
      <c r="F72" s="18">
        <v>26.985764</v>
      </c>
      <c r="G72" s="18">
        <v>-6.0314712999999998</v>
      </c>
      <c r="H72" s="18">
        <v>5.68316</v>
      </c>
      <c r="I72" s="18">
        <v>24.658011999999999</v>
      </c>
      <c r="J72" s="18">
        <v>13.652098000000001</v>
      </c>
      <c r="K72" s="25">
        <v>8.9810009999999991</v>
      </c>
      <c r="L72" s="25">
        <v>11.601089999999999</v>
      </c>
      <c r="M72" s="25">
        <v>14.660501500000001</v>
      </c>
      <c r="N72" s="25">
        <v>22.958935</v>
      </c>
      <c r="O72">
        <v>16.982662000000001</v>
      </c>
    </row>
    <row r="73" spans="1:15" x14ac:dyDescent="0.3">
      <c r="A73" s="2">
        <v>43822</v>
      </c>
      <c r="B73" s="18">
        <v>21.649277000000001</v>
      </c>
      <c r="C73" s="18">
        <v>35.97728</v>
      </c>
      <c r="D73" s="18">
        <v>17.882406</v>
      </c>
      <c r="E73" s="18">
        <v>4.3767332999999997</v>
      </c>
      <c r="F73" s="18">
        <v>45.137</v>
      </c>
      <c r="G73" s="18">
        <v>-1.8087327</v>
      </c>
      <c r="H73" s="18">
        <v>32.656610000000001</v>
      </c>
      <c r="I73" s="18">
        <v>15.689874</v>
      </c>
      <c r="J73" s="18">
        <v>26.603484999999999</v>
      </c>
      <c r="K73" s="25">
        <v>17.33042</v>
      </c>
      <c r="L73" s="25">
        <v>22.893547000000002</v>
      </c>
      <c r="M73" s="25">
        <v>27.246642999999999</v>
      </c>
      <c r="N73" s="25">
        <v>29.758953000000002</v>
      </c>
      <c r="O73">
        <v>31.772732000000001</v>
      </c>
    </row>
    <row r="74" spans="1:15" x14ac:dyDescent="0.3">
      <c r="A74" s="2">
        <v>43853</v>
      </c>
      <c r="B74" s="18">
        <v>14.692366</v>
      </c>
      <c r="C74" s="18">
        <v>28.315532999999999</v>
      </c>
      <c r="D74" s="18">
        <v>21.306059999999999</v>
      </c>
      <c r="E74" s="18">
        <v>5.4036140000000001</v>
      </c>
      <c r="F74" s="18">
        <v>39.647174999999997</v>
      </c>
      <c r="G74" s="18">
        <v>-2.9712439000000002</v>
      </c>
      <c r="H74" s="18">
        <v>6.3539743</v>
      </c>
      <c r="I74" s="18">
        <v>19.894016000000001</v>
      </c>
      <c r="J74" s="18">
        <v>18.836248000000001</v>
      </c>
      <c r="K74" s="25">
        <v>11.037183000000001</v>
      </c>
      <c r="L74" s="25">
        <v>15.064537</v>
      </c>
      <c r="M74" s="25">
        <v>18.098557</v>
      </c>
      <c r="N74" s="25">
        <v>19.814109999999999</v>
      </c>
      <c r="O74">
        <v>24.419487</v>
      </c>
    </row>
    <row r="75" spans="1:15" x14ac:dyDescent="0.3">
      <c r="A75" s="2">
        <v>43882</v>
      </c>
      <c r="B75" s="18">
        <v>8.0887910000000005</v>
      </c>
      <c r="C75" s="18">
        <v>22.481881999999999</v>
      </c>
      <c r="D75" s="18">
        <v>23.710514</v>
      </c>
      <c r="E75" s="18">
        <v>6.3643216999999996</v>
      </c>
      <c r="F75" s="18">
        <v>35.278309999999998</v>
      </c>
      <c r="G75" s="18">
        <v>-3.0329763999999999</v>
      </c>
      <c r="H75" s="18">
        <v>-4.7937336000000004</v>
      </c>
      <c r="I75" s="18">
        <v>25.305247999999999</v>
      </c>
      <c r="J75" s="18">
        <v>13.589406</v>
      </c>
      <c r="K75" s="25">
        <v>3.4903287999999999</v>
      </c>
      <c r="L75" s="25">
        <v>5.9802055000000003</v>
      </c>
      <c r="M75" s="25">
        <v>17.627144000000001</v>
      </c>
      <c r="N75" s="25">
        <v>16.861688999999998</v>
      </c>
      <c r="O75">
        <v>18.453465999999999</v>
      </c>
    </row>
    <row r="76" spans="1:15" x14ac:dyDescent="0.3">
      <c r="A76" s="2">
        <v>43913</v>
      </c>
      <c r="B76" s="18">
        <v>-24.552757</v>
      </c>
      <c r="C76" s="18">
        <v>-18.508112000000001</v>
      </c>
      <c r="D76" s="18">
        <v>18.012428</v>
      </c>
      <c r="E76" s="18">
        <v>10.582876000000001</v>
      </c>
      <c r="F76" s="18">
        <v>-3.7209509999999999</v>
      </c>
      <c r="G76" s="18">
        <v>-13.085908</v>
      </c>
      <c r="H76" s="18">
        <v>-54.767189999999999</v>
      </c>
      <c r="I76" s="18">
        <v>35.906993999999997</v>
      </c>
      <c r="J76" s="18">
        <v>-27.850311000000001</v>
      </c>
      <c r="K76" s="25">
        <v>-33.121882999999997</v>
      </c>
      <c r="L76" s="25">
        <v>-16.027533999999999</v>
      </c>
      <c r="M76" s="25">
        <v>-25.86326</v>
      </c>
      <c r="N76" s="25">
        <v>-28.792636999999999</v>
      </c>
      <c r="O76">
        <v>-21.499979</v>
      </c>
    </row>
    <row r="77" spans="1:15" x14ac:dyDescent="0.3">
      <c r="A77" s="2">
        <v>43944</v>
      </c>
      <c r="B77" s="18">
        <v>-17.091835</v>
      </c>
      <c r="C77" s="18">
        <v>-2.7389228000000001</v>
      </c>
      <c r="D77" s="18">
        <v>35.98068</v>
      </c>
      <c r="E77" s="18">
        <v>6.1756729999999997</v>
      </c>
      <c r="F77" s="18">
        <v>11.564291000000001</v>
      </c>
      <c r="G77" s="18">
        <v>-16.315501999999999</v>
      </c>
      <c r="H77" s="18">
        <v>-58.909205999999998</v>
      </c>
      <c r="I77" s="18">
        <v>42.034041999999999</v>
      </c>
      <c r="J77" s="18">
        <v>-17.666578000000001</v>
      </c>
      <c r="K77" s="25">
        <v>-22.157187</v>
      </c>
      <c r="L77" s="25">
        <v>-7.0254564000000004</v>
      </c>
      <c r="M77" s="25">
        <v>-16.031790000000001</v>
      </c>
      <c r="N77" s="25">
        <v>-27.052385000000001</v>
      </c>
      <c r="O77">
        <v>-7.4748992999999997</v>
      </c>
    </row>
    <row r="78" spans="1:15" x14ac:dyDescent="0.3">
      <c r="A78" s="2">
        <v>43973</v>
      </c>
      <c r="B78" s="18">
        <v>-7.2726544999999998</v>
      </c>
      <c r="C78" s="18">
        <v>5.5760860000000001</v>
      </c>
      <c r="D78" s="18">
        <v>35.736870000000003</v>
      </c>
      <c r="E78" s="18">
        <v>4.3226360000000001</v>
      </c>
      <c r="F78" s="18">
        <v>27.953517999999999</v>
      </c>
      <c r="G78" s="18">
        <v>-15.076261499999999</v>
      </c>
      <c r="H78" s="18">
        <v>-43.568356000000001</v>
      </c>
      <c r="I78" s="18">
        <v>33.830486000000001</v>
      </c>
      <c r="J78" s="18">
        <v>-10.684132999999999</v>
      </c>
      <c r="K78" s="25">
        <v>-13.990544999999999</v>
      </c>
      <c r="L78" s="25">
        <v>0.84265469999999998</v>
      </c>
      <c r="M78" s="25">
        <v>-3.2004535000000001</v>
      </c>
      <c r="N78" s="25">
        <v>-19.51313</v>
      </c>
      <c r="O78">
        <v>0.16807317999999999</v>
      </c>
    </row>
    <row r="79" spans="1:15" x14ac:dyDescent="0.3">
      <c r="A79" s="2">
        <v>44005</v>
      </c>
      <c r="B79" s="18">
        <v>-1.3689994999999999</v>
      </c>
      <c r="C79" s="18">
        <v>8.2892890000000001</v>
      </c>
      <c r="D79" s="18">
        <v>26.140319999999999</v>
      </c>
      <c r="E79" s="18">
        <v>2.7896643000000001</v>
      </c>
      <c r="F79" s="18">
        <v>33.317492999999999</v>
      </c>
      <c r="G79" s="18">
        <v>-17.238873000000002</v>
      </c>
      <c r="H79" s="18">
        <v>-29.253138</v>
      </c>
      <c r="I79" s="18">
        <v>25.163115000000001</v>
      </c>
      <c r="J79" s="18">
        <v>-3.8895726000000002</v>
      </c>
      <c r="K79" s="25">
        <v>-9.499371</v>
      </c>
      <c r="L79" s="25">
        <v>5.9319496000000003</v>
      </c>
      <c r="M79" s="25">
        <v>3.7590623000000001</v>
      </c>
      <c r="N79" s="25">
        <v>-9.4125510000000006</v>
      </c>
      <c r="O79">
        <v>4.6378493000000001</v>
      </c>
    </row>
    <row r="80" spans="1:15" x14ac:dyDescent="0.3">
      <c r="A80" s="2">
        <v>44035</v>
      </c>
      <c r="B80" s="18">
        <v>3.8892627000000002</v>
      </c>
      <c r="C80" s="18">
        <v>9.8228340000000003</v>
      </c>
      <c r="D80" s="18">
        <v>32.530476</v>
      </c>
      <c r="E80" s="18">
        <v>-1.2732445999999999</v>
      </c>
      <c r="F80" s="18">
        <v>34.210540000000002</v>
      </c>
      <c r="G80" s="18">
        <v>-15.778047000000001</v>
      </c>
      <c r="H80" s="18">
        <v>-27.542560000000002</v>
      </c>
      <c r="I80" s="18">
        <v>31.826174000000002</v>
      </c>
      <c r="J80" s="18">
        <v>-0.24513602000000001</v>
      </c>
      <c r="K80" s="25">
        <v>-5.656701</v>
      </c>
      <c r="L80" s="25">
        <v>3.2925247999999998</v>
      </c>
      <c r="M80" s="25">
        <v>15.492236999999999</v>
      </c>
      <c r="N80" s="25">
        <v>-6.1218320000000004</v>
      </c>
      <c r="O80">
        <v>6.1598540000000002</v>
      </c>
    </row>
    <row r="81" spans="1:15" x14ac:dyDescent="0.3">
      <c r="A81" s="2">
        <v>44064</v>
      </c>
      <c r="B81" s="18">
        <v>12.725377</v>
      </c>
      <c r="C81" s="18">
        <v>18.432580000000002</v>
      </c>
      <c r="D81" s="18">
        <v>28.407170000000001</v>
      </c>
      <c r="E81" s="18">
        <v>-3.767395</v>
      </c>
      <c r="F81" s="18">
        <v>50.632786000000003</v>
      </c>
      <c r="G81" s="18">
        <v>-3.6760986</v>
      </c>
      <c r="H81" s="18">
        <v>-23.356337</v>
      </c>
      <c r="I81" s="18">
        <v>17.061388000000001</v>
      </c>
      <c r="J81" s="18">
        <v>5.5189849999999998</v>
      </c>
      <c r="K81" s="25">
        <v>3.8756967000000002</v>
      </c>
      <c r="L81" s="25">
        <v>9.8962420000000009</v>
      </c>
      <c r="M81" s="25">
        <v>25.651109999999999</v>
      </c>
      <c r="N81" s="25">
        <v>-0.76788069999999997</v>
      </c>
      <c r="O81">
        <v>14.313423</v>
      </c>
    </row>
    <row r="82" spans="1:15" x14ac:dyDescent="0.3">
      <c r="A82" s="2">
        <v>44097</v>
      </c>
      <c r="B82" s="18">
        <v>5.7781577000000004</v>
      </c>
      <c r="C82" s="18">
        <v>10.318970999999999</v>
      </c>
      <c r="D82" s="18">
        <v>21.593035</v>
      </c>
      <c r="E82" s="18">
        <v>-3.1213462000000001</v>
      </c>
      <c r="F82" s="18">
        <v>39.703879999999998</v>
      </c>
      <c r="G82" s="18">
        <v>-4.3706950000000004</v>
      </c>
      <c r="H82" s="18">
        <v>-32.377369999999999</v>
      </c>
      <c r="I82" s="18">
        <v>17.985332</v>
      </c>
      <c r="J82" s="18">
        <v>-1.7698288</v>
      </c>
      <c r="K82" s="25">
        <v>-2.4018525999999998</v>
      </c>
      <c r="L82" s="25">
        <v>5.6025862999999996</v>
      </c>
      <c r="M82" s="25">
        <v>16.964663000000002</v>
      </c>
      <c r="N82" s="25">
        <v>-11.102873000000001</v>
      </c>
      <c r="O82">
        <v>6.7358969999999996</v>
      </c>
    </row>
    <row r="83" spans="1:15" x14ac:dyDescent="0.3">
      <c r="A83" s="2">
        <v>44127</v>
      </c>
      <c r="B83" s="18">
        <v>11.946106</v>
      </c>
      <c r="C83" s="18">
        <v>17.572711999999999</v>
      </c>
      <c r="D83" s="18">
        <v>27.118766999999998</v>
      </c>
      <c r="E83" s="18">
        <v>-4.0508030000000002</v>
      </c>
      <c r="F83" s="18">
        <v>49.240364</v>
      </c>
      <c r="G83" s="18">
        <v>-4.4314090000000004</v>
      </c>
      <c r="H83" s="18">
        <v>-31.307877000000001</v>
      </c>
      <c r="I83" s="18">
        <v>15.189468</v>
      </c>
      <c r="J83" s="18">
        <v>-0.62389373999999997</v>
      </c>
      <c r="K83" s="25">
        <v>0.70453880000000002</v>
      </c>
      <c r="L83" s="25">
        <v>4.1234374000000003</v>
      </c>
      <c r="M83" s="25">
        <v>18.484317999999998</v>
      </c>
      <c r="N83" s="25">
        <v>-10.412902000000001</v>
      </c>
      <c r="O83">
        <v>11.899054</v>
      </c>
    </row>
    <row r="84" spans="1:15" x14ac:dyDescent="0.3">
      <c r="A84" s="2">
        <v>44158</v>
      </c>
      <c r="B84" s="18">
        <v>16.678692000000002</v>
      </c>
      <c r="C84" s="18">
        <v>17.213356000000001</v>
      </c>
      <c r="D84" s="18">
        <v>25.039923000000002</v>
      </c>
      <c r="E84" s="18">
        <v>-5.350155</v>
      </c>
      <c r="F84" s="18">
        <v>44.954715999999998</v>
      </c>
      <c r="G84" s="18">
        <v>-1.7136216</v>
      </c>
      <c r="H84" s="18">
        <v>-29.514068999999999</v>
      </c>
      <c r="I84" s="18">
        <v>16.77047</v>
      </c>
      <c r="J84" s="18">
        <v>5.1460980000000003</v>
      </c>
      <c r="K84" s="25">
        <v>8.9568019999999997</v>
      </c>
      <c r="L84" s="25">
        <v>10.919655000000001</v>
      </c>
      <c r="M84" s="25">
        <v>24.841415000000001</v>
      </c>
      <c r="N84" s="25">
        <v>-1.7793833999999999</v>
      </c>
      <c r="O84" s="25">
        <v>14.1549225</v>
      </c>
    </row>
    <row r="85" spans="1:15" x14ac:dyDescent="0.3">
      <c r="A85" s="2">
        <v>44188</v>
      </c>
      <c r="B85" s="18">
        <v>13.739955999999999</v>
      </c>
      <c r="C85" s="18">
        <v>16.607285000000001</v>
      </c>
      <c r="D85" s="18">
        <v>25.509108000000001</v>
      </c>
      <c r="E85" s="18">
        <v>-7.3495809999999997</v>
      </c>
      <c r="F85" s="18">
        <v>46.545887</v>
      </c>
      <c r="G85" s="18">
        <v>-2.9520333000000001</v>
      </c>
      <c r="H85" s="18">
        <v>-25.786971999999999</v>
      </c>
      <c r="I85" s="18">
        <v>16.523754</v>
      </c>
      <c r="J85" s="18">
        <v>5.9713960000000004</v>
      </c>
      <c r="K85" s="25">
        <v>10.061407000000001</v>
      </c>
      <c r="L85" s="25">
        <v>11.846315000000001</v>
      </c>
      <c r="M85" s="25">
        <v>21.088944999999999</v>
      </c>
      <c r="N85" s="25">
        <v>1.0918021</v>
      </c>
      <c r="O85">
        <v>14.805614</v>
      </c>
    </row>
    <row r="86" spans="1:15" x14ac:dyDescent="0.3">
      <c r="A86" s="2">
        <v>44218</v>
      </c>
      <c r="B86" s="18">
        <v>22.563755</v>
      </c>
      <c r="C86" s="18">
        <v>17.754363999999999</v>
      </c>
      <c r="D86" s="18">
        <v>18.46856</v>
      </c>
      <c r="E86" s="18">
        <v>-7.3820410000000001</v>
      </c>
      <c r="F86" s="18">
        <v>46.398223999999999</v>
      </c>
      <c r="G86" s="18">
        <v>-1.4589787000000001</v>
      </c>
      <c r="H86" s="18">
        <v>-15.754527</v>
      </c>
      <c r="I86" s="18">
        <v>10.1282835</v>
      </c>
      <c r="J86" s="18">
        <v>8.2971459999999997</v>
      </c>
      <c r="K86" s="25">
        <v>17.626345000000001</v>
      </c>
      <c r="L86" s="25">
        <v>17.387522000000001</v>
      </c>
      <c r="M86" s="25">
        <v>28.279709</v>
      </c>
      <c r="N86" s="25">
        <v>1.7071605000000001</v>
      </c>
      <c r="O86">
        <v>16.410959999999999</v>
      </c>
    </row>
    <row r="87" spans="1:15" x14ac:dyDescent="0.3">
      <c r="A87" s="2">
        <v>44250</v>
      </c>
      <c r="B87" s="18">
        <v>29.569852999999998</v>
      </c>
      <c r="C87" s="18">
        <v>18.410456</v>
      </c>
      <c r="D87" s="18">
        <v>9.3212600000000005</v>
      </c>
      <c r="E87" s="18">
        <v>-9.4297470000000008</v>
      </c>
      <c r="F87" s="18">
        <v>40.606056000000002</v>
      </c>
      <c r="G87" s="18">
        <v>8.7664369999999998</v>
      </c>
      <c r="H87" s="18">
        <v>5.31168</v>
      </c>
      <c r="I87" s="18">
        <v>-2.8622567999999999</v>
      </c>
      <c r="J87" s="18">
        <v>10.411013000000001</v>
      </c>
      <c r="K87" s="25">
        <v>24.845182000000001</v>
      </c>
      <c r="L87" s="25">
        <v>26.893509000000002</v>
      </c>
      <c r="M87" s="25">
        <v>29.137146000000001</v>
      </c>
      <c r="N87" s="25">
        <v>3.8347601999999998</v>
      </c>
      <c r="O87">
        <v>17.942164999999999</v>
      </c>
    </row>
    <row r="88" spans="1:15" x14ac:dyDescent="0.3">
      <c r="A88" s="2">
        <v>44278</v>
      </c>
      <c r="B88" s="18">
        <v>73.640656000000007</v>
      </c>
      <c r="C88" s="18">
        <v>77.521479999999997</v>
      </c>
      <c r="D88" s="18">
        <v>10.601497</v>
      </c>
      <c r="E88" s="18">
        <v>-11.047554</v>
      </c>
      <c r="F88" s="18">
        <v>87.257890000000003</v>
      </c>
      <c r="G88" s="18">
        <v>17.782425</v>
      </c>
      <c r="H88" s="18">
        <v>108.82353999999999</v>
      </c>
      <c r="I88" s="18">
        <v>-16.00994</v>
      </c>
      <c r="J88" s="18">
        <v>71.695999999999998</v>
      </c>
      <c r="K88" s="25">
        <v>87.878929999999997</v>
      </c>
      <c r="L88" s="25">
        <v>56.805027000000003</v>
      </c>
      <c r="M88" s="25">
        <v>107.77383</v>
      </c>
      <c r="N88" s="25">
        <v>67.437449999999998</v>
      </c>
      <c r="O88">
        <v>76.632350000000002</v>
      </c>
    </row>
    <row r="89" spans="1:15" x14ac:dyDescent="0.3">
      <c r="A89" s="2">
        <v>44309</v>
      </c>
      <c r="B89" s="18">
        <v>54.992294000000001</v>
      </c>
      <c r="C89" s="18">
        <v>51.735570000000003</v>
      </c>
      <c r="D89" s="18">
        <v>1.8733858999999999</v>
      </c>
      <c r="E89" s="18">
        <v>-10.209322</v>
      </c>
      <c r="F89" s="18">
        <v>62.235570000000003</v>
      </c>
      <c r="G89" s="18">
        <v>34.292029999999997</v>
      </c>
      <c r="H89" s="18">
        <v>124.23389</v>
      </c>
      <c r="I89" s="18">
        <v>-16.675429999999999</v>
      </c>
      <c r="J89" s="18">
        <v>54.398200000000003</v>
      </c>
      <c r="K89" s="25">
        <v>63.627552000000001</v>
      </c>
      <c r="L89" s="25">
        <v>38.469169999999998</v>
      </c>
      <c r="M89" s="25">
        <v>83.67765</v>
      </c>
      <c r="N89" s="25">
        <v>65.299499999999995</v>
      </c>
      <c r="O89">
        <v>52.391136000000003</v>
      </c>
    </row>
    <row r="90" spans="1:15" x14ac:dyDescent="0.3">
      <c r="A90" s="2">
        <v>44337</v>
      </c>
      <c r="B90" s="18">
        <v>44.47974</v>
      </c>
      <c r="C90" s="18">
        <v>42.985120000000002</v>
      </c>
      <c r="D90" s="18">
        <v>8.4992289999999997</v>
      </c>
      <c r="E90" s="18">
        <v>-9.996283</v>
      </c>
      <c r="F90" s="18">
        <v>43.771970000000003</v>
      </c>
      <c r="G90" s="18">
        <v>35.519526999999997</v>
      </c>
      <c r="H90" s="18">
        <v>76.567634999999996</v>
      </c>
      <c r="I90" s="18">
        <v>-15.155631</v>
      </c>
      <c r="J90" s="18">
        <v>50.519573000000001</v>
      </c>
      <c r="K90" s="25">
        <v>54.617607</v>
      </c>
      <c r="L90" s="25">
        <v>30.689990999999999</v>
      </c>
      <c r="M90" s="25">
        <v>72.496055999999996</v>
      </c>
      <c r="N90" s="25">
        <v>63.216186999999998</v>
      </c>
      <c r="O90">
        <v>44.484529999999999</v>
      </c>
    </row>
    <row r="91" spans="1:15" x14ac:dyDescent="0.3">
      <c r="A91" s="2">
        <v>44370</v>
      </c>
      <c r="B91" s="18">
        <v>35.74718</v>
      </c>
      <c r="C91" s="18">
        <v>37.459816000000004</v>
      </c>
      <c r="D91" s="18">
        <v>-0.20422935</v>
      </c>
      <c r="E91" s="18">
        <v>-5.5449305000000004</v>
      </c>
      <c r="F91" s="18">
        <v>40.536952999999997</v>
      </c>
      <c r="G91" s="18">
        <v>32.592593999999998</v>
      </c>
      <c r="H91" s="18">
        <v>73.602000000000004</v>
      </c>
      <c r="I91" s="18">
        <v>-9.9067030000000003</v>
      </c>
      <c r="J91" s="18">
        <v>35.317540000000001</v>
      </c>
      <c r="K91" s="25">
        <v>44.791041999999997</v>
      </c>
      <c r="L91" s="25">
        <v>20.725118999999999</v>
      </c>
      <c r="M91" s="25">
        <v>52.155830000000002</v>
      </c>
      <c r="N91" s="25">
        <v>34.800956999999997</v>
      </c>
      <c r="O91">
        <v>36.323666000000003</v>
      </c>
    </row>
    <row r="92" spans="1:15" x14ac:dyDescent="0.3">
      <c r="A92" s="2">
        <v>44400</v>
      </c>
      <c r="B92" s="18">
        <v>23.603200000000001</v>
      </c>
      <c r="C92" s="18">
        <v>38.265906999999999</v>
      </c>
      <c r="D92" s="18">
        <v>-4.8651036999999997</v>
      </c>
      <c r="E92" s="18">
        <v>-2.4599790000000001</v>
      </c>
      <c r="F92" s="18">
        <v>43.516993999999997</v>
      </c>
      <c r="G92" s="18">
        <v>37.144947000000002</v>
      </c>
      <c r="H92" s="18">
        <v>69.359886000000003</v>
      </c>
      <c r="I92" s="18">
        <v>-11.255050000000001</v>
      </c>
      <c r="J92" s="18">
        <v>30.523562999999999</v>
      </c>
      <c r="K92" s="25">
        <v>36.324215000000002</v>
      </c>
      <c r="L92" s="25">
        <v>22.805655000000002</v>
      </c>
      <c r="M92" s="25">
        <v>43.077860000000001</v>
      </c>
      <c r="N92" s="25">
        <v>26.188922999999999</v>
      </c>
      <c r="O92">
        <v>35.826039999999999</v>
      </c>
    </row>
    <row r="93" spans="1:15" x14ac:dyDescent="0.3">
      <c r="A93" s="2">
        <v>44431</v>
      </c>
      <c r="B93" s="18">
        <v>16.42934</v>
      </c>
      <c r="C93" s="18">
        <v>33.726129999999998</v>
      </c>
      <c r="D93" s="18">
        <v>-7.3064923000000004</v>
      </c>
      <c r="E93" s="18">
        <v>-0.83400010000000002</v>
      </c>
      <c r="F93" s="18">
        <v>33.163069999999998</v>
      </c>
      <c r="G93" s="18">
        <v>32.610225999999997</v>
      </c>
      <c r="H93" s="18">
        <v>53.403939999999999</v>
      </c>
      <c r="I93" s="18">
        <v>-8.1612220000000004</v>
      </c>
      <c r="J93" s="18">
        <v>32.614372000000003</v>
      </c>
      <c r="K93" s="25">
        <v>32.069552999999999</v>
      </c>
      <c r="L93" s="25">
        <v>18.559895999999998</v>
      </c>
      <c r="M93" s="25">
        <v>40.658639999999998</v>
      </c>
      <c r="N93" s="25">
        <v>31.054592</v>
      </c>
      <c r="O93">
        <v>32.140422999999998</v>
      </c>
    </row>
    <row r="94" spans="1:15" x14ac:dyDescent="0.3">
      <c r="A94" s="2">
        <v>44462</v>
      </c>
      <c r="B94" s="18">
        <v>23.200512</v>
      </c>
      <c r="C94" s="18">
        <v>39.309193</v>
      </c>
      <c r="D94" s="18">
        <v>-6.4534606999999999</v>
      </c>
      <c r="E94" s="18">
        <v>-2.1159886999999999</v>
      </c>
      <c r="F94" s="18">
        <v>41.950189999999999</v>
      </c>
      <c r="G94" s="18">
        <v>28.590965000000001</v>
      </c>
      <c r="H94" s="18">
        <v>86.407640000000001</v>
      </c>
      <c r="I94" s="18">
        <v>-8.4813410000000005</v>
      </c>
      <c r="J94" s="18">
        <v>36.811065999999997</v>
      </c>
      <c r="K94" s="25">
        <v>39.020515000000003</v>
      </c>
      <c r="L94" s="25">
        <v>25.183308</v>
      </c>
      <c r="M94" s="25">
        <v>42.232548000000001</v>
      </c>
      <c r="N94" s="25">
        <v>38.90034</v>
      </c>
      <c r="O94">
        <v>37.543488000000004</v>
      </c>
    </row>
    <row r="95" spans="1:15" x14ac:dyDescent="0.3">
      <c r="A95" s="2">
        <v>44491</v>
      </c>
      <c r="B95" s="18">
        <v>17.248557999999999</v>
      </c>
      <c r="C95" s="18">
        <v>33.353127000000001</v>
      </c>
      <c r="D95" s="18">
        <v>-6.1846436999999996</v>
      </c>
      <c r="E95" s="18">
        <v>7.9679490000000006E-2</v>
      </c>
      <c r="F95" s="18">
        <v>32.346269999999997</v>
      </c>
      <c r="G95" s="18">
        <v>27.211798000000002</v>
      </c>
      <c r="H95" s="18">
        <v>105.72096999999999</v>
      </c>
      <c r="I95" s="18">
        <v>-6.8578424</v>
      </c>
      <c r="J95" s="18">
        <v>33.496212</v>
      </c>
      <c r="K95" s="25">
        <v>30.062819000000001</v>
      </c>
      <c r="L95" s="25">
        <v>16.740835000000001</v>
      </c>
      <c r="M95" s="25">
        <v>38.644385999999997</v>
      </c>
      <c r="N95" s="25">
        <v>38.00423</v>
      </c>
      <c r="O95">
        <v>32.309852999999997</v>
      </c>
    </row>
    <row r="96" spans="1:15" x14ac:dyDescent="0.3">
      <c r="A96" s="2">
        <v>44523</v>
      </c>
      <c r="B96" s="18">
        <v>7.9784870000000003</v>
      </c>
      <c r="C96" s="18">
        <v>32.834994999999999</v>
      </c>
      <c r="D96" s="18">
        <v>-2.8740644</v>
      </c>
      <c r="E96" s="18">
        <v>3.6043286000000001</v>
      </c>
      <c r="F96" s="18">
        <v>37.610349999999997</v>
      </c>
      <c r="G96" s="18">
        <v>30.947769999999998</v>
      </c>
      <c r="H96" s="18">
        <v>91.482123999999999</v>
      </c>
      <c r="I96" s="18">
        <v>-8.7597190000000005</v>
      </c>
      <c r="J96" s="18">
        <v>20.794772999999999</v>
      </c>
      <c r="K96" s="25">
        <v>18.069064999999998</v>
      </c>
      <c r="L96" s="25">
        <v>8.700132</v>
      </c>
      <c r="M96" s="25">
        <v>23.184072</v>
      </c>
      <c r="N96" s="25">
        <v>19.590927000000001</v>
      </c>
      <c r="O96">
        <v>27.47147</v>
      </c>
    </row>
    <row r="97" spans="1:15" x14ac:dyDescent="0.3">
      <c r="A97" s="2">
        <v>44553</v>
      </c>
      <c r="B97" s="18">
        <v>2.5868416000000001</v>
      </c>
      <c r="C97" s="18">
        <v>29.753077000000001</v>
      </c>
      <c r="D97" s="18">
        <v>-3.8030148000000001</v>
      </c>
      <c r="E97" s="18">
        <v>5.7542086000000001</v>
      </c>
      <c r="F97" s="18">
        <v>29.40756</v>
      </c>
      <c r="G97" s="18">
        <v>26.299118</v>
      </c>
      <c r="H97" s="18">
        <v>63.361477000000001</v>
      </c>
      <c r="I97" s="18">
        <v>-3.7429869999999998</v>
      </c>
      <c r="J97" s="18">
        <v>16.223393999999999</v>
      </c>
      <c r="K97" s="25">
        <v>10.965287999999999</v>
      </c>
      <c r="L97" s="25">
        <v>4.1419864000000004</v>
      </c>
      <c r="M97" s="25">
        <v>21.191680000000002</v>
      </c>
      <c r="N97" s="25">
        <v>13.146055</v>
      </c>
      <c r="O97">
        <v>22.847116</v>
      </c>
    </row>
    <row r="98" spans="1:15" x14ac:dyDescent="0.3">
      <c r="A98" s="2">
        <v>44582</v>
      </c>
      <c r="B98" s="18">
        <v>-6.2964859999999998</v>
      </c>
      <c r="C98" s="18">
        <v>15.520096000000001</v>
      </c>
      <c r="D98" s="18">
        <v>-2.3904622</v>
      </c>
      <c r="E98" s="18">
        <v>5.4343342999999997</v>
      </c>
      <c r="F98" s="18">
        <v>8.2810400000000008</v>
      </c>
      <c r="G98" s="18">
        <v>22.343658000000001</v>
      </c>
      <c r="H98" s="18">
        <v>71.267830000000004</v>
      </c>
      <c r="I98" s="18">
        <v>-3.665632</v>
      </c>
      <c r="J98" s="18">
        <v>9.1306209999999997</v>
      </c>
      <c r="K98" s="25">
        <v>0.68652630000000003</v>
      </c>
      <c r="L98" s="25">
        <v>-4.4038352999999999</v>
      </c>
      <c r="M98" s="25">
        <v>5.8457613000000004</v>
      </c>
      <c r="N98" s="25">
        <v>11.726927999999999</v>
      </c>
      <c r="O98">
        <v>10.687900000000001</v>
      </c>
    </row>
    <row r="99" spans="1:15" x14ac:dyDescent="0.3">
      <c r="A99" s="2">
        <v>44615</v>
      </c>
      <c r="B99" s="18">
        <v>-9.1930209999999999</v>
      </c>
      <c r="C99" s="18">
        <v>10.35577</v>
      </c>
      <c r="D99" s="18">
        <v>5.4221870000000001</v>
      </c>
      <c r="E99" s="18">
        <v>6.0082316000000002</v>
      </c>
      <c r="F99" s="18">
        <v>2.963984</v>
      </c>
      <c r="G99" s="18">
        <v>23.200915999999999</v>
      </c>
      <c r="H99" s="18">
        <v>60.101019999999998</v>
      </c>
      <c r="I99" s="18">
        <v>-2.0828723999999998</v>
      </c>
      <c r="J99" s="18">
        <v>4.3853759999999999</v>
      </c>
      <c r="K99" s="25">
        <v>1.1755586</v>
      </c>
      <c r="L99" s="25">
        <v>-10.204095000000001</v>
      </c>
      <c r="M99" s="25">
        <v>-5.7659625999999999</v>
      </c>
      <c r="N99" s="25">
        <v>5.7786344999999999</v>
      </c>
      <c r="O99">
        <v>5.7949659999999996</v>
      </c>
    </row>
    <row r="100" spans="1:15" x14ac:dyDescent="0.3">
      <c r="A100" s="2">
        <v>44643</v>
      </c>
      <c r="B100" s="18">
        <v>-8.3243069999999992</v>
      </c>
      <c r="C100" s="18">
        <v>15.450454000000001</v>
      </c>
      <c r="D100" s="18">
        <v>12.36018</v>
      </c>
      <c r="E100" s="18">
        <v>5.988753</v>
      </c>
      <c r="F100" s="18">
        <v>11.445259999999999</v>
      </c>
      <c r="G100" s="18">
        <v>31.616343000000001</v>
      </c>
      <c r="H100" s="18">
        <v>109.68308</v>
      </c>
      <c r="I100" s="18">
        <v>-2.8524816</v>
      </c>
      <c r="J100" s="18">
        <v>2.0426272999999999</v>
      </c>
      <c r="K100" s="25">
        <v>0.54496526999999995</v>
      </c>
      <c r="L100" s="25">
        <v>-8.4056909999999991</v>
      </c>
      <c r="M100" s="25">
        <v>-6.5183935000000002</v>
      </c>
      <c r="N100" s="25">
        <v>-5.4049373000000003</v>
      </c>
      <c r="O100">
        <v>9.8130819999999996</v>
      </c>
    </row>
    <row r="101" spans="1:15" x14ac:dyDescent="0.3">
      <c r="A101" s="2">
        <v>44673</v>
      </c>
      <c r="B101" s="18">
        <v>-14.816273000000001</v>
      </c>
      <c r="C101" s="18">
        <v>4.7091246</v>
      </c>
      <c r="D101" s="18">
        <v>7.9322340000000002</v>
      </c>
      <c r="E101" s="18">
        <v>10.004066999999999</v>
      </c>
      <c r="F101" s="18">
        <v>-2.455479</v>
      </c>
      <c r="G101" s="18">
        <v>23.643409999999999</v>
      </c>
      <c r="H101" s="18">
        <v>80.616739999999993</v>
      </c>
      <c r="I101" s="18">
        <v>-13.171328000000001</v>
      </c>
      <c r="J101" s="18">
        <v>-5.3890586000000003</v>
      </c>
      <c r="K101" s="25">
        <v>-6.0792685000000004</v>
      </c>
      <c r="L101" s="25">
        <v>-15.186310000000001</v>
      </c>
      <c r="M101" s="25">
        <v>-14.718431000000001</v>
      </c>
      <c r="N101" s="25">
        <v>-8.4806740000000005</v>
      </c>
      <c r="O101">
        <v>-2.8818845999999999E-2</v>
      </c>
    </row>
    <row r="102" spans="1:15" x14ac:dyDescent="0.3">
      <c r="A102" s="2">
        <v>44704</v>
      </c>
      <c r="B102" s="18">
        <v>-16.137177000000001</v>
      </c>
      <c r="C102" s="18">
        <v>-3.0755102999999999</v>
      </c>
      <c r="D102" s="18">
        <v>-1.8234432</v>
      </c>
      <c r="E102" s="18">
        <v>12.675476</v>
      </c>
      <c r="F102" s="18">
        <v>-9.8207109999999993</v>
      </c>
      <c r="G102" s="18">
        <v>22.022842000000001</v>
      </c>
      <c r="H102" s="18">
        <v>86.062515000000005</v>
      </c>
      <c r="I102" s="18">
        <v>-13.963943499999999</v>
      </c>
      <c r="J102" s="18">
        <v>-11.790329</v>
      </c>
      <c r="K102" s="25">
        <v>-10.313148</v>
      </c>
      <c r="L102" s="25">
        <v>-13.390237000000001</v>
      </c>
      <c r="M102" s="25">
        <v>-21.499030999999999</v>
      </c>
      <c r="N102" s="25">
        <v>-12.616146000000001</v>
      </c>
      <c r="O102">
        <v>-6.5480590000000003</v>
      </c>
    </row>
    <row r="103" spans="1:15" x14ac:dyDescent="0.3">
      <c r="A103" s="2">
        <v>44735</v>
      </c>
      <c r="B103" s="18">
        <v>-20.787668</v>
      </c>
      <c r="C103" s="18">
        <v>-9.2645169999999997</v>
      </c>
      <c r="D103" s="18">
        <v>2.4798274</v>
      </c>
      <c r="E103" s="18">
        <v>12.71255</v>
      </c>
      <c r="F103" s="18">
        <v>-17.630784999999999</v>
      </c>
      <c r="G103" s="18">
        <v>15.418995000000001</v>
      </c>
      <c r="H103" s="18">
        <v>58.400154000000001</v>
      </c>
      <c r="I103" s="18">
        <v>-19.015556</v>
      </c>
      <c r="J103" s="18">
        <v>-19.473500000000001</v>
      </c>
      <c r="K103" s="25">
        <v>-21.509772999999999</v>
      </c>
      <c r="L103" s="25">
        <v>-20.199615000000001</v>
      </c>
      <c r="M103" s="25">
        <v>-29.67559</v>
      </c>
      <c r="N103" s="25">
        <v>-21.33972</v>
      </c>
      <c r="O103">
        <v>-13.408243000000001</v>
      </c>
    </row>
    <row r="104" spans="1:15" x14ac:dyDescent="0.3">
      <c r="A104" s="2">
        <v>44764</v>
      </c>
      <c r="B104" s="18">
        <v>-20.411290000000001</v>
      </c>
      <c r="C104" s="18">
        <v>-7.9775809999999998</v>
      </c>
      <c r="D104" s="18">
        <v>-4.9795984999999998</v>
      </c>
      <c r="E104" s="18">
        <v>14.056873</v>
      </c>
      <c r="F104" s="18">
        <v>-16.563880000000001</v>
      </c>
      <c r="G104" s="18">
        <v>2.0084499999999998</v>
      </c>
      <c r="H104" s="18">
        <v>50.310122999999997</v>
      </c>
      <c r="I104" s="18">
        <v>-19.338726000000001</v>
      </c>
      <c r="J104" s="18">
        <v>-17.609383000000001</v>
      </c>
      <c r="K104" s="25">
        <v>-19.164007000000002</v>
      </c>
      <c r="L104" s="25">
        <v>-17.071379</v>
      </c>
      <c r="M104" s="25">
        <v>-27.850538</v>
      </c>
      <c r="N104" s="25">
        <v>-23.823153999999999</v>
      </c>
      <c r="O104">
        <v>-11.874235000000001</v>
      </c>
    </row>
    <row r="105" spans="1:15" x14ac:dyDescent="0.3">
      <c r="A105" s="2">
        <v>44796</v>
      </c>
      <c r="B105" s="18">
        <v>-14.543581</v>
      </c>
      <c r="C105" s="18">
        <v>-6.4913454000000002</v>
      </c>
      <c r="D105" s="18">
        <v>-3.5322665999999998</v>
      </c>
      <c r="E105" s="18">
        <v>16.339611000000001</v>
      </c>
      <c r="F105" s="18">
        <v>-15.375775000000001</v>
      </c>
      <c r="G105" s="18">
        <v>8.4432600000000004</v>
      </c>
      <c r="H105" s="18">
        <v>68.737369999999999</v>
      </c>
      <c r="I105" s="18">
        <v>-24.206458999999999</v>
      </c>
      <c r="J105" s="18">
        <v>-20.633268000000001</v>
      </c>
      <c r="K105" s="25">
        <v>-14.567577</v>
      </c>
      <c r="L105" s="25">
        <v>-16.390454999999999</v>
      </c>
      <c r="M105" s="25">
        <v>-30.635802999999999</v>
      </c>
      <c r="N105" s="25">
        <v>-23.932611000000001</v>
      </c>
      <c r="O105">
        <v>-10.910064</v>
      </c>
    </row>
    <row r="106" spans="1:15" x14ac:dyDescent="0.3">
      <c r="A106" s="2">
        <v>44827</v>
      </c>
      <c r="B106" s="18">
        <v>-23.847652</v>
      </c>
      <c r="C106" s="18">
        <v>-15.715801000000001</v>
      </c>
      <c r="D106" s="18">
        <v>-6.4216255999999996</v>
      </c>
      <c r="E106" s="18">
        <v>21.377098</v>
      </c>
      <c r="F106" s="18">
        <v>-25.674645999999999</v>
      </c>
      <c r="G106" s="18">
        <v>7.7659606999999999</v>
      </c>
      <c r="H106" s="18">
        <v>26.880597999999999</v>
      </c>
      <c r="I106" s="18">
        <v>-27.424150000000001</v>
      </c>
      <c r="J106" s="18">
        <v>-29.65691</v>
      </c>
      <c r="K106" s="25">
        <v>-24.598915000000002</v>
      </c>
      <c r="L106" s="25">
        <v>-29.775815999999999</v>
      </c>
      <c r="M106" s="25">
        <v>-39.550080000000001</v>
      </c>
      <c r="N106" s="25">
        <v>-30.053335000000001</v>
      </c>
      <c r="O106">
        <v>-20.419370000000001</v>
      </c>
    </row>
    <row r="107" spans="1:15" x14ac:dyDescent="0.3">
      <c r="A107" s="2">
        <v>44855</v>
      </c>
      <c r="B107" s="18">
        <v>-26.789904</v>
      </c>
      <c r="C107" s="18">
        <v>-16.231209</v>
      </c>
      <c r="D107" s="18">
        <v>-7.5562240000000003</v>
      </c>
      <c r="E107" s="18">
        <v>19.626545</v>
      </c>
      <c r="F107" s="18">
        <v>-26.54382</v>
      </c>
      <c r="G107" s="18">
        <v>5.5818795999999997</v>
      </c>
      <c r="H107" s="18">
        <v>23.679817</v>
      </c>
      <c r="I107" s="18">
        <v>-33.352238</v>
      </c>
      <c r="J107" s="18">
        <v>-26.690726999999999</v>
      </c>
      <c r="K107" s="25">
        <v>-22.786760000000001</v>
      </c>
      <c r="L107" s="25">
        <v>-25.680720999999998</v>
      </c>
      <c r="M107" s="25">
        <v>-37.448647000000001</v>
      </c>
      <c r="N107" s="25">
        <v>-27.777815</v>
      </c>
      <c r="O107">
        <v>-20.074648</v>
      </c>
    </row>
    <row r="108" spans="1:15" x14ac:dyDescent="0.3">
      <c r="A108" s="2">
        <v>44888</v>
      </c>
      <c r="B108" s="18">
        <v>-20.428298999999999</v>
      </c>
      <c r="C108" s="18">
        <v>-12.7440815</v>
      </c>
      <c r="D108" s="18">
        <v>-2.5107563000000002</v>
      </c>
      <c r="E108" s="18">
        <v>10.475445000000001</v>
      </c>
      <c r="F108" s="18">
        <v>-26.886576000000002</v>
      </c>
      <c r="G108" s="18">
        <v>-2.1171867999999998</v>
      </c>
      <c r="H108" s="18">
        <v>21.097861999999999</v>
      </c>
      <c r="I108" s="18">
        <v>-27.049578</v>
      </c>
      <c r="J108" s="18">
        <v>-13.973402999999999</v>
      </c>
      <c r="K108" s="25">
        <v>-16.862660999999999</v>
      </c>
      <c r="L108" s="25">
        <v>-18.326962000000002</v>
      </c>
      <c r="M108" s="25">
        <v>-23.492681999999999</v>
      </c>
      <c r="N108" s="25">
        <v>-12.758832999999999</v>
      </c>
      <c r="O108">
        <v>-14.063513</v>
      </c>
    </row>
    <row r="109" spans="1:15" x14ac:dyDescent="0.3">
      <c r="A109" s="2">
        <v>44918</v>
      </c>
      <c r="B109" s="18">
        <v>-18.012571000000001</v>
      </c>
      <c r="C109" s="18">
        <v>-17.309909999999999</v>
      </c>
      <c r="D109" s="18">
        <v>-1.0120153000000001</v>
      </c>
      <c r="E109" s="18">
        <v>9.7000010000000003</v>
      </c>
      <c r="F109" s="18">
        <v>-32.146500000000003</v>
      </c>
      <c r="G109" s="18">
        <v>1.8516302</v>
      </c>
      <c r="H109" s="18">
        <v>31.111108999999999</v>
      </c>
      <c r="I109" s="18">
        <v>-29.605902</v>
      </c>
      <c r="J109" s="18">
        <v>-14.958036</v>
      </c>
      <c r="K109" s="25">
        <v>-18.652259999999998</v>
      </c>
      <c r="L109" s="25">
        <v>-17.761510000000001</v>
      </c>
      <c r="M109" s="25">
        <v>-26.43826</v>
      </c>
      <c r="N109" s="25">
        <v>-13.064199</v>
      </c>
      <c r="O109">
        <v>-17.254860000000001</v>
      </c>
    </row>
    <row r="110" spans="1:15" x14ac:dyDescent="0.3">
      <c r="A110" s="2">
        <v>44949</v>
      </c>
      <c r="B110" s="18">
        <v>-10.318851</v>
      </c>
      <c r="C110" s="18">
        <v>-7.0396184999999996</v>
      </c>
      <c r="D110" s="18">
        <v>4.9915314000000004</v>
      </c>
      <c r="E110" s="18">
        <v>8.2445029999999999</v>
      </c>
      <c r="F110" s="18">
        <v>-17.233128000000001</v>
      </c>
      <c r="G110" s="18">
        <v>-3.3498347000000002</v>
      </c>
      <c r="H110" s="18">
        <v>18.449200000000001</v>
      </c>
      <c r="I110" s="18">
        <v>-24.686980999999999</v>
      </c>
      <c r="J110" s="18">
        <v>-4.8819600000000003</v>
      </c>
      <c r="K110" s="25">
        <v>-12.471591999999999</v>
      </c>
      <c r="L110" s="25">
        <v>-9.9153579999999994</v>
      </c>
      <c r="M110" s="25">
        <v>-12.022537</v>
      </c>
      <c r="N110" s="25">
        <v>-4.4513645000000004</v>
      </c>
      <c r="O110">
        <v>-6.8276050000000001</v>
      </c>
    </row>
    <row r="111" spans="1:15" x14ac:dyDescent="0.3">
      <c r="A111" s="2">
        <v>44980</v>
      </c>
      <c r="B111" s="18">
        <v>-13.634335999999999</v>
      </c>
      <c r="C111" s="18">
        <v>-3.5008073</v>
      </c>
      <c r="D111" s="18">
        <v>-4.8909006000000002</v>
      </c>
      <c r="E111" s="18">
        <v>10.747075000000001</v>
      </c>
      <c r="F111" s="18">
        <v>-9.2342429999999993</v>
      </c>
      <c r="G111" s="18">
        <v>-3.4542440999999999</v>
      </c>
      <c r="H111" s="18">
        <v>1.1917233</v>
      </c>
      <c r="I111" s="18">
        <v>-23.315275</v>
      </c>
      <c r="J111" s="18">
        <v>-1.1114596999999999</v>
      </c>
      <c r="K111" s="25">
        <v>-15.228552000000001</v>
      </c>
      <c r="L111" s="25">
        <v>-8.5335970000000003</v>
      </c>
      <c r="M111" s="25">
        <v>-3.7545204000000001</v>
      </c>
      <c r="N111" s="25">
        <v>0.86493489999999995</v>
      </c>
      <c r="O111">
        <v>-3.9273739999999999</v>
      </c>
    </row>
    <row r="112" spans="1:15" x14ac:dyDescent="0.3">
      <c r="A112" s="2">
        <v>45008</v>
      </c>
      <c r="B112" s="18">
        <v>-10.520333000000001</v>
      </c>
      <c r="C112" s="18">
        <v>-9.896153</v>
      </c>
      <c r="D112" s="18">
        <v>2.1615981999999998</v>
      </c>
      <c r="E112" s="18">
        <v>6.5785169999999997</v>
      </c>
      <c r="F112" s="18">
        <v>-11.286574</v>
      </c>
      <c r="G112" s="18">
        <v>-11.127395</v>
      </c>
      <c r="H112" s="18">
        <v>-25.554995999999999</v>
      </c>
      <c r="I112" s="18">
        <v>-17.002313999999998</v>
      </c>
      <c r="J112" s="18">
        <v>-1.367718</v>
      </c>
      <c r="K112" s="25">
        <v>-13.177413</v>
      </c>
      <c r="L112" s="25">
        <v>-7.1289243999999998</v>
      </c>
      <c r="M112" s="25">
        <v>-10.42775</v>
      </c>
      <c r="N112" s="25">
        <v>7.7762245999999999</v>
      </c>
      <c r="O112">
        <v>-9.1454140000000006</v>
      </c>
    </row>
    <row r="113" spans="1:15" x14ac:dyDescent="0.3">
      <c r="A113" s="2">
        <v>45037</v>
      </c>
      <c r="B113" s="18">
        <v>-5.5795909999999997</v>
      </c>
      <c r="C113" s="18">
        <v>-4.2972029999999997</v>
      </c>
      <c r="D113" s="18">
        <v>1.2029052</v>
      </c>
      <c r="E113" s="18">
        <v>4.1048289999999996</v>
      </c>
      <c r="F113" s="18">
        <v>-4.5240400000000003</v>
      </c>
      <c r="G113" s="18">
        <v>-6.932086</v>
      </c>
      <c r="H113" s="18">
        <v>-12.883067</v>
      </c>
      <c r="I113" s="18">
        <v>-11.223966000000001</v>
      </c>
      <c r="J113" s="18">
        <v>6.7317723999999997</v>
      </c>
      <c r="K113" s="25">
        <v>-9.4666899999999998</v>
      </c>
      <c r="L113" s="25">
        <v>3.3749937999999999</v>
      </c>
      <c r="M113" s="25">
        <v>-1.7357349</v>
      </c>
      <c r="N113" s="25">
        <v>14.7589445</v>
      </c>
      <c r="O113">
        <v>-2.3288608000000002</v>
      </c>
    </row>
    <row r="114" spans="1:15" x14ac:dyDescent="0.3">
      <c r="A114" s="2">
        <v>45069</v>
      </c>
      <c r="B114" s="18">
        <v>-3.3343256000000001</v>
      </c>
      <c r="C114" s="18">
        <v>6.106484</v>
      </c>
      <c r="D114" s="18">
        <v>6.1331870000000004</v>
      </c>
      <c r="E114" s="18">
        <v>4.8707723999999999</v>
      </c>
      <c r="F114" s="18">
        <v>14.457917</v>
      </c>
      <c r="G114" s="18">
        <v>-7.1226596999999998</v>
      </c>
      <c r="H114" s="18">
        <v>-19.681370000000001</v>
      </c>
      <c r="I114" s="18">
        <v>-10.924524</v>
      </c>
      <c r="J114" s="18">
        <v>9.6561789999999998</v>
      </c>
      <c r="K114" s="25">
        <v>-2.9291391</v>
      </c>
      <c r="L114" s="25">
        <v>5.9608816999999998</v>
      </c>
      <c r="M114" s="25">
        <v>2.3831606000000001</v>
      </c>
      <c r="N114" s="25">
        <v>14.636028</v>
      </c>
      <c r="O114">
        <v>5.8714985999999998</v>
      </c>
    </row>
    <row r="115" spans="1:15" x14ac:dyDescent="0.3">
      <c r="A115" s="2">
        <v>45100</v>
      </c>
      <c r="B115" s="18">
        <v>0.73317290000000002</v>
      </c>
      <c r="C115" s="18">
        <v>16.475940000000001</v>
      </c>
      <c r="D115" s="18">
        <v>4.6634555000000004</v>
      </c>
      <c r="E115" s="18">
        <v>2.7265071999999999</v>
      </c>
      <c r="F115" s="18">
        <v>28.18364</v>
      </c>
      <c r="G115" s="18">
        <v>4.7219157000000003</v>
      </c>
      <c r="H115" s="18" t="e">
        <v>#N/A</v>
      </c>
      <c r="I115" s="18">
        <v>-6.8849564000000001</v>
      </c>
      <c r="J115" s="18">
        <v>18.82217</v>
      </c>
      <c r="K115" s="25">
        <v>10.986603000000001</v>
      </c>
      <c r="L115" s="25">
        <v>16.742001999999999</v>
      </c>
      <c r="M115" s="25">
        <v>12.560153</v>
      </c>
      <c r="N115" s="25">
        <v>30.077992999999999</v>
      </c>
      <c r="O115">
        <v>15.962588999999999</v>
      </c>
    </row>
    <row r="116" spans="1:15" x14ac:dyDescent="0.3">
      <c r="A116" s="2">
        <v>45128</v>
      </c>
      <c r="B116" s="18">
        <v>3.9956927000000002</v>
      </c>
      <c r="C116" s="18">
        <v>15.256536499999999</v>
      </c>
      <c r="D116" s="18">
        <v>13.670671</v>
      </c>
      <c r="E116" s="18">
        <v>-1.1022687</v>
      </c>
      <c r="F116" s="18">
        <v>23.077179000000001</v>
      </c>
      <c r="G116" s="18">
        <v>12.846434</v>
      </c>
      <c r="H116" s="18" t="e">
        <v>#N/A</v>
      </c>
      <c r="I116" s="18">
        <v>-10.185003</v>
      </c>
      <c r="J116" s="18">
        <v>22.304690000000001</v>
      </c>
      <c r="K116" s="25">
        <v>12.068605</v>
      </c>
      <c r="L116" s="25">
        <v>15.514922</v>
      </c>
      <c r="M116" s="25">
        <v>10.412931</v>
      </c>
      <c r="N116" s="25">
        <v>47.998832999999998</v>
      </c>
      <c r="O116">
        <v>15.838659</v>
      </c>
    </row>
    <row r="117" spans="1:15" x14ac:dyDescent="0.3">
      <c r="A117" s="2">
        <v>45161</v>
      </c>
      <c r="B117" s="18">
        <v>0.89832544000000003</v>
      </c>
      <c r="C117" s="18">
        <v>9.2108135000000004</v>
      </c>
      <c r="D117" s="18">
        <v>9.2891809999999992</v>
      </c>
      <c r="E117" s="18">
        <v>-0.19797682999999999</v>
      </c>
      <c r="F117" s="18">
        <v>18.353390000000001</v>
      </c>
      <c r="G117" s="18">
        <v>4.5489670000000002</v>
      </c>
      <c r="H117" s="18" t="e">
        <v>#N/A</v>
      </c>
      <c r="I117" s="18">
        <v>-12.134259999999999</v>
      </c>
      <c r="J117" s="18">
        <v>17.705286000000001</v>
      </c>
      <c r="K117" s="25">
        <v>4.9673676000000002</v>
      </c>
      <c r="L117" s="25">
        <v>10.549116</v>
      </c>
      <c r="M117" s="25">
        <v>6.7746519999999997</v>
      </c>
      <c r="N117" s="25">
        <v>37.182139999999997</v>
      </c>
      <c r="O117">
        <v>9.4924090000000003</v>
      </c>
    </row>
    <row r="118" spans="1:15" x14ac:dyDescent="0.3">
      <c r="A118" s="2">
        <v>45191</v>
      </c>
      <c r="B118" s="18">
        <v>6.4562080000000002</v>
      </c>
      <c r="C118" s="18">
        <v>16.846990000000002</v>
      </c>
      <c r="D118" s="18">
        <v>14.720618999999999</v>
      </c>
      <c r="E118" s="18">
        <v>-0.20292400999999999</v>
      </c>
      <c r="F118" s="18">
        <v>28.66311</v>
      </c>
      <c r="G118" s="18">
        <v>6.327045</v>
      </c>
      <c r="H118" s="18" t="e">
        <v>#N/A</v>
      </c>
      <c r="I118" s="18">
        <v>-10.427189</v>
      </c>
      <c r="J118" s="18">
        <v>25.182092999999998</v>
      </c>
      <c r="K118" s="25">
        <v>9.6645830000000004</v>
      </c>
      <c r="L118" s="25">
        <v>22.135508000000002</v>
      </c>
      <c r="M118" s="25">
        <v>17.665635999999999</v>
      </c>
      <c r="N118" s="25">
        <v>40.317689999999999</v>
      </c>
      <c r="O118">
        <v>17.697120000000002</v>
      </c>
    </row>
    <row r="119" spans="1:15" x14ac:dyDescent="0.3">
      <c r="A119" s="2">
        <v>45222</v>
      </c>
      <c r="B119" s="18">
        <v>6.1019180000000004</v>
      </c>
      <c r="C119" s="18">
        <v>14.121771000000001</v>
      </c>
      <c r="D119" s="18">
        <v>18.696081</v>
      </c>
      <c r="E119" s="18">
        <v>-0.52861570000000002</v>
      </c>
      <c r="F119" s="18">
        <v>30.016529999999999</v>
      </c>
      <c r="G119" s="18">
        <v>9.9127770000000002</v>
      </c>
      <c r="H119" s="18" t="e">
        <v>#N/A</v>
      </c>
      <c r="I119" s="18">
        <v>-6.6721680000000001</v>
      </c>
      <c r="J119" s="18">
        <v>19.673860000000001</v>
      </c>
      <c r="K119" s="25">
        <v>7.6164959999999997</v>
      </c>
      <c r="L119" s="25">
        <v>18.744553</v>
      </c>
      <c r="M119" s="25">
        <v>11.900233999999999</v>
      </c>
      <c r="N119" s="25">
        <v>34.352336999999999</v>
      </c>
      <c r="O119">
        <v>14.602936</v>
      </c>
    </row>
    <row r="120" spans="1:15" x14ac:dyDescent="0.3">
      <c r="A120" s="2">
        <v>45252</v>
      </c>
      <c r="B120" s="18">
        <v>7.7876687000000002</v>
      </c>
      <c r="C120" s="18">
        <v>15.592897000000001</v>
      </c>
      <c r="D120" s="18">
        <v>13.876713000000001</v>
      </c>
      <c r="E120" s="18">
        <v>2.4853109999999998</v>
      </c>
      <c r="F120" s="18">
        <v>37.337173</v>
      </c>
      <c r="G120" s="18">
        <v>11.1132145</v>
      </c>
      <c r="H120" s="18" t="e">
        <v>#N/A</v>
      </c>
      <c r="I120" s="18">
        <v>-7.4851749999999999</v>
      </c>
      <c r="J120" s="18">
        <v>13.695765</v>
      </c>
      <c r="K120" s="25">
        <v>9.2554680000000005</v>
      </c>
      <c r="L120" s="25">
        <v>14.778948</v>
      </c>
      <c r="M120" s="25">
        <v>9.5808619999999998</v>
      </c>
      <c r="N120" s="25">
        <v>23.248280000000001</v>
      </c>
      <c r="O120">
        <v>14.334880999999999</v>
      </c>
    </row>
    <row r="121" spans="1:15" x14ac:dyDescent="0.3">
      <c r="A121" s="2">
        <v>45282</v>
      </c>
      <c r="B121" s="18">
        <v>7.4459790000000003</v>
      </c>
      <c r="C121" s="18">
        <v>26.313649999999999</v>
      </c>
      <c r="D121" s="18">
        <v>14.098108</v>
      </c>
      <c r="E121" s="18">
        <v>3.1918525999999998</v>
      </c>
      <c r="F121" s="18">
        <v>54.062890000000003</v>
      </c>
      <c r="G121" s="18">
        <v>8.7332490000000007</v>
      </c>
      <c r="H121" s="18" t="e">
        <v>#N/A</v>
      </c>
      <c r="I121" s="18">
        <v>-1.7207444000000001</v>
      </c>
      <c r="J121" s="18">
        <v>19.478394000000002</v>
      </c>
      <c r="K121" s="25">
        <v>16.501830999999999</v>
      </c>
      <c r="L121" s="25">
        <v>18.172909000000001</v>
      </c>
      <c r="M121" s="25">
        <v>25.088846</v>
      </c>
      <c r="N121" s="25">
        <v>30.55321</v>
      </c>
      <c r="O121">
        <v>23.826122000000002</v>
      </c>
    </row>
    <row r="122" spans="1:15" x14ac:dyDescent="0.3">
      <c r="A122" s="2">
        <v>45314</v>
      </c>
      <c r="B122">
        <v>-4.2636750000000001</v>
      </c>
      <c r="C122">
        <v>22.877192999999998</v>
      </c>
      <c r="D122">
        <v>4.6317339999999998</v>
      </c>
      <c r="E122">
        <v>7.5459360000000002</v>
      </c>
      <c r="F122">
        <v>47.562919999999998</v>
      </c>
      <c r="G122">
        <v>15.144849000000001</v>
      </c>
      <c r="H122" t="e">
        <v>#N/A</v>
      </c>
      <c r="I122">
        <v>-8.0775795000000006</v>
      </c>
      <c r="J122">
        <v>6.2650800000000002</v>
      </c>
      <c r="K122" s="25">
        <v>6.5093516999999999</v>
      </c>
      <c r="L122" s="25">
        <v>16.995477999999999</v>
      </c>
      <c r="M122" s="25">
        <v>4.744637</v>
      </c>
      <c r="N122" s="25">
        <v>15.873396</v>
      </c>
      <c r="O122">
        <v>18.016231999999999</v>
      </c>
    </row>
    <row r="123" spans="1:15" x14ac:dyDescent="0.3">
      <c r="A123" s="2"/>
    </row>
    <row r="124" spans="1:15" x14ac:dyDescent="0.3">
      <c r="A124" s="2"/>
    </row>
    <row r="125" spans="1:15" x14ac:dyDescent="0.3">
      <c r="A125" s="2"/>
    </row>
    <row r="126" spans="1:15" x14ac:dyDescent="0.3">
      <c r="A126" s="2" t="s">
        <v>28</v>
      </c>
      <c r="B126" s="18" cm="1">
        <f t="array" ref="B126">MIN(_xlfn._xlws.FILTER(B2:B122, ISNUMBER(B2:B122)))</f>
        <v>-27.514713</v>
      </c>
      <c r="C126" s="18" cm="1">
        <f t="array" ref="C126">MIN(_xlfn._xlws.FILTER(C2:C122, ISNUMBER(C2:C122)))</f>
        <v>-18.508112000000001</v>
      </c>
      <c r="D126" s="18" cm="1">
        <f t="array" ref="D126">MIN(_xlfn._xlws.FILTER(D2:D122, ISNUMBER(D2:D122)))</f>
        <v>-25.378353000000001</v>
      </c>
      <c r="E126" s="18" cm="1">
        <f t="array" ref="E126">MIN(_xlfn._xlws.FILTER(E2:E122, ISNUMBER(E2:E122)))</f>
        <v>-11.047554</v>
      </c>
      <c r="F126" s="18" cm="1">
        <f t="array" ref="F126">MIN(_xlfn._xlws.FILTER(F2:F122, ISNUMBER(F2:F122)))</f>
        <v>-32.146500000000003</v>
      </c>
      <c r="G126" s="18" cm="1">
        <f t="array" ref="G126">MIN(_xlfn._xlws.FILTER(G2:G122, ISNUMBER(G2:G122)))</f>
        <v>-23.724747000000001</v>
      </c>
      <c r="H126" s="18" cm="1">
        <f t="array" ref="H126">MIN(_xlfn._xlws.FILTER(H2:H122, ISNUMBER(H2:H122)))</f>
        <v>-59.307155999999999</v>
      </c>
      <c r="I126" s="18" cm="1">
        <f t="array" ref="I126">MIN(_xlfn._xlws.FILTER(I2:I122, ISNUMBER(I2:I122)))</f>
        <v>-33.352238</v>
      </c>
      <c r="J126" s="18" cm="1">
        <f t="array" ref="J126">MIN(_xlfn._xlws.FILTER(J2:J122, ISNUMBER(J2:J122)))</f>
        <v>-29.65691</v>
      </c>
      <c r="K126" s="18" cm="1">
        <f t="array" ref="K126">MIN(_xlfn._xlws.FILTER(K2:K122, ISNUMBER(K2:K122)))</f>
        <v>-33.121882999999997</v>
      </c>
      <c r="L126" s="18" cm="1">
        <f t="array" ref="L126">MIN(_xlfn._xlws.FILTER(L2:L122, ISNUMBER(L2:L122)))</f>
        <v>-29.775815999999999</v>
      </c>
      <c r="M126" s="18" cm="1">
        <f t="array" ref="M126">MIN(_xlfn._xlws.FILTER(M2:M122, ISNUMBER(M2:M122)))</f>
        <v>-39.550080000000001</v>
      </c>
      <c r="N126" s="18" cm="1">
        <f t="array" ref="N126">MIN(_xlfn._xlws.FILTER(N2:N122, ISNUMBER(N2:N122)))</f>
        <v>-30.053335000000001</v>
      </c>
      <c r="O126" s="18" cm="1">
        <f t="array" ref="O126">MIN(_xlfn._xlws.FILTER(O2:O122, ISNUMBER(O2:O122)))</f>
        <v>-21.499979</v>
      </c>
    </row>
    <row r="127" spans="1:15" x14ac:dyDescent="0.3">
      <c r="A127" s="2" t="s">
        <v>50</v>
      </c>
      <c r="B127" s="20" cm="1">
        <f t="array" ref="B127">MAX(_xlfn._xlws.FILTER(B1:B122, ISNUMBER(B1:B122)))</f>
        <v>73.640656000000007</v>
      </c>
      <c r="C127" s="20" cm="1">
        <f t="array" ref="C127">MAX(_xlfn._xlws.FILTER(C1:C122, ISNUMBER(C1:C122)))</f>
        <v>77.521479999999997</v>
      </c>
      <c r="D127" s="20" cm="1">
        <f t="array" ref="D127">MAX(_xlfn._xlws.FILTER(D1:D122, ISNUMBER(D1:D122)))</f>
        <v>35.98068</v>
      </c>
      <c r="E127" s="20" cm="1">
        <f t="array" ref="E127">MAX(_xlfn._xlws.FILTER(E1:E122, ISNUMBER(E1:E122)))</f>
        <v>21.377098</v>
      </c>
      <c r="F127" s="20" cm="1">
        <f t="array" ref="F127">MAX(_xlfn._xlws.FILTER(F1:F122, ISNUMBER(F1:F122)))</f>
        <v>87.257890000000003</v>
      </c>
      <c r="G127" s="20" cm="1">
        <f t="array" ref="G127">MAX(_xlfn._xlws.FILTER(G1:G122, ISNUMBER(G1:G122)))</f>
        <v>37.144947000000002</v>
      </c>
      <c r="H127" s="20" cm="1">
        <f t="array" ref="H127">MAX(_xlfn._xlws.FILTER(H1:H122, ISNUMBER(H1:H122)))</f>
        <v>124.23389</v>
      </c>
      <c r="I127" s="20" cm="1">
        <f t="array" ref="I127">MAX(_xlfn._xlws.FILTER(I1:I122, ISNUMBER(I1:I122)))</f>
        <v>42.034041999999999</v>
      </c>
      <c r="J127" s="20" cm="1">
        <f t="array" ref="J127">MAX(_xlfn._xlws.FILTER(J1:J122, ISNUMBER(J1:J122)))</f>
        <v>71.695999999999998</v>
      </c>
      <c r="K127" s="20" cm="1">
        <f t="array" ref="K127">MAX(_xlfn._xlws.FILTER(K1:K122, ISNUMBER(K1:K122)))</f>
        <v>87.878929999999997</v>
      </c>
      <c r="L127" s="20" cm="1">
        <f t="array" ref="L127">MAX(_xlfn._xlws.FILTER(L1:L122, ISNUMBER(L1:L122)))</f>
        <v>56.805027000000003</v>
      </c>
      <c r="M127" s="20" cm="1">
        <f t="array" ref="M127">MAX(_xlfn._xlws.FILTER(M1:M122, ISNUMBER(M1:M122)))</f>
        <v>107.77383</v>
      </c>
      <c r="N127" s="20" cm="1">
        <f t="array" ref="N127">MAX(_xlfn._xlws.FILTER(N1:N122, ISNUMBER(N1:N122)))</f>
        <v>67.437449999999998</v>
      </c>
      <c r="O127" s="20" cm="1">
        <f t="array" ref="O127">MAX(_xlfn._xlws.FILTER(O1:O122, ISNUMBER(O1:O122)))</f>
        <v>76.632350000000002</v>
      </c>
    </row>
    <row r="128" spans="1:15" x14ac:dyDescent="0.3">
      <c r="A128" s="2" t="s">
        <v>51</v>
      </c>
      <c r="B128" s="18" cm="1">
        <f t="array" ref="B128">MEDIAN(_xlfn._xlws.FILTER(B1:B122, ISNUMBER(B1:B122)))</f>
        <v>2.9290438000000001</v>
      </c>
      <c r="C128" s="18" cm="1">
        <f t="array" ref="C128">MEDIAN(_xlfn._xlws.FILTER(C1:C122, ISNUMBER(C1:C122)))</f>
        <v>14.585661999999999</v>
      </c>
      <c r="D128" s="18" cm="1">
        <f t="array" ref="D128">MEDIAN(_xlfn._xlws.FILTER(D1:D122, ISNUMBER(D1:D122)))</f>
        <v>1.5507221</v>
      </c>
      <c r="E128" s="18" cm="1">
        <f t="array" ref="E128">MEDIAN(_xlfn._xlws.FILTER(E1:E122, ISNUMBER(E1:E122)))</f>
        <v>3.6043286000000001</v>
      </c>
      <c r="F128" s="18" cm="1">
        <f t="array" ref="F128">MEDIAN(_xlfn._xlws.FILTER(F1:F122, ISNUMBER(F1:F122)))</f>
        <v>22.651040999999999</v>
      </c>
      <c r="G128" s="18" cm="1">
        <f t="array" ref="G128">MEDIAN(_xlfn._xlws.FILTER(G1:G122, ISNUMBER(G1:G122)))</f>
        <v>-3.64635</v>
      </c>
      <c r="H128" s="18" cm="1">
        <f t="array" ref="H128">MEDIAN(_xlfn._xlws.FILTER(H1:H122, ISNUMBER(H1:H122)))</f>
        <v>-4.1764140000000003</v>
      </c>
      <c r="I128" s="18" cm="1">
        <f t="array" ref="I128">MEDIAN(_xlfn._xlws.FILTER(I1:I122, ISNUMBER(I1:I122)))</f>
        <v>-0.29343963000000001</v>
      </c>
      <c r="J128" s="18" cm="1">
        <f t="array" ref="J128">MEDIAN(_xlfn._xlws.FILTER(J1:J122, ISNUMBER(J1:J122)))</f>
        <v>3.5835146999999998</v>
      </c>
      <c r="K128" s="18" cm="1">
        <f t="array" ref="K128">MEDIAN(_xlfn._xlws.FILTER(K1:K122, ISNUMBER(K1:K122)))</f>
        <v>0.54496526999999995</v>
      </c>
      <c r="L128" s="18" cm="1">
        <f t="array" ref="L128">MEDIAN(_xlfn._xlws.FILTER(L1:L122, ISNUMBER(L1:L122)))</f>
        <v>6.1492323999999998</v>
      </c>
      <c r="M128" s="18" cm="1">
        <f t="array" ref="M128">MEDIAN(_xlfn._xlws.FILTER(M1:M122, ISNUMBER(M1:M122)))</f>
        <v>2.1135092000000002</v>
      </c>
      <c r="N128" s="18" cm="1">
        <f t="array" ref="N128">MEDIAN(_xlfn._xlws.FILTER(N1:N122, ISNUMBER(N1:N122)))</f>
        <v>1.1945724</v>
      </c>
      <c r="O128" s="18" cm="1">
        <f t="array" ref="O128">MEDIAN(_xlfn._xlws.FILTER(O1:O122, ISNUMBER(O1:O122)))</f>
        <v>9.8130819999999996</v>
      </c>
    </row>
    <row r="129" spans="1:15" x14ac:dyDescent="0.3">
      <c r="A129" s="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spans="1:15" x14ac:dyDescent="0.3">
      <c r="A130" s="2" t="s">
        <v>30</v>
      </c>
      <c r="B130">
        <f>COUNTIF(B2:B122, "&lt;"&amp;#REF!)</f>
        <v>0</v>
      </c>
      <c r="C130">
        <f>COUNTIF(C2:C122, "&lt;"&amp;#REF!)</f>
        <v>0</v>
      </c>
      <c r="D130">
        <f>COUNTIF(D2:D122, "&lt;"&amp;#REF!)</f>
        <v>0</v>
      </c>
      <c r="E130">
        <f>COUNTIF(E2:E122, "&lt;"&amp;#REF!)</f>
        <v>0</v>
      </c>
      <c r="F130">
        <f>COUNTIF(F2:F122, "&lt;"&amp;#REF!)</f>
        <v>0</v>
      </c>
      <c r="G130">
        <f>COUNTIF(G2:G122, "&lt;"&amp;#REF!)</f>
        <v>0</v>
      </c>
      <c r="H130">
        <f>COUNTIF(H2:H122, "&lt;"&amp;#REF!)</f>
        <v>0</v>
      </c>
      <c r="I130">
        <f>COUNTIF(I2:I122, "&lt;"&amp;#REF!)</f>
        <v>0</v>
      </c>
      <c r="J130">
        <f>COUNTIF(J2:J122, "&lt;"&amp;#REF!)</f>
        <v>0</v>
      </c>
      <c r="K130">
        <f>COUNTIF(K2:K122, "&lt;"&amp;#REF!)</f>
        <v>0</v>
      </c>
      <c r="L130">
        <f>COUNTIF(L2:L122, "&lt;"&amp;#REF!)</f>
        <v>0</v>
      </c>
      <c r="M130">
        <f>COUNTIF(M2:M122, "&lt;"&amp;#REF!)</f>
        <v>0</v>
      </c>
      <c r="N130">
        <f>COUNTIF(N2:N122, "&lt;"&amp;#REF!)</f>
        <v>0</v>
      </c>
      <c r="O130">
        <f>COUNTIF(O2:O122, "&lt;"&amp;#REF!)</f>
        <v>0</v>
      </c>
    </row>
    <row r="131" spans="1:15" x14ac:dyDescent="0.3">
      <c r="A131" s="2" t="s">
        <v>29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113</v>
      </c>
      <c r="I131">
        <f t="shared" si="0"/>
        <v>121</v>
      </c>
      <c r="J131">
        <f t="shared" si="0"/>
        <v>121</v>
      </c>
      <c r="K131">
        <f t="shared" ref="K131:N131" si="1">COUNT(K1:K122)</f>
        <v>67</v>
      </c>
      <c r="L131">
        <f t="shared" si="1"/>
        <v>121</v>
      </c>
      <c r="M131">
        <f t="shared" si="1"/>
        <v>121</v>
      </c>
      <c r="N131">
        <f t="shared" si="1"/>
        <v>121</v>
      </c>
      <c r="O131">
        <f t="shared" ref="O131" si="2">COUNT(O1:O122)</f>
        <v>121</v>
      </c>
    </row>
    <row r="132" spans="1:15" x14ac:dyDescent="0.3">
      <c r="A132" s="2"/>
    </row>
    <row r="133" spans="1:15" x14ac:dyDescent="0.3">
      <c r="A133" s="2" t="s">
        <v>52</v>
      </c>
      <c r="B133" s="8">
        <f t="shared" ref="B133:J133" si="3">B130/B131</f>
        <v>0</v>
      </c>
      <c r="C133" s="8">
        <f t="shared" si="3"/>
        <v>0</v>
      </c>
      <c r="D133" s="8">
        <f t="shared" si="3"/>
        <v>0</v>
      </c>
      <c r="E133" s="8">
        <f t="shared" si="3"/>
        <v>0</v>
      </c>
      <c r="F133" s="8">
        <f t="shared" si="3"/>
        <v>0</v>
      </c>
      <c r="G133" s="8">
        <f t="shared" si="3"/>
        <v>0</v>
      </c>
      <c r="H133" s="8">
        <f t="shared" si="3"/>
        <v>0</v>
      </c>
      <c r="I133" s="8">
        <f t="shared" si="3"/>
        <v>0</v>
      </c>
      <c r="J133" s="8">
        <f t="shared" si="3"/>
        <v>0</v>
      </c>
      <c r="K133" s="8">
        <f t="shared" ref="K133:N133" si="4">K130/K131</f>
        <v>0</v>
      </c>
      <c r="L133" s="8">
        <f t="shared" si="4"/>
        <v>0</v>
      </c>
      <c r="M133" s="8">
        <f t="shared" si="4"/>
        <v>0</v>
      </c>
      <c r="N133" s="8">
        <f t="shared" si="4"/>
        <v>0</v>
      </c>
      <c r="O133" s="8">
        <f t="shared" ref="O133" si="5">O130/O131</f>
        <v>0</v>
      </c>
    </row>
    <row r="134" spans="1:15" x14ac:dyDescent="0.3">
      <c r="A134" s="2"/>
    </row>
    <row r="135" spans="1:15" x14ac:dyDescent="0.3">
      <c r="A135" s="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3">
      <c r="A136" s="2" t="s">
        <v>54</v>
      </c>
      <c r="B136" s="18" cm="1">
        <f t="array" ref="B136">_xlfn.PERCENTRANK.EXC(_xlfn._xlws.FILTER(B2:B122, ISNUMBER(B2:B122)),B120)</f>
        <v>0.59</v>
      </c>
      <c r="C136" s="18" cm="1">
        <f t="array" ref="C136">_xlfn.PERCENTRANK.EXC(_xlfn._xlws.FILTER(C2:C122, ISNUMBER(C2:C122)),C120)</f>
        <v>0.55700000000000005</v>
      </c>
      <c r="D136" s="18" cm="1">
        <f t="array" ref="D136">_xlfn.PERCENTRANK.EXC(_xlfn._xlws.FILTER(D2:D122, ISNUMBER(D2:D122)),D120)</f>
        <v>0.78600000000000003</v>
      </c>
      <c r="E136" s="18" cm="1">
        <f t="array" ref="E136">_xlfn.PERCENTRANK.EXC(_xlfn._xlws.FILTER(E2:E122, ISNUMBER(E2:E122)),E120)</f>
        <v>0.42599999999999999</v>
      </c>
      <c r="F136" s="18" cm="1">
        <f t="array" ref="F136">_xlfn.PERCENTRANK.EXC(_xlfn._xlws.FILTER(F2:F122, ISNUMBER(F2:F122)),F120)</f>
        <v>0.83599999999999997</v>
      </c>
      <c r="G136" s="18" cm="1">
        <f t="array" ref="G136">_xlfn.PERCENTRANK.EXC(_xlfn._xlws.FILTER(G2:G122, ISNUMBER(G2:G122)),G120)</f>
        <v>0.83599999999999997</v>
      </c>
      <c r="H136" s="18" t="e" cm="1">
        <f t="array" ref="H136">_xlfn.PERCENTRANK.EXC(_xlfn._xlws.FILTER(H2:H122, ISNUMBER(H2:H122)),H120)</f>
        <v>#N/A</v>
      </c>
      <c r="I136" s="18" cm="1">
        <f t="array" ref="I136">_xlfn.PERCENTRANK.EXC(_xlfn._xlws.FILTER(I2:I122, ISNUMBER(I2:I122)),I120)</f>
        <v>0.22900000000000001</v>
      </c>
      <c r="J136" s="18" cm="1">
        <f t="array" ref="J136">_xlfn.PERCENTRANK.EXC(_xlfn._xlws.FILTER(J2:J122, ISNUMBER(J2:J122)),J120)</f>
        <v>0.68799999999999994</v>
      </c>
      <c r="K136" s="18" cm="1">
        <f t="array" ref="K136">_xlfn.PERCENTRANK.EXC(_xlfn._xlws.FILTER(K2:K122, ISNUMBER(K2:K122)),K120)</f>
        <v>0.69099999999999995</v>
      </c>
      <c r="L136" s="18" cm="1">
        <f t="array" ref="L136">_xlfn.PERCENTRANK.EXC(_xlfn._xlws.FILTER(L2:L122, ISNUMBER(L2:L122)),L120)</f>
        <v>0.70399999999999996</v>
      </c>
      <c r="M136" s="18" cm="1">
        <f t="array" ref="M136">_xlfn.PERCENTRANK.EXC(_xlfn._xlws.FILTER(M2:M122, ISNUMBER(M2:M122)),M120)</f>
        <v>0.59799999999999998</v>
      </c>
      <c r="N136" s="18" cm="1">
        <f t="array" ref="N136">_xlfn.PERCENTRANK.EXC(_xlfn._xlws.FILTER(N2:N122, ISNUMBER(N2:N122)),N120)</f>
        <v>0.72899999999999998</v>
      </c>
      <c r="O136" s="18" cm="1">
        <f t="array" ref="O136">_xlfn.PERCENTRANK.EXC(_xlfn._xlws.FILTER(O2:O122, ISNUMBER(O2:O122)),O120)</f>
        <v>0.63900000000000001</v>
      </c>
    </row>
    <row r="137" spans="1:15" x14ac:dyDescent="0.3">
      <c r="A137" s="2" t="s">
        <v>53</v>
      </c>
      <c r="B137" s="18" cm="1">
        <f t="array" ref="B137">_xlfn.PERCENTRANK.EXC(_xlfn._xlws.FILTER(B2:B122, ISNUMBER(B2:B122)),B121)</f>
        <v>0.58099999999999996</v>
      </c>
      <c r="C137" s="18" cm="1">
        <f t="array" ref="C137">_xlfn.PERCENTRANK.EXC(_xlfn._xlws.FILTER(C2:C122, ISNUMBER(C2:C122)),C121)</f>
        <v>0.88500000000000001</v>
      </c>
      <c r="D137" s="18" cm="1">
        <f t="array" ref="D137">_xlfn.PERCENTRANK.EXC(_xlfn._xlws.FILTER(D2:D122, ISNUMBER(D2:D122)),D121)</f>
        <v>0.79500000000000004</v>
      </c>
      <c r="E137" s="18" cm="1">
        <f t="array" ref="E137">_xlfn.PERCENTRANK.EXC(_xlfn._xlws.FILTER(E2:E122, ISNUMBER(E2:E122)),E121)</f>
        <v>0.46700000000000003</v>
      </c>
      <c r="F137" s="18" cm="1">
        <f t="array" ref="F137">_xlfn.PERCENTRANK.EXC(_xlfn._xlws.FILTER(F2:F122, ISNUMBER(F2:F122)),F121)</f>
        <v>0.97499999999999998</v>
      </c>
      <c r="G137" s="18" cm="1">
        <f t="array" ref="G137">_xlfn.PERCENTRANK.EXC(_xlfn._xlws.FILTER(G2:G122, ISNUMBER(G2:G122)),G121)</f>
        <v>0.79500000000000004</v>
      </c>
      <c r="H137" s="18" t="e" cm="1">
        <f t="array" ref="H137">_xlfn.PERCENTRANK.EXC(_xlfn._xlws.FILTER(H2:H122, ISNUMBER(H2:H122)),H121)</f>
        <v>#N/A</v>
      </c>
      <c r="I137" s="18" cm="1">
        <f t="array" ref="I137">_xlfn.PERCENTRANK.EXC(_xlfn._xlws.FILTER(I2:I122, ISNUMBER(I2:I122)),I121)</f>
        <v>0.434</v>
      </c>
      <c r="J137" s="18" cm="1">
        <f t="array" ref="J137">_xlfn.PERCENTRANK.EXC(_xlfn._xlws.FILTER(J2:J122, ISNUMBER(J2:J122)),J121)</f>
        <v>0.76200000000000001</v>
      </c>
      <c r="K137" s="18" cm="1">
        <f t="array" ref="K137">_xlfn.PERCENTRANK.EXC(_xlfn._xlws.FILTER(K2:K122, ISNUMBER(K2:K122)),K121)</f>
        <v>0.80800000000000005</v>
      </c>
      <c r="L137" s="18" cm="1">
        <f t="array" ref="L137">_xlfn.PERCENTRANK.EXC(_xlfn._xlws.FILTER(L2:L122, ISNUMBER(L2:L122)),L121)</f>
        <v>0.81899999999999995</v>
      </c>
      <c r="M137" s="18" cm="1">
        <f t="array" ref="M137">_xlfn.PERCENTRANK.EXC(_xlfn._xlws.FILTER(M2:M122, ISNUMBER(M2:M122)),M121)</f>
        <v>0.85199999999999998</v>
      </c>
      <c r="N137" s="18" cm="1">
        <f t="array" ref="N137">_xlfn.PERCENTRANK.EXC(_xlfn._xlws.FILTER(N2:N122, ISNUMBER(N2:N122)),N121)</f>
        <v>0.77800000000000002</v>
      </c>
      <c r="O137" s="18" cm="1">
        <f t="array" ref="O137">_xlfn.PERCENTRANK.EXC(_xlfn._xlws.FILTER(O2:O122, ISNUMBER(O2:O122)),O121)</f>
        <v>0.89300000000000002</v>
      </c>
    </row>
    <row r="138" spans="1:15" x14ac:dyDescent="0.3">
      <c r="A138" s="2" t="s">
        <v>55</v>
      </c>
      <c r="B138" s="18" cm="1">
        <f t="array" ref="B138">_xlfn.PERCENTRANK.EXC(_xlfn._xlws.FILTER(B2:B122, ISNUMBER(B2:B122)),B122)</f>
        <v>0.35199999999999998</v>
      </c>
      <c r="C138" s="18" cm="1">
        <f t="array" ref="C138">_xlfn.PERCENTRANK.EXC(_xlfn._xlws.FILTER(C2:C122, ISNUMBER(C2:C122)),C122)</f>
        <v>0.83599999999999997</v>
      </c>
      <c r="D138" s="18" cm="1">
        <f t="array" ref="D138">_xlfn.PERCENTRANK.EXC(_xlfn._xlws.FILTER(D2:D122, ISNUMBER(D2:D122)),D122)</f>
        <v>0.59799999999999998</v>
      </c>
      <c r="E138" s="18" cm="1">
        <f t="array" ref="E138">_xlfn.PERCENTRANK.EXC(_xlfn._xlws.FILTER(E2:E122, ISNUMBER(E2:E122)),E122)</f>
        <v>0.745</v>
      </c>
      <c r="F138" s="18" cm="1">
        <f t="array" ref="F138">_xlfn.PERCENTRANK.EXC(_xlfn._xlws.FILTER(F2:F122, ISNUMBER(F2:F122)),F122)</f>
        <v>0.95</v>
      </c>
      <c r="G138" s="18" cm="1">
        <f t="array" ref="G138">_xlfn.PERCENTRANK.EXC(_xlfn._xlws.FILTER(G2:G122, ISNUMBER(G2:G122)),G122)</f>
        <v>0.86</v>
      </c>
      <c r="H138" s="18" t="e" cm="1">
        <f t="array" ref="H138">_xlfn.PERCENTRANK.EXC(_xlfn._xlws.FILTER(H2:H122, ISNUMBER(H2:H122)),H122)</f>
        <v>#N/A</v>
      </c>
      <c r="I138" s="18" cm="1">
        <f t="array" ref="I138">_xlfn.PERCENTRANK.EXC(_xlfn._xlws.FILTER(I2:I122, ISNUMBER(I2:I122)),I122)</f>
        <v>0.221</v>
      </c>
      <c r="J138" s="18" cm="1">
        <f t="array" ref="J138">_xlfn.PERCENTRANK.EXC(_xlfn._xlws.FILTER(J2:J122, ISNUMBER(J2:J122)),J122)</f>
        <v>0.54900000000000004</v>
      </c>
      <c r="K138" s="18" cm="1">
        <f t="array" ref="K138">_xlfn.PERCENTRANK.EXC(_xlfn._xlws.FILTER(K2:K122, ISNUMBER(K2:K122)),K122)</f>
        <v>0.63200000000000001</v>
      </c>
      <c r="L138" s="18" cm="1">
        <f t="array" ref="L138">_xlfn.PERCENTRANK.EXC(_xlfn._xlws.FILTER(L2:L122, ISNUMBER(L2:L122)),L122)</f>
        <v>0.80300000000000005</v>
      </c>
      <c r="M138" s="18" cm="1">
        <f t="array" ref="M138">_xlfn.PERCENTRANK.EXC(_xlfn._xlws.FILTER(M2:M122, ISNUMBER(M2:M122)),M122)</f>
        <v>0.54</v>
      </c>
      <c r="N138" s="18" cm="1">
        <f t="array" ref="N138">_xlfn.PERCENTRANK.EXC(_xlfn._xlws.FILTER(N2:N122, ISNUMBER(N2:N122)),N122)</f>
        <v>0.66300000000000003</v>
      </c>
      <c r="O138" s="18" cm="1">
        <f t="array" ref="O138">_xlfn.PERCENTRANK.EXC(_xlfn._xlws.FILTER(O2:O122, ISNUMBER(O2:O122)),O122)</f>
        <v>0.77</v>
      </c>
    </row>
    <row r="139" spans="1:15" x14ac:dyDescent="0.3">
      <c r="A139" s="2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1:15" x14ac:dyDescent="0.3">
      <c r="A140" s="2" t="s">
        <v>62</v>
      </c>
      <c r="B140" s="18">
        <f t="shared" ref="B140:J140" si="6">AVERAGE(B136:B138)</f>
        <v>0.5076666666666666</v>
      </c>
      <c r="C140" s="18">
        <f t="shared" si="6"/>
        <v>0.7593333333333333</v>
      </c>
      <c r="D140" s="18">
        <f t="shared" si="6"/>
        <v>0.72633333333333328</v>
      </c>
      <c r="E140" s="18">
        <f t="shared" si="6"/>
        <v>0.54599999999999993</v>
      </c>
      <c r="F140" s="18">
        <f t="shared" si="6"/>
        <v>0.92033333333333334</v>
      </c>
      <c r="G140" s="18">
        <f t="shared" si="6"/>
        <v>0.83033333333333337</v>
      </c>
      <c r="H140" s="18" t="e">
        <f t="shared" si="6"/>
        <v>#N/A</v>
      </c>
      <c r="I140" s="18">
        <f t="shared" si="6"/>
        <v>0.29466666666666669</v>
      </c>
      <c r="J140" s="18">
        <f t="shared" si="6"/>
        <v>0.66633333333333333</v>
      </c>
      <c r="K140" s="18">
        <f t="shared" ref="K140:N140" si="7">AVERAGE(K136:K138)</f>
        <v>0.71033333333333337</v>
      </c>
      <c r="L140" s="18">
        <f t="shared" si="7"/>
        <v>0.77533333333333332</v>
      </c>
      <c r="M140" s="18">
        <f t="shared" si="7"/>
        <v>0.66333333333333333</v>
      </c>
      <c r="N140" s="18">
        <f t="shared" si="7"/>
        <v>0.72333333333333327</v>
      </c>
      <c r="O140" s="18">
        <f t="shared" ref="O140" si="8">AVERAGE(O136:O138)</f>
        <v>0.76733333333333331</v>
      </c>
    </row>
    <row r="141" spans="1:15" x14ac:dyDescent="0.3">
      <c r="A141" s="2"/>
    </row>
    <row r="142" spans="1:15" x14ac:dyDescent="0.3">
      <c r="A142" s="2"/>
    </row>
    <row r="143" spans="1:15" x14ac:dyDescent="0.3">
      <c r="A143" s="2"/>
    </row>
    <row r="144" spans="1:15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9" workbookViewId="0">
      <selection activeCell="G227" sqref="G227"/>
    </sheetView>
  </sheetViews>
  <sheetFormatPr defaultRowHeight="14.4" x14ac:dyDescent="0.3"/>
  <cols>
    <col min="2" max="2" width="12.109375" bestFit="1" customWidth="1"/>
    <col min="3" max="17" width="11.88671875" bestFit="1" customWidth="1"/>
  </cols>
  <sheetData>
    <row r="5" spans="2:17" x14ac:dyDescent="0.3">
      <c r="C5" t="s">
        <v>4</v>
      </c>
      <c r="D5" t="s">
        <v>1</v>
      </c>
      <c r="E5" t="s">
        <v>147</v>
      </c>
      <c r="F5" t="s">
        <v>148</v>
      </c>
      <c r="G5" t="s">
        <v>15</v>
      </c>
      <c r="H5" t="s">
        <v>149</v>
      </c>
      <c r="I5" t="s">
        <v>158</v>
      </c>
      <c r="J5" t="s">
        <v>150</v>
      </c>
      <c r="K5" t="s">
        <v>71</v>
      </c>
      <c r="L5" t="s">
        <v>161</v>
      </c>
      <c r="M5" t="s">
        <v>12</v>
      </c>
      <c r="N5" t="s">
        <v>89</v>
      </c>
      <c r="O5" t="s">
        <v>9</v>
      </c>
      <c r="P5" t="s">
        <v>175</v>
      </c>
      <c r="Q5" t="s">
        <v>153</v>
      </c>
    </row>
    <row r="6" spans="2:17" x14ac:dyDescent="0.3">
      <c r="B6" s="2" cm="1">
        <f t="array" ref="B6:B206">_xll.FDS(C5,"JULIAN(P_PRICE(0,-200D).dates)")</f>
        <v>45314</v>
      </c>
      <c r="C6" cm="1">
        <f t="array" ref="C6:C206">_xll.FDS(C5,"P_PRICE(0,-200D)")</f>
        <v>39.54</v>
      </c>
      <c r="D6" cm="1">
        <f t="array" ref="D6:D206">_xll.FDS(D5,"P_PRICE(0,-200D)")</f>
        <v>484.86</v>
      </c>
      <c r="E6" cm="1">
        <f t="array" ref="E6:E206">_xll.FDS(E5,"P_PRICE(0,-200D)")</f>
        <v>187.95</v>
      </c>
      <c r="F6" cm="1">
        <f t="array" ref="F6:F206">_xll.FDS(F5,"P_PRICE(0,-200D)")</f>
        <v>27.78</v>
      </c>
      <c r="G6" cm="1">
        <f t="array" ref="G6:G206">_xll.FDS(G5,"P_PRICE(0,-200D)")</f>
        <v>423.48</v>
      </c>
      <c r="H6" cm="1">
        <f t="array" ref="H6:H206">_xll.FDS(H5,"P_PRICE(0,-200D)")</f>
        <v>21.34</v>
      </c>
      <c r="I6" cm="1">
        <f t="array" ref="I6:I206">_xll.FDS(I5,"P_PRICE(0,-200D)")</f>
        <v>69.66</v>
      </c>
      <c r="J6" cm="1">
        <f t="array" ref="J6:J206">_xll.FDS(J5,"P_PRICE(0,-200D)")</f>
        <v>93.9</v>
      </c>
      <c r="K6" cm="1">
        <f t="array" ref="K6:K206">_xll.FDS(K5,"P_PRICE(0,-200D)")</f>
        <v>62.45</v>
      </c>
      <c r="L6" cm="1">
        <f t="array" ref="L6:L206">_xll.FDS(L5,"P_PRICE(0,-200D)")</f>
        <v>53.74</v>
      </c>
      <c r="M6" cm="1">
        <f t="array" ref="M6:M206">_xll.FDS(M5,"P_PRICE(0,-200D)")</f>
        <v>66.09</v>
      </c>
      <c r="N6" cm="1">
        <f t="array" ref="N6:N206">_xll.FDS(N5,"P_PRICE(0,-200D)")</f>
        <v>134.11000000000001</v>
      </c>
      <c r="O6" cm="1">
        <f t="array" ref="O6:O206">_xll.FDS(O5,"P_PRICE(0,-200D)")</f>
        <v>48.68</v>
      </c>
      <c r="P6" cm="1">
        <f t="array" ref="P6:P206">_xll.FDS(P5,"P_PRICE(0,-200D)")</f>
        <v>195.97</v>
      </c>
      <c r="Q6" cm="1">
        <f t="array" ref="Q6:Q206">_xll.FDS(Q5,"P_PRICE(0,-200D)")</f>
        <v>22.11</v>
      </c>
    </row>
    <row r="7" spans="2:17" x14ac:dyDescent="0.3">
      <c r="B7" s="2">
        <v>45313</v>
      </c>
      <c r="C7">
        <v>39.32</v>
      </c>
      <c r="D7">
        <v>483.45</v>
      </c>
      <c r="E7">
        <v>187.22</v>
      </c>
      <c r="F7">
        <v>27.71</v>
      </c>
      <c r="G7">
        <v>421.73</v>
      </c>
      <c r="H7">
        <v>21.1</v>
      </c>
      <c r="I7">
        <v>69.69</v>
      </c>
      <c r="J7">
        <v>94.65</v>
      </c>
      <c r="K7">
        <v>62.6</v>
      </c>
      <c r="L7">
        <v>53.74</v>
      </c>
      <c r="M7">
        <v>66.680000000000007</v>
      </c>
      <c r="N7">
        <v>133.94</v>
      </c>
      <c r="O7">
        <v>49.77</v>
      </c>
      <c r="P7">
        <v>196.54</v>
      </c>
      <c r="Q7">
        <v>21.14</v>
      </c>
    </row>
    <row r="8" spans="2:17" x14ac:dyDescent="0.3">
      <c r="B8" s="2">
        <v>45310</v>
      </c>
      <c r="C8">
        <v>39.630000000000003</v>
      </c>
      <c r="D8">
        <v>482.43</v>
      </c>
      <c r="E8">
        <v>187.93</v>
      </c>
      <c r="F8">
        <v>27.7</v>
      </c>
      <c r="G8">
        <v>421.18</v>
      </c>
      <c r="H8">
        <v>21.01</v>
      </c>
      <c r="I8">
        <v>68.819999999999993</v>
      </c>
      <c r="J8">
        <v>94.09</v>
      </c>
      <c r="K8">
        <v>62.49</v>
      </c>
      <c r="L8">
        <v>53.95</v>
      </c>
      <c r="M8">
        <v>65.900000000000006</v>
      </c>
      <c r="N8">
        <v>133.63</v>
      </c>
      <c r="O8">
        <v>49.59</v>
      </c>
      <c r="P8">
        <v>192.43</v>
      </c>
      <c r="Q8">
        <v>21.68</v>
      </c>
    </row>
    <row r="9" spans="2:17" x14ac:dyDescent="0.3">
      <c r="B9" s="2">
        <v>45309</v>
      </c>
      <c r="C9">
        <v>39.270000000000003</v>
      </c>
      <c r="D9">
        <v>476.49</v>
      </c>
      <c r="E9">
        <v>187.37</v>
      </c>
      <c r="F9">
        <v>27.74</v>
      </c>
      <c r="G9">
        <v>412.99</v>
      </c>
      <c r="H9">
        <v>20.85</v>
      </c>
      <c r="I9">
        <v>69.06</v>
      </c>
      <c r="J9">
        <v>93.79</v>
      </c>
      <c r="K9">
        <v>62.47</v>
      </c>
      <c r="L9">
        <v>53.29</v>
      </c>
      <c r="M9">
        <v>65.73</v>
      </c>
      <c r="N9">
        <v>132.25</v>
      </c>
      <c r="O9">
        <v>49.08</v>
      </c>
      <c r="P9">
        <v>190.6</v>
      </c>
      <c r="Q9">
        <v>21.53</v>
      </c>
    </row>
    <row r="10" spans="2:17" x14ac:dyDescent="0.3">
      <c r="B10" s="2">
        <v>45308</v>
      </c>
      <c r="C10">
        <v>39.04</v>
      </c>
      <c r="D10">
        <v>472.29</v>
      </c>
      <c r="E10">
        <v>185.84</v>
      </c>
      <c r="F10">
        <v>27.71</v>
      </c>
      <c r="G10">
        <v>407.21</v>
      </c>
      <c r="H10">
        <v>20.61</v>
      </c>
      <c r="I10">
        <v>67.94</v>
      </c>
      <c r="J10">
        <v>94.67</v>
      </c>
      <c r="K10">
        <v>61.92</v>
      </c>
      <c r="L10">
        <v>52.7</v>
      </c>
      <c r="M10">
        <v>65.12</v>
      </c>
      <c r="N10">
        <v>131.15</v>
      </c>
      <c r="O10">
        <v>48.83</v>
      </c>
      <c r="P10">
        <v>189.48</v>
      </c>
      <c r="Q10">
        <v>21.45</v>
      </c>
    </row>
    <row r="11" spans="2:17" x14ac:dyDescent="0.3">
      <c r="B11" s="2">
        <v>45307</v>
      </c>
      <c r="C11">
        <v>39.57</v>
      </c>
      <c r="D11">
        <v>474.93</v>
      </c>
      <c r="E11">
        <v>187.91</v>
      </c>
      <c r="F11">
        <v>27.69</v>
      </c>
      <c r="G11">
        <v>409.52</v>
      </c>
      <c r="H11">
        <v>20.76</v>
      </c>
      <c r="I11">
        <v>67.25</v>
      </c>
      <c r="J11">
        <v>94.82</v>
      </c>
      <c r="K11">
        <v>62.41</v>
      </c>
      <c r="L11">
        <v>53.34</v>
      </c>
      <c r="M11">
        <v>65.94</v>
      </c>
      <c r="N11">
        <v>132.01</v>
      </c>
      <c r="O11">
        <v>49.4</v>
      </c>
      <c r="P11">
        <v>190.84</v>
      </c>
      <c r="Q11">
        <v>22.02</v>
      </c>
    </row>
    <row r="12" spans="2:17" x14ac:dyDescent="0.3">
      <c r="B12" s="2">
        <v>45303</v>
      </c>
      <c r="C12">
        <v>40.409999999999997</v>
      </c>
      <c r="D12">
        <v>476.68</v>
      </c>
      <c r="E12">
        <v>189.71</v>
      </c>
      <c r="F12">
        <v>27.45</v>
      </c>
      <c r="G12">
        <v>409.56</v>
      </c>
      <c r="H12">
        <v>20.61</v>
      </c>
      <c r="I12">
        <v>68.02</v>
      </c>
      <c r="J12">
        <v>96.52</v>
      </c>
      <c r="K12">
        <v>63.62</v>
      </c>
      <c r="L12">
        <v>54.55</v>
      </c>
      <c r="M12">
        <v>66.430000000000007</v>
      </c>
      <c r="N12">
        <v>132.93</v>
      </c>
      <c r="O12">
        <v>49.96</v>
      </c>
      <c r="P12">
        <v>193.23</v>
      </c>
      <c r="Q12">
        <v>22.73</v>
      </c>
    </row>
    <row r="13" spans="2:17" x14ac:dyDescent="0.3">
      <c r="B13" s="2">
        <v>45302</v>
      </c>
      <c r="C13">
        <v>40.22</v>
      </c>
      <c r="D13">
        <v>476.35</v>
      </c>
      <c r="E13">
        <v>187.87</v>
      </c>
      <c r="F13">
        <v>27.42</v>
      </c>
      <c r="G13">
        <v>409.35</v>
      </c>
      <c r="H13">
        <v>20.72</v>
      </c>
      <c r="I13">
        <v>67.650000000000006</v>
      </c>
      <c r="J13">
        <v>96.71</v>
      </c>
      <c r="K13">
        <v>63.44</v>
      </c>
      <c r="L13">
        <v>54.24</v>
      </c>
      <c r="M13">
        <v>65.8</v>
      </c>
      <c r="N13">
        <v>132.82</v>
      </c>
      <c r="O13">
        <v>49.19</v>
      </c>
      <c r="P13">
        <v>193.55</v>
      </c>
      <c r="Q13">
        <v>22.83</v>
      </c>
    </row>
    <row r="14" spans="2:17" x14ac:dyDescent="0.3">
      <c r="B14" s="2">
        <v>45301</v>
      </c>
      <c r="C14">
        <v>40.049999999999997</v>
      </c>
      <c r="D14">
        <v>476.56</v>
      </c>
      <c r="E14">
        <v>187.5</v>
      </c>
      <c r="F14">
        <v>27.4</v>
      </c>
      <c r="G14">
        <v>408.5</v>
      </c>
      <c r="H14">
        <v>20.61</v>
      </c>
      <c r="I14">
        <v>66.56</v>
      </c>
      <c r="J14">
        <v>96.17</v>
      </c>
      <c r="K14">
        <v>63.72</v>
      </c>
      <c r="L14">
        <v>54.12</v>
      </c>
      <c r="M14">
        <v>65.22</v>
      </c>
      <c r="N14">
        <v>132.83000000000001</v>
      </c>
      <c r="O14">
        <v>49.15</v>
      </c>
      <c r="P14">
        <v>195.08</v>
      </c>
      <c r="Q14">
        <v>22.49</v>
      </c>
    </row>
    <row r="15" spans="2:17" x14ac:dyDescent="0.3">
      <c r="B15" s="2">
        <v>45300</v>
      </c>
      <c r="C15">
        <v>40.090000000000003</v>
      </c>
      <c r="D15">
        <v>473.88</v>
      </c>
      <c r="E15">
        <v>187.93</v>
      </c>
      <c r="F15">
        <v>27.45</v>
      </c>
      <c r="G15">
        <v>405.75</v>
      </c>
      <c r="H15">
        <v>20.65</v>
      </c>
      <c r="I15">
        <v>67.39</v>
      </c>
      <c r="J15">
        <v>96.62</v>
      </c>
      <c r="K15">
        <v>63.45</v>
      </c>
      <c r="L15">
        <v>54.23</v>
      </c>
      <c r="M15">
        <v>64.069999999999993</v>
      </c>
      <c r="N15">
        <v>132.06</v>
      </c>
      <c r="O15">
        <v>48.85</v>
      </c>
      <c r="P15">
        <v>194.97</v>
      </c>
      <c r="Q15">
        <v>22.48</v>
      </c>
    </row>
    <row r="16" spans="2:17" x14ac:dyDescent="0.3">
      <c r="B16" s="2">
        <v>45299</v>
      </c>
      <c r="C16">
        <v>40.56</v>
      </c>
      <c r="D16">
        <v>474.6</v>
      </c>
      <c r="E16">
        <v>187.87</v>
      </c>
      <c r="F16">
        <v>27.36</v>
      </c>
      <c r="G16">
        <v>404.95</v>
      </c>
      <c r="H16">
        <v>20.51</v>
      </c>
      <c r="I16">
        <v>66.400000000000006</v>
      </c>
      <c r="J16">
        <v>97.24</v>
      </c>
      <c r="K16">
        <v>64.09</v>
      </c>
      <c r="L16">
        <v>54.99</v>
      </c>
      <c r="M16">
        <v>64.459999999999994</v>
      </c>
      <c r="N16">
        <v>132.59</v>
      </c>
      <c r="O16">
        <v>49.09</v>
      </c>
      <c r="P16">
        <v>196.73</v>
      </c>
      <c r="Q16">
        <v>22.94</v>
      </c>
    </row>
    <row r="17" spans="2:17" x14ac:dyDescent="0.3">
      <c r="B17" s="2">
        <v>45296</v>
      </c>
      <c r="C17">
        <v>40.49</v>
      </c>
      <c r="D17">
        <v>467.92</v>
      </c>
      <c r="E17">
        <v>189.35</v>
      </c>
      <c r="F17">
        <v>27.41</v>
      </c>
      <c r="G17">
        <v>396.75</v>
      </c>
      <c r="H17">
        <v>20.58</v>
      </c>
      <c r="I17">
        <v>69.03</v>
      </c>
      <c r="J17">
        <v>96.29</v>
      </c>
      <c r="K17">
        <v>63.37</v>
      </c>
      <c r="L17">
        <v>54.54</v>
      </c>
      <c r="M17">
        <v>63.53</v>
      </c>
      <c r="N17">
        <v>130.86000000000001</v>
      </c>
      <c r="O17">
        <v>49.09</v>
      </c>
      <c r="P17">
        <v>193.25</v>
      </c>
      <c r="Q17">
        <v>23.23</v>
      </c>
    </row>
    <row r="18" spans="2:17" x14ac:dyDescent="0.3">
      <c r="B18" s="2">
        <v>45295</v>
      </c>
      <c r="C18">
        <v>40.43</v>
      </c>
      <c r="D18">
        <v>467.28</v>
      </c>
      <c r="E18">
        <v>189.32</v>
      </c>
      <c r="F18">
        <v>27.41</v>
      </c>
      <c r="G18">
        <v>396.28</v>
      </c>
      <c r="H18">
        <v>20.72</v>
      </c>
      <c r="I18">
        <v>67.569999999999993</v>
      </c>
      <c r="J18">
        <v>97.22</v>
      </c>
      <c r="K18">
        <v>63.49</v>
      </c>
      <c r="L18">
        <v>54.34</v>
      </c>
      <c r="M18">
        <v>63.06</v>
      </c>
      <c r="N18">
        <v>130.69999999999999</v>
      </c>
      <c r="O18">
        <v>49.01</v>
      </c>
      <c r="P18">
        <v>193.82</v>
      </c>
      <c r="Q18">
        <v>23.36</v>
      </c>
    </row>
    <row r="19" spans="2:17" x14ac:dyDescent="0.3">
      <c r="B19" s="2">
        <v>45294</v>
      </c>
      <c r="C19">
        <v>40.5</v>
      </c>
      <c r="D19">
        <v>468.79</v>
      </c>
      <c r="E19">
        <v>189.13</v>
      </c>
      <c r="F19">
        <v>27.41</v>
      </c>
      <c r="G19">
        <v>398.33</v>
      </c>
      <c r="H19">
        <v>20.59</v>
      </c>
      <c r="I19">
        <v>68.19</v>
      </c>
      <c r="J19">
        <v>98.72</v>
      </c>
      <c r="K19">
        <v>63.13</v>
      </c>
      <c r="L19">
        <v>54.3</v>
      </c>
      <c r="M19">
        <v>63.21</v>
      </c>
      <c r="N19">
        <v>130.85</v>
      </c>
      <c r="O19">
        <v>48.59</v>
      </c>
      <c r="P19">
        <v>194.2</v>
      </c>
      <c r="Q19">
        <v>23.67</v>
      </c>
    </row>
    <row r="20" spans="2:17" x14ac:dyDescent="0.3">
      <c r="B20" s="2">
        <v>45293</v>
      </c>
      <c r="C20">
        <v>40.619999999999997</v>
      </c>
      <c r="D20">
        <v>472.65</v>
      </c>
      <c r="E20">
        <v>190.72</v>
      </c>
      <c r="F20">
        <v>27.32</v>
      </c>
      <c r="G20">
        <v>402.59</v>
      </c>
      <c r="H20">
        <v>20.69</v>
      </c>
      <c r="I20">
        <v>65.77</v>
      </c>
      <c r="J20">
        <v>98.31</v>
      </c>
      <c r="K20">
        <v>63.67</v>
      </c>
      <c r="L20">
        <v>54.92</v>
      </c>
      <c r="M20">
        <v>63.56</v>
      </c>
      <c r="N20">
        <v>131.91</v>
      </c>
      <c r="O20">
        <v>48.67</v>
      </c>
      <c r="P20">
        <v>199.52</v>
      </c>
      <c r="Q20">
        <v>23.24</v>
      </c>
    </row>
    <row r="21" spans="2:17" x14ac:dyDescent="0.3">
      <c r="B21" s="2">
        <v>45289</v>
      </c>
      <c r="C21">
        <v>41.1</v>
      </c>
      <c r="D21">
        <v>475.31</v>
      </c>
      <c r="E21">
        <v>191.17</v>
      </c>
      <c r="F21">
        <v>27.09</v>
      </c>
      <c r="G21">
        <v>409.52</v>
      </c>
      <c r="H21">
        <v>20.74</v>
      </c>
      <c r="I21">
        <v>66.650000000000006</v>
      </c>
      <c r="J21">
        <v>98.88</v>
      </c>
      <c r="K21">
        <v>64.48</v>
      </c>
      <c r="L21">
        <v>55.41</v>
      </c>
      <c r="M21">
        <v>64.14</v>
      </c>
      <c r="N21">
        <v>133.02000000000001</v>
      </c>
      <c r="O21">
        <v>48.81</v>
      </c>
      <c r="P21">
        <v>200.71</v>
      </c>
      <c r="Q21">
        <v>24.03</v>
      </c>
    </row>
    <row r="22" spans="2:17" x14ac:dyDescent="0.3">
      <c r="B22" s="2">
        <v>45288</v>
      </c>
      <c r="C22">
        <v>40.99</v>
      </c>
      <c r="D22">
        <v>476.69</v>
      </c>
      <c r="E22">
        <v>191.47</v>
      </c>
      <c r="F22">
        <v>27.04</v>
      </c>
      <c r="G22">
        <v>411.3</v>
      </c>
      <c r="H22">
        <v>21.05</v>
      </c>
      <c r="I22">
        <v>67.180000000000007</v>
      </c>
      <c r="J22">
        <v>99.78</v>
      </c>
      <c r="K22">
        <v>64.42</v>
      </c>
      <c r="L22">
        <v>55.5</v>
      </c>
      <c r="M22">
        <v>64.040000000000006</v>
      </c>
      <c r="N22">
        <v>133.28</v>
      </c>
      <c r="O22">
        <v>49.02</v>
      </c>
      <c r="P22">
        <v>204.04</v>
      </c>
      <c r="Q22">
        <v>23.88</v>
      </c>
    </row>
    <row r="23" spans="2:17" x14ac:dyDescent="0.3">
      <c r="B23" s="2">
        <v>45287</v>
      </c>
      <c r="C23">
        <v>40.74</v>
      </c>
      <c r="D23">
        <v>476.51</v>
      </c>
      <c r="E23">
        <v>192.59</v>
      </c>
      <c r="F23">
        <v>26.95</v>
      </c>
      <c r="G23">
        <v>411.5</v>
      </c>
      <c r="H23">
        <v>21</v>
      </c>
      <c r="I23">
        <v>68.92</v>
      </c>
      <c r="J23">
        <v>100.51</v>
      </c>
      <c r="K23">
        <v>64.86</v>
      </c>
      <c r="L23">
        <v>55.35</v>
      </c>
      <c r="M23">
        <v>63.66</v>
      </c>
      <c r="N23">
        <v>133.36000000000001</v>
      </c>
      <c r="O23">
        <v>48.84</v>
      </c>
      <c r="P23">
        <v>204.82</v>
      </c>
      <c r="Q23">
        <v>23.25</v>
      </c>
    </row>
    <row r="24" spans="2:17" x14ac:dyDescent="0.3">
      <c r="B24" s="2">
        <v>45286</v>
      </c>
      <c r="C24">
        <v>40.520000000000003</v>
      </c>
      <c r="D24">
        <v>475.65</v>
      </c>
      <c r="E24">
        <v>191.72</v>
      </c>
      <c r="F24">
        <v>27.09</v>
      </c>
      <c r="G24">
        <v>410.88</v>
      </c>
      <c r="H24">
        <v>20.98</v>
      </c>
      <c r="I24">
        <v>70.209999999999994</v>
      </c>
      <c r="J24">
        <v>98.76</v>
      </c>
      <c r="K24">
        <v>64.5</v>
      </c>
      <c r="L24">
        <v>54.93</v>
      </c>
      <c r="M24">
        <v>63.31</v>
      </c>
      <c r="N24">
        <v>132.97999999999999</v>
      </c>
      <c r="O24">
        <v>48.53</v>
      </c>
      <c r="P24">
        <v>204.1</v>
      </c>
      <c r="Q24">
        <v>23.22</v>
      </c>
    </row>
    <row r="25" spans="2:17" x14ac:dyDescent="0.3">
      <c r="B25" s="2">
        <v>45282</v>
      </c>
      <c r="C25">
        <v>40.26</v>
      </c>
      <c r="D25">
        <v>473.65</v>
      </c>
      <c r="E25">
        <v>190.27</v>
      </c>
      <c r="F25">
        <v>27.15</v>
      </c>
      <c r="G25">
        <v>408.38</v>
      </c>
      <c r="H25">
        <v>20.89</v>
      </c>
      <c r="I25">
        <v>68.69</v>
      </c>
      <c r="J25">
        <v>98.474999999999994</v>
      </c>
      <c r="K25">
        <v>64.099999999999994</v>
      </c>
      <c r="L25">
        <v>54.45</v>
      </c>
      <c r="M25">
        <v>63.33</v>
      </c>
      <c r="N25">
        <v>132.43</v>
      </c>
      <c r="O25">
        <v>48.36</v>
      </c>
      <c r="P25">
        <v>201.48</v>
      </c>
      <c r="Q25">
        <v>23.05</v>
      </c>
    </row>
    <row r="26" spans="2:17" x14ac:dyDescent="0.3">
      <c r="B26" s="2">
        <v>45281</v>
      </c>
      <c r="C26">
        <v>40.4</v>
      </c>
      <c r="D26">
        <v>472.7</v>
      </c>
      <c r="E26">
        <v>189.43</v>
      </c>
      <c r="F26">
        <v>27.16</v>
      </c>
      <c r="G26">
        <v>407.77</v>
      </c>
      <c r="H26">
        <v>20.79</v>
      </c>
      <c r="I26">
        <v>69.03</v>
      </c>
      <c r="J26">
        <v>98.93</v>
      </c>
      <c r="K26">
        <v>64.06</v>
      </c>
      <c r="L26">
        <v>54.31</v>
      </c>
      <c r="M26">
        <v>63.13</v>
      </c>
      <c r="N26">
        <v>132.16</v>
      </c>
      <c r="O26">
        <v>48.16</v>
      </c>
      <c r="P26">
        <v>199.62</v>
      </c>
      <c r="Q26">
        <v>23.71</v>
      </c>
    </row>
    <row r="27" spans="2:17" x14ac:dyDescent="0.3">
      <c r="B27" s="2">
        <v>45280</v>
      </c>
      <c r="C27">
        <v>39.630000000000003</v>
      </c>
      <c r="D27">
        <v>468.26</v>
      </c>
      <c r="E27">
        <v>188.1</v>
      </c>
      <c r="F27">
        <v>27.34</v>
      </c>
      <c r="G27">
        <v>403.08</v>
      </c>
      <c r="H27">
        <v>20.82</v>
      </c>
      <c r="I27">
        <v>68.790000000000006</v>
      </c>
      <c r="J27">
        <v>99.56</v>
      </c>
      <c r="K27">
        <v>63.12</v>
      </c>
      <c r="L27">
        <v>53.42</v>
      </c>
      <c r="M27">
        <v>62.05</v>
      </c>
      <c r="N27">
        <v>130.63</v>
      </c>
      <c r="O27">
        <v>47.4</v>
      </c>
      <c r="P27">
        <v>196.28</v>
      </c>
      <c r="Q27">
        <v>22.91</v>
      </c>
    </row>
    <row r="28" spans="2:17" x14ac:dyDescent="0.3">
      <c r="B28" s="2">
        <v>45279</v>
      </c>
      <c r="C28">
        <v>40.479999999999997</v>
      </c>
      <c r="D28">
        <v>474.84</v>
      </c>
      <c r="E28">
        <v>189.13</v>
      </c>
      <c r="F28">
        <v>27.22</v>
      </c>
      <c r="G28">
        <v>409.16</v>
      </c>
      <c r="H28">
        <v>21.07</v>
      </c>
      <c r="I28">
        <v>69.36</v>
      </c>
      <c r="J28">
        <v>98.89</v>
      </c>
      <c r="K28">
        <v>63.87</v>
      </c>
      <c r="L28">
        <v>54.89</v>
      </c>
      <c r="M28">
        <v>63.24</v>
      </c>
      <c r="N28">
        <v>133.47999999999999</v>
      </c>
      <c r="O28">
        <v>48.72</v>
      </c>
      <c r="P28">
        <v>200.93</v>
      </c>
      <c r="Q28">
        <v>24.2</v>
      </c>
    </row>
    <row r="29" spans="2:17" x14ac:dyDescent="0.3">
      <c r="B29" s="2">
        <v>45278</v>
      </c>
      <c r="C29">
        <v>40.200000000000003</v>
      </c>
      <c r="D29">
        <v>471.97</v>
      </c>
      <c r="E29">
        <v>187.85</v>
      </c>
      <c r="F29">
        <v>27.34</v>
      </c>
      <c r="G29">
        <v>407.08</v>
      </c>
      <c r="H29">
        <v>21.02</v>
      </c>
      <c r="I29">
        <v>68.09</v>
      </c>
      <c r="J29">
        <v>98.36</v>
      </c>
      <c r="K29">
        <v>63.21</v>
      </c>
      <c r="L29">
        <v>54.52</v>
      </c>
      <c r="M29">
        <v>63.05</v>
      </c>
      <c r="N29">
        <v>132.56</v>
      </c>
      <c r="O29">
        <v>48.454999999999998</v>
      </c>
      <c r="P29">
        <v>197.11</v>
      </c>
      <c r="Q29">
        <v>23.88</v>
      </c>
    </row>
    <row r="30" spans="2:17" x14ac:dyDescent="0.3">
      <c r="B30" s="2">
        <v>45275</v>
      </c>
      <c r="C30">
        <v>41.07</v>
      </c>
      <c r="D30">
        <v>469.33</v>
      </c>
      <c r="E30">
        <v>187</v>
      </c>
      <c r="F30">
        <v>29.09</v>
      </c>
      <c r="G30">
        <v>405.34</v>
      </c>
      <c r="H30">
        <v>21.96</v>
      </c>
      <c r="I30">
        <v>67.150000000000006</v>
      </c>
      <c r="J30">
        <v>99.15</v>
      </c>
      <c r="K30">
        <v>63.48</v>
      </c>
      <c r="L30">
        <v>54.37</v>
      </c>
      <c r="M30">
        <v>63.17</v>
      </c>
      <c r="N30">
        <v>131.94999999999999</v>
      </c>
      <c r="O30">
        <v>48.3</v>
      </c>
      <c r="P30">
        <v>197.04</v>
      </c>
      <c r="Q30">
        <v>24.13</v>
      </c>
    </row>
    <row r="31" spans="2:17" x14ac:dyDescent="0.3">
      <c r="B31" s="2">
        <v>45274</v>
      </c>
      <c r="C31">
        <v>41.31</v>
      </c>
      <c r="D31">
        <v>472.01</v>
      </c>
      <c r="E31">
        <v>188.73</v>
      </c>
      <c r="F31">
        <v>28.9</v>
      </c>
      <c r="G31">
        <v>403.39</v>
      </c>
      <c r="H31">
        <v>21.9</v>
      </c>
      <c r="I31">
        <v>67.16</v>
      </c>
      <c r="J31">
        <v>99.04</v>
      </c>
      <c r="K31">
        <v>64.19</v>
      </c>
      <c r="L31">
        <v>54.69</v>
      </c>
      <c r="M31">
        <v>63.72</v>
      </c>
      <c r="N31">
        <v>132.36000000000001</v>
      </c>
      <c r="O31">
        <v>48.35</v>
      </c>
      <c r="P31">
        <v>198.71</v>
      </c>
      <c r="Q31">
        <v>24.18</v>
      </c>
    </row>
    <row r="32" spans="2:17" x14ac:dyDescent="0.3">
      <c r="B32" s="2">
        <v>45273</v>
      </c>
      <c r="C32">
        <v>40.770000000000003</v>
      </c>
      <c r="D32">
        <v>470.5</v>
      </c>
      <c r="E32">
        <v>187.63</v>
      </c>
      <c r="F32">
        <v>29.17</v>
      </c>
      <c r="G32">
        <v>403.74</v>
      </c>
      <c r="H32">
        <v>21.72</v>
      </c>
      <c r="I32">
        <v>65.33</v>
      </c>
      <c r="J32">
        <v>96.84</v>
      </c>
      <c r="K32">
        <v>63.46</v>
      </c>
      <c r="L32">
        <v>53.93</v>
      </c>
      <c r="M32">
        <v>64.010000000000005</v>
      </c>
      <c r="N32">
        <v>131.66999999999999</v>
      </c>
      <c r="O32">
        <v>47.96</v>
      </c>
      <c r="P32">
        <v>193.33</v>
      </c>
      <c r="Q32">
        <v>23.87</v>
      </c>
    </row>
    <row r="33" spans="2:17" x14ac:dyDescent="0.3">
      <c r="B33" s="2">
        <v>45272</v>
      </c>
      <c r="C33">
        <v>40.39</v>
      </c>
      <c r="D33">
        <v>464.1</v>
      </c>
      <c r="E33">
        <v>183.49</v>
      </c>
      <c r="F33">
        <v>29.42</v>
      </c>
      <c r="G33">
        <v>398.67</v>
      </c>
      <c r="H33">
        <v>21.85</v>
      </c>
      <c r="I33">
        <v>64.25</v>
      </c>
      <c r="J33">
        <v>94.62</v>
      </c>
      <c r="K33">
        <v>62.58</v>
      </c>
      <c r="L33">
        <v>53.14</v>
      </c>
      <c r="M33">
        <v>63.05</v>
      </c>
      <c r="N33">
        <v>129.75</v>
      </c>
      <c r="O33">
        <v>47.38</v>
      </c>
      <c r="P33">
        <v>187</v>
      </c>
      <c r="Q33">
        <v>23.95</v>
      </c>
    </row>
    <row r="34" spans="2:17" x14ac:dyDescent="0.3">
      <c r="B34" s="2">
        <v>45271</v>
      </c>
      <c r="C34">
        <v>40.39</v>
      </c>
      <c r="D34">
        <v>461.99</v>
      </c>
      <c r="E34">
        <v>183.59</v>
      </c>
      <c r="F34">
        <v>29.5</v>
      </c>
      <c r="G34">
        <v>395.52</v>
      </c>
      <c r="H34">
        <v>21.71</v>
      </c>
      <c r="I34">
        <v>66.8</v>
      </c>
      <c r="J34">
        <v>94.34</v>
      </c>
      <c r="K34">
        <v>62.47</v>
      </c>
      <c r="L34">
        <v>53.21</v>
      </c>
      <c r="M34">
        <v>63.14</v>
      </c>
      <c r="N34">
        <v>129.41</v>
      </c>
      <c r="O34">
        <v>47.56</v>
      </c>
      <c r="P34">
        <v>187.19</v>
      </c>
      <c r="Q34">
        <v>23.79</v>
      </c>
    </row>
    <row r="35" spans="2:17" x14ac:dyDescent="0.3">
      <c r="B35" s="2">
        <v>45268</v>
      </c>
      <c r="C35">
        <v>40.21</v>
      </c>
      <c r="D35">
        <v>460.2</v>
      </c>
      <c r="E35">
        <v>185.64</v>
      </c>
      <c r="F35">
        <v>29.46</v>
      </c>
      <c r="G35">
        <v>392.17</v>
      </c>
      <c r="H35">
        <v>21.82</v>
      </c>
      <c r="I35">
        <v>66.53</v>
      </c>
      <c r="J35">
        <v>94.54</v>
      </c>
      <c r="K35">
        <v>62.38</v>
      </c>
      <c r="L35">
        <v>52.99</v>
      </c>
      <c r="M35">
        <v>62.78</v>
      </c>
      <c r="N35">
        <v>128.91999999999999</v>
      </c>
      <c r="O35">
        <v>47.31</v>
      </c>
      <c r="P35">
        <v>186.8</v>
      </c>
      <c r="Q35">
        <v>23.7</v>
      </c>
    </row>
    <row r="36" spans="2:17" x14ac:dyDescent="0.3">
      <c r="B36" s="2">
        <v>45267</v>
      </c>
      <c r="C36">
        <v>40.409999999999997</v>
      </c>
      <c r="D36">
        <v>458.23</v>
      </c>
      <c r="E36">
        <v>188.15</v>
      </c>
      <c r="F36">
        <v>29.35</v>
      </c>
      <c r="G36">
        <v>390.43</v>
      </c>
      <c r="H36">
        <v>21.68</v>
      </c>
      <c r="I36">
        <v>65.11</v>
      </c>
      <c r="J36">
        <v>95.32</v>
      </c>
      <c r="K36">
        <v>62.04</v>
      </c>
      <c r="L36">
        <v>53.01</v>
      </c>
      <c r="M36">
        <v>63.15</v>
      </c>
      <c r="N36">
        <v>128.46</v>
      </c>
      <c r="O36">
        <v>47.46</v>
      </c>
      <c r="P36">
        <v>185.39</v>
      </c>
      <c r="Q36">
        <v>24.03</v>
      </c>
    </row>
    <row r="37" spans="2:17" x14ac:dyDescent="0.3">
      <c r="B37" s="2">
        <v>45266</v>
      </c>
      <c r="C37">
        <v>40.25</v>
      </c>
      <c r="D37">
        <v>454.76</v>
      </c>
      <c r="E37">
        <v>187.84</v>
      </c>
      <c r="F37">
        <v>29.51</v>
      </c>
      <c r="G37">
        <v>385.05</v>
      </c>
      <c r="H37">
        <v>21.55</v>
      </c>
      <c r="I37">
        <v>64.760000000000005</v>
      </c>
      <c r="J37">
        <v>95.87</v>
      </c>
      <c r="K37">
        <v>61.82</v>
      </c>
      <c r="L37">
        <v>52.72</v>
      </c>
      <c r="M37">
        <v>62.67</v>
      </c>
      <c r="N37">
        <v>127.54</v>
      </c>
      <c r="O37">
        <v>47.34</v>
      </c>
      <c r="P37">
        <v>184.06</v>
      </c>
      <c r="Q37">
        <v>23.95</v>
      </c>
    </row>
    <row r="38" spans="2:17" x14ac:dyDescent="0.3">
      <c r="B38" s="2">
        <v>45265</v>
      </c>
      <c r="C38">
        <v>40.299999999999997</v>
      </c>
      <c r="D38">
        <v>456.6</v>
      </c>
      <c r="E38">
        <v>187.15</v>
      </c>
      <c r="F38">
        <v>29.44</v>
      </c>
      <c r="G38">
        <v>387.29</v>
      </c>
      <c r="H38">
        <v>22.01</v>
      </c>
      <c r="I38">
        <v>67.58</v>
      </c>
      <c r="J38">
        <v>94.61</v>
      </c>
      <c r="K38">
        <v>61.81</v>
      </c>
      <c r="L38">
        <v>52.78</v>
      </c>
      <c r="M38">
        <v>62.02</v>
      </c>
      <c r="N38">
        <v>127.84</v>
      </c>
      <c r="O38">
        <v>47.27</v>
      </c>
      <c r="P38">
        <v>184.39</v>
      </c>
      <c r="Q38">
        <v>23.94</v>
      </c>
    </row>
    <row r="39" spans="2:17" x14ac:dyDescent="0.3">
      <c r="B39" s="2">
        <v>45264</v>
      </c>
      <c r="C39">
        <v>40.44</v>
      </c>
      <c r="D39">
        <v>456.69</v>
      </c>
      <c r="E39">
        <v>187.86</v>
      </c>
      <c r="F39">
        <v>29.33</v>
      </c>
      <c r="G39">
        <v>386.32</v>
      </c>
      <c r="H39">
        <v>21.98</v>
      </c>
      <c r="I39">
        <v>68.47</v>
      </c>
      <c r="J39">
        <v>92.614999999999995</v>
      </c>
      <c r="K39">
        <v>61.87</v>
      </c>
      <c r="L39">
        <v>52.88</v>
      </c>
      <c r="M39">
        <v>62.25</v>
      </c>
      <c r="N39">
        <v>128.04</v>
      </c>
      <c r="O39">
        <v>46.84</v>
      </c>
      <c r="P39">
        <v>186.89</v>
      </c>
      <c r="Q39">
        <v>24.31</v>
      </c>
    </row>
    <row r="40" spans="2:17" x14ac:dyDescent="0.3">
      <c r="B40" s="2">
        <v>45261</v>
      </c>
      <c r="C40">
        <v>40.799999999999997</v>
      </c>
      <c r="D40">
        <v>459.1</v>
      </c>
      <c r="E40">
        <v>192.01</v>
      </c>
      <c r="F40">
        <v>29.2</v>
      </c>
      <c r="G40">
        <v>389.94</v>
      </c>
      <c r="H40">
        <v>22.02</v>
      </c>
      <c r="I40">
        <v>69.239999999999995</v>
      </c>
      <c r="J40">
        <v>92.99</v>
      </c>
      <c r="K40">
        <v>62.21</v>
      </c>
      <c r="L40">
        <v>53.35</v>
      </c>
      <c r="M40">
        <v>63.21</v>
      </c>
      <c r="N40">
        <v>128.76</v>
      </c>
      <c r="O40">
        <v>46.4</v>
      </c>
      <c r="P40">
        <v>184.91</v>
      </c>
      <c r="Q40">
        <v>24.89</v>
      </c>
    </row>
    <row r="41" spans="2:17" x14ac:dyDescent="0.3">
      <c r="B41" s="2">
        <v>45260</v>
      </c>
      <c r="C41">
        <v>40.630000000000003</v>
      </c>
      <c r="D41">
        <v>456.4</v>
      </c>
      <c r="E41">
        <v>188.75</v>
      </c>
      <c r="F41">
        <v>29.29</v>
      </c>
      <c r="G41">
        <v>388.83</v>
      </c>
      <c r="H41">
        <v>22.28</v>
      </c>
      <c r="I41">
        <v>70.14</v>
      </c>
      <c r="J41">
        <v>91.56</v>
      </c>
      <c r="K41">
        <v>61.62</v>
      </c>
      <c r="L41">
        <v>52.88</v>
      </c>
      <c r="M41">
        <v>62.61</v>
      </c>
      <c r="N41">
        <v>127.78</v>
      </c>
      <c r="O41">
        <v>46.02</v>
      </c>
      <c r="P41">
        <v>179.66</v>
      </c>
      <c r="Q41">
        <v>25.16</v>
      </c>
    </row>
    <row r="42" spans="2:17" x14ac:dyDescent="0.3">
      <c r="B42" s="2">
        <v>45259</v>
      </c>
      <c r="C42">
        <v>40.51</v>
      </c>
      <c r="D42">
        <v>454.61</v>
      </c>
      <c r="E42">
        <v>189.54</v>
      </c>
      <c r="F42">
        <v>29.08</v>
      </c>
      <c r="G42">
        <v>389.81</v>
      </c>
      <c r="H42">
        <v>22.08</v>
      </c>
      <c r="I42">
        <v>72.52</v>
      </c>
      <c r="J42">
        <v>92.63</v>
      </c>
      <c r="K42">
        <v>61.76</v>
      </c>
      <c r="L42">
        <v>52.84</v>
      </c>
      <c r="M42">
        <v>62.49</v>
      </c>
      <c r="N42">
        <v>127.43</v>
      </c>
      <c r="O42">
        <v>45.63</v>
      </c>
      <c r="P42">
        <v>178.98</v>
      </c>
      <c r="Q42">
        <v>25.06</v>
      </c>
    </row>
    <row r="43" spans="2:17" x14ac:dyDescent="0.3">
      <c r="B43" s="2">
        <v>45258</v>
      </c>
      <c r="C43">
        <v>40.74</v>
      </c>
      <c r="D43">
        <v>454.93</v>
      </c>
      <c r="E43">
        <v>189.26</v>
      </c>
      <c r="F43">
        <v>29.05</v>
      </c>
      <c r="G43">
        <v>390.19</v>
      </c>
      <c r="H43">
        <v>21.94</v>
      </c>
      <c r="I43">
        <v>71.260000000000005</v>
      </c>
      <c r="J43">
        <v>91.48</v>
      </c>
      <c r="K43">
        <v>61.48</v>
      </c>
      <c r="L43">
        <v>52.91</v>
      </c>
      <c r="M43">
        <v>62.55</v>
      </c>
      <c r="N43">
        <v>127.41</v>
      </c>
      <c r="O43">
        <v>45.49</v>
      </c>
      <c r="P43">
        <v>178.04</v>
      </c>
      <c r="Q43">
        <v>25.71</v>
      </c>
    </row>
    <row r="44" spans="2:17" x14ac:dyDescent="0.3">
      <c r="B44" s="2">
        <v>45257</v>
      </c>
      <c r="C44">
        <v>40.409999999999997</v>
      </c>
      <c r="D44">
        <v>454.48</v>
      </c>
      <c r="E44">
        <v>186.77</v>
      </c>
      <c r="F44">
        <v>29.15</v>
      </c>
      <c r="G44">
        <v>389.17</v>
      </c>
      <c r="H44">
        <v>21.59</v>
      </c>
      <c r="I44">
        <v>69.959999999999994</v>
      </c>
      <c r="J44">
        <v>91.3</v>
      </c>
      <c r="K44">
        <v>61.48</v>
      </c>
      <c r="L44">
        <v>52.33</v>
      </c>
      <c r="M44">
        <v>62.56</v>
      </c>
      <c r="N44">
        <v>127.31</v>
      </c>
      <c r="O44">
        <v>45.09</v>
      </c>
      <c r="P44">
        <v>178.73</v>
      </c>
      <c r="Q44">
        <v>26.02</v>
      </c>
    </row>
    <row r="45" spans="2:17" x14ac:dyDescent="0.3">
      <c r="B45" s="2">
        <v>45254</v>
      </c>
      <c r="C45">
        <v>40.6</v>
      </c>
      <c r="D45">
        <v>455.3</v>
      </c>
      <c r="E45">
        <v>185.52</v>
      </c>
      <c r="F45">
        <v>29.21</v>
      </c>
      <c r="G45">
        <v>389.51</v>
      </c>
      <c r="H45">
        <v>21.74</v>
      </c>
      <c r="I45">
        <v>70.819999999999993</v>
      </c>
      <c r="J45">
        <v>89.8</v>
      </c>
      <c r="K45">
        <v>61.67</v>
      </c>
      <c r="L45">
        <v>52.38</v>
      </c>
      <c r="M45">
        <v>62.61</v>
      </c>
      <c r="N45">
        <v>127.52</v>
      </c>
      <c r="O45">
        <v>45.19</v>
      </c>
      <c r="P45">
        <v>179.33</v>
      </c>
      <c r="Q45">
        <v>26.36</v>
      </c>
    </row>
    <row r="46" spans="2:17" x14ac:dyDescent="0.3">
      <c r="B46" s="2">
        <v>45252</v>
      </c>
      <c r="C46">
        <v>40.47</v>
      </c>
      <c r="D46">
        <v>455.02</v>
      </c>
      <c r="E46">
        <v>184.56</v>
      </c>
      <c r="F46">
        <v>29.34</v>
      </c>
      <c r="G46">
        <v>390.06</v>
      </c>
      <c r="H46">
        <v>22.07</v>
      </c>
      <c r="I46">
        <v>71.61</v>
      </c>
      <c r="J46">
        <v>90.87</v>
      </c>
      <c r="K46">
        <v>61.02</v>
      </c>
      <c r="L46">
        <v>52.45</v>
      </c>
      <c r="M46">
        <v>62.49</v>
      </c>
      <c r="N46">
        <v>127.23</v>
      </c>
      <c r="O46">
        <v>45.21</v>
      </c>
      <c r="P46">
        <v>178.13</v>
      </c>
      <c r="Q46">
        <v>26.29</v>
      </c>
    </row>
    <row r="47" spans="2:17" x14ac:dyDescent="0.3">
      <c r="B47" s="2">
        <v>45251</v>
      </c>
      <c r="C47">
        <v>40.58</v>
      </c>
      <c r="D47">
        <v>453.27</v>
      </c>
      <c r="E47">
        <v>185.35</v>
      </c>
      <c r="F47">
        <v>29.24</v>
      </c>
      <c r="G47">
        <v>388.47</v>
      </c>
      <c r="H47">
        <v>22.18</v>
      </c>
      <c r="I47">
        <v>72.53</v>
      </c>
      <c r="J47">
        <v>90.55</v>
      </c>
      <c r="K47">
        <v>60.92</v>
      </c>
      <c r="L47">
        <v>52.57</v>
      </c>
      <c r="M47">
        <v>62.1</v>
      </c>
      <c r="N47">
        <v>126.8</v>
      </c>
      <c r="O47">
        <v>45.06</v>
      </c>
      <c r="P47">
        <v>177.02</v>
      </c>
      <c r="Q47">
        <v>26.16</v>
      </c>
    </row>
    <row r="48" spans="2:17" x14ac:dyDescent="0.3">
      <c r="B48" s="2">
        <v>45250</v>
      </c>
      <c r="C48">
        <v>40.82</v>
      </c>
      <c r="D48">
        <v>454.26</v>
      </c>
      <c r="E48">
        <v>183.37</v>
      </c>
      <c r="F48">
        <v>29.21</v>
      </c>
      <c r="G48">
        <v>390.74</v>
      </c>
      <c r="H48">
        <v>22.14</v>
      </c>
      <c r="I48">
        <v>72.3</v>
      </c>
      <c r="J48">
        <v>90.59</v>
      </c>
      <c r="K48">
        <v>61.18</v>
      </c>
      <c r="L48">
        <v>52.76</v>
      </c>
      <c r="M48">
        <v>62.36</v>
      </c>
      <c r="N48">
        <v>127.07</v>
      </c>
      <c r="O48">
        <v>45.05</v>
      </c>
      <c r="P48">
        <v>179.33</v>
      </c>
      <c r="Q48">
        <v>26.69</v>
      </c>
    </row>
    <row r="49" spans="2:17" x14ac:dyDescent="0.3">
      <c r="B49" s="2">
        <v>45247</v>
      </c>
      <c r="C49">
        <v>40.39</v>
      </c>
      <c r="D49">
        <v>450.79</v>
      </c>
      <c r="E49">
        <v>183.67</v>
      </c>
      <c r="F49">
        <v>29.3</v>
      </c>
      <c r="G49">
        <v>386.04</v>
      </c>
      <c r="H49">
        <v>22.08</v>
      </c>
      <c r="I49">
        <v>70.75</v>
      </c>
      <c r="J49">
        <v>90.04</v>
      </c>
      <c r="K49">
        <v>60.9</v>
      </c>
      <c r="L49">
        <v>52.31</v>
      </c>
      <c r="M49">
        <v>62.35</v>
      </c>
      <c r="N49">
        <v>126.3</v>
      </c>
      <c r="O49">
        <v>45.045000000000002</v>
      </c>
      <c r="P49">
        <v>178.29</v>
      </c>
      <c r="Q49">
        <v>26.12</v>
      </c>
    </row>
    <row r="50" spans="2:17" x14ac:dyDescent="0.3">
      <c r="B50" s="2">
        <v>45246</v>
      </c>
      <c r="C50">
        <v>40.229999999999997</v>
      </c>
      <c r="D50">
        <v>450.23</v>
      </c>
      <c r="E50">
        <v>183.69</v>
      </c>
      <c r="F50">
        <v>29.46</v>
      </c>
      <c r="G50">
        <v>385.95</v>
      </c>
      <c r="H50">
        <v>22.12</v>
      </c>
      <c r="I50">
        <v>68.05</v>
      </c>
      <c r="J50">
        <v>89.62</v>
      </c>
      <c r="K50">
        <v>60.07</v>
      </c>
      <c r="L50">
        <v>52.24</v>
      </c>
      <c r="M50">
        <v>61.39</v>
      </c>
      <c r="N50">
        <v>125.66</v>
      </c>
      <c r="O50">
        <v>44.98</v>
      </c>
      <c r="P50">
        <v>175.88</v>
      </c>
      <c r="Q50">
        <v>26.1</v>
      </c>
    </row>
    <row r="51" spans="2:17" x14ac:dyDescent="0.3">
      <c r="B51" s="2">
        <v>45245</v>
      </c>
      <c r="C51">
        <v>40.65</v>
      </c>
      <c r="D51">
        <v>449.68</v>
      </c>
      <c r="E51">
        <v>181.64</v>
      </c>
      <c r="F51">
        <v>29.44</v>
      </c>
      <c r="G51">
        <v>385.62</v>
      </c>
      <c r="H51">
        <v>22.29</v>
      </c>
      <c r="I51">
        <v>71.34</v>
      </c>
      <c r="J51">
        <v>88.52</v>
      </c>
      <c r="K51">
        <v>60.2</v>
      </c>
      <c r="L51">
        <v>52.18</v>
      </c>
      <c r="M51">
        <v>61.18</v>
      </c>
      <c r="N51">
        <v>125.66</v>
      </c>
      <c r="O51">
        <v>44.94</v>
      </c>
      <c r="P51">
        <v>178.77</v>
      </c>
      <c r="Q51">
        <v>27.21</v>
      </c>
    </row>
    <row r="52" spans="2:17" x14ac:dyDescent="0.3">
      <c r="B52" s="2">
        <v>45244</v>
      </c>
      <c r="C52">
        <v>40.369999999999997</v>
      </c>
      <c r="D52">
        <v>448.73</v>
      </c>
      <c r="E52">
        <v>182.12</v>
      </c>
      <c r="F52">
        <v>29.33</v>
      </c>
      <c r="G52">
        <v>385.33</v>
      </c>
      <c r="H52">
        <v>22.25</v>
      </c>
      <c r="I52">
        <v>72.69</v>
      </c>
      <c r="J52">
        <v>89.78</v>
      </c>
      <c r="K52">
        <v>60.21</v>
      </c>
      <c r="L52">
        <v>51.98</v>
      </c>
      <c r="M52">
        <v>61.64</v>
      </c>
      <c r="N52">
        <v>125.46</v>
      </c>
      <c r="O52">
        <v>45.08</v>
      </c>
      <c r="P52">
        <v>178.46</v>
      </c>
      <c r="Q52">
        <v>26.58</v>
      </c>
    </row>
    <row r="53" spans="2:17" x14ac:dyDescent="0.3">
      <c r="B53" s="2">
        <v>45243</v>
      </c>
      <c r="C53">
        <v>39.450000000000003</v>
      </c>
      <c r="D53">
        <v>440.19</v>
      </c>
      <c r="E53">
        <v>180.51</v>
      </c>
      <c r="F53">
        <v>29.8</v>
      </c>
      <c r="G53">
        <v>377.21</v>
      </c>
      <c r="H53">
        <v>22.36</v>
      </c>
      <c r="I53">
        <v>72.92</v>
      </c>
      <c r="J53">
        <v>87.79</v>
      </c>
      <c r="K53">
        <v>58.48</v>
      </c>
      <c r="L53">
        <v>50.64</v>
      </c>
      <c r="M53">
        <v>60.44</v>
      </c>
      <c r="N53">
        <v>122.88</v>
      </c>
      <c r="O53">
        <v>44.42</v>
      </c>
      <c r="P53">
        <v>169.17</v>
      </c>
      <c r="Q53">
        <v>26.02</v>
      </c>
    </row>
    <row r="54" spans="2:17" x14ac:dyDescent="0.3">
      <c r="B54" s="2">
        <v>45240</v>
      </c>
      <c r="C54">
        <v>39.380000000000003</v>
      </c>
      <c r="D54">
        <v>440.61</v>
      </c>
      <c r="E54">
        <v>179.51</v>
      </c>
      <c r="F54">
        <v>29.84</v>
      </c>
      <c r="G54">
        <v>378.39</v>
      </c>
      <c r="H54">
        <v>22.04</v>
      </c>
      <c r="I54">
        <v>71.790000000000006</v>
      </c>
      <c r="J54">
        <v>87.99</v>
      </c>
      <c r="K54">
        <v>58.33</v>
      </c>
      <c r="L54">
        <v>50.84</v>
      </c>
      <c r="M54">
        <v>60.47</v>
      </c>
      <c r="N54">
        <v>122.84</v>
      </c>
      <c r="O54">
        <v>44.49</v>
      </c>
      <c r="P54">
        <v>169.11</v>
      </c>
      <c r="Q54">
        <v>25.68</v>
      </c>
    </row>
    <row r="55" spans="2:17" x14ac:dyDescent="0.3">
      <c r="B55" s="2">
        <v>45239</v>
      </c>
      <c r="C55">
        <v>39.11</v>
      </c>
      <c r="D55">
        <v>433.84</v>
      </c>
      <c r="E55">
        <v>181.49</v>
      </c>
      <c r="F55">
        <v>29.86</v>
      </c>
      <c r="G55">
        <v>370.07</v>
      </c>
      <c r="H55">
        <v>22.13</v>
      </c>
      <c r="I55">
        <v>70.25</v>
      </c>
      <c r="J55">
        <v>87.5</v>
      </c>
      <c r="K55">
        <v>58.06</v>
      </c>
      <c r="L55">
        <v>50.32</v>
      </c>
      <c r="M55">
        <v>59.89</v>
      </c>
      <c r="N55">
        <v>121.31</v>
      </c>
      <c r="O55">
        <v>44.04</v>
      </c>
      <c r="P55">
        <v>167.24</v>
      </c>
      <c r="Q55">
        <v>25.76</v>
      </c>
    </row>
    <row r="56" spans="2:17" x14ac:dyDescent="0.3">
      <c r="B56" s="2">
        <v>45238</v>
      </c>
      <c r="C56">
        <v>39.46</v>
      </c>
      <c r="D56">
        <v>437.25</v>
      </c>
      <c r="E56">
        <v>180.77</v>
      </c>
      <c r="F56">
        <v>29.73</v>
      </c>
      <c r="G56">
        <v>372.94</v>
      </c>
      <c r="H56">
        <v>22.26</v>
      </c>
      <c r="I56">
        <v>70.19</v>
      </c>
      <c r="J56">
        <v>89.56</v>
      </c>
      <c r="K56">
        <v>58.07</v>
      </c>
      <c r="L56">
        <v>50.69</v>
      </c>
      <c r="M56">
        <v>59.64</v>
      </c>
      <c r="N56">
        <v>122.02</v>
      </c>
      <c r="O56">
        <v>44.33</v>
      </c>
      <c r="P56">
        <v>169.87</v>
      </c>
      <c r="Q56">
        <v>26.12</v>
      </c>
    </row>
    <row r="57" spans="2:17" x14ac:dyDescent="0.3">
      <c r="B57" s="2">
        <v>45237</v>
      </c>
      <c r="C57">
        <v>39.64</v>
      </c>
      <c r="D57">
        <v>436.93</v>
      </c>
      <c r="E57">
        <v>182.59</v>
      </c>
      <c r="F57">
        <v>29.74</v>
      </c>
      <c r="G57">
        <v>372.7</v>
      </c>
      <c r="H57">
        <v>22.16</v>
      </c>
      <c r="I57">
        <v>71.8</v>
      </c>
      <c r="J57">
        <v>88.06</v>
      </c>
      <c r="K57">
        <v>57.79</v>
      </c>
      <c r="L57">
        <v>51.02</v>
      </c>
      <c r="M57">
        <v>60.64</v>
      </c>
      <c r="N57">
        <v>121.99</v>
      </c>
      <c r="O57">
        <v>44.21</v>
      </c>
      <c r="P57">
        <v>171.7</v>
      </c>
      <c r="Q57">
        <v>26.31</v>
      </c>
    </row>
    <row r="58" spans="2:17" x14ac:dyDescent="0.3">
      <c r="B58" s="2">
        <v>45236</v>
      </c>
      <c r="C58">
        <v>39.630000000000003</v>
      </c>
      <c r="D58">
        <v>435.69</v>
      </c>
      <c r="E58">
        <v>183.35</v>
      </c>
      <c r="F58">
        <v>29.64</v>
      </c>
      <c r="G58">
        <v>369.21</v>
      </c>
      <c r="H58">
        <v>22.46</v>
      </c>
      <c r="I58">
        <v>74.91</v>
      </c>
      <c r="J58">
        <v>86.78</v>
      </c>
      <c r="K58">
        <v>58.05</v>
      </c>
      <c r="L58">
        <v>51.16</v>
      </c>
      <c r="M58">
        <v>61.2</v>
      </c>
      <c r="N58">
        <v>121.89</v>
      </c>
      <c r="O58">
        <v>44.19</v>
      </c>
      <c r="P58">
        <v>172.31</v>
      </c>
      <c r="Q58">
        <v>26.43</v>
      </c>
    </row>
    <row r="59" spans="2:17" x14ac:dyDescent="0.3">
      <c r="B59" s="2">
        <v>45233</v>
      </c>
      <c r="C59">
        <v>39.51</v>
      </c>
      <c r="D59">
        <v>434.69</v>
      </c>
      <c r="E59">
        <v>184.79</v>
      </c>
      <c r="F59">
        <v>29.61</v>
      </c>
      <c r="G59">
        <v>367.71</v>
      </c>
      <c r="H59">
        <v>22.4</v>
      </c>
      <c r="I59">
        <v>74.849999999999994</v>
      </c>
      <c r="J59">
        <v>87.63</v>
      </c>
      <c r="K59">
        <v>58.24</v>
      </c>
      <c r="L59">
        <v>50.68</v>
      </c>
      <c r="M59">
        <v>62</v>
      </c>
      <c r="N59">
        <v>121.93</v>
      </c>
      <c r="O59">
        <v>44.15</v>
      </c>
      <c r="P59">
        <v>174.49</v>
      </c>
      <c r="Q59">
        <v>26.35</v>
      </c>
    </row>
    <row r="60" spans="2:17" x14ac:dyDescent="0.3">
      <c r="B60" s="2">
        <v>45232</v>
      </c>
      <c r="C60">
        <v>38.799999999999997</v>
      </c>
      <c r="D60">
        <v>430.76</v>
      </c>
      <c r="E60">
        <v>184.12</v>
      </c>
      <c r="F60">
        <v>29.89</v>
      </c>
      <c r="G60">
        <v>363.44</v>
      </c>
      <c r="H60">
        <v>22.24</v>
      </c>
      <c r="I60">
        <v>76.180000000000007</v>
      </c>
      <c r="J60">
        <v>87.04</v>
      </c>
      <c r="K60">
        <v>57.76</v>
      </c>
      <c r="L60">
        <v>49.89</v>
      </c>
      <c r="M60">
        <v>60.95</v>
      </c>
      <c r="N60">
        <v>120.72</v>
      </c>
      <c r="O60">
        <v>43.83</v>
      </c>
      <c r="P60">
        <v>169.87</v>
      </c>
      <c r="Q60">
        <v>25.75</v>
      </c>
    </row>
    <row r="61" spans="2:17" x14ac:dyDescent="0.3">
      <c r="B61" s="2">
        <v>45231</v>
      </c>
      <c r="C61">
        <v>38.21</v>
      </c>
      <c r="D61">
        <v>422.66</v>
      </c>
      <c r="E61">
        <v>183.51</v>
      </c>
      <c r="F61">
        <v>30.04</v>
      </c>
      <c r="G61">
        <v>356.96</v>
      </c>
      <c r="H61">
        <v>21.98</v>
      </c>
      <c r="I61">
        <v>74.75</v>
      </c>
      <c r="J61">
        <v>85.1</v>
      </c>
      <c r="K61">
        <v>56.52</v>
      </c>
      <c r="L61">
        <v>48.87</v>
      </c>
      <c r="M61">
        <v>59.97</v>
      </c>
      <c r="N61">
        <v>118.32</v>
      </c>
      <c r="O61">
        <v>43.4</v>
      </c>
      <c r="P61">
        <v>165.46</v>
      </c>
      <c r="Q61">
        <v>25.48</v>
      </c>
    </row>
    <row r="62" spans="2:17" x14ac:dyDescent="0.3">
      <c r="B62" s="2">
        <v>45230</v>
      </c>
      <c r="C62">
        <v>37.94</v>
      </c>
      <c r="D62">
        <v>418.2</v>
      </c>
      <c r="E62">
        <v>184.09</v>
      </c>
      <c r="F62">
        <v>30.03</v>
      </c>
      <c r="G62">
        <v>350.87</v>
      </c>
      <c r="H62">
        <v>22.01</v>
      </c>
      <c r="I62">
        <v>75.02</v>
      </c>
      <c r="J62">
        <v>83.58</v>
      </c>
      <c r="K62">
        <v>56.14</v>
      </c>
      <c r="L62">
        <v>48.21</v>
      </c>
      <c r="M62">
        <v>58.96</v>
      </c>
      <c r="N62">
        <v>117.11</v>
      </c>
      <c r="O62">
        <v>43.24</v>
      </c>
      <c r="P62">
        <v>164.52</v>
      </c>
      <c r="Q62">
        <v>25.52</v>
      </c>
    </row>
    <row r="63" spans="2:17" x14ac:dyDescent="0.3">
      <c r="B63" s="2">
        <v>45229</v>
      </c>
      <c r="C63">
        <v>38.119999999999997</v>
      </c>
      <c r="D63">
        <v>415.59</v>
      </c>
      <c r="E63">
        <v>185.1</v>
      </c>
      <c r="F63">
        <v>29.85</v>
      </c>
      <c r="G63">
        <v>349.2</v>
      </c>
      <c r="H63">
        <v>21.9</v>
      </c>
      <c r="I63">
        <v>76.05</v>
      </c>
      <c r="J63">
        <v>83.99</v>
      </c>
      <c r="K63">
        <v>56.04</v>
      </c>
      <c r="L63">
        <v>48.37</v>
      </c>
      <c r="M63">
        <v>58.25</v>
      </c>
      <c r="N63">
        <v>116.43</v>
      </c>
      <c r="O63">
        <v>43.33</v>
      </c>
      <c r="P63">
        <v>163.11000000000001</v>
      </c>
      <c r="Q63">
        <v>25.94</v>
      </c>
    </row>
    <row r="64" spans="2:17" x14ac:dyDescent="0.3">
      <c r="B64" s="2">
        <v>45226</v>
      </c>
      <c r="C64">
        <v>37.78</v>
      </c>
      <c r="D64">
        <v>410.68</v>
      </c>
      <c r="E64">
        <v>186.15</v>
      </c>
      <c r="F64">
        <v>29.97</v>
      </c>
      <c r="G64">
        <v>345.31</v>
      </c>
      <c r="H64">
        <v>22.05</v>
      </c>
      <c r="I64">
        <v>78.36</v>
      </c>
      <c r="J64">
        <v>84.37</v>
      </c>
      <c r="K64">
        <v>55.18</v>
      </c>
      <c r="L64">
        <v>47.86</v>
      </c>
      <c r="M64">
        <v>57.82</v>
      </c>
      <c r="N64">
        <v>115.01</v>
      </c>
      <c r="O64">
        <v>42.96</v>
      </c>
      <c r="P64">
        <v>162.21</v>
      </c>
      <c r="Q64">
        <v>25.67</v>
      </c>
    </row>
    <row r="65" spans="2:17" x14ac:dyDescent="0.3">
      <c r="B65" s="2">
        <v>45225</v>
      </c>
      <c r="C65">
        <v>37.74</v>
      </c>
      <c r="D65">
        <v>412.55</v>
      </c>
      <c r="E65">
        <v>184.01</v>
      </c>
      <c r="F65">
        <v>30.01</v>
      </c>
      <c r="G65">
        <v>343.66</v>
      </c>
      <c r="H65">
        <v>21.85</v>
      </c>
      <c r="I65">
        <v>76.89</v>
      </c>
      <c r="J65">
        <v>84.73</v>
      </c>
      <c r="K65">
        <v>55.57</v>
      </c>
      <c r="L65">
        <v>48.02</v>
      </c>
      <c r="M65">
        <v>57.34</v>
      </c>
      <c r="N65">
        <v>115.58</v>
      </c>
      <c r="O65">
        <v>42.73</v>
      </c>
      <c r="P65">
        <v>164.14</v>
      </c>
      <c r="Q65">
        <v>25.58</v>
      </c>
    </row>
    <row r="66" spans="2:17" x14ac:dyDescent="0.3">
      <c r="B66" s="2">
        <v>45224</v>
      </c>
      <c r="C66">
        <v>37.880000000000003</v>
      </c>
      <c r="D66">
        <v>417.55</v>
      </c>
      <c r="E66">
        <v>183.72</v>
      </c>
      <c r="F66">
        <v>29.94</v>
      </c>
      <c r="G66">
        <v>350.34</v>
      </c>
      <c r="H66">
        <v>21.81</v>
      </c>
      <c r="I66">
        <v>78.459999999999994</v>
      </c>
      <c r="J66">
        <v>83.45</v>
      </c>
      <c r="K66">
        <v>55.81</v>
      </c>
      <c r="L66">
        <v>48.41</v>
      </c>
      <c r="M66">
        <v>58.13</v>
      </c>
      <c r="N66">
        <v>116.77</v>
      </c>
      <c r="O66">
        <v>43.25</v>
      </c>
      <c r="P66">
        <v>163.72</v>
      </c>
      <c r="Q66">
        <v>25.53</v>
      </c>
    </row>
    <row r="67" spans="2:17" x14ac:dyDescent="0.3">
      <c r="B67" s="2">
        <v>45223</v>
      </c>
      <c r="C67">
        <v>38.29</v>
      </c>
      <c r="D67">
        <v>423.63</v>
      </c>
      <c r="E67">
        <v>182.95</v>
      </c>
      <c r="F67">
        <v>29.86</v>
      </c>
      <c r="G67">
        <v>359.13</v>
      </c>
      <c r="H67">
        <v>21.91</v>
      </c>
      <c r="I67">
        <v>76.930000000000007</v>
      </c>
      <c r="J67">
        <v>85.35</v>
      </c>
      <c r="K67">
        <v>56.31</v>
      </c>
      <c r="L67">
        <v>49</v>
      </c>
      <c r="M67">
        <v>58.36</v>
      </c>
      <c r="N67">
        <v>118.3</v>
      </c>
      <c r="O67">
        <v>43.75</v>
      </c>
      <c r="P67">
        <v>166.47</v>
      </c>
      <c r="Q67">
        <v>26.06</v>
      </c>
    </row>
    <row r="68" spans="2:17" x14ac:dyDescent="0.3">
      <c r="B68" s="2">
        <v>45222</v>
      </c>
      <c r="C68">
        <v>37.82</v>
      </c>
      <c r="D68">
        <v>420.46</v>
      </c>
      <c r="E68">
        <v>182.97</v>
      </c>
      <c r="F68">
        <v>29.69</v>
      </c>
      <c r="G68">
        <v>355.67</v>
      </c>
      <c r="H68">
        <v>21.93</v>
      </c>
      <c r="I68">
        <v>78.89</v>
      </c>
      <c r="J68">
        <v>84.24</v>
      </c>
      <c r="K68">
        <v>56.1</v>
      </c>
      <c r="L68">
        <v>48.66</v>
      </c>
      <c r="M68">
        <v>57.99</v>
      </c>
      <c r="N68">
        <v>117.5</v>
      </c>
      <c r="O68">
        <v>43.62</v>
      </c>
      <c r="P68">
        <v>165.03</v>
      </c>
      <c r="Q68">
        <v>25.25</v>
      </c>
    </row>
    <row r="69" spans="2:17" x14ac:dyDescent="0.3">
      <c r="B69" s="2">
        <v>45219</v>
      </c>
      <c r="C69">
        <v>37.9</v>
      </c>
      <c r="D69">
        <v>421.19</v>
      </c>
      <c r="E69">
        <v>183.59</v>
      </c>
      <c r="F69">
        <v>29.84</v>
      </c>
      <c r="G69">
        <v>354.6</v>
      </c>
      <c r="H69">
        <v>21.92</v>
      </c>
      <c r="I69">
        <v>80.7</v>
      </c>
      <c r="J69">
        <v>83.24</v>
      </c>
      <c r="K69">
        <v>55.98</v>
      </c>
      <c r="L69">
        <v>48.81</v>
      </c>
      <c r="M69">
        <v>58.13</v>
      </c>
      <c r="N69">
        <v>117.65</v>
      </c>
      <c r="O69">
        <v>43.98</v>
      </c>
      <c r="P69">
        <v>166.44</v>
      </c>
      <c r="Q69">
        <v>25.03</v>
      </c>
    </row>
    <row r="70" spans="2:17" x14ac:dyDescent="0.3">
      <c r="B70" s="2">
        <v>45218</v>
      </c>
      <c r="C70">
        <v>38.36</v>
      </c>
      <c r="D70">
        <v>426.43</v>
      </c>
      <c r="E70">
        <v>183.09</v>
      </c>
      <c r="F70">
        <v>29.83</v>
      </c>
      <c r="G70">
        <v>359.97</v>
      </c>
      <c r="H70">
        <v>21.97</v>
      </c>
      <c r="I70">
        <v>81.680000000000007</v>
      </c>
      <c r="J70">
        <v>82.77</v>
      </c>
      <c r="K70">
        <v>56.52</v>
      </c>
      <c r="L70">
        <v>49.32</v>
      </c>
      <c r="M70">
        <v>58.52</v>
      </c>
      <c r="N70">
        <v>118.98</v>
      </c>
      <c r="O70">
        <v>44.33</v>
      </c>
      <c r="P70">
        <v>168.62</v>
      </c>
      <c r="Q70">
        <v>25.56</v>
      </c>
    </row>
    <row r="71" spans="2:17" x14ac:dyDescent="0.3">
      <c r="B71" s="2">
        <v>45217</v>
      </c>
      <c r="C71">
        <v>38.5</v>
      </c>
      <c r="D71">
        <v>430.21</v>
      </c>
      <c r="E71">
        <v>180.87</v>
      </c>
      <c r="F71">
        <v>29.92</v>
      </c>
      <c r="G71">
        <v>363.37</v>
      </c>
      <c r="H71">
        <v>21.92</v>
      </c>
      <c r="I71">
        <v>79.84</v>
      </c>
      <c r="J71">
        <v>84.5</v>
      </c>
      <c r="K71">
        <v>56.99</v>
      </c>
      <c r="L71">
        <v>49.42</v>
      </c>
      <c r="M71">
        <v>58.95</v>
      </c>
      <c r="N71">
        <v>120.06</v>
      </c>
      <c r="O71">
        <v>44.22</v>
      </c>
      <c r="P71">
        <v>171.35</v>
      </c>
      <c r="Q71">
        <v>26.01</v>
      </c>
    </row>
    <row r="72" spans="2:17" x14ac:dyDescent="0.3">
      <c r="B72" s="2">
        <v>45216</v>
      </c>
      <c r="C72">
        <v>39.14</v>
      </c>
      <c r="D72">
        <v>436.02</v>
      </c>
      <c r="E72">
        <v>178.29</v>
      </c>
      <c r="F72">
        <v>29.81</v>
      </c>
      <c r="G72">
        <v>368.2</v>
      </c>
      <c r="H72">
        <v>21.86</v>
      </c>
      <c r="I72">
        <v>78.8</v>
      </c>
      <c r="J72">
        <v>85.25</v>
      </c>
      <c r="K72">
        <v>58.06</v>
      </c>
      <c r="L72">
        <v>50.13</v>
      </c>
      <c r="M72">
        <v>59.89</v>
      </c>
      <c r="N72">
        <v>121.84</v>
      </c>
      <c r="O72">
        <v>44.77</v>
      </c>
      <c r="P72">
        <v>174.95</v>
      </c>
      <c r="Q72">
        <v>26.45</v>
      </c>
    </row>
    <row r="73" spans="2:17" x14ac:dyDescent="0.3">
      <c r="B73" s="2">
        <v>45215</v>
      </c>
      <c r="C73">
        <v>39.31</v>
      </c>
      <c r="D73">
        <v>436.04</v>
      </c>
      <c r="E73">
        <v>177.96</v>
      </c>
      <c r="F73">
        <v>29.8</v>
      </c>
      <c r="G73">
        <v>369.41</v>
      </c>
      <c r="H73">
        <v>21.73</v>
      </c>
      <c r="I73">
        <v>78.39</v>
      </c>
      <c r="J73">
        <v>86.2</v>
      </c>
      <c r="K73">
        <v>58.12</v>
      </c>
      <c r="L73">
        <v>50.17</v>
      </c>
      <c r="M73">
        <v>59.77</v>
      </c>
      <c r="N73">
        <v>121.85</v>
      </c>
      <c r="O73">
        <v>44.76</v>
      </c>
      <c r="P73">
        <v>173.02</v>
      </c>
      <c r="Q73">
        <v>26.65</v>
      </c>
    </row>
    <row r="74" spans="2:17" x14ac:dyDescent="0.3">
      <c r="B74" s="2">
        <v>45212</v>
      </c>
      <c r="C74">
        <v>39.03</v>
      </c>
      <c r="D74">
        <v>431.5</v>
      </c>
      <c r="E74">
        <v>178.83</v>
      </c>
      <c r="F74">
        <v>29.93</v>
      </c>
      <c r="G74">
        <v>365.28</v>
      </c>
      <c r="H74">
        <v>21.71</v>
      </c>
      <c r="I74">
        <v>78.989999999999995</v>
      </c>
      <c r="J74">
        <v>87.61</v>
      </c>
      <c r="K74">
        <v>57.59</v>
      </c>
      <c r="L74">
        <v>49.67</v>
      </c>
      <c r="M74">
        <v>59.58</v>
      </c>
      <c r="N74">
        <v>120.68</v>
      </c>
      <c r="O74">
        <v>44.46</v>
      </c>
      <c r="P74">
        <v>170.27</v>
      </c>
      <c r="Q74">
        <v>26.48</v>
      </c>
    </row>
    <row r="75" spans="2:17" x14ac:dyDescent="0.3">
      <c r="B75" s="2">
        <v>45211</v>
      </c>
      <c r="C75">
        <v>39.18</v>
      </c>
      <c r="D75">
        <v>433.66</v>
      </c>
      <c r="E75">
        <v>173.26</v>
      </c>
      <c r="F75">
        <v>29.91</v>
      </c>
      <c r="G75">
        <v>369.93</v>
      </c>
      <c r="H75">
        <v>21.61</v>
      </c>
      <c r="I75">
        <v>75.42</v>
      </c>
      <c r="J75">
        <v>86.07</v>
      </c>
      <c r="K75">
        <v>58.12</v>
      </c>
      <c r="L75">
        <v>49.86</v>
      </c>
      <c r="M75">
        <v>60.33</v>
      </c>
      <c r="N75">
        <v>121.38</v>
      </c>
      <c r="O75">
        <v>44.32</v>
      </c>
      <c r="P75">
        <v>171.7</v>
      </c>
      <c r="Q75">
        <v>26.68</v>
      </c>
    </row>
    <row r="76" spans="2:17" x14ac:dyDescent="0.3">
      <c r="B76" s="2">
        <v>45210</v>
      </c>
      <c r="C76">
        <v>39.6</v>
      </c>
      <c r="D76">
        <v>436.32</v>
      </c>
      <c r="E76">
        <v>173.79</v>
      </c>
      <c r="F76">
        <v>29.66</v>
      </c>
      <c r="G76">
        <v>371.22</v>
      </c>
      <c r="H76">
        <v>21.41</v>
      </c>
      <c r="I76">
        <v>75.67</v>
      </c>
      <c r="J76">
        <v>88.47</v>
      </c>
      <c r="K76">
        <v>58.79</v>
      </c>
      <c r="L76">
        <v>50.27</v>
      </c>
      <c r="M76">
        <v>60.18</v>
      </c>
      <c r="N76">
        <v>122.32</v>
      </c>
      <c r="O76">
        <v>44.68</v>
      </c>
      <c r="P76">
        <v>175.67</v>
      </c>
      <c r="Q76">
        <v>27.15</v>
      </c>
    </row>
    <row r="77" spans="2:17" x14ac:dyDescent="0.3">
      <c r="B77" s="2">
        <v>45209</v>
      </c>
      <c r="C77">
        <v>39.479999999999997</v>
      </c>
      <c r="D77">
        <v>434.54</v>
      </c>
      <c r="E77">
        <v>172.53</v>
      </c>
      <c r="F77">
        <v>29.66</v>
      </c>
      <c r="G77">
        <v>368.59</v>
      </c>
      <c r="H77">
        <v>21.55</v>
      </c>
      <c r="I77">
        <v>76.709999999999994</v>
      </c>
      <c r="J77">
        <v>86.66</v>
      </c>
      <c r="K77">
        <v>58.4</v>
      </c>
      <c r="L77">
        <v>49.98</v>
      </c>
      <c r="M77">
        <v>60.33</v>
      </c>
      <c r="N77">
        <v>121.78</v>
      </c>
      <c r="O77">
        <v>44.59</v>
      </c>
      <c r="P77">
        <v>175.97</v>
      </c>
      <c r="Q77">
        <v>26.89</v>
      </c>
    </row>
    <row r="78" spans="2:17" x14ac:dyDescent="0.3">
      <c r="B78" s="2">
        <v>45208</v>
      </c>
      <c r="C78">
        <v>38.86</v>
      </c>
      <c r="D78">
        <v>432.29</v>
      </c>
      <c r="E78">
        <v>172.82</v>
      </c>
      <c r="F78">
        <v>29.73</v>
      </c>
      <c r="G78">
        <v>366.56</v>
      </c>
      <c r="H78">
        <v>21.57</v>
      </c>
      <c r="I78">
        <v>77.13</v>
      </c>
      <c r="J78">
        <v>86.78</v>
      </c>
      <c r="K78">
        <v>57.5</v>
      </c>
      <c r="L78">
        <v>49.37</v>
      </c>
      <c r="M78">
        <v>59.55</v>
      </c>
      <c r="N78">
        <v>120.79</v>
      </c>
      <c r="O78">
        <v>44.09</v>
      </c>
      <c r="P78">
        <v>174</v>
      </c>
      <c r="Q78">
        <v>26.22</v>
      </c>
    </row>
    <row r="79" spans="2:17" x14ac:dyDescent="0.3">
      <c r="B79" s="2">
        <v>45205</v>
      </c>
      <c r="C79">
        <v>39.1</v>
      </c>
      <c r="D79">
        <v>429.54</v>
      </c>
      <c r="E79">
        <v>169.7</v>
      </c>
      <c r="F79">
        <v>29.74</v>
      </c>
      <c r="G79">
        <v>364.7</v>
      </c>
      <c r="H79">
        <v>21.58</v>
      </c>
      <c r="I79">
        <v>74.16</v>
      </c>
      <c r="J79">
        <v>84.79</v>
      </c>
      <c r="K79">
        <v>57.68</v>
      </c>
      <c r="L79">
        <v>49.68</v>
      </c>
      <c r="M79">
        <v>59.38</v>
      </c>
      <c r="N79">
        <v>120.25</v>
      </c>
      <c r="O79">
        <v>44.58</v>
      </c>
      <c r="P79">
        <v>173</v>
      </c>
      <c r="Q79">
        <v>26.23</v>
      </c>
    </row>
    <row r="80" spans="2:17" x14ac:dyDescent="0.3">
      <c r="B80" s="2">
        <v>45204</v>
      </c>
      <c r="C80">
        <v>38.57</v>
      </c>
      <c r="D80">
        <v>424.5</v>
      </c>
      <c r="E80">
        <v>168.83</v>
      </c>
      <c r="F80">
        <v>29.8</v>
      </c>
      <c r="G80">
        <v>358.69</v>
      </c>
      <c r="H80">
        <v>21.44</v>
      </c>
      <c r="I80">
        <v>73.989999999999995</v>
      </c>
      <c r="J80">
        <v>85.83</v>
      </c>
      <c r="K80">
        <v>56.94</v>
      </c>
      <c r="L80">
        <v>49.15</v>
      </c>
      <c r="M80">
        <v>59.23</v>
      </c>
      <c r="N80">
        <v>118.88</v>
      </c>
      <c r="O80">
        <v>44.16</v>
      </c>
      <c r="P80">
        <v>171.35</v>
      </c>
      <c r="Q80">
        <v>25.69</v>
      </c>
    </row>
    <row r="81" spans="2:17" x14ac:dyDescent="0.3">
      <c r="B81" s="2">
        <v>45203</v>
      </c>
      <c r="C81">
        <v>38.409999999999997</v>
      </c>
      <c r="D81">
        <v>424.66</v>
      </c>
      <c r="E81">
        <v>169.14</v>
      </c>
      <c r="F81">
        <v>29.9</v>
      </c>
      <c r="G81">
        <v>359.75</v>
      </c>
      <c r="H81">
        <v>21.32</v>
      </c>
      <c r="I81">
        <v>75.59</v>
      </c>
      <c r="J81">
        <v>86.26</v>
      </c>
      <c r="K81">
        <v>56.61</v>
      </c>
      <c r="L81">
        <v>48.99</v>
      </c>
      <c r="M81">
        <v>58.09</v>
      </c>
      <c r="N81">
        <v>118.63</v>
      </c>
      <c r="O81">
        <v>43.87</v>
      </c>
      <c r="P81">
        <v>171.22</v>
      </c>
      <c r="Q81">
        <v>25.53</v>
      </c>
    </row>
    <row r="82" spans="2:17" x14ac:dyDescent="0.3">
      <c r="B82" s="2">
        <v>45202</v>
      </c>
      <c r="C82">
        <v>38.57</v>
      </c>
      <c r="D82">
        <v>421.59</v>
      </c>
      <c r="E82">
        <v>169.16</v>
      </c>
      <c r="F82">
        <v>29.99</v>
      </c>
      <c r="G82">
        <v>354.92</v>
      </c>
      <c r="H82">
        <v>21.37</v>
      </c>
      <c r="I82">
        <v>79.930000000000007</v>
      </c>
      <c r="J82">
        <v>85.06</v>
      </c>
      <c r="K82">
        <v>56.33</v>
      </c>
      <c r="L82">
        <v>49.06</v>
      </c>
      <c r="M82">
        <v>58.73</v>
      </c>
      <c r="N82">
        <v>117.94</v>
      </c>
      <c r="O82">
        <v>43.95</v>
      </c>
      <c r="P82">
        <v>171.14</v>
      </c>
      <c r="Q82">
        <v>25.75</v>
      </c>
    </row>
    <row r="83" spans="2:17" x14ac:dyDescent="0.3">
      <c r="B83" s="2">
        <v>45201</v>
      </c>
      <c r="C83">
        <v>39.07</v>
      </c>
      <c r="D83">
        <v>427.31</v>
      </c>
      <c r="E83">
        <v>169.65</v>
      </c>
      <c r="F83">
        <v>29.96</v>
      </c>
      <c r="G83">
        <v>361.26</v>
      </c>
      <c r="H83">
        <v>21.58</v>
      </c>
      <c r="I83">
        <v>79.39</v>
      </c>
      <c r="J83">
        <v>86.93</v>
      </c>
      <c r="K83">
        <v>56.94</v>
      </c>
      <c r="L83">
        <v>49.59</v>
      </c>
      <c r="M83">
        <v>59.77</v>
      </c>
      <c r="N83">
        <v>119.51</v>
      </c>
      <c r="O83">
        <v>44.21</v>
      </c>
      <c r="P83">
        <v>174.07</v>
      </c>
      <c r="Q83">
        <v>26.37</v>
      </c>
    </row>
    <row r="84" spans="2:17" x14ac:dyDescent="0.3">
      <c r="B84" s="2">
        <v>45198</v>
      </c>
      <c r="C84">
        <v>39.21</v>
      </c>
      <c r="D84">
        <v>427.48</v>
      </c>
      <c r="E84">
        <v>171.45</v>
      </c>
      <c r="F84">
        <v>29.73</v>
      </c>
      <c r="G84">
        <v>358.27</v>
      </c>
      <c r="H84">
        <v>21.41</v>
      </c>
      <c r="I84">
        <v>80.86</v>
      </c>
      <c r="J84">
        <v>88.69</v>
      </c>
      <c r="K84">
        <v>57.93</v>
      </c>
      <c r="L84">
        <v>49.83</v>
      </c>
      <c r="M84">
        <v>60.29</v>
      </c>
      <c r="N84">
        <v>120.17</v>
      </c>
      <c r="O84">
        <v>44.22</v>
      </c>
      <c r="P84">
        <v>176.74</v>
      </c>
      <c r="Q84">
        <v>26.53</v>
      </c>
    </row>
    <row r="85" spans="2:17" x14ac:dyDescent="0.3">
      <c r="B85" s="2">
        <v>45197</v>
      </c>
      <c r="C85">
        <v>39.17</v>
      </c>
      <c r="D85">
        <v>428.52</v>
      </c>
      <c r="E85">
        <v>173.23</v>
      </c>
      <c r="F85">
        <v>29.71</v>
      </c>
      <c r="G85">
        <v>358.01</v>
      </c>
      <c r="H85">
        <v>21.8</v>
      </c>
      <c r="I85">
        <v>81.569999999999993</v>
      </c>
      <c r="J85">
        <v>88.68</v>
      </c>
      <c r="K85">
        <v>57.85</v>
      </c>
      <c r="L85">
        <v>49.93</v>
      </c>
      <c r="M85">
        <v>61.15</v>
      </c>
      <c r="N85">
        <v>120.52</v>
      </c>
      <c r="O85">
        <v>44.25</v>
      </c>
      <c r="P85">
        <v>177.58</v>
      </c>
      <c r="Q85">
        <v>26.26</v>
      </c>
    </row>
    <row r="86" spans="2:17" x14ac:dyDescent="0.3">
      <c r="B86" s="2">
        <v>45196</v>
      </c>
      <c r="C86">
        <v>39.090000000000003</v>
      </c>
      <c r="D86">
        <v>426.05</v>
      </c>
      <c r="E86">
        <v>174.1</v>
      </c>
      <c r="F86">
        <v>29.87</v>
      </c>
      <c r="G86">
        <v>355.04</v>
      </c>
      <c r="H86">
        <v>21.61</v>
      </c>
      <c r="I86">
        <v>82.9</v>
      </c>
      <c r="J86">
        <v>88.41</v>
      </c>
      <c r="K86">
        <v>57.29</v>
      </c>
      <c r="L86">
        <v>49.7</v>
      </c>
      <c r="M86">
        <v>61.03</v>
      </c>
      <c r="N86">
        <v>119.58</v>
      </c>
      <c r="O86">
        <v>44.59</v>
      </c>
      <c r="P86">
        <v>175.99</v>
      </c>
      <c r="Q86">
        <v>26.41</v>
      </c>
    </row>
    <row r="87" spans="2:17" x14ac:dyDescent="0.3">
      <c r="B87" s="2">
        <v>45195</v>
      </c>
      <c r="C87">
        <v>39.04</v>
      </c>
      <c r="D87">
        <v>425.88</v>
      </c>
      <c r="E87">
        <v>176.28</v>
      </c>
      <c r="F87">
        <v>29.73</v>
      </c>
      <c r="G87">
        <v>354.21</v>
      </c>
      <c r="H87">
        <v>21.67</v>
      </c>
      <c r="I87">
        <v>80.88</v>
      </c>
      <c r="J87">
        <v>88.87</v>
      </c>
      <c r="K87">
        <v>57.54</v>
      </c>
      <c r="L87">
        <v>49.68</v>
      </c>
      <c r="M87">
        <v>60.77</v>
      </c>
      <c r="N87">
        <v>119.67</v>
      </c>
      <c r="O87">
        <v>44.32</v>
      </c>
      <c r="P87">
        <v>174.36</v>
      </c>
      <c r="Q87">
        <v>26.35</v>
      </c>
    </row>
    <row r="88" spans="2:17" x14ac:dyDescent="0.3">
      <c r="B88" s="2">
        <v>45194</v>
      </c>
      <c r="C88">
        <v>39.5</v>
      </c>
      <c r="D88">
        <v>432.23</v>
      </c>
      <c r="E88">
        <v>177.7</v>
      </c>
      <c r="F88">
        <v>29.64</v>
      </c>
      <c r="G88">
        <v>359.61</v>
      </c>
      <c r="H88">
        <v>21.75</v>
      </c>
      <c r="I88">
        <v>80.39</v>
      </c>
      <c r="J88">
        <v>89.18</v>
      </c>
      <c r="K88">
        <v>58.27</v>
      </c>
      <c r="L88">
        <v>50.41</v>
      </c>
      <c r="M88">
        <v>61.72</v>
      </c>
      <c r="N88">
        <v>121.39</v>
      </c>
      <c r="O88">
        <v>44.63</v>
      </c>
      <c r="P88">
        <v>177.46</v>
      </c>
      <c r="Q88">
        <v>26.72</v>
      </c>
    </row>
    <row r="89" spans="2:17" x14ac:dyDescent="0.3">
      <c r="B89" s="2">
        <v>45191</v>
      </c>
      <c r="C89">
        <v>39.65</v>
      </c>
      <c r="D89">
        <v>430.42</v>
      </c>
      <c r="E89">
        <v>178.62</v>
      </c>
      <c r="F89">
        <v>29.53</v>
      </c>
      <c r="G89">
        <v>357.91</v>
      </c>
      <c r="H89">
        <v>21.86</v>
      </c>
      <c r="I89">
        <v>80.63</v>
      </c>
      <c r="J89">
        <v>91.43</v>
      </c>
      <c r="K89">
        <v>58.67</v>
      </c>
      <c r="L89">
        <v>50.41</v>
      </c>
      <c r="M89">
        <v>61.8</v>
      </c>
      <c r="N89">
        <v>121.17</v>
      </c>
      <c r="O89">
        <v>44.48</v>
      </c>
      <c r="P89">
        <v>176.67</v>
      </c>
      <c r="Q89">
        <v>27.14</v>
      </c>
    </row>
    <row r="90" spans="2:17" x14ac:dyDescent="0.3">
      <c r="B90" s="2">
        <v>45190</v>
      </c>
      <c r="C90">
        <v>39.19</v>
      </c>
      <c r="D90">
        <v>431.39</v>
      </c>
      <c r="E90">
        <v>178.05</v>
      </c>
      <c r="F90">
        <v>29.46</v>
      </c>
      <c r="G90">
        <v>357.86</v>
      </c>
      <c r="H90">
        <v>21.9</v>
      </c>
      <c r="I90">
        <v>80.41</v>
      </c>
      <c r="J90">
        <v>90.7</v>
      </c>
      <c r="K90">
        <v>58.8</v>
      </c>
      <c r="L90">
        <v>50.25</v>
      </c>
      <c r="M90">
        <v>61.63</v>
      </c>
      <c r="N90">
        <v>121.36</v>
      </c>
      <c r="O90">
        <v>44.45</v>
      </c>
      <c r="P90">
        <v>177.07</v>
      </c>
      <c r="Q90">
        <v>26.21</v>
      </c>
    </row>
    <row r="91" spans="2:17" x14ac:dyDescent="0.3">
      <c r="B91" s="2">
        <v>45189</v>
      </c>
      <c r="C91">
        <v>39.83</v>
      </c>
      <c r="D91">
        <v>438.64</v>
      </c>
      <c r="E91">
        <v>179.35</v>
      </c>
      <c r="F91">
        <v>29.44</v>
      </c>
      <c r="G91">
        <v>364.54</v>
      </c>
      <c r="H91">
        <v>22.21</v>
      </c>
      <c r="I91">
        <v>80.14</v>
      </c>
      <c r="J91">
        <v>93.09</v>
      </c>
      <c r="K91">
        <v>59.66</v>
      </c>
      <c r="L91">
        <v>51.07</v>
      </c>
      <c r="M91">
        <v>62.6</v>
      </c>
      <c r="N91">
        <v>123.43</v>
      </c>
      <c r="O91">
        <v>44.88</v>
      </c>
      <c r="P91">
        <v>179.86</v>
      </c>
      <c r="Q91">
        <v>26.79</v>
      </c>
    </row>
    <row r="92" spans="2:17" x14ac:dyDescent="0.3">
      <c r="B92" s="2">
        <v>45188</v>
      </c>
      <c r="C92">
        <v>39.950000000000003</v>
      </c>
      <c r="D92">
        <v>442.71</v>
      </c>
      <c r="E92">
        <v>179.22</v>
      </c>
      <c r="F92">
        <v>29.39</v>
      </c>
      <c r="G92">
        <v>369.87</v>
      </c>
      <c r="H92">
        <v>22.27</v>
      </c>
      <c r="I92">
        <v>81.5</v>
      </c>
      <c r="J92">
        <v>92.8</v>
      </c>
      <c r="K92">
        <v>59.55</v>
      </c>
      <c r="L92">
        <v>51.19</v>
      </c>
      <c r="M92">
        <v>63.45</v>
      </c>
      <c r="N92">
        <v>124.34</v>
      </c>
      <c r="O92">
        <v>45</v>
      </c>
      <c r="P92">
        <v>181.68</v>
      </c>
      <c r="Q92">
        <v>26.98</v>
      </c>
    </row>
    <row r="93" spans="2:17" x14ac:dyDescent="0.3">
      <c r="B93" s="2">
        <v>45187</v>
      </c>
      <c r="C93">
        <v>40.15</v>
      </c>
      <c r="D93">
        <v>443.63</v>
      </c>
      <c r="E93">
        <v>179.39</v>
      </c>
      <c r="F93">
        <v>29.37</v>
      </c>
      <c r="G93">
        <v>370.66</v>
      </c>
      <c r="H93">
        <v>22.18</v>
      </c>
      <c r="I93">
        <v>81.45</v>
      </c>
      <c r="J93">
        <v>93.49</v>
      </c>
      <c r="K93">
        <v>59.51</v>
      </c>
      <c r="L93">
        <v>51.47</v>
      </c>
      <c r="M93">
        <v>63.14</v>
      </c>
      <c r="N93">
        <v>124.52</v>
      </c>
      <c r="O93">
        <v>45.17</v>
      </c>
      <c r="P93">
        <v>182.39</v>
      </c>
      <c r="Q93">
        <v>27.05</v>
      </c>
    </row>
    <row r="94" spans="2:17" x14ac:dyDescent="0.3">
      <c r="B94" s="2">
        <v>45184</v>
      </c>
      <c r="C94">
        <v>40.54</v>
      </c>
      <c r="D94">
        <v>443.37</v>
      </c>
      <c r="E94">
        <v>178.34</v>
      </c>
      <c r="F94">
        <v>29.42</v>
      </c>
      <c r="G94">
        <v>370.81</v>
      </c>
      <c r="H94">
        <v>22.34</v>
      </c>
      <c r="I94">
        <v>81.290000000000006</v>
      </c>
      <c r="J94">
        <v>92.96</v>
      </c>
      <c r="K94">
        <v>60.19</v>
      </c>
      <c r="L94">
        <v>51.5</v>
      </c>
      <c r="M94">
        <v>62.99</v>
      </c>
      <c r="N94">
        <v>124.62</v>
      </c>
      <c r="O94">
        <v>45.12</v>
      </c>
      <c r="P94">
        <v>183.61</v>
      </c>
      <c r="Q94">
        <v>27.18</v>
      </c>
    </row>
    <row r="95" spans="2:17" x14ac:dyDescent="0.3">
      <c r="B95" s="2">
        <v>45183</v>
      </c>
      <c r="C95">
        <v>40.75</v>
      </c>
      <c r="D95">
        <v>450.36</v>
      </c>
      <c r="E95">
        <v>177.17</v>
      </c>
      <c r="F95">
        <v>29.44</v>
      </c>
      <c r="G95">
        <v>377.27</v>
      </c>
      <c r="H95">
        <v>22.21</v>
      </c>
      <c r="I95">
        <v>81.12</v>
      </c>
      <c r="J95">
        <v>93.53</v>
      </c>
      <c r="K95">
        <v>60.28</v>
      </c>
      <c r="L95">
        <v>51.72</v>
      </c>
      <c r="M95">
        <v>63.34</v>
      </c>
      <c r="N95">
        <v>125.72</v>
      </c>
      <c r="O95">
        <v>45.244999999999997</v>
      </c>
      <c r="P95">
        <v>185.55</v>
      </c>
      <c r="Q95">
        <v>27.3</v>
      </c>
    </row>
    <row r="96" spans="2:17" x14ac:dyDescent="0.3">
      <c r="B96" s="2">
        <v>45182</v>
      </c>
      <c r="C96">
        <v>40.51</v>
      </c>
      <c r="D96">
        <v>446.51</v>
      </c>
      <c r="E96">
        <v>177.08</v>
      </c>
      <c r="F96">
        <v>29.26</v>
      </c>
      <c r="G96">
        <v>374.21</v>
      </c>
      <c r="H96">
        <v>22.11</v>
      </c>
      <c r="I96">
        <v>79.680000000000007</v>
      </c>
      <c r="J96">
        <v>94.21</v>
      </c>
      <c r="K96">
        <v>59.57</v>
      </c>
      <c r="L96">
        <v>51.32</v>
      </c>
      <c r="M96">
        <v>62.28</v>
      </c>
      <c r="N96">
        <v>124.52</v>
      </c>
      <c r="O96">
        <v>45.11</v>
      </c>
      <c r="P96">
        <v>182.97</v>
      </c>
      <c r="Q96">
        <v>27.07</v>
      </c>
    </row>
    <row r="97" spans="2:17" x14ac:dyDescent="0.3">
      <c r="B97" s="2">
        <v>45181</v>
      </c>
      <c r="C97">
        <v>40.549999999999997</v>
      </c>
      <c r="D97">
        <v>445.99</v>
      </c>
      <c r="E97">
        <v>177.49</v>
      </c>
      <c r="F97">
        <v>29.24</v>
      </c>
      <c r="G97">
        <v>372.79</v>
      </c>
      <c r="H97">
        <v>22.04</v>
      </c>
      <c r="I97">
        <v>79.7</v>
      </c>
      <c r="J97">
        <v>94.23</v>
      </c>
      <c r="K97">
        <v>59.82</v>
      </c>
      <c r="L97">
        <v>51.24</v>
      </c>
      <c r="M97">
        <v>62.31</v>
      </c>
      <c r="N97">
        <v>124.48</v>
      </c>
      <c r="O97">
        <v>45.06</v>
      </c>
      <c r="P97">
        <v>184.18</v>
      </c>
      <c r="Q97">
        <v>27.3</v>
      </c>
    </row>
    <row r="98" spans="2:17" x14ac:dyDescent="0.3">
      <c r="B98" s="2">
        <v>45180</v>
      </c>
      <c r="C98">
        <v>40.659999999999997</v>
      </c>
      <c r="D98">
        <v>448.45</v>
      </c>
      <c r="E98">
        <v>178.41</v>
      </c>
      <c r="F98">
        <v>29.19</v>
      </c>
      <c r="G98">
        <v>376.97</v>
      </c>
      <c r="H98">
        <v>22.01</v>
      </c>
      <c r="I98">
        <v>78.37</v>
      </c>
      <c r="J98">
        <v>93.69</v>
      </c>
      <c r="K98">
        <v>60.21</v>
      </c>
      <c r="L98">
        <v>51.49</v>
      </c>
      <c r="M98">
        <v>62.32</v>
      </c>
      <c r="N98">
        <v>125.09</v>
      </c>
      <c r="O98">
        <v>45.46</v>
      </c>
      <c r="P98">
        <v>184.36</v>
      </c>
      <c r="Q98">
        <v>27.24</v>
      </c>
    </row>
    <row r="99" spans="2:17" x14ac:dyDescent="0.3">
      <c r="B99" s="2">
        <v>45177</v>
      </c>
      <c r="C99">
        <v>40.200000000000003</v>
      </c>
      <c r="D99">
        <v>445.52</v>
      </c>
      <c r="E99">
        <v>178.08</v>
      </c>
      <c r="F99">
        <v>29.33</v>
      </c>
      <c r="G99">
        <v>372.58</v>
      </c>
      <c r="H99">
        <v>21.85</v>
      </c>
      <c r="I99">
        <v>78.3</v>
      </c>
      <c r="J99">
        <v>94.37</v>
      </c>
      <c r="K99">
        <v>59.59</v>
      </c>
      <c r="L99">
        <v>50.95</v>
      </c>
      <c r="M99">
        <v>61.61</v>
      </c>
      <c r="N99">
        <v>124.12</v>
      </c>
      <c r="O99">
        <v>45.02</v>
      </c>
      <c r="P99">
        <v>183.92</v>
      </c>
      <c r="Q99">
        <v>26.88</v>
      </c>
    </row>
    <row r="100" spans="2:17" x14ac:dyDescent="0.3">
      <c r="B100" s="2">
        <v>45176</v>
      </c>
      <c r="C100">
        <v>40.119999999999997</v>
      </c>
      <c r="D100">
        <v>444.85</v>
      </c>
      <c r="E100">
        <v>178.02</v>
      </c>
      <c r="F100">
        <v>29.3</v>
      </c>
      <c r="G100">
        <v>372.06</v>
      </c>
      <c r="H100">
        <v>21.9</v>
      </c>
      <c r="I100">
        <v>77.95</v>
      </c>
      <c r="J100">
        <v>94.01</v>
      </c>
      <c r="K100">
        <v>59.5</v>
      </c>
      <c r="L100">
        <v>50.74</v>
      </c>
      <c r="M100">
        <v>62.23</v>
      </c>
      <c r="N100">
        <v>124.09</v>
      </c>
      <c r="O100">
        <v>44.55</v>
      </c>
      <c r="P100">
        <v>184.33</v>
      </c>
      <c r="Q100">
        <v>26.92</v>
      </c>
    </row>
    <row r="101" spans="2:17" x14ac:dyDescent="0.3">
      <c r="B101" s="2">
        <v>45175</v>
      </c>
      <c r="C101">
        <v>40.54</v>
      </c>
      <c r="D101">
        <v>446.22</v>
      </c>
      <c r="E101">
        <v>177.83</v>
      </c>
      <c r="F101">
        <v>29.23</v>
      </c>
      <c r="G101">
        <v>374.74</v>
      </c>
      <c r="H101">
        <v>21.94</v>
      </c>
      <c r="I101">
        <v>78.52</v>
      </c>
      <c r="J101">
        <v>93.75</v>
      </c>
      <c r="K101">
        <v>59.76</v>
      </c>
      <c r="L101">
        <v>50.98</v>
      </c>
      <c r="M101">
        <v>62.23</v>
      </c>
      <c r="N101">
        <v>124.45</v>
      </c>
      <c r="O101">
        <v>44.17</v>
      </c>
      <c r="P101">
        <v>186.13</v>
      </c>
      <c r="Q101">
        <v>27.71</v>
      </c>
    </row>
    <row r="102" spans="2:17" x14ac:dyDescent="0.3">
      <c r="B102" s="2">
        <v>45174</v>
      </c>
      <c r="C102">
        <v>40.729999999999997</v>
      </c>
      <c r="D102">
        <v>449.24</v>
      </c>
      <c r="E102">
        <v>178.64</v>
      </c>
      <c r="F102">
        <v>29.22</v>
      </c>
      <c r="G102">
        <v>378.07</v>
      </c>
      <c r="H102">
        <v>21.92</v>
      </c>
      <c r="I102">
        <v>77.760000000000005</v>
      </c>
      <c r="J102">
        <v>93.52</v>
      </c>
      <c r="K102">
        <v>59.98</v>
      </c>
      <c r="L102">
        <v>51.36</v>
      </c>
      <c r="M102">
        <v>62.07</v>
      </c>
      <c r="N102">
        <v>125.21</v>
      </c>
      <c r="O102">
        <v>44.35</v>
      </c>
      <c r="P102">
        <v>186.83</v>
      </c>
      <c r="Q102">
        <v>27.63</v>
      </c>
    </row>
    <row r="103" spans="2:17" x14ac:dyDescent="0.3">
      <c r="B103" s="2">
        <v>45170</v>
      </c>
      <c r="C103">
        <v>40.97</v>
      </c>
      <c r="D103">
        <v>451.19</v>
      </c>
      <c r="E103">
        <v>180.11</v>
      </c>
      <c r="F103">
        <v>29.07</v>
      </c>
      <c r="G103">
        <v>377.59</v>
      </c>
      <c r="H103">
        <v>21.78</v>
      </c>
      <c r="I103">
        <v>76.92</v>
      </c>
      <c r="J103">
        <v>94.85</v>
      </c>
      <c r="K103">
        <v>60.71</v>
      </c>
      <c r="L103">
        <v>51.64</v>
      </c>
      <c r="M103">
        <v>62.04</v>
      </c>
      <c r="N103">
        <v>125.91</v>
      </c>
      <c r="O103">
        <v>44.24</v>
      </c>
      <c r="P103">
        <v>190.85</v>
      </c>
      <c r="Q103">
        <v>28.04</v>
      </c>
    </row>
    <row r="104" spans="2:17" x14ac:dyDescent="0.3">
      <c r="B104" s="2">
        <v>45169</v>
      </c>
      <c r="C104">
        <v>40.53</v>
      </c>
      <c r="D104">
        <v>450.35</v>
      </c>
      <c r="E104">
        <v>180.02</v>
      </c>
      <c r="F104">
        <v>28.89</v>
      </c>
      <c r="G104">
        <v>377.99</v>
      </c>
      <c r="H104">
        <v>21.74</v>
      </c>
      <c r="I104">
        <v>75.06</v>
      </c>
      <c r="J104">
        <v>96.64</v>
      </c>
      <c r="K104">
        <v>60.92</v>
      </c>
      <c r="L104">
        <v>51.27</v>
      </c>
      <c r="M104">
        <v>61.64</v>
      </c>
      <c r="N104">
        <v>125.7</v>
      </c>
      <c r="O104">
        <v>43.97</v>
      </c>
      <c r="P104">
        <v>188.61</v>
      </c>
      <c r="Q104">
        <v>27.4</v>
      </c>
    </row>
    <row r="105" spans="2:17" x14ac:dyDescent="0.3">
      <c r="B105" s="2">
        <v>45168</v>
      </c>
      <c r="C105">
        <v>41.02</v>
      </c>
      <c r="D105">
        <v>451.01</v>
      </c>
      <c r="E105">
        <v>180.32</v>
      </c>
      <c r="F105">
        <v>28.75</v>
      </c>
      <c r="G105">
        <v>376.86</v>
      </c>
      <c r="H105">
        <v>21.85</v>
      </c>
      <c r="I105">
        <v>73.66</v>
      </c>
      <c r="J105">
        <v>96.21</v>
      </c>
      <c r="K105">
        <v>61.47</v>
      </c>
      <c r="L105">
        <v>51.93</v>
      </c>
      <c r="M105">
        <v>60.99</v>
      </c>
      <c r="N105">
        <v>125.89</v>
      </c>
      <c r="O105">
        <v>44.13</v>
      </c>
      <c r="P105">
        <v>188.94</v>
      </c>
      <c r="Q105">
        <v>27.76</v>
      </c>
    </row>
    <row r="106" spans="2:17" x14ac:dyDescent="0.3">
      <c r="B106" s="2">
        <v>45167</v>
      </c>
      <c r="C106">
        <v>41.17</v>
      </c>
      <c r="D106">
        <v>449.16</v>
      </c>
      <c r="E106">
        <v>179.87</v>
      </c>
      <c r="F106">
        <v>28.8</v>
      </c>
      <c r="G106">
        <v>374.77</v>
      </c>
      <c r="H106">
        <v>21.8</v>
      </c>
      <c r="I106">
        <v>73.319999999999993</v>
      </c>
      <c r="J106">
        <v>96.31</v>
      </c>
      <c r="K106">
        <v>61.5</v>
      </c>
      <c r="L106">
        <v>52.11</v>
      </c>
      <c r="M106">
        <v>61.1</v>
      </c>
      <c r="N106">
        <v>125.4</v>
      </c>
      <c r="O106">
        <v>44.19</v>
      </c>
      <c r="P106">
        <v>188.23</v>
      </c>
      <c r="Q106">
        <v>27.95</v>
      </c>
    </row>
    <row r="107" spans="2:17" x14ac:dyDescent="0.3">
      <c r="B107" s="2">
        <v>45166</v>
      </c>
      <c r="C107">
        <v>40.630000000000003</v>
      </c>
      <c r="D107">
        <v>442.76</v>
      </c>
      <c r="E107">
        <v>178.13</v>
      </c>
      <c r="F107">
        <v>28.96</v>
      </c>
      <c r="G107">
        <v>366.76</v>
      </c>
      <c r="H107">
        <v>21.83</v>
      </c>
      <c r="I107">
        <v>72.41</v>
      </c>
      <c r="J107">
        <v>95.32</v>
      </c>
      <c r="K107">
        <v>60.64</v>
      </c>
      <c r="L107">
        <v>51.67</v>
      </c>
      <c r="M107">
        <v>60.68</v>
      </c>
      <c r="N107">
        <v>123.64</v>
      </c>
      <c r="O107">
        <v>43.88</v>
      </c>
      <c r="P107">
        <v>185.64</v>
      </c>
      <c r="Q107">
        <v>27.41</v>
      </c>
    </row>
    <row r="108" spans="2:17" x14ac:dyDescent="0.3">
      <c r="B108" s="2">
        <v>45163</v>
      </c>
      <c r="C108">
        <v>40.229999999999997</v>
      </c>
      <c r="D108">
        <v>439.97</v>
      </c>
      <c r="E108">
        <v>177.62</v>
      </c>
      <c r="F108">
        <v>29.01</v>
      </c>
      <c r="G108">
        <v>364.02</v>
      </c>
      <c r="H108">
        <v>21.62</v>
      </c>
      <c r="I108">
        <v>72.45</v>
      </c>
      <c r="J108">
        <v>95.22</v>
      </c>
      <c r="K108">
        <v>60.01</v>
      </c>
      <c r="L108">
        <v>51.37</v>
      </c>
      <c r="M108">
        <v>59.97</v>
      </c>
      <c r="N108">
        <v>122.7</v>
      </c>
      <c r="O108">
        <v>43.76</v>
      </c>
      <c r="P108">
        <v>184</v>
      </c>
      <c r="Q108">
        <v>26.77</v>
      </c>
    </row>
    <row r="109" spans="2:17" x14ac:dyDescent="0.3">
      <c r="B109" s="2">
        <v>45162</v>
      </c>
      <c r="C109">
        <v>40.26</v>
      </c>
      <c r="D109">
        <v>436.89</v>
      </c>
      <c r="E109">
        <v>177.85</v>
      </c>
      <c r="F109">
        <v>28.97</v>
      </c>
      <c r="G109">
        <v>361.22</v>
      </c>
      <c r="H109">
        <v>21.56</v>
      </c>
      <c r="I109">
        <v>71.41</v>
      </c>
      <c r="J109">
        <v>94.91</v>
      </c>
      <c r="K109">
        <v>59.58</v>
      </c>
      <c r="L109">
        <v>51.3</v>
      </c>
      <c r="M109">
        <v>59.66</v>
      </c>
      <c r="N109">
        <v>121.87</v>
      </c>
      <c r="O109">
        <v>43.77</v>
      </c>
      <c r="P109">
        <v>183.22</v>
      </c>
      <c r="Q109">
        <v>26.82</v>
      </c>
    </row>
    <row r="110" spans="2:17" x14ac:dyDescent="0.3">
      <c r="B110" s="2">
        <v>45161</v>
      </c>
      <c r="C110">
        <v>40.43</v>
      </c>
      <c r="D110">
        <v>443.03</v>
      </c>
      <c r="E110">
        <v>177.89</v>
      </c>
      <c r="F110">
        <v>28.74</v>
      </c>
      <c r="G110">
        <v>369.11</v>
      </c>
      <c r="H110">
        <v>21.38</v>
      </c>
      <c r="I110">
        <v>71.36</v>
      </c>
      <c r="J110">
        <v>95.54</v>
      </c>
      <c r="K110">
        <v>60.42</v>
      </c>
      <c r="L110">
        <v>51.6</v>
      </c>
      <c r="M110">
        <v>60.45</v>
      </c>
      <c r="N110">
        <v>123.51</v>
      </c>
      <c r="O110">
        <v>44.19</v>
      </c>
      <c r="P110">
        <v>185.79</v>
      </c>
      <c r="Q110">
        <v>26.7</v>
      </c>
    </row>
    <row r="111" spans="2:17" x14ac:dyDescent="0.3">
      <c r="B111" s="2">
        <v>45160</v>
      </c>
      <c r="C111">
        <v>39.840000000000003</v>
      </c>
      <c r="D111">
        <v>438.15</v>
      </c>
      <c r="E111">
        <v>176.1</v>
      </c>
      <c r="F111">
        <v>28.84</v>
      </c>
      <c r="G111">
        <v>363.38</v>
      </c>
      <c r="H111">
        <v>21.16</v>
      </c>
      <c r="I111">
        <v>72.28</v>
      </c>
      <c r="J111">
        <v>93.23</v>
      </c>
      <c r="K111">
        <v>59.92</v>
      </c>
      <c r="L111">
        <v>50.77</v>
      </c>
      <c r="M111">
        <v>59.66</v>
      </c>
      <c r="N111">
        <v>122.21</v>
      </c>
      <c r="O111">
        <v>43.51</v>
      </c>
      <c r="P111">
        <v>183.83</v>
      </c>
      <c r="Q111">
        <v>26.14</v>
      </c>
    </row>
    <row r="112" spans="2:17" x14ac:dyDescent="0.3">
      <c r="B112" s="2">
        <v>45159</v>
      </c>
      <c r="C112">
        <v>39.909999999999997</v>
      </c>
      <c r="D112">
        <v>439.34</v>
      </c>
      <c r="E112">
        <v>175.81</v>
      </c>
      <c r="F112">
        <v>28.74</v>
      </c>
      <c r="G112">
        <v>363.9</v>
      </c>
      <c r="H112">
        <v>21.29</v>
      </c>
      <c r="I112">
        <v>72.58</v>
      </c>
      <c r="J112">
        <v>92.52</v>
      </c>
      <c r="K112">
        <v>60.14</v>
      </c>
      <c r="L112">
        <v>50.86</v>
      </c>
      <c r="M112">
        <v>59.37</v>
      </c>
      <c r="N112">
        <v>122.57</v>
      </c>
      <c r="O112">
        <v>43.6</v>
      </c>
      <c r="P112">
        <v>184.38</v>
      </c>
      <c r="Q112">
        <v>26.15</v>
      </c>
    </row>
    <row r="113" spans="2:17" x14ac:dyDescent="0.3">
      <c r="B113" s="2">
        <v>45156</v>
      </c>
      <c r="C113">
        <v>39.82</v>
      </c>
      <c r="D113">
        <v>436.5</v>
      </c>
      <c r="E113">
        <v>175.33</v>
      </c>
      <c r="F113">
        <v>28.77</v>
      </c>
      <c r="G113">
        <v>358.13</v>
      </c>
      <c r="H113">
        <v>21.35</v>
      </c>
      <c r="I113">
        <v>72.790000000000006</v>
      </c>
      <c r="J113">
        <v>93.77</v>
      </c>
      <c r="K113">
        <v>59.8</v>
      </c>
      <c r="L113">
        <v>50.66</v>
      </c>
      <c r="M113">
        <v>59.32</v>
      </c>
      <c r="N113">
        <v>121.82</v>
      </c>
      <c r="O113">
        <v>43.33</v>
      </c>
      <c r="P113">
        <v>184.65</v>
      </c>
      <c r="Q113">
        <v>26.19</v>
      </c>
    </row>
    <row r="114" spans="2:17" x14ac:dyDescent="0.3">
      <c r="B114" s="2">
        <v>45155</v>
      </c>
      <c r="C114">
        <v>40.07</v>
      </c>
      <c r="D114">
        <v>436.29</v>
      </c>
      <c r="E114">
        <v>175.3</v>
      </c>
      <c r="F114">
        <v>28.75</v>
      </c>
      <c r="G114">
        <v>358.58</v>
      </c>
      <c r="H114">
        <v>21.18</v>
      </c>
      <c r="I114">
        <v>71.98</v>
      </c>
      <c r="J114">
        <v>93.44</v>
      </c>
      <c r="K114">
        <v>59.9</v>
      </c>
      <c r="L114">
        <v>50.64</v>
      </c>
      <c r="M114">
        <v>59.17</v>
      </c>
      <c r="N114">
        <v>121.85</v>
      </c>
      <c r="O114">
        <v>43.2</v>
      </c>
      <c r="P114">
        <v>183.65</v>
      </c>
      <c r="Q114">
        <v>26.85</v>
      </c>
    </row>
    <row r="115" spans="2:17" x14ac:dyDescent="0.3">
      <c r="B115" s="2">
        <v>45154</v>
      </c>
      <c r="C115">
        <v>39.94</v>
      </c>
      <c r="D115">
        <v>439.64</v>
      </c>
      <c r="E115">
        <v>175.57</v>
      </c>
      <c r="F115">
        <v>28.76</v>
      </c>
      <c r="G115">
        <v>362.54</v>
      </c>
      <c r="H115">
        <v>21.19</v>
      </c>
      <c r="I115">
        <v>71.37</v>
      </c>
      <c r="J115">
        <v>93.84</v>
      </c>
      <c r="K115">
        <v>60.42</v>
      </c>
      <c r="L115">
        <v>50.65</v>
      </c>
      <c r="M115">
        <v>59.42</v>
      </c>
      <c r="N115">
        <v>122.7</v>
      </c>
      <c r="O115">
        <v>43.36</v>
      </c>
      <c r="P115">
        <v>185.84</v>
      </c>
      <c r="Q115">
        <v>26.65</v>
      </c>
    </row>
    <row r="116" spans="2:17" x14ac:dyDescent="0.3">
      <c r="B116" s="2">
        <v>45153</v>
      </c>
      <c r="C116">
        <v>40.21</v>
      </c>
      <c r="D116">
        <v>442.89</v>
      </c>
      <c r="E116">
        <v>176.59</v>
      </c>
      <c r="F116">
        <v>28.68</v>
      </c>
      <c r="G116">
        <v>366.42</v>
      </c>
      <c r="H116">
        <v>21.08</v>
      </c>
      <c r="I116">
        <v>72.62</v>
      </c>
      <c r="J116">
        <v>94.58</v>
      </c>
      <c r="K116">
        <v>60.79</v>
      </c>
      <c r="L116">
        <v>50.93</v>
      </c>
      <c r="M116">
        <v>60.17</v>
      </c>
      <c r="N116">
        <v>123.68</v>
      </c>
      <c r="O116">
        <v>43.23</v>
      </c>
      <c r="P116">
        <v>188.14</v>
      </c>
      <c r="Q116">
        <v>27.21</v>
      </c>
    </row>
    <row r="117" spans="2:17" x14ac:dyDescent="0.3">
      <c r="B117" s="2">
        <v>45152</v>
      </c>
      <c r="C117">
        <v>40.64</v>
      </c>
      <c r="D117">
        <v>448.11</v>
      </c>
      <c r="E117">
        <v>177.06</v>
      </c>
      <c r="F117">
        <v>28.67</v>
      </c>
      <c r="G117">
        <v>370.35</v>
      </c>
      <c r="H117">
        <v>21.25</v>
      </c>
      <c r="I117">
        <v>73.81</v>
      </c>
      <c r="J117">
        <v>95.16</v>
      </c>
      <c r="K117">
        <v>61.58</v>
      </c>
      <c r="L117">
        <v>51.4</v>
      </c>
      <c r="M117">
        <v>60.82</v>
      </c>
      <c r="N117">
        <v>125.17</v>
      </c>
      <c r="O117">
        <v>43.47</v>
      </c>
      <c r="P117">
        <v>190.66</v>
      </c>
      <c r="Q117">
        <v>27.66</v>
      </c>
    </row>
    <row r="118" spans="2:17" x14ac:dyDescent="0.3">
      <c r="B118" s="2">
        <v>45149</v>
      </c>
      <c r="C118">
        <v>40.83</v>
      </c>
      <c r="D118">
        <v>445.65</v>
      </c>
      <c r="E118">
        <v>177.6</v>
      </c>
      <c r="F118">
        <v>28.57</v>
      </c>
      <c r="G118">
        <v>366.24</v>
      </c>
      <c r="H118">
        <v>21.41</v>
      </c>
      <c r="I118">
        <v>74.25</v>
      </c>
      <c r="J118">
        <v>95.37</v>
      </c>
      <c r="K118">
        <v>61.7</v>
      </c>
      <c r="L118">
        <v>51.58</v>
      </c>
      <c r="M118">
        <v>61.37</v>
      </c>
      <c r="N118">
        <v>124.87</v>
      </c>
      <c r="O118">
        <v>43.62</v>
      </c>
      <c r="P118">
        <v>190.99</v>
      </c>
      <c r="Q118">
        <v>27.92</v>
      </c>
    </row>
    <row r="119" spans="2:17" x14ac:dyDescent="0.3">
      <c r="B119" s="2">
        <v>45148</v>
      </c>
      <c r="C119">
        <v>41.43</v>
      </c>
      <c r="D119">
        <v>445.91</v>
      </c>
      <c r="E119">
        <v>177.6</v>
      </c>
      <c r="F119">
        <v>28.51</v>
      </c>
      <c r="G119">
        <v>368.59</v>
      </c>
      <c r="H119">
        <v>21.41</v>
      </c>
      <c r="I119">
        <v>74.2</v>
      </c>
      <c r="J119">
        <v>95.59</v>
      </c>
      <c r="K119">
        <v>62.23</v>
      </c>
      <c r="L119">
        <v>52.05</v>
      </c>
      <c r="M119">
        <v>61.47</v>
      </c>
      <c r="N119">
        <v>125.17</v>
      </c>
      <c r="O119">
        <v>43.87</v>
      </c>
      <c r="P119">
        <v>190.72</v>
      </c>
      <c r="Q119">
        <v>28.83</v>
      </c>
    </row>
    <row r="120" spans="2:17" x14ac:dyDescent="0.3">
      <c r="B120" s="2">
        <v>45147</v>
      </c>
      <c r="C120">
        <v>41.35</v>
      </c>
      <c r="D120">
        <v>445.75</v>
      </c>
      <c r="E120">
        <v>177.79</v>
      </c>
      <c r="F120">
        <v>28.46</v>
      </c>
      <c r="G120">
        <v>367.91</v>
      </c>
      <c r="H120">
        <v>21.39</v>
      </c>
      <c r="I120">
        <v>75.099999999999994</v>
      </c>
      <c r="J120">
        <v>97.19</v>
      </c>
      <c r="K120">
        <v>61.99</v>
      </c>
      <c r="L120">
        <v>52.12</v>
      </c>
      <c r="M120">
        <v>61.21</v>
      </c>
      <c r="N120">
        <v>125.01</v>
      </c>
      <c r="O120">
        <v>43.94</v>
      </c>
      <c r="P120">
        <v>191.57</v>
      </c>
      <c r="Q120">
        <v>28.6</v>
      </c>
    </row>
    <row r="121" spans="2:17" x14ac:dyDescent="0.3">
      <c r="B121" s="2">
        <v>45146</v>
      </c>
      <c r="C121">
        <v>41.28</v>
      </c>
      <c r="D121">
        <v>448.75</v>
      </c>
      <c r="E121">
        <v>178.64</v>
      </c>
      <c r="F121">
        <v>28.44</v>
      </c>
      <c r="G121">
        <v>372</v>
      </c>
      <c r="H121">
        <v>21.43</v>
      </c>
      <c r="I121">
        <v>74.06</v>
      </c>
      <c r="J121">
        <v>96.69</v>
      </c>
      <c r="K121">
        <v>61.85</v>
      </c>
      <c r="L121">
        <v>51.94</v>
      </c>
      <c r="M121">
        <v>61.75</v>
      </c>
      <c r="N121">
        <v>125.65</v>
      </c>
      <c r="O121">
        <v>43.93</v>
      </c>
      <c r="P121">
        <v>193.08</v>
      </c>
      <c r="Q121">
        <v>28.48</v>
      </c>
    </row>
    <row r="122" spans="2:17" x14ac:dyDescent="0.3">
      <c r="B122" s="2">
        <v>45145</v>
      </c>
      <c r="C122">
        <v>41.71</v>
      </c>
      <c r="D122">
        <v>450.71</v>
      </c>
      <c r="E122">
        <v>179.78</v>
      </c>
      <c r="F122">
        <v>28.31</v>
      </c>
      <c r="G122">
        <v>375.19</v>
      </c>
      <c r="H122">
        <v>21.59</v>
      </c>
      <c r="I122">
        <v>73.819999999999993</v>
      </c>
      <c r="J122">
        <v>95.58</v>
      </c>
      <c r="K122">
        <v>62.18</v>
      </c>
      <c r="L122">
        <v>52.53</v>
      </c>
      <c r="M122">
        <v>62.3</v>
      </c>
      <c r="N122">
        <v>126.29</v>
      </c>
      <c r="O122">
        <v>44.19</v>
      </c>
      <c r="P122">
        <v>194.3</v>
      </c>
      <c r="Q122">
        <v>29.02</v>
      </c>
    </row>
    <row r="123" spans="2:17" x14ac:dyDescent="0.3">
      <c r="B123" s="2">
        <v>45142</v>
      </c>
      <c r="C123">
        <v>41.78</v>
      </c>
      <c r="D123">
        <v>446.81</v>
      </c>
      <c r="E123">
        <v>180.19</v>
      </c>
      <c r="F123">
        <v>28.29</v>
      </c>
      <c r="G123">
        <v>372.04</v>
      </c>
      <c r="H123">
        <v>21.64</v>
      </c>
      <c r="I123">
        <v>73.790000000000006</v>
      </c>
      <c r="J123">
        <v>96.53</v>
      </c>
      <c r="K123">
        <v>61.59</v>
      </c>
      <c r="L123">
        <v>52.41</v>
      </c>
      <c r="M123">
        <v>61.78</v>
      </c>
      <c r="N123">
        <v>125.22</v>
      </c>
      <c r="O123">
        <v>44.03</v>
      </c>
      <c r="P123">
        <v>194.17</v>
      </c>
      <c r="Q123">
        <v>29.13</v>
      </c>
    </row>
    <row r="124" spans="2:17" x14ac:dyDescent="0.3">
      <c r="B124" s="2">
        <v>45141</v>
      </c>
      <c r="C124">
        <v>41.73</v>
      </c>
      <c r="D124">
        <v>448.84</v>
      </c>
      <c r="E124">
        <v>179.54</v>
      </c>
      <c r="F124">
        <v>28.43</v>
      </c>
      <c r="G124">
        <v>373.79</v>
      </c>
      <c r="H124">
        <v>21.62</v>
      </c>
      <c r="I124">
        <v>73.14</v>
      </c>
      <c r="J124">
        <v>94.85</v>
      </c>
      <c r="K124">
        <v>61.48</v>
      </c>
      <c r="L124">
        <v>52.25</v>
      </c>
      <c r="M124">
        <v>61.19</v>
      </c>
      <c r="N124">
        <v>125.52</v>
      </c>
      <c r="O124">
        <v>43.6</v>
      </c>
      <c r="P124">
        <v>194.56</v>
      </c>
      <c r="Q124">
        <v>29.55</v>
      </c>
    </row>
    <row r="125" spans="2:17" x14ac:dyDescent="0.3">
      <c r="B125" s="2">
        <v>45140</v>
      </c>
      <c r="C125">
        <v>41.55</v>
      </c>
      <c r="D125">
        <v>450.13</v>
      </c>
      <c r="E125">
        <v>179.6</v>
      </c>
      <c r="F125">
        <v>28.45</v>
      </c>
      <c r="G125">
        <v>374.39</v>
      </c>
      <c r="H125">
        <v>21.79</v>
      </c>
      <c r="I125">
        <v>71.48</v>
      </c>
      <c r="J125">
        <v>97.09</v>
      </c>
      <c r="K125">
        <v>61.65</v>
      </c>
      <c r="L125">
        <v>52.5</v>
      </c>
      <c r="M125">
        <v>61.49</v>
      </c>
      <c r="N125">
        <v>125.9</v>
      </c>
      <c r="O125">
        <v>43.71</v>
      </c>
      <c r="P125">
        <v>195.11</v>
      </c>
      <c r="Q125">
        <v>28.77</v>
      </c>
    </row>
    <row r="126" spans="2:17" x14ac:dyDescent="0.3">
      <c r="B126" s="2">
        <v>45139</v>
      </c>
      <c r="C126">
        <v>42.47</v>
      </c>
      <c r="D126">
        <v>456.48</v>
      </c>
      <c r="E126">
        <v>180.46</v>
      </c>
      <c r="F126">
        <v>28.35</v>
      </c>
      <c r="G126">
        <v>382.79</v>
      </c>
      <c r="H126">
        <v>21.96</v>
      </c>
      <c r="I126">
        <v>72.959999999999994</v>
      </c>
      <c r="J126">
        <v>98.14</v>
      </c>
      <c r="K126">
        <v>62.79</v>
      </c>
      <c r="L126">
        <v>53.65</v>
      </c>
      <c r="M126">
        <v>62.67</v>
      </c>
      <c r="N126">
        <v>127.91</v>
      </c>
      <c r="O126">
        <v>44.48</v>
      </c>
      <c r="P126">
        <v>197.8</v>
      </c>
      <c r="Q126">
        <v>29.68</v>
      </c>
    </row>
    <row r="127" spans="2:17" x14ac:dyDescent="0.3">
      <c r="B127" s="2">
        <v>45138</v>
      </c>
      <c r="C127">
        <v>43.07</v>
      </c>
      <c r="D127">
        <v>457.79</v>
      </c>
      <c r="E127">
        <v>182.35</v>
      </c>
      <c r="F127">
        <v>28.22</v>
      </c>
      <c r="G127">
        <v>383.68</v>
      </c>
      <c r="H127">
        <v>21.93</v>
      </c>
      <c r="I127">
        <v>73.17</v>
      </c>
      <c r="J127">
        <v>100.05</v>
      </c>
      <c r="K127">
        <v>63.49</v>
      </c>
      <c r="L127">
        <v>54.06</v>
      </c>
      <c r="M127">
        <v>63.42</v>
      </c>
      <c r="N127">
        <v>128.54</v>
      </c>
      <c r="O127">
        <v>44.76</v>
      </c>
      <c r="P127">
        <v>198.71</v>
      </c>
      <c r="Q127">
        <v>30.42</v>
      </c>
    </row>
    <row r="128" spans="2:17" x14ac:dyDescent="0.3">
      <c r="B128" s="2">
        <v>45135</v>
      </c>
      <c r="C128">
        <v>43.02</v>
      </c>
      <c r="D128">
        <v>456.92</v>
      </c>
      <c r="E128">
        <v>181.86</v>
      </c>
      <c r="F128">
        <v>28.17</v>
      </c>
      <c r="G128">
        <v>383.48</v>
      </c>
      <c r="H128">
        <v>21.99</v>
      </c>
      <c r="I128">
        <v>72.09</v>
      </c>
      <c r="J128">
        <v>99.81</v>
      </c>
      <c r="K128">
        <v>63.51</v>
      </c>
      <c r="L128">
        <v>54.19</v>
      </c>
      <c r="M128">
        <v>63.7</v>
      </c>
      <c r="N128">
        <v>128.44</v>
      </c>
      <c r="O128">
        <v>44.5</v>
      </c>
      <c r="P128">
        <v>196.43</v>
      </c>
      <c r="Q128">
        <v>30.08</v>
      </c>
    </row>
    <row r="129" spans="2:17" x14ac:dyDescent="0.3">
      <c r="B129" s="2">
        <v>45134</v>
      </c>
      <c r="C129">
        <v>42</v>
      </c>
      <c r="D129">
        <v>452.49</v>
      </c>
      <c r="E129">
        <v>180.42</v>
      </c>
      <c r="F129">
        <v>28.21</v>
      </c>
      <c r="G129">
        <v>376.62</v>
      </c>
      <c r="H129">
        <v>22.11</v>
      </c>
      <c r="I129">
        <v>71.430000000000007</v>
      </c>
      <c r="J129">
        <v>99.3</v>
      </c>
      <c r="K129">
        <v>62.97</v>
      </c>
      <c r="L129">
        <v>53.58</v>
      </c>
      <c r="M129">
        <v>63.34</v>
      </c>
      <c r="N129">
        <v>127.22</v>
      </c>
      <c r="O129">
        <v>44.23</v>
      </c>
      <c r="P129">
        <v>193.92</v>
      </c>
      <c r="Q129">
        <v>28.5</v>
      </c>
    </row>
    <row r="130" spans="2:17" x14ac:dyDescent="0.3">
      <c r="B130" s="2">
        <v>45133</v>
      </c>
      <c r="C130">
        <v>42.47</v>
      </c>
      <c r="D130">
        <v>455.51</v>
      </c>
      <c r="E130">
        <v>183.3</v>
      </c>
      <c r="F130">
        <v>27.95</v>
      </c>
      <c r="G130">
        <v>377.52</v>
      </c>
      <c r="H130">
        <v>22.31</v>
      </c>
      <c r="I130">
        <v>70.66</v>
      </c>
      <c r="J130">
        <v>101.27</v>
      </c>
      <c r="K130">
        <v>63.34</v>
      </c>
      <c r="L130">
        <v>54.23</v>
      </c>
      <c r="M130">
        <v>62.83</v>
      </c>
      <c r="N130">
        <v>128.01</v>
      </c>
      <c r="O130">
        <v>44.68</v>
      </c>
      <c r="P130">
        <v>196.46</v>
      </c>
      <c r="Q130">
        <v>28.97</v>
      </c>
    </row>
    <row r="131" spans="2:17" x14ac:dyDescent="0.3">
      <c r="B131" s="2">
        <v>45132</v>
      </c>
      <c r="C131">
        <v>42.21</v>
      </c>
      <c r="D131">
        <v>455.44</v>
      </c>
      <c r="E131">
        <v>182.41</v>
      </c>
      <c r="F131">
        <v>28.03</v>
      </c>
      <c r="G131">
        <v>378.78</v>
      </c>
      <c r="H131">
        <v>22.36</v>
      </c>
      <c r="I131">
        <v>71.16</v>
      </c>
      <c r="J131">
        <v>101.17</v>
      </c>
      <c r="K131">
        <v>63.22</v>
      </c>
      <c r="L131">
        <v>54.07</v>
      </c>
      <c r="M131">
        <v>62.58</v>
      </c>
      <c r="N131">
        <v>127.92</v>
      </c>
      <c r="O131">
        <v>44.51</v>
      </c>
      <c r="P131">
        <v>194.92</v>
      </c>
      <c r="Q131">
        <v>28.56</v>
      </c>
    </row>
    <row r="132" spans="2:17" x14ac:dyDescent="0.3">
      <c r="B132" s="2">
        <v>45131</v>
      </c>
      <c r="C132">
        <v>41.89</v>
      </c>
      <c r="D132">
        <v>454.2</v>
      </c>
      <c r="E132">
        <v>181.4</v>
      </c>
      <c r="F132">
        <v>28.06</v>
      </c>
      <c r="G132">
        <v>376.23</v>
      </c>
      <c r="H132">
        <v>22.35</v>
      </c>
      <c r="I132">
        <v>70.69</v>
      </c>
      <c r="J132">
        <v>101.36</v>
      </c>
      <c r="K132">
        <v>63.1</v>
      </c>
      <c r="L132">
        <v>53.75</v>
      </c>
      <c r="M132">
        <v>62.5</v>
      </c>
      <c r="N132">
        <v>127.59</v>
      </c>
      <c r="O132">
        <v>44.53</v>
      </c>
      <c r="P132">
        <v>194.94</v>
      </c>
      <c r="Q132">
        <v>28.21</v>
      </c>
    </row>
    <row r="133" spans="2:17" x14ac:dyDescent="0.3">
      <c r="B133" s="2">
        <v>45128</v>
      </c>
      <c r="C133">
        <v>41.34</v>
      </c>
      <c r="D133">
        <v>452.18</v>
      </c>
      <c r="E133">
        <v>182.18</v>
      </c>
      <c r="F133">
        <v>27.96</v>
      </c>
      <c r="G133">
        <v>375.63</v>
      </c>
      <c r="H133">
        <v>22.01</v>
      </c>
      <c r="I133">
        <v>68.989999999999995</v>
      </c>
      <c r="J133">
        <v>101.73</v>
      </c>
      <c r="K133">
        <v>63.42</v>
      </c>
      <c r="L133">
        <v>53.21</v>
      </c>
      <c r="M133">
        <v>62.41</v>
      </c>
      <c r="N133">
        <v>127.4</v>
      </c>
      <c r="O133">
        <v>44.36</v>
      </c>
      <c r="P133">
        <v>194.46</v>
      </c>
      <c r="Q133">
        <v>27.62</v>
      </c>
    </row>
    <row r="134" spans="2:17" x14ac:dyDescent="0.3">
      <c r="B134" s="2">
        <v>45127</v>
      </c>
      <c r="C134">
        <v>41.36</v>
      </c>
      <c r="D134">
        <v>452.18</v>
      </c>
      <c r="E134">
        <v>182.74</v>
      </c>
      <c r="F134">
        <v>27.88</v>
      </c>
      <c r="G134">
        <v>376.76</v>
      </c>
      <c r="H134">
        <v>22.05</v>
      </c>
      <c r="I134">
        <v>68.05</v>
      </c>
      <c r="J134">
        <v>101.7</v>
      </c>
      <c r="K134">
        <v>63.2</v>
      </c>
      <c r="L134">
        <v>53.28</v>
      </c>
      <c r="M134">
        <v>62.48</v>
      </c>
      <c r="N134">
        <v>127.33</v>
      </c>
      <c r="O134">
        <v>44.55</v>
      </c>
      <c r="P134">
        <v>195.08</v>
      </c>
      <c r="Q134">
        <v>27.6</v>
      </c>
    </row>
    <row r="135" spans="2:17" x14ac:dyDescent="0.3">
      <c r="B135" s="2">
        <v>45126</v>
      </c>
      <c r="C135">
        <v>41.62</v>
      </c>
      <c r="D135">
        <v>455.2</v>
      </c>
      <c r="E135">
        <v>183.67</v>
      </c>
      <c r="F135">
        <v>27.72</v>
      </c>
      <c r="G135">
        <v>385.65</v>
      </c>
      <c r="H135">
        <v>22</v>
      </c>
      <c r="I135">
        <v>67.69</v>
      </c>
      <c r="J135">
        <v>102.95</v>
      </c>
      <c r="K135">
        <v>63.44</v>
      </c>
      <c r="L135">
        <v>53.67</v>
      </c>
      <c r="M135">
        <v>63.32</v>
      </c>
      <c r="N135">
        <v>128.1</v>
      </c>
      <c r="O135">
        <v>44.65</v>
      </c>
      <c r="P135">
        <v>196.8</v>
      </c>
      <c r="Q135">
        <v>27.7</v>
      </c>
    </row>
    <row r="136" spans="2:17" x14ac:dyDescent="0.3">
      <c r="B136" s="2">
        <v>45125</v>
      </c>
      <c r="C136">
        <v>41.68</v>
      </c>
      <c r="D136">
        <v>454.19</v>
      </c>
      <c r="E136">
        <v>183.64</v>
      </c>
      <c r="F136">
        <v>27.61</v>
      </c>
      <c r="G136">
        <v>385.74</v>
      </c>
      <c r="H136">
        <v>21.74</v>
      </c>
      <c r="I136">
        <v>67.959999999999994</v>
      </c>
      <c r="J136">
        <v>101.8</v>
      </c>
      <c r="K136">
        <v>63.45</v>
      </c>
      <c r="L136">
        <v>53.88</v>
      </c>
      <c r="M136">
        <v>63.31</v>
      </c>
      <c r="N136">
        <v>127.93</v>
      </c>
      <c r="O136">
        <v>44.53</v>
      </c>
      <c r="P136">
        <v>195.97</v>
      </c>
      <c r="Q136">
        <v>27.52</v>
      </c>
    </row>
    <row r="137" spans="2:17" x14ac:dyDescent="0.3">
      <c r="B137" s="2">
        <v>45124</v>
      </c>
      <c r="C137">
        <v>41.98</v>
      </c>
      <c r="D137">
        <v>450.84</v>
      </c>
      <c r="E137">
        <v>181.56</v>
      </c>
      <c r="F137">
        <v>27.59</v>
      </c>
      <c r="G137">
        <v>382.61</v>
      </c>
      <c r="H137">
        <v>21.44</v>
      </c>
      <c r="I137">
        <v>66.58</v>
      </c>
      <c r="J137">
        <v>101.34</v>
      </c>
      <c r="K137">
        <v>63.08</v>
      </c>
      <c r="L137">
        <v>53.95</v>
      </c>
      <c r="M137">
        <v>62.45</v>
      </c>
      <c r="N137">
        <v>126.92</v>
      </c>
      <c r="O137">
        <v>44.56</v>
      </c>
      <c r="P137">
        <v>193.58</v>
      </c>
      <c r="Q137">
        <v>28.15</v>
      </c>
    </row>
    <row r="138" spans="2:17" x14ac:dyDescent="0.3">
      <c r="B138" s="2">
        <v>45121</v>
      </c>
      <c r="C138">
        <v>41.93</v>
      </c>
      <c r="D138">
        <v>449.28</v>
      </c>
      <c r="E138">
        <v>181.43</v>
      </c>
      <c r="F138">
        <v>27.62</v>
      </c>
      <c r="G138">
        <v>379.07</v>
      </c>
      <c r="H138">
        <v>21.59</v>
      </c>
      <c r="I138">
        <v>67.47</v>
      </c>
      <c r="J138">
        <v>101.29</v>
      </c>
      <c r="K138">
        <v>63.17</v>
      </c>
      <c r="L138">
        <v>53.69</v>
      </c>
      <c r="M138">
        <v>62.42</v>
      </c>
      <c r="N138">
        <v>126.64</v>
      </c>
      <c r="O138">
        <v>44.26</v>
      </c>
      <c r="P138">
        <v>191.53</v>
      </c>
      <c r="Q138">
        <v>28.29</v>
      </c>
    </row>
    <row r="139" spans="2:17" x14ac:dyDescent="0.3">
      <c r="B139" s="2">
        <v>45120</v>
      </c>
      <c r="C139">
        <v>42.19</v>
      </c>
      <c r="D139">
        <v>449.56</v>
      </c>
      <c r="E139">
        <v>182.01</v>
      </c>
      <c r="F139">
        <v>27.57</v>
      </c>
      <c r="G139">
        <v>379.15</v>
      </c>
      <c r="H139">
        <v>21.35</v>
      </c>
      <c r="I139">
        <v>69.09</v>
      </c>
      <c r="J139">
        <v>101.89</v>
      </c>
      <c r="K139">
        <v>63.47</v>
      </c>
      <c r="L139">
        <v>53.77</v>
      </c>
      <c r="M139">
        <v>63.18</v>
      </c>
      <c r="N139">
        <v>126.98</v>
      </c>
      <c r="O139">
        <v>44.17</v>
      </c>
      <c r="P139">
        <v>193.42</v>
      </c>
      <c r="Q139">
        <v>28.8</v>
      </c>
    </row>
    <row r="140" spans="2:17" x14ac:dyDescent="0.3">
      <c r="B140" s="2">
        <v>45119</v>
      </c>
      <c r="C140">
        <v>41.73</v>
      </c>
      <c r="D140">
        <v>446.02</v>
      </c>
      <c r="E140">
        <v>181.88</v>
      </c>
      <c r="F140">
        <v>27.76</v>
      </c>
      <c r="G140">
        <v>372.82</v>
      </c>
      <c r="H140">
        <v>21.21</v>
      </c>
      <c r="I140">
        <v>67.87</v>
      </c>
      <c r="J140">
        <v>100.83</v>
      </c>
      <c r="K140">
        <v>62.49</v>
      </c>
      <c r="L140">
        <v>53.26</v>
      </c>
      <c r="M140">
        <v>62.25</v>
      </c>
      <c r="N140">
        <v>125.53</v>
      </c>
      <c r="O140">
        <v>44.26</v>
      </c>
      <c r="P140">
        <v>191.87</v>
      </c>
      <c r="Q140">
        <v>28.16</v>
      </c>
    </row>
    <row r="141" spans="2:17" x14ac:dyDescent="0.3">
      <c r="B141" s="2">
        <v>45118</v>
      </c>
      <c r="C141">
        <v>40.950000000000003</v>
      </c>
      <c r="D141">
        <v>442.46</v>
      </c>
      <c r="E141">
        <v>179.45</v>
      </c>
      <c r="F141">
        <v>28.09</v>
      </c>
      <c r="G141">
        <v>368.17</v>
      </c>
      <c r="H141">
        <v>21.39</v>
      </c>
      <c r="I141">
        <v>67.03</v>
      </c>
      <c r="J141">
        <v>99.72</v>
      </c>
      <c r="K141">
        <v>61.04</v>
      </c>
      <c r="L141">
        <v>52.31</v>
      </c>
      <c r="M141">
        <v>61.82</v>
      </c>
      <c r="N141">
        <v>124.18</v>
      </c>
      <c r="O141">
        <v>43.97</v>
      </c>
      <c r="P141">
        <v>189.8</v>
      </c>
      <c r="Q141">
        <v>27.34</v>
      </c>
    </row>
    <row r="142" spans="2:17" x14ac:dyDescent="0.3">
      <c r="B142" s="2">
        <v>45117</v>
      </c>
      <c r="C142">
        <v>40.590000000000003</v>
      </c>
      <c r="D142">
        <v>439.66</v>
      </c>
      <c r="E142">
        <v>178.78</v>
      </c>
      <c r="F142">
        <v>28.16</v>
      </c>
      <c r="G142">
        <v>366.36</v>
      </c>
      <c r="H142">
        <v>21.18</v>
      </c>
      <c r="I142">
        <v>65.540000000000006</v>
      </c>
      <c r="J142">
        <v>99.21</v>
      </c>
      <c r="K142">
        <v>60.39</v>
      </c>
      <c r="L142">
        <v>51.69</v>
      </c>
      <c r="M142">
        <v>61.55</v>
      </c>
      <c r="N142">
        <v>123.25</v>
      </c>
      <c r="O142">
        <v>43.66</v>
      </c>
      <c r="P142">
        <v>187.87</v>
      </c>
      <c r="Q142">
        <v>27.16</v>
      </c>
    </row>
    <row r="143" spans="2:17" x14ac:dyDescent="0.3">
      <c r="B143" s="2">
        <v>45114</v>
      </c>
      <c r="C143">
        <v>40.58</v>
      </c>
      <c r="D143">
        <v>438.55</v>
      </c>
      <c r="E143">
        <v>178.64</v>
      </c>
      <c r="F143">
        <v>28.23</v>
      </c>
      <c r="G143">
        <v>366.24</v>
      </c>
      <c r="H143">
        <v>21.16</v>
      </c>
      <c r="I143">
        <v>65.849999999999994</v>
      </c>
      <c r="J143">
        <v>99.08</v>
      </c>
      <c r="K143">
        <v>60.03</v>
      </c>
      <c r="L143">
        <v>51.72</v>
      </c>
      <c r="M143">
        <v>61.64</v>
      </c>
      <c r="N143">
        <v>122.87</v>
      </c>
      <c r="O143">
        <v>43.6</v>
      </c>
      <c r="P143">
        <v>184.71</v>
      </c>
      <c r="Q143">
        <v>27.18</v>
      </c>
    </row>
    <row r="144" spans="2:17" x14ac:dyDescent="0.3">
      <c r="B144" s="2">
        <v>45113</v>
      </c>
      <c r="C144">
        <v>40.1</v>
      </c>
      <c r="D144">
        <v>439.66</v>
      </c>
      <c r="E144">
        <v>177.31</v>
      </c>
      <c r="F144">
        <v>28.47</v>
      </c>
      <c r="G144">
        <v>367.46</v>
      </c>
      <c r="H144">
        <v>21.22</v>
      </c>
      <c r="I144">
        <v>64.44</v>
      </c>
      <c r="J144">
        <v>99.68</v>
      </c>
      <c r="K144">
        <v>59.64</v>
      </c>
      <c r="L144">
        <v>51.33</v>
      </c>
      <c r="M144">
        <v>60.77</v>
      </c>
      <c r="N144">
        <v>122.77</v>
      </c>
      <c r="O144">
        <v>43.58</v>
      </c>
      <c r="P144">
        <v>182.78</v>
      </c>
      <c r="Q144">
        <v>26.6</v>
      </c>
    </row>
    <row r="145" spans="2:17" x14ac:dyDescent="0.3">
      <c r="B145" s="2">
        <v>45112</v>
      </c>
      <c r="C145">
        <v>40.880000000000003</v>
      </c>
      <c r="D145">
        <v>443.13</v>
      </c>
      <c r="E145">
        <v>177.84</v>
      </c>
      <c r="F145">
        <v>28.54</v>
      </c>
      <c r="G145">
        <v>370.28</v>
      </c>
      <c r="H145">
        <v>21.24</v>
      </c>
      <c r="I145">
        <v>64.63</v>
      </c>
      <c r="J145">
        <v>101.11</v>
      </c>
      <c r="K145">
        <v>60.72</v>
      </c>
      <c r="L145">
        <v>52.27</v>
      </c>
      <c r="M145">
        <v>61.58</v>
      </c>
      <c r="N145">
        <v>124.16</v>
      </c>
      <c r="O145">
        <v>43.77</v>
      </c>
      <c r="P145">
        <v>185.78</v>
      </c>
      <c r="Q145">
        <v>27.39</v>
      </c>
    </row>
    <row r="146" spans="2:17" x14ac:dyDescent="0.3">
      <c r="B146" s="2">
        <v>45110</v>
      </c>
      <c r="C146">
        <v>41.08</v>
      </c>
      <c r="D146">
        <v>443.79</v>
      </c>
      <c r="E146">
        <v>178.47</v>
      </c>
      <c r="F146">
        <v>28.41</v>
      </c>
      <c r="G146">
        <v>370.29</v>
      </c>
      <c r="H146">
        <v>21.31</v>
      </c>
      <c r="I146">
        <v>63.39</v>
      </c>
      <c r="J146">
        <v>102.08</v>
      </c>
      <c r="K146">
        <v>61.52</v>
      </c>
      <c r="L146">
        <v>52.53</v>
      </c>
      <c r="M146">
        <v>62.09</v>
      </c>
      <c r="N146">
        <v>124.8</v>
      </c>
      <c r="O146">
        <v>43.79</v>
      </c>
      <c r="P146">
        <v>187.65</v>
      </c>
      <c r="Q146">
        <v>27.71</v>
      </c>
    </row>
    <row r="147" spans="2:17" x14ac:dyDescent="0.3">
      <c r="B147" s="2">
        <v>45107</v>
      </c>
      <c r="C147">
        <v>40.68</v>
      </c>
      <c r="D147">
        <v>443.28</v>
      </c>
      <c r="E147">
        <v>178.27</v>
      </c>
      <c r="F147">
        <v>28.38</v>
      </c>
      <c r="G147">
        <v>369.42</v>
      </c>
      <c r="H147">
        <v>21.07</v>
      </c>
      <c r="I147">
        <v>63.55</v>
      </c>
      <c r="J147">
        <v>102.94</v>
      </c>
      <c r="K147">
        <v>61.7</v>
      </c>
      <c r="L147">
        <v>51.98</v>
      </c>
      <c r="M147">
        <v>61.9</v>
      </c>
      <c r="N147">
        <v>124.52</v>
      </c>
      <c r="O147">
        <v>43.7</v>
      </c>
      <c r="P147">
        <v>187.27</v>
      </c>
      <c r="Q147">
        <v>27.19</v>
      </c>
    </row>
    <row r="148" spans="2:17" x14ac:dyDescent="0.3">
      <c r="B148" s="2">
        <v>45106</v>
      </c>
      <c r="C148">
        <v>40.33</v>
      </c>
      <c r="D148">
        <v>438.11</v>
      </c>
      <c r="E148">
        <v>177.09</v>
      </c>
      <c r="F148">
        <v>28.5</v>
      </c>
      <c r="G148">
        <v>363.81</v>
      </c>
      <c r="H148">
        <v>20.93</v>
      </c>
      <c r="I148">
        <v>62.96</v>
      </c>
      <c r="J148">
        <v>101.74</v>
      </c>
      <c r="K148">
        <v>60.75</v>
      </c>
      <c r="L148">
        <v>51.68</v>
      </c>
      <c r="M148">
        <v>61.51</v>
      </c>
      <c r="N148">
        <v>123.18</v>
      </c>
      <c r="O148">
        <v>43.34</v>
      </c>
      <c r="P148">
        <v>186.38</v>
      </c>
      <c r="Q148">
        <v>26.94</v>
      </c>
    </row>
    <row r="149" spans="2:17" x14ac:dyDescent="0.3">
      <c r="B149" s="2">
        <v>45105</v>
      </c>
      <c r="C149">
        <v>40.5</v>
      </c>
      <c r="D149">
        <v>436.39</v>
      </c>
      <c r="E149">
        <v>177.28</v>
      </c>
      <c r="F149">
        <v>28.38</v>
      </c>
      <c r="G149">
        <v>364.54</v>
      </c>
      <c r="H149">
        <v>21.05</v>
      </c>
      <c r="I149">
        <v>62.52</v>
      </c>
      <c r="J149">
        <v>103.61</v>
      </c>
      <c r="K149">
        <v>60.84</v>
      </c>
      <c r="L149">
        <v>51.77</v>
      </c>
      <c r="M149">
        <v>61.82</v>
      </c>
      <c r="N149">
        <v>122.82</v>
      </c>
      <c r="O149">
        <v>43.35</v>
      </c>
      <c r="P149">
        <v>184.26</v>
      </c>
      <c r="Q149">
        <v>27.37</v>
      </c>
    </row>
    <row r="150" spans="2:17" x14ac:dyDescent="0.3">
      <c r="B150" s="2">
        <v>45104</v>
      </c>
      <c r="C150">
        <v>40.659999999999997</v>
      </c>
      <c r="D150">
        <v>436.17</v>
      </c>
      <c r="E150">
        <v>177.69</v>
      </c>
      <c r="F150">
        <v>28.25</v>
      </c>
      <c r="G150">
        <v>363.83</v>
      </c>
      <c r="H150">
        <v>21.29</v>
      </c>
      <c r="I150">
        <v>61.3</v>
      </c>
      <c r="J150">
        <v>103.17</v>
      </c>
      <c r="K150">
        <v>60.89</v>
      </c>
      <c r="L150">
        <v>52.05</v>
      </c>
      <c r="M150">
        <v>61.14</v>
      </c>
      <c r="N150">
        <v>122.8</v>
      </c>
      <c r="O150">
        <v>43.02</v>
      </c>
      <c r="P150">
        <v>183.36</v>
      </c>
      <c r="Q150">
        <v>27.6</v>
      </c>
    </row>
    <row r="151" spans="2:17" x14ac:dyDescent="0.3">
      <c r="B151" s="2">
        <v>45103</v>
      </c>
      <c r="C151">
        <v>40.28</v>
      </c>
      <c r="D151">
        <v>431.44</v>
      </c>
      <c r="E151">
        <v>178.51</v>
      </c>
      <c r="F151">
        <v>28.32</v>
      </c>
      <c r="G151">
        <v>357.68</v>
      </c>
      <c r="H151">
        <v>21.51</v>
      </c>
      <c r="I151">
        <v>62.73</v>
      </c>
      <c r="J151">
        <v>103.44</v>
      </c>
      <c r="K151">
        <v>60.28</v>
      </c>
      <c r="L151">
        <v>51.77</v>
      </c>
      <c r="M151">
        <v>60.91</v>
      </c>
      <c r="N151">
        <v>121.54</v>
      </c>
      <c r="O151">
        <v>42.77</v>
      </c>
      <c r="P151">
        <v>180.75</v>
      </c>
      <c r="Q151">
        <v>27.01</v>
      </c>
    </row>
    <row r="152" spans="2:17" x14ac:dyDescent="0.3">
      <c r="B152" s="2">
        <v>45100</v>
      </c>
      <c r="C152">
        <v>40.15</v>
      </c>
      <c r="D152">
        <v>433.21</v>
      </c>
      <c r="E152">
        <v>178.2</v>
      </c>
      <c r="F152">
        <v>28.35</v>
      </c>
      <c r="G152">
        <v>362.54</v>
      </c>
      <c r="H152">
        <v>21.53</v>
      </c>
      <c r="I152">
        <v>62.42</v>
      </c>
      <c r="J152">
        <v>103.33</v>
      </c>
      <c r="K152">
        <v>60.2</v>
      </c>
      <c r="L152">
        <v>51.57</v>
      </c>
      <c r="M152">
        <v>60.91</v>
      </c>
      <c r="N152">
        <v>121.79</v>
      </c>
      <c r="O152">
        <v>42.58</v>
      </c>
      <c r="P152">
        <v>180.57</v>
      </c>
      <c r="Q152">
        <v>26.87</v>
      </c>
    </row>
    <row r="153" spans="2:17" x14ac:dyDescent="0.3">
      <c r="B153" s="2">
        <v>45099</v>
      </c>
      <c r="C153">
        <v>40.72</v>
      </c>
      <c r="D153">
        <v>436.51</v>
      </c>
      <c r="E153">
        <v>177.71</v>
      </c>
      <c r="F153">
        <v>28.2</v>
      </c>
      <c r="G153">
        <v>366.17</v>
      </c>
      <c r="H153">
        <v>21.95</v>
      </c>
      <c r="I153">
        <v>62.52</v>
      </c>
      <c r="J153">
        <v>102.31</v>
      </c>
      <c r="K153">
        <v>60.94</v>
      </c>
      <c r="L153">
        <v>52.19</v>
      </c>
      <c r="M153">
        <v>62.45</v>
      </c>
      <c r="N153">
        <v>122.89</v>
      </c>
      <c r="O153">
        <v>42.96</v>
      </c>
      <c r="P153">
        <v>183.33</v>
      </c>
      <c r="Q153">
        <v>27.44</v>
      </c>
    </row>
    <row r="154" spans="2:17" x14ac:dyDescent="0.3">
      <c r="B154" s="2">
        <v>45098</v>
      </c>
      <c r="C154">
        <v>40.9</v>
      </c>
      <c r="D154">
        <v>434.94</v>
      </c>
      <c r="E154">
        <v>179.49</v>
      </c>
      <c r="F154">
        <v>28.1</v>
      </c>
      <c r="G154">
        <v>361.9</v>
      </c>
      <c r="H154">
        <v>22.13</v>
      </c>
      <c r="I154">
        <v>65.040000000000006</v>
      </c>
      <c r="J154">
        <v>103.56</v>
      </c>
      <c r="K154">
        <v>61.18</v>
      </c>
      <c r="L154">
        <v>52.37</v>
      </c>
      <c r="M154">
        <v>62.97</v>
      </c>
      <c r="N154">
        <v>122.91</v>
      </c>
      <c r="O154">
        <v>43.075000000000003</v>
      </c>
      <c r="P154">
        <v>184.7</v>
      </c>
      <c r="Q154">
        <v>27.5</v>
      </c>
    </row>
    <row r="155" spans="2:17" x14ac:dyDescent="0.3">
      <c r="B155" s="2">
        <v>45097</v>
      </c>
      <c r="C155">
        <v>40.97</v>
      </c>
      <c r="D155">
        <v>437.18</v>
      </c>
      <c r="E155">
        <v>179.75</v>
      </c>
      <c r="F155">
        <v>28.23</v>
      </c>
      <c r="G155">
        <v>366.9</v>
      </c>
      <c r="H155">
        <v>21.9</v>
      </c>
      <c r="I155">
        <v>63.92</v>
      </c>
      <c r="J155">
        <v>103.31</v>
      </c>
      <c r="K155">
        <v>61.3</v>
      </c>
      <c r="L155">
        <v>52.44</v>
      </c>
      <c r="M155">
        <v>62.23</v>
      </c>
      <c r="N155">
        <v>123.24</v>
      </c>
      <c r="O155">
        <v>43.01</v>
      </c>
      <c r="P155">
        <v>185.13</v>
      </c>
      <c r="Q155">
        <v>27.67</v>
      </c>
    </row>
    <row r="156" spans="2:17" x14ac:dyDescent="0.3">
      <c r="B156" s="2">
        <v>45093</v>
      </c>
      <c r="C156">
        <v>41.94</v>
      </c>
      <c r="D156">
        <v>439.46</v>
      </c>
      <c r="E156">
        <v>181.63</v>
      </c>
      <c r="F156">
        <v>28.15</v>
      </c>
      <c r="G156">
        <v>367.93</v>
      </c>
      <c r="H156">
        <v>21.99</v>
      </c>
      <c r="I156">
        <v>64.349999999999994</v>
      </c>
      <c r="J156">
        <v>102.6</v>
      </c>
      <c r="K156">
        <v>63.28</v>
      </c>
      <c r="L156">
        <v>53.01</v>
      </c>
      <c r="M156">
        <v>63.1</v>
      </c>
      <c r="N156">
        <v>124.29</v>
      </c>
      <c r="O156">
        <v>43.13</v>
      </c>
      <c r="P156">
        <v>185.94</v>
      </c>
      <c r="Q156">
        <v>28.91</v>
      </c>
    </row>
    <row r="157" spans="2:17" x14ac:dyDescent="0.3">
      <c r="B157" s="2">
        <v>45092</v>
      </c>
      <c r="C157">
        <v>42.09</v>
      </c>
      <c r="D157">
        <v>442.6</v>
      </c>
      <c r="E157">
        <v>181.91</v>
      </c>
      <c r="F157">
        <v>28.1</v>
      </c>
      <c r="G157">
        <v>370.26</v>
      </c>
      <c r="H157">
        <v>21.7</v>
      </c>
      <c r="I157">
        <v>63.41</v>
      </c>
      <c r="J157">
        <v>103</v>
      </c>
      <c r="K157">
        <v>63.33</v>
      </c>
      <c r="L157">
        <v>53.24</v>
      </c>
      <c r="M157">
        <v>63.71</v>
      </c>
      <c r="N157">
        <v>124.7</v>
      </c>
      <c r="O157">
        <v>43.01</v>
      </c>
      <c r="P157">
        <v>187.44</v>
      </c>
      <c r="Q157">
        <v>29.08</v>
      </c>
    </row>
    <row r="158" spans="2:17" x14ac:dyDescent="0.3">
      <c r="B158" s="2">
        <v>45091</v>
      </c>
      <c r="C158">
        <v>41.69</v>
      </c>
      <c r="D158">
        <v>437.18</v>
      </c>
      <c r="E158">
        <v>180.64</v>
      </c>
      <c r="F158">
        <v>28.26</v>
      </c>
      <c r="G158">
        <v>365.9</v>
      </c>
      <c r="H158">
        <v>21.33</v>
      </c>
      <c r="I158">
        <v>61.83</v>
      </c>
      <c r="J158">
        <v>102.02</v>
      </c>
      <c r="K158">
        <v>62.48</v>
      </c>
      <c r="L158">
        <v>53</v>
      </c>
      <c r="M158">
        <v>63.8</v>
      </c>
      <c r="N158">
        <v>123.18</v>
      </c>
      <c r="O158">
        <v>42.78</v>
      </c>
      <c r="P158">
        <v>185.91</v>
      </c>
      <c r="Q158">
        <v>28.45</v>
      </c>
    </row>
    <row r="159" spans="2:17" x14ac:dyDescent="0.3">
      <c r="B159" s="2">
        <v>45090</v>
      </c>
      <c r="C159">
        <v>41.3</v>
      </c>
      <c r="D159">
        <v>436.66</v>
      </c>
      <c r="E159">
        <v>180.54</v>
      </c>
      <c r="F159">
        <v>28.4</v>
      </c>
      <c r="G159">
        <v>363.26</v>
      </c>
      <c r="H159">
        <v>21.3</v>
      </c>
      <c r="I159">
        <v>62.14</v>
      </c>
      <c r="J159">
        <v>101.21</v>
      </c>
      <c r="K159">
        <v>62.26</v>
      </c>
      <c r="L159">
        <v>52.78</v>
      </c>
      <c r="M159">
        <v>63.51</v>
      </c>
      <c r="N159">
        <v>122.95</v>
      </c>
      <c r="O159">
        <v>42.64</v>
      </c>
      <c r="P159">
        <v>187.93</v>
      </c>
      <c r="Q159">
        <v>28.07</v>
      </c>
    </row>
    <row r="160" spans="2:17" x14ac:dyDescent="0.3">
      <c r="B160" s="2">
        <v>45089</v>
      </c>
      <c r="C160">
        <v>40.96</v>
      </c>
      <c r="D160">
        <v>433.8</v>
      </c>
      <c r="E160">
        <v>181.88</v>
      </c>
      <c r="F160">
        <v>28.49</v>
      </c>
      <c r="G160">
        <v>360.49</v>
      </c>
      <c r="H160">
        <v>21.24</v>
      </c>
      <c r="I160">
        <v>60.24</v>
      </c>
      <c r="J160">
        <v>102.22</v>
      </c>
      <c r="K160">
        <v>61.78</v>
      </c>
      <c r="L160">
        <v>52.35</v>
      </c>
      <c r="M160">
        <v>62.61</v>
      </c>
      <c r="N160">
        <v>122.03</v>
      </c>
      <c r="O160">
        <v>42.28</v>
      </c>
      <c r="P160">
        <v>185.8</v>
      </c>
      <c r="Q160">
        <v>27.75</v>
      </c>
    </row>
    <row r="161" spans="2:17" x14ac:dyDescent="0.3">
      <c r="B161" s="2">
        <v>45086</v>
      </c>
      <c r="C161">
        <v>40.86</v>
      </c>
      <c r="D161">
        <v>429.9</v>
      </c>
      <c r="E161">
        <v>182.04</v>
      </c>
      <c r="F161">
        <v>28.48</v>
      </c>
      <c r="G161">
        <v>354.5</v>
      </c>
      <c r="H161">
        <v>21.19</v>
      </c>
      <c r="I161">
        <v>62.93</v>
      </c>
      <c r="J161">
        <v>101.92</v>
      </c>
      <c r="K161">
        <v>61.51</v>
      </c>
      <c r="L161">
        <v>52.19</v>
      </c>
      <c r="M161">
        <v>62.22</v>
      </c>
      <c r="N161">
        <v>121.09</v>
      </c>
      <c r="O161">
        <v>42.11</v>
      </c>
      <c r="P161">
        <v>185.03</v>
      </c>
      <c r="Q161">
        <v>27.82</v>
      </c>
    </row>
    <row r="162" spans="2:17" x14ac:dyDescent="0.3">
      <c r="B162" s="2">
        <v>45085</v>
      </c>
      <c r="C162">
        <v>40.75</v>
      </c>
      <c r="D162">
        <v>429.13</v>
      </c>
      <c r="E162">
        <v>182.53</v>
      </c>
      <c r="F162">
        <v>28.39</v>
      </c>
      <c r="G162">
        <v>353.15</v>
      </c>
      <c r="H162">
        <v>21.24</v>
      </c>
      <c r="I162">
        <v>63.46</v>
      </c>
      <c r="J162">
        <v>102.06</v>
      </c>
      <c r="K162">
        <v>61.88</v>
      </c>
      <c r="L162">
        <v>51.85</v>
      </c>
      <c r="M162">
        <v>61.52</v>
      </c>
      <c r="N162">
        <v>120.95</v>
      </c>
      <c r="O162">
        <v>42.23</v>
      </c>
      <c r="P162">
        <v>186.54</v>
      </c>
      <c r="Q162">
        <v>27.79</v>
      </c>
    </row>
    <row r="163" spans="2:17" x14ac:dyDescent="0.3">
      <c r="B163" s="2">
        <v>45084</v>
      </c>
      <c r="C163">
        <v>40.53</v>
      </c>
      <c r="D163">
        <v>426.55</v>
      </c>
      <c r="E163">
        <v>180.15</v>
      </c>
      <c r="F163">
        <v>28.62</v>
      </c>
      <c r="G163">
        <v>348.82</v>
      </c>
      <c r="H163">
        <v>20.89</v>
      </c>
      <c r="I163">
        <v>64.709999999999994</v>
      </c>
      <c r="J163">
        <v>100.88</v>
      </c>
      <c r="K163">
        <v>61.17</v>
      </c>
      <c r="L163">
        <v>51.53</v>
      </c>
      <c r="M163">
        <v>61</v>
      </c>
      <c r="N163">
        <v>120.16</v>
      </c>
      <c r="O163">
        <v>42.33</v>
      </c>
      <c r="P163">
        <v>187.24</v>
      </c>
      <c r="Q163">
        <v>27.5</v>
      </c>
    </row>
    <row r="164" spans="2:17" x14ac:dyDescent="0.3">
      <c r="B164" s="2">
        <v>45083</v>
      </c>
      <c r="C164">
        <v>40.619999999999997</v>
      </c>
      <c r="D164">
        <v>428.03</v>
      </c>
      <c r="E164">
        <v>182.34</v>
      </c>
      <c r="F164">
        <v>28.61</v>
      </c>
      <c r="G164">
        <v>354.84</v>
      </c>
      <c r="H164">
        <v>21.02</v>
      </c>
      <c r="I164">
        <v>63.79</v>
      </c>
      <c r="J164">
        <v>102.4</v>
      </c>
      <c r="K164">
        <v>61.44</v>
      </c>
      <c r="L164">
        <v>51.98</v>
      </c>
      <c r="M164">
        <v>63.04</v>
      </c>
      <c r="N164">
        <v>121.98</v>
      </c>
      <c r="O164">
        <v>42.26</v>
      </c>
      <c r="P164">
        <v>184.31</v>
      </c>
      <c r="Q164">
        <v>27.99</v>
      </c>
    </row>
    <row r="165" spans="2:17" x14ac:dyDescent="0.3">
      <c r="B165" s="2">
        <v>45082</v>
      </c>
      <c r="C165">
        <v>40.31</v>
      </c>
      <c r="D165">
        <v>427.1</v>
      </c>
      <c r="E165">
        <v>182.14</v>
      </c>
      <c r="F165">
        <v>28.52</v>
      </c>
      <c r="G165">
        <v>354.9</v>
      </c>
      <c r="H165">
        <v>20.85</v>
      </c>
      <c r="I165">
        <v>64.03</v>
      </c>
      <c r="J165">
        <v>101.8</v>
      </c>
      <c r="K165">
        <v>61.21</v>
      </c>
      <c r="L165">
        <v>51.64</v>
      </c>
      <c r="M165">
        <v>61.78</v>
      </c>
      <c r="N165">
        <v>121.46</v>
      </c>
      <c r="O165">
        <v>42.16</v>
      </c>
      <c r="P165">
        <v>179.58</v>
      </c>
      <c r="Q165">
        <v>27.39</v>
      </c>
    </row>
    <row r="166" spans="2:17" x14ac:dyDescent="0.3">
      <c r="B166" s="2">
        <v>45079</v>
      </c>
      <c r="C166">
        <v>40.35</v>
      </c>
      <c r="D166">
        <v>427.92</v>
      </c>
      <c r="E166">
        <v>181.05</v>
      </c>
      <c r="F166">
        <v>28.57</v>
      </c>
      <c r="G166">
        <v>354.65</v>
      </c>
      <c r="H166">
        <v>20.88</v>
      </c>
      <c r="I166">
        <v>64.150000000000006</v>
      </c>
      <c r="J166">
        <v>101.99</v>
      </c>
      <c r="K166">
        <v>61.65</v>
      </c>
      <c r="L166">
        <v>51.63</v>
      </c>
      <c r="M166">
        <v>62</v>
      </c>
      <c r="N166">
        <v>121.83</v>
      </c>
      <c r="O166">
        <v>42.28</v>
      </c>
      <c r="P166">
        <v>182.02</v>
      </c>
      <c r="Q166">
        <v>27.43</v>
      </c>
    </row>
    <row r="167" spans="2:17" x14ac:dyDescent="0.3">
      <c r="B167" s="2">
        <v>45078</v>
      </c>
      <c r="C167">
        <v>39.72</v>
      </c>
      <c r="D167">
        <v>421.82</v>
      </c>
      <c r="E167">
        <v>183.76</v>
      </c>
      <c r="F167">
        <v>28.27</v>
      </c>
      <c r="G167">
        <v>352.01</v>
      </c>
      <c r="H167">
        <v>20.76</v>
      </c>
      <c r="I167">
        <v>62.55</v>
      </c>
      <c r="J167">
        <v>103.12</v>
      </c>
      <c r="K167">
        <v>60.93</v>
      </c>
      <c r="L167">
        <v>50.96</v>
      </c>
      <c r="M167">
        <v>60.83</v>
      </c>
      <c r="N167">
        <v>120.03</v>
      </c>
      <c r="O167">
        <v>42.125</v>
      </c>
      <c r="P167">
        <v>175.65</v>
      </c>
      <c r="Q167">
        <v>26.63</v>
      </c>
    </row>
    <row r="168" spans="2:17" x14ac:dyDescent="0.3">
      <c r="B168" s="2">
        <v>45077</v>
      </c>
      <c r="C168">
        <v>39.049999999999997</v>
      </c>
      <c r="D168">
        <v>417.85</v>
      </c>
      <c r="E168">
        <v>182.32</v>
      </c>
      <c r="F168">
        <v>28.61</v>
      </c>
      <c r="G168">
        <v>347.99</v>
      </c>
      <c r="H168">
        <v>20.46</v>
      </c>
      <c r="I168">
        <v>60.63</v>
      </c>
      <c r="J168">
        <v>102.99</v>
      </c>
      <c r="K168">
        <v>60.22</v>
      </c>
      <c r="L168">
        <v>50.33</v>
      </c>
      <c r="M168">
        <v>59.34</v>
      </c>
      <c r="N168">
        <v>118.6</v>
      </c>
      <c r="O168">
        <v>41.7</v>
      </c>
      <c r="P168">
        <v>173.77</v>
      </c>
      <c r="Q168">
        <v>25.97</v>
      </c>
    </row>
    <row r="169" spans="2:17" x14ac:dyDescent="0.3">
      <c r="B169" s="2">
        <v>45076</v>
      </c>
      <c r="C169">
        <v>39.33</v>
      </c>
      <c r="D169">
        <v>420.18</v>
      </c>
      <c r="E169">
        <v>182.04</v>
      </c>
      <c r="F169">
        <v>28.56</v>
      </c>
      <c r="G169">
        <v>349.98</v>
      </c>
      <c r="H169">
        <v>20.440000000000001</v>
      </c>
      <c r="I169">
        <v>62.3</v>
      </c>
      <c r="J169">
        <v>102.1</v>
      </c>
      <c r="K169">
        <v>60.87</v>
      </c>
      <c r="L169">
        <v>50.89</v>
      </c>
      <c r="M169">
        <v>59.86</v>
      </c>
      <c r="N169">
        <v>119.52</v>
      </c>
      <c r="O169">
        <v>41.81</v>
      </c>
      <c r="P169">
        <v>175.5</v>
      </c>
      <c r="Q169">
        <v>26.04</v>
      </c>
    </row>
    <row r="170" spans="2:17" x14ac:dyDescent="0.3">
      <c r="B170" s="2">
        <v>45072</v>
      </c>
      <c r="C170">
        <v>39.85</v>
      </c>
      <c r="D170">
        <v>420.02</v>
      </c>
      <c r="E170">
        <v>180.92</v>
      </c>
      <c r="F170">
        <v>28.59</v>
      </c>
      <c r="G170">
        <v>348.4</v>
      </c>
      <c r="H170">
        <v>20.57</v>
      </c>
      <c r="I170">
        <v>64.8</v>
      </c>
      <c r="J170">
        <v>101.09</v>
      </c>
      <c r="K170">
        <v>61.51</v>
      </c>
      <c r="L170">
        <v>51.19</v>
      </c>
      <c r="M170">
        <v>60.25</v>
      </c>
      <c r="N170">
        <v>119.91</v>
      </c>
      <c r="O170">
        <v>42.02</v>
      </c>
      <c r="P170">
        <v>176.15</v>
      </c>
      <c r="Q170">
        <v>26.83</v>
      </c>
    </row>
    <row r="171" spans="2:17" x14ac:dyDescent="0.3">
      <c r="B171" s="2">
        <v>45071</v>
      </c>
      <c r="C171">
        <v>39.200000000000003</v>
      </c>
      <c r="D171">
        <v>414.65</v>
      </c>
      <c r="E171">
        <v>180.2</v>
      </c>
      <c r="F171">
        <v>28.6</v>
      </c>
      <c r="G171">
        <v>339.72</v>
      </c>
      <c r="H171">
        <v>20.399999999999999</v>
      </c>
      <c r="I171">
        <v>64.09</v>
      </c>
      <c r="J171">
        <v>100.28</v>
      </c>
      <c r="K171">
        <v>60.84</v>
      </c>
      <c r="L171">
        <v>50.32</v>
      </c>
      <c r="M171">
        <v>60.05</v>
      </c>
      <c r="N171">
        <v>118.41</v>
      </c>
      <c r="O171">
        <v>41.41</v>
      </c>
      <c r="P171">
        <v>174.17</v>
      </c>
      <c r="Q171">
        <v>26.39</v>
      </c>
    </row>
    <row r="172" spans="2:17" x14ac:dyDescent="0.3">
      <c r="B172" s="2">
        <v>45070</v>
      </c>
      <c r="C172">
        <v>39.270000000000003</v>
      </c>
      <c r="D172">
        <v>411.09</v>
      </c>
      <c r="E172">
        <v>181.95</v>
      </c>
      <c r="F172">
        <v>28.47</v>
      </c>
      <c r="G172">
        <v>331.65</v>
      </c>
      <c r="H172">
        <v>20.63</v>
      </c>
      <c r="I172">
        <v>65.66</v>
      </c>
      <c r="J172">
        <v>100.53</v>
      </c>
      <c r="K172">
        <v>61</v>
      </c>
      <c r="L172">
        <v>50.05</v>
      </c>
      <c r="M172">
        <v>59.71</v>
      </c>
      <c r="N172">
        <v>117.91</v>
      </c>
      <c r="O172">
        <v>41.19</v>
      </c>
      <c r="P172">
        <v>175.54</v>
      </c>
      <c r="Q172">
        <v>26.94</v>
      </c>
    </row>
    <row r="173" spans="2:17" x14ac:dyDescent="0.3">
      <c r="B173" s="2">
        <v>45069</v>
      </c>
      <c r="C173">
        <v>39.549999999999997</v>
      </c>
      <c r="D173">
        <v>414.09</v>
      </c>
      <c r="E173">
        <v>183.43</v>
      </c>
      <c r="F173">
        <v>28.37</v>
      </c>
      <c r="G173">
        <v>333.36</v>
      </c>
      <c r="H173">
        <v>20.74</v>
      </c>
      <c r="I173">
        <v>64.87</v>
      </c>
      <c r="J173">
        <v>101.03</v>
      </c>
      <c r="K173">
        <v>61.97</v>
      </c>
      <c r="L173">
        <v>50.14</v>
      </c>
      <c r="M173">
        <v>60.35</v>
      </c>
      <c r="N173">
        <v>119.03</v>
      </c>
      <c r="O173">
        <v>41.13</v>
      </c>
      <c r="P173">
        <v>177.42</v>
      </c>
      <c r="Q173">
        <v>27.49</v>
      </c>
    </row>
    <row r="174" spans="2:17" x14ac:dyDescent="0.3">
      <c r="B174" s="2">
        <v>45068</v>
      </c>
      <c r="C174">
        <v>40.15</v>
      </c>
      <c r="D174">
        <v>418.79</v>
      </c>
      <c r="E174">
        <v>183.21</v>
      </c>
      <c r="F174">
        <v>28.29</v>
      </c>
      <c r="G174">
        <v>337.64</v>
      </c>
      <c r="H174">
        <v>20.76</v>
      </c>
      <c r="I174">
        <v>63.91</v>
      </c>
      <c r="J174">
        <v>100.74</v>
      </c>
      <c r="K174">
        <v>62.89</v>
      </c>
      <c r="L174">
        <v>50.61</v>
      </c>
      <c r="M174">
        <v>61.23</v>
      </c>
      <c r="N174">
        <v>120.47</v>
      </c>
      <c r="O174">
        <v>41.26</v>
      </c>
      <c r="P174">
        <v>178.26</v>
      </c>
      <c r="Q174">
        <v>28.35</v>
      </c>
    </row>
    <row r="175" spans="2:17" x14ac:dyDescent="0.3">
      <c r="B175" s="2">
        <v>45065</v>
      </c>
      <c r="C175">
        <v>39.89</v>
      </c>
      <c r="D175">
        <v>418.62</v>
      </c>
      <c r="E175">
        <v>183.64</v>
      </c>
      <c r="F175">
        <v>28.27</v>
      </c>
      <c r="G175">
        <v>336.51</v>
      </c>
      <c r="H175">
        <v>20.78</v>
      </c>
      <c r="I175">
        <v>63.9</v>
      </c>
      <c r="J175">
        <v>101.1</v>
      </c>
      <c r="K175">
        <v>62.97</v>
      </c>
      <c r="L175">
        <v>50.38</v>
      </c>
      <c r="M175">
        <v>60.96</v>
      </c>
      <c r="N175">
        <v>120.39</v>
      </c>
      <c r="O175">
        <v>40.880000000000003</v>
      </c>
      <c r="P175">
        <v>176.11</v>
      </c>
      <c r="Q175">
        <v>27.9</v>
      </c>
    </row>
    <row r="176" spans="2:17" x14ac:dyDescent="0.3">
      <c r="B176" s="2">
        <v>45064</v>
      </c>
      <c r="C176">
        <v>39.909999999999997</v>
      </c>
      <c r="D176">
        <v>419.23</v>
      </c>
      <c r="E176">
        <v>181.84</v>
      </c>
      <c r="F176">
        <v>28.35</v>
      </c>
      <c r="G176">
        <v>337.27</v>
      </c>
      <c r="H176">
        <v>20.7</v>
      </c>
      <c r="I176">
        <v>64.040000000000006</v>
      </c>
      <c r="J176">
        <v>101.82</v>
      </c>
      <c r="K176">
        <v>62.51</v>
      </c>
      <c r="L176">
        <v>50.26</v>
      </c>
      <c r="M176">
        <v>60.86</v>
      </c>
      <c r="N176">
        <v>120.33</v>
      </c>
      <c r="O176">
        <v>40.93</v>
      </c>
      <c r="P176">
        <v>177.19</v>
      </c>
      <c r="Q176">
        <v>28.05</v>
      </c>
    </row>
    <row r="177" spans="2:17" x14ac:dyDescent="0.3">
      <c r="B177" s="2">
        <v>45063</v>
      </c>
      <c r="C177">
        <v>40.159999999999997</v>
      </c>
      <c r="D177">
        <v>415.23</v>
      </c>
      <c r="E177">
        <v>184.23</v>
      </c>
      <c r="F177">
        <v>28.14</v>
      </c>
      <c r="G177">
        <v>331.12</v>
      </c>
      <c r="H177">
        <v>20.78</v>
      </c>
      <c r="I177">
        <v>64.599999999999994</v>
      </c>
      <c r="J177">
        <v>102.58</v>
      </c>
      <c r="K177">
        <v>62.63</v>
      </c>
      <c r="L177">
        <v>50.22</v>
      </c>
      <c r="M177">
        <v>60.85</v>
      </c>
      <c r="N177">
        <v>119.56</v>
      </c>
      <c r="O177">
        <v>41.23</v>
      </c>
      <c r="P177">
        <v>176.12</v>
      </c>
      <c r="Q177">
        <v>28.44</v>
      </c>
    </row>
    <row r="178" spans="2:17" x14ac:dyDescent="0.3">
      <c r="B178" s="2">
        <v>45062</v>
      </c>
      <c r="C178">
        <v>40.020000000000003</v>
      </c>
      <c r="D178">
        <v>410.25</v>
      </c>
      <c r="E178">
        <v>184.87</v>
      </c>
      <c r="F178">
        <v>28.09</v>
      </c>
      <c r="G178">
        <v>327.16000000000003</v>
      </c>
      <c r="H178">
        <v>20.94</v>
      </c>
      <c r="I178">
        <v>62.54</v>
      </c>
      <c r="J178">
        <v>102.88</v>
      </c>
      <c r="K178">
        <v>62.36</v>
      </c>
      <c r="L178">
        <v>49.7</v>
      </c>
      <c r="M178">
        <v>60.44</v>
      </c>
      <c r="N178">
        <v>118.43</v>
      </c>
      <c r="O178">
        <v>41.29</v>
      </c>
      <c r="P178">
        <v>172.28</v>
      </c>
      <c r="Q178">
        <v>28.74</v>
      </c>
    </row>
    <row r="179" spans="2:17" x14ac:dyDescent="0.3">
      <c r="B179" s="2">
        <v>45061</v>
      </c>
      <c r="C179">
        <v>40.299999999999997</v>
      </c>
      <c r="D179">
        <v>413.01</v>
      </c>
      <c r="E179">
        <v>187.21</v>
      </c>
      <c r="F179">
        <v>28.02</v>
      </c>
      <c r="G179">
        <v>326.79000000000002</v>
      </c>
      <c r="H179">
        <v>21.09</v>
      </c>
      <c r="I179">
        <v>62.99</v>
      </c>
      <c r="J179">
        <v>103.19</v>
      </c>
      <c r="K179">
        <v>63.02</v>
      </c>
      <c r="L179">
        <v>50.02</v>
      </c>
      <c r="M179">
        <v>60.56</v>
      </c>
      <c r="N179">
        <v>119.46</v>
      </c>
      <c r="O179">
        <v>41.66</v>
      </c>
      <c r="P179">
        <v>174.83</v>
      </c>
      <c r="Q179">
        <v>29.04</v>
      </c>
    </row>
    <row r="180" spans="2:17" x14ac:dyDescent="0.3">
      <c r="B180" s="2">
        <v>45058</v>
      </c>
      <c r="C180">
        <v>39.61</v>
      </c>
      <c r="D180">
        <v>411.59</v>
      </c>
      <c r="E180">
        <v>186.81</v>
      </c>
      <c r="F180">
        <v>28.1</v>
      </c>
      <c r="G180">
        <v>325.02999999999997</v>
      </c>
      <c r="H180">
        <v>20.83</v>
      </c>
      <c r="I180">
        <v>62.07</v>
      </c>
      <c r="J180">
        <v>104.27</v>
      </c>
      <c r="K180">
        <v>62.55</v>
      </c>
      <c r="L180">
        <v>49.57</v>
      </c>
      <c r="M180">
        <v>60.2</v>
      </c>
      <c r="N180">
        <v>118.75</v>
      </c>
      <c r="O180">
        <v>41.32</v>
      </c>
      <c r="P180">
        <v>172.72</v>
      </c>
      <c r="Q180">
        <v>27.79</v>
      </c>
    </row>
    <row r="181" spans="2:17" x14ac:dyDescent="0.3">
      <c r="B181" s="2">
        <v>45057</v>
      </c>
      <c r="C181">
        <v>40.06</v>
      </c>
      <c r="D181">
        <v>412.13</v>
      </c>
      <c r="E181">
        <v>187.13</v>
      </c>
      <c r="F181">
        <v>27.92</v>
      </c>
      <c r="G181">
        <v>326.2</v>
      </c>
      <c r="H181">
        <v>20.78</v>
      </c>
      <c r="I181">
        <v>63.25</v>
      </c>
      <c r="J181">
        <v>105.15</v>
      </c>
      <c r="K181">
        <v>62.72</v>
      </c>
      <c r="L181">
        <v>49.9</v>
      </c>
      <c r="M181">
        <v>59.91</v>
      </c>
      <c r="N181">
        <v>118.92</v>
      </c>
      <c r="O181">
        <v>41.46</v>
      </c>
      <c r="P181">
        <v>173.07</v>
      </c>
      <c r="Q181">
        <v>28.54</v>
      </c>
    </row>
    <row r="182" spans="2:17" x14ac:dyDescent="0.3">
      <c r="B182" s="2">
        <v>45056</v>
      </c>
      <c r="C182">
        <v>40.22</v>
      </c>
      <c r="D182">
        <v>412.85</v>
      </c>
      <c r="E182">
        <v>188.75</v>
      </c>
      <c r="F182">
        <v>27.74</v>
      </c>
      <c r="G182">
        <v>325.14</v>
      </c>
      <c r="H182">
        <v>21.03</v>
      </c>
      <c r="I182">
        <v>64.39</v>
      </c>
      <c r="J182">
        <v>104.05</v>
      </c>
      <c r="K182">
        <v>62.99</v>
      </c>
      <c r="L182">
        <v>50.33</v>
      </c>
      <c r="M182">
        <v>59.74</v>
      </c>
      <c r="N182">
        <v>119.2</v>
      </c>
      <c r="O182">
        <v>41.71</v>
      </c>
      <c r="P182">
        <v>174.41</v>
      </c>
      <c r="Q182">
        <v>28.24</v>
      </c>
    </row>
    <row r="183" spans="2:17" x14ac:dyDescent="0.3">
      <c r="B183" s="2">
        <v>45055</v>
      </c>
      <c r="C183">
        <v>40.21</v>
      </c>
      <c r="D183">
        <v>410.93</v>
      </c>
      <c r="E183">
        <v>189.02</v>
      </c>
      <c r="F183">
        <v>27.79</v>
      </c>
      <c r="G183">
        <v>321.64</v>
      </c>
      <c r="H183">
        <v>20.96</v>
      </c>
      <c r="I183">
        <v>64.87</v>
      </c>
      <c r="J183">
        <v>103.05</v>
      </c>
      <c r="K183">
        <v>63.07</v>
      </c>
      <c r="L183">
        <v>50.2</v>
      </c>
      <c r="M183">
        <v>60.04</v>
      </c>
      <c r="N183">
        <v>118.91</v>
      </c>
      <c r="O183">
        <v>41.47</v>
      </c>
      <c r="P183">
        <v>173.53</v>
      </c>
      <c r="Q183">
        <v>28.44</v>
      </c>
    </row>
    <row r="184" spans="2:17" x14ac:dyDescent="0.3">
      <c r="B184" s="2">
        <v>45054</v>
      </c>
      <c r="C184">
        <v>40.46</v>
      </c>
      <c r="D184">
        <v>412.74</v>
      </c>
      <c r="E184">
        <v>187.69</v>
      </c>
      <c r="F184">
        <v>27.7</v>
      </c>
      <c r="G184">
        <v>323.69</v>
      </c>
      <c r="H184">
        <v>20.91</v>
      </c>
      <c r="I184">
        <v>64.260000000000005</v>
      </c>
      <c r="J184">
        <v>103.42</v>
      </c>
      <c r="K184">
        <v>63.57</v>
      </c>
      <c r="L184">
        <v>50.32</v>
      </c>
      <c r="M184">
        <v>59.4</v>
      </c>
      <c r="N184">
        <v>119.4</v>
      </c>
      <c r="O184">
        <v>41.53</v>
      </c>
      <c r="P184">
        <v>174.05</v>
      </c>
      <c r="Q184">
        <v>28.89</v>
      </c>
    </row>
    <row r="185" spans="2:17" x14ac:dyDescent="0.3">
      <c r="B185" s="2">
        <v>45051</v>
      </c>
      <c r="C185">
        <v>40.450000000000003</v>
      </c>
      <c r="D185">
        <v>412.63</v>
      </c>
      <c r="E185">
        <v>187.46</v>
      </c>
      <c r="F185">
        <v>27.66</v>
      </c>
      <c r="G185">
        <v>322.89</v>
      </c>
      <c r="H185">
        <v>21.03</v>
      </c>
      <c r="I185">
        <v>63.03</v>
      </c>
      <c r="J185">
        <v>104.89</v>
      </c>
      <c r="K185">
        <v>63.56</v>
      </c>
      <c r="L185">
        <v>50.32</v>
      </c>
      <c r="M185">
        <v>59.53</v>
      </c>
      <c r="N185">
        <v>119.35</v>
      </c>
      <c r="O185">
        <v>41.4</v>
      </c>
      <c r="P185">
        <v>174.45</v>
      </c>
      <c r="Q185">
        <v>28.67</v>
      </c>
    </row>
    <row r="186" spans="2:17" x14ac:dyDescent="0.3">
      <c r="B186" s="2">
        <v>45050</v>
      </c>
      <c r="C186">
        <v>40.020000000000003</v>
      </c>
      <c r="D186">
        <v>405.13</v>
      </c>
      <c r="E186">
        <v>190.44</v>
      </c>
      <c r="F186">
        <v>27.7</v>
      </c>
      <c r="G186">
        <v>316.17</v>
      </c>
      <c r="H186">
        <v>20.7</v>
      </c>
      <c r="I186">
        <v>60.7</v>
      </c>
      <c r="J186">
        <v>105.24</v>
      </c>
      <c r="K186">
        <v>62.62</v>
      </c>
      <c r="L186">
        <v>49.67</v>
      </c>
      <c r="M186">
        <v>58.74</v>
      </c>
      <c r="N186">
        <v>117.29</v>
      </c>
      <c r="O186">
        <v>41.26</v>
      </c>
      <c r="P186">
        <v>170.4</v>
      </c>
      <c r="Q186">
        <v>28.3</v>
      </c>
    </row>
    <row r="187" spans="2:17" x14ac:dyDescent="0.3">
      <c r="B187" s="2">
        <v>45049</v>
      </c>
      <c r="C187">
        <v>39.68</v>
      </c>
      <c r="D187">
        <v>408.02</v>
      </c>
      <c r="E187">
        <v>189.11</v>
      </c>
      <c r="F187">
        <v>27.67</v>
      </c>
      <c r="G187">
        <v>317.29000000000002</v>
      </c>
      <c r="H187">
        <v>20.6</v>
      </c>
      <c r="I187">
        <v>60.31</v>
      </c>
      <c r="J187">
        <v>106.29</v>
      </c>
      <c r="K187">
        <v>62.94</v>
      </c>
      <c r="L187">
        <v>49.43</v>
      </c>
      <c r="M187">
        <v>58.63</v>
      </c>
      <c r="N187">
        <v>117.86</v>
      </c>
      <c r="O187">
        <v>40.92</v>
      </c>
      <c r="P187">
        <v>172.33</v>
      </c>
      <c r="Q187">
        <v>27.56</v>
      </c>
    </row>
    <row r="188" spans="2:17" x14ac:dyDescent="0.3">
      <c r="B188" s="2">
        <v>45048</v>
      </c>
      <c r="C188">
        <v>39.69</v>
      </c>
      <c r="D188">
        <v>410.84</v>
      </c>
      <c r="E188">
        <v>187.52</v>
      </c>
      <c r="F188">
        <v>27.82</v>
      </c>
      <c r="G188">
        <v>319.38</v>
      </c>
      <c r="H188">
        <v>20.54</v>
      </c>
      <c r="I188">
        <v>63.05</v>
      </c>
      <c r="J188">
        <v>105.7</v>
      </c>
      <c r="K188">
        <v>62.74</v>
      </c>
      <c r="L188">
        <v>49.45</v>
      </c>
      <c r="M188">
        <v>58.28</v>
      </c>
      <c r="N188">
        <v>118.37</v>
      </c>
      <c r="O188">
        <v>41.06</v>
      </c>
      <c r="P188">
        <v>171.7</v>
      </c>
      <c r="Q188">
        <v>27.69</v>
      </c>
    </row>
    <row r="189" spans="2:17" x14ac:dyDescent="0.3">
      <c r="B189" s="2">
        <v>45047</v>
      </c>
      <c r="C189">
        <v>40.11</v>
      </c>
      <c r="D189">
        <v>415.51</v>
      </c>
      <c r="E189">
        <v>183.97</v>
      </c>
      <c r="F189">
        <v>27.89</v>
      </c>
      <c r="G189">
        <v>322.19</v>
      </c>
      <c r="H189">
        <v>20.73</v>
      </c>
      <c r="I189">
        <v>66.55</v>
      </c>
      <c r="J189">
        <v>103.13</v>
      </c>
      <c r="K189">
        <v>63.48</v>
      </c>
      <c r="L189">
        <v>49.75</v>
      </c>
      <c r="M189">
        <v>58.77</v>
      </c>
      <c r="N189">
        <v>119.67</v>
      </c>
      <c r="O189">
        <v>41.12</v>
      </c>
      <c r="P189">
        <v>175.3</v>
      </c>
      <c r="Q189">
        <v>28.22</v>
      </c>
    </row>
    <row r="190" spans="2:17" x14ac:dyDescent="0.3">
      <c r="B190" s="2">
        <v>45044</v>
      </c>
      <c r="C190">
        <v>40.24</v>
      </c>
      <c r="D190">
        <v>415.93</v>
      </c>
      <c r="E190">
        <v>184.8</v>
      </c>
      <c r="F190">
        <v>27.75</v>
      </c>
      <c r="G190">
        <v>322.56</v>
      </c>
      <c r="H190">
        <v>20.95</v>
      </c>
      <c r="I190">
        <v>67.5</v>
      </c>
      <c r="J190">
        <v>106.46</v>
      </c>
      <c r="K190">
        <v>63.47</v>
      </c>
      <c r="L190">
        <v>49.9</v>
      </c>
      <c r="M190">
        <v>58.84</v>
      </c>
      <c r="N190">
        <v>119.79</v>
      </c>
      <c r="O190">
        <v>41.12</v>
      </c>
      <c r="P190">
        <v>175.2</v>
      </c>
      <c r="Q190">
        <v>28.33</v>
      </c>
    </row>
    <row r="191" spans="2:17" x14ac:dyDescent="0.3">
      <c r="B191" s="2">
        <v>45043</v>
      </c>
      <c r="C191">
        <v>40</v>
      </c>
      <c r="D191">
        <v>412.41</v>
      </c>
      <c r="E191">
        <v>184.75</v>
      </c>
      <c r="F191">
        <v>27.71</v>
      </c>
      <c r="G191">
        <v>320.35000000000002</v>
      </c>
      <c r="H191">
        <v>20.98</v>
      </c>
      <c r="I191">
        <v>65.81</v>
      </c>
      <c r="J191">
        <v>104.77</v>
      </c>
      <c r="K191">
        <v>63.38</v>
      </c>
      <c r="L191">
        <v>49.67</v>
      </c>
      <c r="M191">
        <v>59.31</v>
      </c>
      <c r="N191">
        <v>119.18</v>
      </c>
      <c r="O191">
        <v>40.75</v>
      </c>
      <c r="P191">
        <v>173.68</v>
      </c>
      <c r="Q191">
        <v>28.19</v>
      </c>
    </row>
    <row r="192" spans="2:17" x14ac:dyDescent="0.3">
      <c r="B192" s="2">
        <v>45042</v>
      </c>
      <c r="C192">
        <v>39.49</v>
      </c>
      <c r="D192">
        <v>404.36</v>
      </c>
      <c r="E192">
        <v>184.74</v>
      </c>
      <c r="F192">
        <v>27.7</v>
      </c>
      <c r="G192">
        <v>311.87</v>
      </c>
      <c r="H192">
        <v>21.02</v>
      </c>
      <c r="I192">
        <v>65.36</v>
      </c>
      <c r="J192">
        <v>105.82</v>
      </c>
      <c r="K192">
        <v>62.65</v>
      </c>
      <c r="L192">
        <v>48.97</v>
      </c>
      <c r="M192">
        <v>58.36</v>
      </c>
      <c r="N192">
        <v>117.11</v>
      </c>
      <c r="O192">
        <v>40.26</v>
      </c>
      <c r="P192">
        <v>171.39</v>
      </c>
      <c r="Q192">
        <v>27.8</v>
      </c>
    </row>
    <row r="193" spans="2:17" x14ac:dyDescent="0.3">
      <c r="B193" s="2">
        <v>45041</v>
      </c>
      <c r="C193">
        <v>39.22</v>
      </c>
      <c r="D193">
        <v>406.08</v>
      </c>
      <c r="E193">
        <v>185.75</v>
      </c>
      <c r="F193">
        <v>27.79</v>
      </c>
      <c r="G193">
        <v>309.99</v>
      </c>
      <c r="H193">
        <v>20.99</v>
      </c>
      <c r="I193">
        <v>67.62</v>
      </c>
      <c r="J193">
        <v>106.96</v>
      </c>
      <c r="K193">
        <v>62.6</v>
      </c>
      <c r="L193">
        <v>48.83</v>
      </c>
      <c r="M193">
        <v>58.57</v>
      </c>
      <c r="N193">
        <v>117.49</v>
      </c>
      <c r="O193">
        <v>40.01</v>
      </c>
      <c r="P193">
        <v>173.06</v>
      </c>
      <c r="Q193">
        <v>27.35</v>
      </c>
    </row>
    <row r="194" spans="2:17" x14ac:dyDescent="0.3">
      <c r="B194" s="2">
        <v>45040</v>
      </c>
      <c r="C194">
        <v>39.9</v>
      </c>
      <c r="D194">
        <v>412.63</v>
      </c>
      <c r="E194">
        <v>184.81</v>
      </c>
      <c r="F194">
        <v>27.66</v>
      </c>
      <c r="G194">
        <v>315.95</v>
      </c>
      <c r="H194">
        <v>21.06</v>
      </c>
      <c r="I194">
        <v>69.25</v>
      </c>
      <c r="J194">
        <v>105.41</v>
      </c>
      <c r="K194">
        <v>63.67</v>
      </c>
      <c r="L194">
        <v>49.6</v>
      </c>
      <c r="M194">
        <v>58.98</v>
      </c>
      <c r="N194">
        <v>119.36</v>
      </c>
      <c r="O194">
        <v>40.19</v>
      </c>
      <c r="P194">
        <v>177.44</v>
      </c>
      <c r="Q194">
        <v>28.11</v>
      </c>
    </row>
    <row r="195" spans="2:17" x14ac:dyDescent="0.3">
      <c r="B195" s="2">
        <v>45037</v>
      </c>
      <c r="C195">
        <v>39.950000000000003</v>
      </c>
      <c r="D195">
        <v>412.2</v>
      </c>
      <c r="E195">
        <v>184.25</v>
      </c>
      <c r="F195">
        <v>27.75</v>
      </c>
      <c r="G195">
        <v>316.61</v>
      </c>
      <c r="H195">
        <v>20.94</v>
      </c>
      <c r="I195">
        <v>68.209999999999994</v>
      </c>
      <c r="J195">
        <v>104.4</v>
      </c>
      <c r="K195">
        <v>63.41</v>
      </c>
      <c r="L195">
        <v>49.53</v>
      </c>
      <c r="M195">
        <v>59.01</v>
      </c>
      <c r="N195">
        <v>119.22</v>
      </c>
      <c r="O195">
        <v>39.880000000000003</v>
      </c>
      <c r="P195">
        <v>177.56</v>
      </c>
      <c r="Q195">
        <v>28.4</v>
      </c>
    </row>
    <row r="196" spans="2:17" x14ac:dyDescent="0.3">
      <c r="B196" s="2">
        <v>45036</v>
      </c>
      <c r="C196">
        <v>40.33</v>
      </c>
      <c r="D196">
        <v>411.88</v>
      </c>
      <c r="E196">
        <v>186.09</v>
      </c>
      <c r="F196">
        <v>27.78</v>
      </c>
      <c r="G196">
        <v>316.27999999999997</v>
      </c>
      <c r="H196">
        <v>21.08</v>
      </c>
      <c r="I196">
        <v>67.599999999999994</v>
      </c>
      <c r="J196">
        <v>104.99</v>
      </c>
      <c r="K196">
        <v>62.94</v>
      </c>
      <c r="L196">
        <v>49.77</v>
      </c>
      <c r="M196">
        <v>58.68</v>
      </c>
      <c r="N196">
        <v>118.97</v>
      </c>
      <c r="O196">
        <v>39.86</v>
      </c>
      <c r="P196">
        <v>177.33</v>
      </c>
      <c r="Q196">
        <v>28.82</v>
      </c>
    </row>
    <row r="197" spans="2:17" x14ac:dyDescent="0.3">
      <c r="B197" s="2">
        <v>45035</v>
      </c>
      <c r="C197">
        <v>40.380000000000003</v>
      </c>
      <c r="D197">
        <v>414.14</v>
      </c>
      <c r="E197">
        <v>185.36</v>
      </c>
      <c r="F197">
        <v>27.78</v>
      </c>
      <c r="G197">
        <v>318.70999999999998</v>
      </c>
      <c r="H197">
        <v>21.11</v>
      </c>
      <c r="I197">
        <v>69.3</v>
      </c>
      <c r="J197">
        <v>104.1</v>
      </c>
      <c r="K197">
        <v>63.03</v>
      </c>
      <c r="L197">
        <v>49.715000000000003</v>
      </c>
      <c r="M197">
        <v>58.49</v>
      </c>
      <c r="N197">
        <v>119.44</v>
      </c>
      <c r="O197">
        <v>39.81</v>
      </c>
      <c r="P197">
        <v>178.25</v>
      </c>
      <c r="Q197">
        <v>29.01</v>
      </c>
    </row>
    <row r="198" spans="2:17" x14ac:dyDescent="0.3">
      <c r="B198" s="2">
        <v>45034</v>
      </c>
      <c r="C198">
        <v>40.799999999999997</v>
      </c>
      <c r="D198">
        <v>414.21</v>
      </c>
      <c r="E198">
        <v>186.25</v>
      </c>
      <c r="F198">
        <v>27.72</v>
      </c>
      <c r="G198">
        <v>318.86</v>
      </c>
      <c r="H198">
        <v>21.3</v>
      </c>
      <c r="I198">
        <v>70.73</v>
      </c>
      <c r="J198">
        <v>104.2</v>
      </c>
      <c r="K198">
        <v>63.17</v>
      </c>
      <c r="L198">
        <v>50.23</v>
      </c>
      <c r="M198">
        <v>58.96</v>
      </c>
      <c r="N198">
        <v>119.62</v>
      </c>
      <c r="O198">
        <v>39.94</v>
      </c>
      <c r="P198">
        <v>178.02</v>
      </c>
      <c r="Q198">
        <v>29.37</v>
      </c>
    </row>
    <row r="199" spans="2:17" x14ac:dyDescent="0.3">
      <c r="B199" s="2">
        <v>45033</v>
      </c>
      <c r="C199">
        <v>40.880000000000003</v>
      </c>
      <c r="D199">
        <v>413.94</v>
      </c>
      <c r="E199">
        <v>185.53</v>
      </c>
      <c r="F199">
        <v>27.82</v>
      </c>
      <c r="G199">
        <v>318.83999999999997</v>
      </c>
      <c r="H199">
        <v>21.2</v>
      </c>
      <c r="I199">
        <v>70.84</v>
      </c>
      <c r="J199">
        <v>103.83</v>
      </c>
      <c r="K199">
        <v>62.74</v>
      </c>
      <c r="L199">
        <v>50.28</v>
      </c>
      <c r="M199">
        <v>58.61</v>
      </c>
      <c r="N199">
        <v>119.31</v>
      </c>
      <c r="O199">
        <v>40.020000000000003</v>
      </c>
      <c r="P199">
        <v>178.78</v>
      </c>
      <c r="Q199">
        <v>29.49</v>
      </c>
    </row>
    <row r="200" spans="2:17" x14ac:dyDescent="0.3">
      <c r="B200" s="2">
        <v>45030</v>
      </c>
      <c r="C200">
        <v>40.659999999999997</v>
      </c>
      <c r="D200">
        <v>412.46</v>
      </c>
      <c r="E200">
        <v>186.36</v>
      </c>
      <c r="F200">
        <v>27.68</v>
      </c>
      <c r="G200">
        <v>318.57</v>
      </c>
      <c r="H200">
        <v>20.91</v>
      </c>
      <c r="I200">
        <v>72.09</v>
      </c>
      <c r="J200">
        <v>105.08</v>
      </c>
      <c r="K200">
        <v>63.04</v>
      </c>
      <c r="L200">
        <v>50.4</v>
      </c>
      <c r="M200">
        <v>58.44</v>
      </c>
      <c r="N200">
        <v>119.14</v>
      </c>
      <c r="O200">
        <v>40.159999999999997</v>
      </c>
      <c r="P200">
        <v>176.51</v>
      </c>
      <c r="Q200">
        <v>28.71</v>
      </c>
    </row>
    <row r="201" spans="2:17" x14ac:dyDescent="0.3">
      <c r="B201" s="2">
        <v>45029</v>
      </c>
      <c r="C201">
        <v>40.880000000000003</v>
      </c>
      <c r="D201">
        <v>413.47</v>
      </c>
      <c r="E201">
        <v>189.72</v>
      </c>
      <c r="F201">
        <v>27.52</v>
      </c>
      <c r="G201">
        <v>319.17</v>
      </c>
      <c r="H201">
        <v>20.87</v>
      </c>
      <c r="I201">
        <v>71.8</v>
      </c>
      <c r="J201">
        <v>106.05</v>
      </c>
      <c r="K201">
        <v>63.14</v>
      </c>
      <c r="L201">
        <v>50.64</v>
      </c>
      <c r="M201">
        <v>58.88</v>
      </c>
      <c r="N201">
        <v>119.42</v>
      </c>
      <c r="O201">
        <v>40.35</v>
      </c>
      <c r="P201">
        <v>178.17</v>
      </c>
      <c r="Q201">
        <v>29.07</v>
      </c>
    </row>
    <row r="202" spans="2:17" x14ac:dyDescent="0.3">
      <c r="B202" s="2">
        <v>45028</v>
      </c>
      <c r="C202">
        <v>40.39</v>
      </c>
      <c r="D202">
        <v>408.05</v>
      </c>
      <c r="E202">
        <v>187.19</v>
      </c>
      <c r="F202">
        <v>27.65</v>
      </c>
      <c r="G202">
        <v>313.04000000000002</v>
      </c>
      <c r="H202">
        <v>20.77</v>
      </c>
      <c r="I202">
        <v>72.430000000000007</v>
      </c>
      <c r="J202">
        <v>106.89</v>
      </c>
      <c r="K202">
        <v>62.3</v>
      </c>
      <c r="L202">
        <v>50.07</v>
      </c>
      <c r="M202">
        <v>58.07</v>
      </c>
      <c r="N202">
        <v>117.84</v>
      </c>
      <c r="O202">
        <v>40.200000000000003</v>
      </c>
      <c r="P202">
        <v>175.84</v>
      </c>
      <c r="Q202">
        <v>28.41</v>
      </c>
    </row>
    <row r="203" spans="2:17" x14ac:dyDescent="0.3">
      <c r="B203" s="2">
        <v>45027</v>
      </c>
      <c r="C203">
        <v>40.700000000000003</v>
      </c>
      <c r="D203">
        <v>409.72</v>
      </c>
      <c r="E203">
        <v>186.28</v>
      </c>
      <c r="F203">
        <v>27.8</v>
      </c>
      <c r="G203">
        <v>315.83</v>
      </c>
      <c r="H203">
        <v>20.84</v>
      </c>
      <c r="I203">
        <v>71.069999999999993</v>
      </c>
      <c r="J203">
        <v>107</v>
      </c>
      <c r="K203">
        <v>61.81</v>
      </c>
      <c r="L203">
        <v>49.99</v>
      </c>
      <c r="M203">
        <v>57.88</v>
      </c>
      <c r="N203">
        <v>117.94</v>
      </c>
      <c r="O203">
        <v>40.07</v>
      </c>
      <c r="P203">
        <v>177.14</v>
      </c>
      <c r="Q203">
        <v>29.21</v>
      </c>
    </row>
    <row r="204" spans="2:17" x14ac:dyDescent="0.3">
      <c r="B204" s="2">
        <v>45026</v>
      </c>
      <c r="C204">
        <v>40.4</v>
      </c>
      <c r="D204">
        <v>409.61</v>
      </c>
      <c r="E204">
        <v>185.11</v>
      </c>
      <c r="F204">
        <v>27.9</v>
      </c>
      <c r="G204">
        <v>317.87</v>
      </c>
      <c r="H204">
        <v>20.7</v>
      </c>
      <c r="I204">
        <v>69.760000000000005</v>
      </c>
      <c r="J204">
        <v>106.78</v>
      </c>
      <c r="K204">
        <v>61.57</v>
      </c>
      <c r="L204">
        <v>49.55</v>
      </c>
      <c r="M204">
        <v>57.69</v>
      </c>
      <c r="N204">
        <v>117.79</v>
      </c>
      <c r="O204">
        <v>39.93</v>
      </c>
      <c r="P204">
        <v>175.75</v>
      </c>
      <c r="Q204">
        <v>29.19</v>
      </c>
    </row>
    <row r="205" spans="2:17" x14ac:dyDescent="0.3">
      <c r="B205" s="2">
        <v>45022</v>
      </c>
      <c r="C205">
        <v>40.49</v>
      </c>
      <c r="D205">
        <v>409.19</v>
      </c>
      <c r="E205">
        <v>186.49</v>
      </c>
      <c r="F205">
        <v>27.74</v>
      </c>
      <c r="G205">
        <v>318.05</v>
      </c>
      <c r="H205">
        <v>20.65</v>
      </c>
      <c r="I205">
        <v>70.260000000000005</v>
      </c>
      <c r="J205">
        <v>108.53</v>
      </c>
      <c r="K205">
        <v>61.57</v>
      </c>
      <c r="L205">
        <v>49.37</v>
      </c>
      <c r="M205">
        <v>57.81</v>
      </c>
      <c r="N205">
        <v>117.68</v>
      </c>
      <c r="O205">
        <v>39.950000000000003</v>
      </c>
      <c r="P205">
        <v>173.89</v>
      </c>
      <c r="Q205">
        <v>29.29</v>
      </c>
    </row>
    <row r="206" spans="2:17" x14ac:dyDescent="0.3">
      <c r="B206" s="2">
        <v>45021</v>
      </c>
      <c r="C206">
        <v>40.25</v>
      </c>
      <c r="D206">
        <v>407.6</v>
      </c>
      <c r="E206">
        <v>187.83</v>
      </c>
      <c r="F206">
        <v>27.72</v>
      </c>
      <c r="G206">
        <v>315.92</v>
      </c>
      <c r="H206">
        <v>20.45</v>
      </c>
      <c r="I206">
        <v>70.239999999999995</v>
      </c>
      <c r="J206">
        <v>108.25</v>
      </c>
      <c r="K206">
        <v>61.05</v>
      </c>
      <c r="L206">
        <v>49.36</v>
      </c>
      <c r="M206">
        <v>58.06</v>
      </c>
      <c r="N206">
        <v>117.26</v>
      </c>
      <c r="O206">
        <v>39.69</v>
      </c>
      <c r="P206">
        <v>173.63</v>
      </c>
      <c r="Q206">
        <v>28.93</v>
      </c>
    </row>
    <row r="208" spans="2:17" x14ac:dyDescent="0.3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">
      <c r="B209" t="s">
        <v>176</v>
      </c>
      <c r="C209" s="25">
        <f>C6</f>
        <v>39.54</v>
      </c>
      <c r="D209" s="25">
        <f t="shared" si="0"/>
        <v>484.86</v>
      </c>
      <c r="E209" s="25">
        <f t="shared" si="0"/>
        <v>187.95</v>
      </c>
      <c r="F209" s="25">
        <f t="shared" si="0"/>
        <v>27.78</v>
      </c>
      <c r="G209" s="25">
        <f t="shared" si="0"/>
        <v>423.48</v>
      </c>
      <c r="H209" s="25">
        <f t="shared" si="0"/>
        <v>21.34</v>
      </c>
      <c r="I209" s="25">
        <f t="shared" si="0"/>
        <v>69.66</v>
      </c>
      <c r="J209" s="25">
        <f t="shared" si="0"/>
        <v>93.9</v>
      </c>
      <c r="K209" s="25">
        <f t="shared" si="0"/>
        <v>62.45</v>
      </c>
      <c r="L209" s="25">
        <f t="shared" si="0"/>
        <v>53.74</v>
      </c>
      <c r="M209" s="25">
        <f t="shared" si="0"/>
        <v>66.09</v>
      </c>
      <c r="N209" s="25">
        <f t="shared" si="0"/>
        <v>134.11000000000001</v>
      </c>
      <c r="O209" s="25">
        <f t="shared" si="0"/>
        <v>48.68</v>
      </c>
      <c r="P209" s="25">
        <f t="shared" si="0"/>
        <v>195.97</v>
      </c>
      <c r="Q209" s="25">
        <f t="shared" si="0"/>
        <v>22.11</v>
      </c>
    </row>
    <row r="210" spans="2:17" x14ac:dyDescent="0.3">
      <c r="B210" t="s">
        <v>177</v>
      </c>
      <c r="C210" s="25">
        <f>AVERAGE(C6:C35)</f>
        <v>40.273333333333341</v>
      </c>
      <c r="D210" s="25">
        <f t="shared" ref="D210:Q210" si="1">AVERAGE(D6:D35)</f>
        <v>473.09566666666672</v>
      </c>
      <c r="E210" s="25">
        <f t="shared" si="1"/>
        <v>188.381</v>
      </c>
      <c r="F210" s="25">
        <f t="shared" si="1"/>
        <v>27.762666666666671</v>
      </c>
      <c r="G210" s="25">
        <f t="shared" si="1"/>
        <v>406.85566666666665</v>
      </c>
      <c r="H210" s="25">
        <f t="shared" si="1"/>
        <v>21.022333333333339</v>
      </c>
      <c r="I210" s="25">
        <f t="shared" si="1"/>
        <v>67.771333333333331</v>
      </c>
      <c r="J210" s="25">
        <f t="shared" si="1"/>
        <v>97.013166666666663</v>
      </c>
      <c r="K210" s="25">
        <f t="shared" si="1"/>
        <v>63.383333333333326</v>
      </c>
      <c r="L210" s="25">
        <f t="shared" si="1"/>
        <v>54.20333333333334</v>
      </c>
      <c r="M210" s="25">
        <f t="shared" si="1"/>
        <v>64.154000000000011</v>
      </c>
      <c r="N210" s="25">
        <f t="shared" si="1"/>
        <v>132.08666666666667</v>
      </c>
      <c r="O210" s="25">
        <f t="shared" si="1"/>
        <v>48.670166666666667</v>
      </c>
      <c r="P210" s="25">
        <f t="shared" si="1"/>
        <v>195.64566666666667</v>
      </c>
      <c r="Q210" s="25">
        <f t="shared" si="1"/>
        <v>23.088333333333335</v>
      </c>
    </row>
    <row r="211" spans="2:17" x14ac:dyDescent="0.3">
      <c r="B211" t="s">
        <v>178</v>
      </c>
      <c r="C211" s="25">
        <f>AVERAGE(C6:C65)</f>
        <v>40.026166666666676</v>
      </c>
      <c r="D211" s="25">
        <f t="shared" ref="D211:Q211" si="2">AVERAGE(D6:D65)</f>
        <v>458.0931666666666</v>
      </c>
      <c r="E211" s="25">
        <f t="shared" si="2"/>
        <v>186.64450000000008</v>
      </c>
      <c r="F211" s="25">
        <f t="shared" si="2"/>
        <v>28.646999999999998</v>
      </c>
      <c r="G211" s="25">
        <f t="shared" si="2"/>
        <v>392.03483333333332</v>
      </c>
      <c r="H211" s="25">
        <f t="shared" si="2"/>
        <v>21.54183333333334</v>
      </c>
      <c r="I211" s="25">
        <f t="shared" si="2"/>
        <v>69.770500000000027</v>
      </c>
      <c r="J211" s="25">
        <f t="shared" si="2"/>
        <v>93.210999999999999</v>
      </c>
      <c r="K211" s="25">
        <f t="shared" si="2"/>
        <v>61.466499999999996</v>
      </c>
      <c r="L211" s="25">
        <f t="shared" si="2"/>
        <v>52.787333333333329</v>
      </c>
      <c r="M211" s="25">
        <f t="shared" si="2"/>
        <v>62.696999999999981</v>
      </c>
      <c r="N211" s="25">
        <f t="shared" si="2"/>
        <v>128.04833333333337</v>
      </c>
      <c r="O211" s="25">
        <f t="shared" si="2"/>
        <v>46.792000000000002</v>
      </c>
      <c r="P211" s="25">
        <f t="shared" si="2"/>
        <v>185.31383333333335</v>
      </c>
      <c r="Q211" s="25">
        <f t="shared" si="2"/>
        <v>24.397333333333329</v>
      </c>
    </row>
    <row r="212" spans="2:17" x14ac:dyDescent="0.3">
      <c r="B212" t="s">
        <v>179</v>
      </c>
      <c r="C212" s="25">
        <f>AVERAGE(C6:C206)</f>
        <v>40.243532338308469</v>
      </c>
      <c r="D212" s="25">
        <f t="shared" ref="D212:Q212" si="3">AVERAGE(D6:D206)</f>
        <v>439.87308457711447</v>
      </c>
      <c r="E212" s="25">
        <f t="shared" si="3"/>
        <v>182.35845771144281</v>
      </c>
      <c r="F212" s="25">
        <f t="shared" si="3"/>
        <v>28.602686567164184</v>
      </c>
      <c r="G212" s="25">
        <f t="shared" si="3"/>
        <v>366.36537313432837</v>
      </c>
      <c r="H212" s="25">
        <f t="shared" si="3"/>
        <v>21.442238805970142</v>
      </c>
      <c r="I212" s="25">
        <f t="shared" si="3"/>
        <v>70.309203980099497</v>
      </c>
      <c r="J212" s="25">
        <f t="shared" si="3"/>
        <v>96.543980099502505</v>
      </c>
      <c r="K212" s="25">
        <f t="shared" si="3"/>
        <v>61.115771144278582</v>
      </c>
      <c r="L212" s="25">
        <f t="shared" si="3"/>
        <v>51.588034825870615</v>
      </c>
      <c r="M212" s="25">
        <f t="shared" si="3"/>
        <v>61.354825870646735</v>
      </c>
      <c r="N212" s="25">
        <f t="shared" si="3"/>
        <v>123.85990049751246</v>
      </c>
      <c r="O212" s="25">
        <f t="shared" si="3"/>
        <v>44.171119402985106</v>
      </c>
      <c r="P212" s="25">
        <f t="shared" si="3"/>
        <v>182.70641791044773</v>
      </c>
      <c r="Q212" s="25">
        <f t="shared" si="3"/>
        <v>26.633233830845761</v>
      </c>
    </row>
    <row r="213" spans="2:17" x14ac:dyDescent="0.3">
      <c r="B213" t="s">
        <v>180</v>
      </c>
      <c r="C213" s="25">
        <f>C209/C210</f>
        <v>0.98179109418970345</v>
      </c>
      <c r="D213" s="25">
        <f t="shared" ref="D213:Q213" si="4">D209/D210</f>
        <v>1.0248667112430396</v>
      </c>
      <c r="E213" s="25">
        <f t="shared" si="4"/>
        <v>0.99771208349037321</v>
      </c>
      <c r="F213" s="25">
        <f t="shared" si="4"/>
        <v>1.0006243396407644</v>
      </c>
      <c r="G213" s="25">
        <f t="shared" si="4"/>
        <v>1.0408605181034716</v>
      </c>
      <c r="H213" s="25">
        <f t="shared" si="4"/>
        <v>1.015110913790096</v>
      </c>
      <c r="I213" s="25">
        <f t="shared" si="4"/>
        <v>1.0278682235360084</v>
      </c>
      <c r="J213" s="25">
        <f t="shared" si="4"/>
        <v>0.96790985416068964</v>
      </c>
      <c r="K213" s="25">
        <f t="shared" si="4"/>
        <v>0.98527478306600069</v>
      </c>
      <c r="L213" s="25">
        <f t="shared" si="4"/>
        <v>0.99145194022507832</v>
      </c>
      <c r="M213" s="25">
        <f t="shared" si="4"/>
        <v>1.0301773856657417</v>
      </c>
      <c r="N213" s="25">
        <f t="shared" si="4"/>
        <v>1.0153182254075608</v>
      </c>
      <c r="O213" s="25">
        <f t="shared" si="4"/>
        <v>1.0002020402642275</v>
      </c>
      <c r="P213" s="25">
        <f t="shared" si="4"/>
        <v>1.0016577588395348</v>
      </c>
      <c r="Q213" s="25">
        <f t="shared" si="4"/>
        <v>0.95762650689381357</v>
      </c>
    </row>
    <row r="214" spans="2:17" x14ac:dyDescent="0.3">
      <c r="B214" t="s">
        <v>181</v>
      </c>
      <c r="C214" s="25">
        <f t="shared" ref="C214:Q215" si="5">C210/C211</f>
        <v>1.0061751271043524</v>
      </c>
      <c r="D214" s="25">
        <f t="shared" si="5"/>
        <v>1.0327498882141517</v>
      </c>
      <c r="E214" s="25">
        <f t="shared" si="5"/>
        <v>1.0093037833957064</v>
      </c>
      <c r="F214" s="25">
        <f t="shared" si="5"/>
        <v>0.96912998452426691</v>
      </c>
      <c r="G214" s="25">
        <f t="shared" si="5"/>
        <v>1.0378048889363147</v>
      </c>
      <c r="H214" s="25">
        <f t="shared" si="5"/>
        <v>0.97588413242450733</v>
      </c>
      <c r="I214" s="25">
        <f t="shared" si="5"/>
        <v>0.97134653375471447</v>
      </c>
      <c r="J214" s="25">
        <f t="shared" si="5"/>
        <v>1.0407909653009479</v>
      </c>
      <c r="K214" s="25">
        <f t="shared" si="5"/>
        <v>1.0311850086361405</v>
      </c>
      <c r="L214" s="25">
        <f t="shared" si="5"/>
        <v>1.0268246170167088</v>
      </c>
      <c r="M214" s="25">
        <f t="shared" si="5"/>
        <v>1.0232387514554131</v>
      </c>
      <c r="N214" s="25">
        <f t="shared" si="5"/>
        <v>1.0315375704486585</v>
      </c>
      <c r="O214" s="25">
        <f t="shared" si="5"/>
        <v>1.0401386276856441</v>
      </c>
      <c r="P214" s="25">
        <f t="shared" si="5"/>
        <v>1.055753168274</v>
      </c>
      <c r="Q214" s="25">
        <f t="shared" si="5"/>
        <v>0.94634659525631237</v>
      </c>
    </row>
    <row r="215" spans="2:17" x14ac:dyDescent="0.3">
      <c r="B215" t="s">
        <v>182</v>
      </c>
      <c r="C215" s="25">
        <f t="shared" si="5"/>
        <v>0.99459874272927873</v>
      </c>
      <c r="D215" s="25">
        <f t="shared" si="5"/>
        <v>1.0414212251860524</v>
      </c>
      <c r="E215" s="25">
        <f t="shared" si="5"/>
        <v>1.0235033918489229</v>
      </c>
      <c r="F215" s="25">
        <f t="shared" si="5"/>
        <v>1.0015492751959421</v>
      </c>
      <c r="G215" s="25">
        <f t="shared" si="5"/>
        <v>1.0700651919677824</v>
      </c>
      <c r="H215" s="25">
        <f t="shared" si="5"/>
        <v>1.0046447821174096</v>
      </c>
      <c r="I215" s="25">
        <f t="shared" si="5"/>
        <v>0.99233807311697131</v>
      </c>
      <c r="J215" s="25">
        <f t="shared" si="5"/>
        <v>0.96547708002024168</v>
      </c>
      <c r="K215" s="25">
        <f t="shared" si="5"/>
        <v>1.0057387618474687</v>
      </c>
      <c r="L215" s="25">
        <f t="shared" si="5"/>
        <v>1.0232476098674974</v>
      </c>
      <c r="M215" s="25">
        <f t="shared" si="5"/>
        <v>1.021875608158076</v>
      </c>
      <c r="N215" s="25">
        <f t="shared" si="5"/>
        <v>1.0338158905262889</v>
      </c>
      <c r="O215" s="25">
        <f t="shared" si="5"/>
        <v>1.059334710834559</v>
      </c>
      <c r="P215" s="25">
        <f t="shared" si="5"/>
        <v>1.0142710664064556</v>
      </c>
      <c r="Q215" s="25">
        <f t="shared" si="5"/>
        <v>0.91604847868970074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6063352"><![CDATA[{"FXI^P_PRICE(0,-200D)":[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,27.49,28.35,27.9,28.05,28.44,28.74,29.04,27.79,28.54,28.24,28.44,28.89,28.67,28.3,27.56,27.69,28.22,28.33,28.19,27.8,27.35,28.11,28.4,28.82,29.01,29.37,29.49,28.71,29.07,28.41,29.21,29.19,29.29,28.93],"VGK^P_PRICE(0,-200D)":[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,61.97,62.89,62.97,62.51,62.63,62.36,63.02,62.55,62.72,62.99,63.07,63.57,63.56,62.62,62.94,62.74,63.48,63.47,63.38,62.65,62.6,63.67,63.41,62.94,63.03,63.17,62.74,63.04,63.14,62.3,61.81,61.57,61.57,61.05],"GLD^P_PRICE(0,-200D)":[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,183.43,183.21,183.64,181.84,184.23,184.87,187.21,186.81,187.13,188.75,189.02,187.69,187.46,190.44,189.11,187.52,183.97,184.8,184.75,184.74,185.75,184.81,184.25,186.09,185.36,186.25,185.53,186.36,189.72,187.19,186.28,185.11,186.49,187.83],"EWD^P_PRICE_RETURNS_PR('52W',2,-10AY,0,AM)":[21.684944,14.2293215,16.925632,19.48273,15.851461,24.968874,9.528196,6.42637,-0.57570934,-5.551547,2.028811,-4.124421,-9.582895,-0.3734827,-1.1660397,-1.1319339,-3.7867188,-2.0143926,-3.8737655,-8.551968,-10.463166,-1.0473788,-6.19961,-4.1435122,-11.135369,-15.996557,-12.58542,-7.818079,-13.628107,-9.904337,-10.965061,-0.39029717,4.7005296,-1.0098636,-4.186207,-0.123399496,13.041449,15.979898,12.926065,6.1112165,23.068678,17.790068,26.376045,20.709753,25.11276,30.060911,27.906895,24.02674,27.06524,15.85598,7.7659607,12.232601,2.1135092,-1.7251849,-2.8701782,-2.4049222,-1.4743268,-13.522827,-13.542676,-16.03073,-16.273827,-8.583999,-3.702575,0.26009083,-7.7661276,3.3981323,0.04851818,-9.382618,-7.436365,9.7390175,14.6605015,27.246643,18.098557,17.627144,-25.86326,-16.03179,-3.2004535,3.7590623,15.492237,25.65111,16.964663,18.484318,24.841415,21.088945,28.279709,29.137146,107.77383,83.67765,72.496056,52.15583,43.07786,40.65864,42.232548,38.644386,23.184072,21.19168,5.8457613,-5.7659626,-6.5183935,-14.718431,-21.499031,-29.67559,-27.850538,-30.635803,-39.55008,-37.448647,-23.492682,-26.43826,-12.022537,-3.7545204,-10.42775,-1.7357349,2.3831606,12.560153,10.412931,6.774652,17.665636,11.900234,9.580862,25.088846,4.744637],"DBA^P_PRICE_RETURNS_PR('52W',2,-10AY,0,AM)":[-12.4142885,1.2542725,6.5009594,14.190769,10.883284,9.881425,6.519997,4.937279,-0.31758547,1.1709571,3.4219027,2.9209018,-3.2550514,-13.738739,-18.348295,-23.724747,-21.198154,-20.143879,-17.23619,-19.435852,-17.60255,-18.711424,-19.268204,-19.274734,-15.17067,-13.0113125,-7.739669,-6.7181168,-6.1178503,-0.45045018,-6.453067,0.67145824,-1.063323,-4.8334064,-2.2179306,-3.5644531,3.6761165,2.451229,-3.956151,-8.055282,-4.072833,-13.800907,-2.8943598,-11.958075,-7.295722,-6.0650945,-5.6129932,-7.1608663,-10.781026,-6.7382755,-6.352353,-2.5920153,-3.64635,-3.955698,-13.164431,-8.062768,-10.388243,-7.296586,-10.485136,-7.958847,-6.7541304,-11.040324,-10.14365,-11.47027,-15.598637,-7.63427,-4.2574406,-11.132425,-8.1096945,-9.124679,-6.0314713,-1.8087327,-2.9712439,-3.0329764,-13.085908,-16.315502,-15.0762615,-17.238873,-15.778047,-3.6760986,-4.370695,-4.431409,-1.7136216,-2.9520333,-1.4589787,8.766437,17.782425,34.29203,35.519527,32.592594,37.144947,32.610226,28.590965,27.211798,30.94777,26.299118,22.343658,23.200916,31.616343,23.64341,22.022842,15.418995,2.00845,8.44326,7.7659607,5.5818796,-2.1171868,1.8516302,-3.3498347,-3.4542441,-11.127395,-6.932086,-7.1226597,4.7219157,12.846434,4.548967,6.327045,9.912777,11.1132145,8.733249,15.144849],"VWO^JULIAN(P_PRICE_RETURNS_PR('52W',2,-10AY,0,AM).DATES)":[41662,41691,41719,41752,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],"VGK^FG_TOTAL_RETURNC(-10AY,0,AM)":[2.90941,0.82952976,-2.1828473,3.8099885,1.4098644,1.6716361,-2.247703,-3.1144202,-1.3277471,-5.6803885,3.3949494,-2.2438705,-0.9193182,5.4156303,0.80833435,1.251483,2.3008823,-0.48442483,-2.41068,-6.766784,-4.7351003,7.8051567,-3.3219457,-0.08389354,-8.701658,-1.6857564,5.8528304,4.0935636,-2.7287304,5.5211782,-5.684084,4.0812016,-0.18393397,-2.742529,-3.829968,4.610622,3.3207178,1.7697334,3.0540228,0.31200647,9.447897,-0.9259403,2.5090933,-0.14189482,3.7862062,0.017178059,-0.068718195,1.6405344,7.090628,-4.842806,-4.555315,5.1513433,-0.71834326,-2.5919616,0.7220864,-1.801014,2.1723628,-9.234577,-2.1781027,-5.674881,7.1593165,4.258251,0.92226267,4.2125225,-4.2476597,4.7121286,0.3289461,-6.0837865,4.8875093,2.6848435,1.6304255,4.1912675,0.58499575,-0.7013321,-35.666157,18.92184,5.1223993,11.3385315,4.1333556,0.7302046,-3.702402,3.882742,7.531309,5.009091,3.2145262,0.82297325,0.043141842,6.9408655,2.6141882,-0.03566742,0.4441738,2.343762,-0.6549895,0.43751,-1.8005013,1.0351062,-2.3806036,-4.256284,-2.2021532,-1.8158197,-3.385079,-8.742678,1.8907547,-0.56232214,-11.950075,4.171157,15.789473,-0.12130737,9.185696,-0.46098828,-2.4555802,7.9135537,-2.270931,-1.1146009,5.3488374,-4.7303677,-2.4711668,-4.380435,8.770061,5.8071733,-2.574098],"GLD^FG_TOTAL_RETURNC(-10AY,0,AM)":[5.3820252,4.7540903,0.69760084,-3.666222,0.60601234,1.8793583,-0.96964836,-1.9344032,-4.5377073,0.78231096,-2.6409029999999998,-2.296561,10.191595,-7.0836363,-0.9876132,0.32373667,0.8198142,-2.3442924,-7.5825987,6.51778,-2.6185513,3.0308604,-8.286995,0.04888773,2.6292682,11.638093,-0.5203903,1.0976791,1.255405,0.61992407,5.195236,1.1159539,-0.08609891,-5.342734,-6.2732754,-4.697573,7.2824955,2.7204394,-0.22701025,3.0673265,-2.591771,0.24341345,-0.14234185,2.8592944,0.4646659,-1.1684477,0.68143606,-1.378125,5.2422643,-0.8956611,1.1653781,-1.5594363,-2.451843,-1.7953336,-3.6064446,-3.2758653,1.1497378,2.555287,-0.5326927,2.5481582,2.1563292,3.4795523,-1.2191236,-3.1055868,0.87412596,8.921349,1.2956619,7.839024,-0.29132366,-2.2400022,-1.9853354,1.6044617,5.1232576,5.1522613,-5.429858,11.647296,-0.07958412,2.0035505,6.4271927,2.7373314,-3.9773703,2.202642,-3.5882235,1.9857168,-0.9962976,-2.748704,-4.322374,2.8366566,5.7932734,-5.6237164,1.4566064,0.10085106,-3.0937016,2.6053548,-0.29206872,1.0102868,1.2546539,4.2083144,1.9743085,-0.8360386,-4.1377726,-1.4870167,-5.6325617,1.3070345,-5.9961977,0.74504614,5.793059,2.5631547,7.395673,-5.600399,9.535885,-0.80220103,-0.44505,-2.851224,2.2334456,-2.3548126,0.41036606,2.4353385,0.86898804,3.0938506,-1.2193263],"IWM^P_PRICE(0,-200D)":[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,177.42,178.26,176.11,177.19,176.12,172.28,174.83,172.72,173.07,174.41,173.53,174.05,174.45,170.4,172.33,171.7,175.3,175.2,173.68,171.39,173.06,177.44,177.56,177.33,178.25,178.02,178.78,176.51,178.17,175.84,177.14,175.75,173.89,173.63],"TLT^P_PRICE(0,-200D)":[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,101.03,100.74,101.1,101.82,102.58,102.88,103.19,104.27,105.15,104.05,103.05,103.42,104.89,105.24,106.29,105.7,103.13,106.46,104.77,105.82,106.96,105.41,104.4,104.99,104.1,104.2,103.83,105.08,106.05,106.89,107.0,106.78,108.53,108.25],"SPY^P_PRICE(0,-200D)":[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,414.09,418.79,418.62,419.23,415.23,410.25,413.01,411.59,412.13,412.85,410.93,412.74,412.63,405.13,408.02,410.84,415.51,415.93,412.41,404.36,406.08,412.63,412.2,411.88,414.14,414.21,413.94,412.46,413.47,408.05,409.72,409.61,409.19,407.6],"EWJ^P_PRICE_RETURNS_PR('52W',2,-10AY,0,AM)":[23.822212,16.793251,2.5809765,-1.5316725,-0.8357346,9.942066,2.9537797,8.627868,0.11128187,-4.3673697,-3.030312,-2.2915542,-2.1388173,7.8762054,19.800926,20.658756,19.233822,10.5752945,7.0868373,0.3383875,-2.0793736,12.719309,9.133255,8.014607,-0.6124675,-10.5719385,-10.16959,-6.850499,-11.799497,-8.550954,-6.5129223,5.4452777,12.471951,4.2645335,0.86040497,3.388548,14.079094,21.537518,15.079821,8.24399,16.981184,16.306437,16.874718,11.982417,10.065115,16.770245,21.51221,22.410452,29.335571,21.001387,14.545977,19.333803,15.841699,10.443211,9.148085,6.9542646,10.015631,-2.0783424,-7.876551,-15.558201,-16.48345,-8.613396,-7.392269,-7.0650997,-11.436158,-5.4775896,-4.0303946,-6.492859,-3.6446393,6.1492324,11.60109,22.893547,15.064537,5.9802055,-16.027534,-7.0254564,0.8426547,5.9319496,3.2925248,9.896242,5.6025863,4.1234374,10.919655,11.846315,17.387522,26.893509,56.805027,38.46917,30.689991,20.725119,22.805655,18.559896,25.183308,16.740835,8.700132,4.1419864,-4.4038353,-10.204095,-8.405691,-15.18631,-13.390237,-20.199615,-17.071379,-16.390455,-29.775816,-25.680721,-18.326962,-17.76151,-9.915358,-8.533597,-7.1289244,3.3749938,5.9608817,16.742002,15.514922,10.549116,22.135508,18.744553,14.778948,18.172909,16.995478],"QQQ^P_PRICE_RETURNS_PR('52W',2,-10AY,0,AM)":[32.439865,36.878395,33.09697,26.907433,24.31141,33.773827,32.941185,32.055103,27.154505,21.124792,26.168215,21.04429,19.637882,22.518385,23.05913,27.098703,25.178194,20.679462,16.637957,4.6496034,6.607592,16.540586,11.085808,9.165287,0.7697463,-5.4382744,0.07293224,1.3972163,-2.6982963,-0.7154465,2.0533085,16.100157,14.868212,11.1306305,4.9152136,7.932508,20.19658,29.417587,22.820938,21.033455,32.202755,31.193865,28.643942,22.630596,22.399961,26.29739,32.254017,32.20582,38.675606,30.53162,22.651041,23.187447,22.95121,25.614082,25.60774,27.733791,27.918743,18.182278,3.0473113,-5.809766,-3.524077,5.8059216,10.636198,18.579351,6.0159326,8.022345,8.872307,1.5864134,4.8172355,11.935449,26.985764,45.137,39.647175,35.27831,-3.720951,11.564291,27.953518,33.317493,34.21054,50.632786,39.70388,49.240364,44.954716,46.545887,46.398224,40.606056,87.25789,62.23557,43.77197,40.536953,43.516994,33.16307,41.95019,32.34627,37.61035,29.40756,8.28104,2.963984,11.44526,-2.455479,-9.820711,-17.630785,-16.56388,-15.375775,-25.674646,-26.54382,-26.886576,-32.1465,-17.233128,-9.234243,-11.286574,-4.52404,14.457917,28.18364,23.077179,18.35339,28.66311,30.01653,37.337173,54.06289,47.56292],"URTH^FG_TOTAL_RETURNC(-10AY,0,AM)":[0.30412674,0.94571114,0.10726452,1.7359734,0.93392134,3.0471563,1.0496736,-1.4626145,-0.74203014,-2.644837,4.3521643,-0.17235875,-2.0678222,4.7015667,0.95442533,0.27980804,1.8209815,-1.4101863,-1.1980653,-7.100141,-2.2753775,6.791055,-0.2236247,-0.3113389,-8.821022,-0.062316656,6.578338,4.4171333,-2.7594924,4.1591644,0.23789406,2.1499395,-0.9430051,-1.1451483,0.6001353,3.119707,1.4540076,3.4020782,0.2461195,0.24938583,3.7469506,1.1354208,1.6879797,-0.46380758,2.808082,2.2065878,0.93358755,2.8191924,5.8229327,-3.528905,-5.225712,3.4842849,1.5304327,-0.0075936317,1.2090445,0.7803917,2.4715066,-7.254052,-2.9257536,-7.312107,8.329797,5.795002,0.2282381,4.4062376,-3.7186444,4.4750333,1.9011021,-5.618471,5.3702116,1.1060476,2.9279351,3.5731316,2.2847295,0.15883446,-33.20448,23.059797,5.462432,7.8664064,3.3832908,4.173565,-4.0162983,5.996883,5.0029397,4.1635036,3.7973523,1.39575,0.034201145,6.1709404,-0.03220439,1.797092,3.005898,1.3468504,-0.0916481,1.4754295,1.6498327,0.3847003,-6.111479,-3.4630358,3.8335204,-4.3560686,-5.562907,-5.675703,3.856957,3.416264,-10.755688,1.8458843,9.369016,-3.3431947,5.7200193,-0.45807958,-1.8060267,5.42047,-0.1593709,3.3147812,4.6062946,-3.053373,-1.8945873,-3.028798,8.280849,4.955089,1.2686014],"TLT^FG_TOTAL_RETURNC(-10AY,0,AM)":[3.357172,0.13940334,1.7074585,2.7886748,1.812315,-0.8518934,3.6153793,2.0984054,-1.3402283,3.8481832,0.66285133,3.0984282,9.32014,-4.8380556,2.8291345,-2.1430612,-5.9401217,-3.4858346,4.6661377,4.6111226,-3.455609,1.3837576,-1.7174244,0.68160295,3.4692764,5.0902963,-1.315546,-0.66756606,1.8272996,1.5800238,5.1591754,1.0725021,-2.1146715,-2.3894608,-9.331572,-1.6900599,2.617526,-0.17123222,0.01308918,2.7799726,-0.6007135,4.4970393,-1.4320016,1.4992356,-0.65868497,-1.3849199,2.5910974,-1.4679134,-0.8495629,-4.3091655,1.930654,-1.1873305,-0.24386644,2.4344802,-0.8211851,2.5613308,-3.8380265,-2.4971247,1.3157368,5.3354025,-0.33134818,1.2684703,2.9255033,-1.6144753,4.3785334,3.1545997,0.036656857,11.450111,-2.6372135,-1.5060723,0.47639608,-2.1406353,3.2905817,5.2122355,12.298846,2.8210044,-2.7440012,-2.441001,5.3621054,-1.981777,-0.9183943,-3.8400412,1.8554449,-2.3473918,-3.0573785,-6.5486193,-2.9009104,2.0063162,-1.5623152,4.217744,3.7852526,1.4353275,-1.2637556,-2.728802,0.38557053,3.0219078,-3.292483,-4.7057924,-3.6640942,-8.613807,-2.6901782,-1.901406,4.0671945,-5.3236246,-5.4554405,-11.64707,11.088789,-0.5881667,3.4651518,-2.970171,4.2666316,-1.6323209,-2.976489,2.5473714,-1.2805939,-5.8213053,-4.010707,-7.5671616,8.233273,9.0466385,-4.6458483],"INDA^P_PRICE(0,-200D)":[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,41.13,41.26,40.88,40.93,41.23,41.29,41.66,41.32,41.46,41.71,41.47,41.53,41.4,41.26,40.92,41.06,41.12,41.12,40.75,40.26,40.01,40.19,39.88,39.86,39.81,39.94,40.02,40.16,40.35,40.2,40.07,39.93,39.95,39.69],"USO^P_PRICE(0,-200D)":[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,64.87,63.91,63.9,64.04,64.6,62.54,62.99,62.07,63.25,64.39,64.87,64.26,63.03,60.7,60.31,63.05,66.55,67.5,65.81,65.36,67.62,69.25,68.21,67.6,69.3,70.73,70.84,72.09,71.8,72.43,71.07,69.76,70.26,70.24],"VWO^P_PRICE(0,-200D)":[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,39.55,40.15,39.89,39.91,40.16,40.02,40.3,39.61,40.06,40.22,40.21,40.46,40.45,40.02,39.68,39.69,40.11,40.24,40.0,39.49,39.22,39.9,39.95,40.33,40.38,40.8,40.88,40.66,40.88,40.39,40.7,40.4,40.49,40.25],"EMXC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-0.61909556,-2.4651408,-2.6816785,-10.692674,-12.150103,-12.289429,-13.760692,-8.561956,-8.294696,-4.2743025,-7.5494947,5.398011,3.1381845,-5.5583596,-0.8408308,10.491455,8.981001,17.33042,11.037183,3.4903288,-33.121883,-22.157187,-13.990545,-9.499371,-5.656701,3.8756967,-2.4018526,0.7045388,8.956802,10.061407,17.626345,24.845182,87.87893,63.627552,54.617607,44.791042,36.324215,32.069553,39.020515,30.062819,18.069065,10.965288,0.6865263,1.1755586,0.54496527,-6.0792685,-10.313148,-21.509773,-19.164007,-14.567577,-24.598915,-22.78676,-16.862661,-18.65226,-12.471592,-15.228552,-13.177413,-9.46669,-2.9291391,10.986603,12.068605,4.9673676,9.664583,7.616496,9.255468,16.501831,6.5093517],"URTH^P_PRICE(0,-200D)":[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,119.03,120.47,120.39,120.33,119.56,118.43,119.46,118.75,118.92,119.2,118.91,119.4,119.35,117.29,117.86,118.37,119.67,119.79,119.18,117.11,117.49,119.36,119.22,118.97,119.44,119.62,119.31,119.14,119.42,117.84,117.94,117.79,117.68,117.26],"DBA^P_PRICE(0,-200D)":[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,20.74,20.76,20.78,20.7,20.78,20.94,21.09,20.83,20.78,21.03,20.96,20.91,21.03,20.7,20.6,20.54,20.73,20.95,20.98,21.02,20.99,21.06,20.94,21.08,21.11,21.3,21.2,20.91,20.87,20.77,20.84,20.7,20.65,20.45],"VWO^JULIAN(P_PRICE(0,-200D).DATES)":[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,45058,45057,45056,45055,45054,45051,45050,45049,45048,45047,45044,45043,45042,45041,45040,45037,45036,45035,45034,45033,45030,45029,45028,45027,45026,45022,45021],"VGK^P_PRICE_RETURNS_PR('52W',2,-10AY,0,AM)":[21.683157,25.290812,21.541203,24.89084,21.152449,31.005264,19.157553,12.522137,6.6841364,-3.3240557,0.7521987,-3.2160342,-6.8168583,-2.5785327,0.4005432,-2.0739317,-1.1971772,-3.3083916,-3.4696043,-7.625002,-10.316306,2.506411,-4.152751,-2.0349562,-10.239565,-15.810776,-11.597908,-8.615101,-13.584781,-8.369774,-11.730761,-1.1394322,3.5835147,-4.83498,-7.0421877,-2.6746154,10.14142,14.012587,10.998022,6.751454,20.355844,13.002359,22.896778,17.83545,21.576763,25.998915,29.988134,27.719557,31.85109,23.284006,14.1809225,19.689333,8.571792,7.116103,4.8851967,3.1425476,1.8361807,-7.853776,-9.798837,-16.20543,-16.237228,-7.5627146,-3.5492241,-3.825456,-7.244319,1.0366678,-0.678277,-5.010027,-2.485752,10.319937,13.652098,26.603485,18.836248,13.589406,-27.850311,-17.666578,-10.684133,-3.8895726,-0.24513602,5.518985,-1.7698288,-0.62389374,5.146098,5.971396,8.297146,10.411013,71.696,54.3982,50.519573,35.31754,30.523563,32.614372,36.811066,33.496212,20.794773,16.223394,9.130621,4.385376,2.0426273,-5.3890586,-11.790329,-19.4735,-17.609383,-20.633268,-29.65691,-26.690727,-13.973403,-14.958036,-4.88196,-1.1114597,-1.367718,6.7317724,9.656179,18.82217,22.30469,17.705286,25.182093,19.67386,13.695765,19.478394,6.26508],"GLD^P_PRICE_RETURNS_PR('52W',2,-10AY,0,AM)":[-25.378353,-16.406757,-17.777098,-9.585041,-7.5031576,1.4394164,-3.153193,-7.2434244,-7.800865,-7.9027176,-3.7935674,-2.4487317,2.0034552,-9.523439,-11.037594,-7.3529425,-7.2752056,-11.005121,-16.947937,-9.562177,-7.9761863,-5.923051,-11.378801,-9.251374,-16.154278,1.5507221,2.0299196,3.566718,3.2612443,6.395602,20.562971,14.964461,17.95417,8.144629,10.74711,5.4931164,10.276186,1.4673233,1.7665744,2.420032,-0.19268394,-0.56614876,-6.3157916,-3.984034,-3.3942163,0.8027792,6.1364055,12.40822,9.923136,6.0534716,7.5335026,2.7062416,2.853787,1.1940837,-2.7335227,-8.535093,-7.4910345,-4.4417086,-5.594063,-1.321584,-4.714018,-0.6334126,-1.5954912,-4.378283,-1.1180043,9.937525,15.250004,28.493763,26.663149,20.740616,18.884861,17.882406,21.30606,23.710514,18.012428,35.98068,35.73687,26.14032,32.530476,28.40717,21.593035,27.118767,25.039923,25.509108,18.46856,9.32126,10.601497,1.8733859,8.499229,-0.20422935,-4.8651037,-7.3064923,-6.4534607,-6.1846437,-2.8740644,-3.8030148,-2.3904622,5.422187,12.36018,7.932234,-1.8234432,2.4798274,-4.9795985,-3.5322666,-6.4216256,-7.556224,-2.5107563,-1.0120153,4.9915314,-4.8909006,2.1615982,1.2029052,6.133187,4.6634555,13.670671,9.289181,14.720619,18.696081,13.876713,14.098108,4.631734],"EWD^FG_TOTAL_RETURNC(-10AY,0,AM)":[3.491056,-0.8642256,1.0967374,0.11126995,2.8063297,-0.56756735,-2.3652077,-1.8900335,-1.926446,-4.43452,3.2077193,-2.5181174,-2.4010003,9.233225,0.2924919,0.1458168,0.64065456,0.6655097,-4.217929,-6.119913,-4.533416,5.6152463,-2.1660626,-0.38131475,-7.987869,1.5384674,4.3650866,5.530596,-5.633807,5.0055146,-5.0515532,4.7050357,0.34565926,-2.3079574,-3.2087445,3.8428307,4.140353,4.177892,1.617074,-0.31827092,8.876109,0.50166845,2.2381425,-0.35026073,4.686594,0.89535713,-3.9101481,-0.7771075,7.256162,-5.0123215,-5.478668,3.8133025,-0.9403467,-3.9403021,1.7453074,0.12706518,5.3299546,-11.144579,-3.9322019,-4.0005503,7.3556423,3.3230543,0.43103695,7.560253,-8.870477,6.5384865,-0.48939586,-9.311474,7.5921893,5.342746,1.0845304,5.790603,-0.36242604,1.8187284,-36.02263,21.82411,7.1428537,11.973059,10.763335,0.66320896,-1.8332839,6.7114115,6.5080643,2.610755,6.2263727,1.8509746,2.9356956,7.695794,1.0508657,-1.6512156,4.1549444,-1.0388553,-0.73483586,3.1091452,-4.533333,0.9511113,-6.960368,-9.579992,2.1137834,-2.9900372,-5.795574,-11.8951025,5.7478786,-3.860414,-13.491803,5.161524,18.46751,-2.9355705,11.272383,-1.0824323,-4.9663305,7.8535557,-3.1480908,-3.137368,4.4353724,-7.6557755,-1.6943932,-3.016317,13.48778,12.98573,-6.593961],"DBA^FG_TOTAL_RETURNC(-10AY,0,AM)":[-1.5415788,9.765137,4.542041,4.8833013,-3.7315905,-1.1379838,-4.2086363,-2.6286125,-3.1623602,3.2258034,-0.88734627,-1.2456179,-7.449746,-2.1294713,-1.0443866,-2.0228624,-0.22442341,-0.13494492,-0.7207215,-5.399275,-0.76738596,1.8366337,-1.5662074,-1.2536168,-1.7089844,-0.6954789,4.9524784,-2.0495713,1.5571833,5.893624,-6.1990976,1.2542248,-2.4773717,-0.9281814,0.0,-2.6134133,5.670893,-1.8687189,-1.6113281,-4.2679844,3.7843466,-4.8451605,5.669296,-8.196717,3.1385303,-0.05246997,0.6299257,-3.9645314,1.1406898,2.5778651,-1.2041867,-0.42395592,2.6609898,-5.5987654,-4.008782,-2.8032005,0.5297184,3.395784,-2.8312564,-0.9324014,2.1316528,-2.4447024,0.0,-1.7899811,-2.12636,2.8553605,-0.060349703,-9.782606,3.9491296,2.2536993,0.94459057,3.0391097,0.9225011,-2.681291,-10.20664,-5.439329,-0.3687322,-0.07402301,1.7037034,4.0786624,2.3093104,2.188778,3.8152695,1.7408133,2.7249694,7.156086,-2.7633905,7.8152776,0.9884715,-2.6644886,5.195534,0.63728094,-0.79156756,0.95745325,7.0073724,-1.8709958,1.1038542,6.2034726,3.87851,0.44984818,0.49260855,-7.9322696,-6.5827727,6.4766884,-1.4111876,-1.0365307,-0.84788203,2.107799,-4.059416,6.0887575,-4.377431,6.510687,-0.9551108,3.8090706,2.2294402,-2.8623402,2.2450924,0.32022,0.6383896,-1.0217011,2.1541476],"VWO^JULIAN(FG_TOTAL_RETURNC(-10AY,0,AM).DATES)":[41662,41691,41719,41752,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],"EWJ^P_PRICE(0,-200D)":[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,60.35,61.23,60.96,60.86,60.85,60.44,60.56,60.2,59.91,59.74,60.04,59.4,59.53,58.74,58.63,58.28,58.77,58.84,59.31,58.36,58.57,58.98,59.01,58.68,58.49,58.96,58.61,58.44,58.88,58.07,57.88,57.69,57.81,58.06],"QQQ^P_PRICE(0,-200D)":[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,333.36,337.64,336.51,337.27,331.12,327.16,326.79,325.03,326.2,325.14,321.64,323.69,322.89,316.17,317.29,319.38,322.19,322.56,320.35,311.87,309.99,315.95,316.61,316.28,318.71,318.86,318.84,318.57,319.17,313.04,315.83,317.87,318.05,315.92],"URTH^P_PRICE_RETURNS_PR('52W',2,-10AY,0,AM)":[18.989658,21.227146,18.018543,18.850649,13.549864,20.521152,17.602169,14.900684,10.703314,6.0213923,7.999146,7.505977,4.963708,8.869076,9.790373,8.21892,9.268832,4.447806,2.1244764,-4.583782,-5.205637,3.9820433,-0.57751536,-0.7159233,-8.1569195,-11.768228,-6.853056,-2.5830925,-7.373172,-2.140659,-0.3675282,9.167123,10.6554985,4.6852946,3.2777905,6.832373,18.871403,22.992146,15.684724,11.520254,18.498838,15.058804,17.000973,13.736653,17.283106,22.045982,22.399569,22.559977,27.35139,18.815088,12.329698,15.954399,13.477087,12.5578165,11.666166,13.062,13.028896,2.2606492,-1.6494334,-11.148805,-9.24015,0.934577,3.5825253,6.197262,0.7069111,5.7233095,5.941081,-0.7854521,2.021122,11.217284,16.982662,31.772732,24.419487,18.453466,-21.499979,-7.4748993,0.16807318,4.6378493,6.159854,14.313423,6.735897,11.899054,14.1549225,14.805614,16.41096,17.942165,76.63235,52.391136,44.48453,36.323666,35.82604,32.140423,37.543488,32.309853,27.47147,22.847116,10.6879,5.794966,9.813082,-0.028818846,-6.548059,-13.408243,-11.874235,-10.910064,-20.41937,-20.074648,-14.063513,-17.25486,-6.827605,-3.927374,-9.145414,-2.3288608,5.8714986,15.962589,15.838659,9.492409,17.69712,14.602936,14.334881,23.826122,18.016232],"TLT^P_PRICE_RETURNS_PR('52W',2,-10AY,0,AM)":[-8.354628,-5.974579,-4.8089147,-6.549448,-0.29343963,6.115484,9.200287,17.383158,12.746811,13.954103,20.355427,22.866047,29.954529,23.495102,24.857044,18.866491,10.403252,6.898153,7.9821825,11.256254,8.26745,5.6981564,3.1988144,0.7796407,-3.2865584,5.33756,1.0917664,3.0579329,11.090016,16.920937,18.935204,13.498068,15.07448,10.03257,2.2084713,-0.199157,-1.0206878,-5.9762535,-4.710346,-1.655978,-3.7541091,-0.99027157,-7.0352674,-6.80418,-5.5077133,-4.4445696,7.7011347,8.585798,4.703748,0.3637433,2.2880316,-1.6602755,-1.3072312,-3.300625,-2.6557028,-1.6370833,-4.5127273,-5.8589697,-7.029271,-0.4743576,-0.09049177,6.6721797,6.68509,6.3034534,11.229253,12.001896,12.9800205,22.771763,24.304867,25.568342,24.658012,15.689874,19.894016,25.305248,35.906994,42.034042,33.830486,25.163115,31.826174,17.061388,17.985332,15.189468,16.77047,16.523754,10.1282835,-2.8622568,-16.00994,-16.67543,-15.155631,-9.906703,-11.25505,-8.161222,-8.481341,-6.8578424,-8.759719,-3.742987,-3.665632,-2.0828724,-2.8524816,-13.171328,-13.9639435,-19.015556,-19.338726,-24.206459,-27.42415,-33.352238,-27.049578,-29.605902,-24.686981,-23.315275,-17.002314,-11.223966,-10.924524,-6.8849564,-10.185003,-12.13426,-10.427189,-6.672168,-7.485175,-1.7207444,-8.0775795],"SPY^P_PRICE_RETURNS_PR('52W',2,-10AY,0,AM)":[24.844086,24.718678,23.05994,21.199953,17.369461,25.561655,19.750023,22.308804,18.78822,13.832259,17.11147,16.039192,14.32358,17.098736,14.983475,14.847636,14.535368,10.374605,7.8862786,1.0070086,-0.24779439,8.608699,3.2042265,1.2313843,-5.635345,-7.047987,-1.1495948,1.3486743,-1.5776515,1.5951395,5.025792,13.222111,13.981509,8.305502,7.849157,11.9133835,21.254147,25.584816,17.55278,14.585662,19.400978,17.679989,16.480946,13.960945,17.179321,22.111916,20.146406,20.995378,27.69643,18.439781,12.362469,15.795267,16.043865,15.245974,15.612912,19.038033,19.214594,8.779216,3.1897545,-8.325476,-5.2395287,5.206275,7.97534,12.013542,5.225706,9.337902,9.207069,1.6537428,4.1731,11.793577,19.68156,35.97728,28.315533,22.481882,-18.508112,-2.7389228,5.576086,8.289289,9.822834,18.43258,10.318971,17.572712,17.213356,16.607285,17.754364,18.410456,77.52148,51.73557,42.98512,37.459816,38.265907,33.72613,39.309193,33.353127,32.834995,29.753077,15.520096,10.35577,15.450454,4.7091246,-3.0755103,-9.264517,-7.977581,-6.4913454,-15.715801,-16.231209,-12.7440815,-17.30991,-7.0396185,-3.5008073,-9.896153,-4.297203,6.106484,16.47594,15.2565365,9.2108135,16.84699,14.121771,15.592897,26.31365,22.877193],"EWJ^FG_TOTAL_RETURNC(-10AY,0,AM)":[-0.5033612,-2.9510915,-5.4735003,2.2977948,2.3360252,6.1457396,1.184094,-1.8930018,-1.1744976,-4.753816,3.6987543,-0.5786419,-0.3478229,6.9808006,4.9755216,3.0303001,0.1508236,-0.60240626,-2.0080864,-7.381505,-4.2785225,9.64067,0.3996849,-1.5977323,-7.986963,-4.074401,5.447829,6.917691,-5.2416086,3.058529,0.25359392,4.384494,2.1001577,-0.55380464,-0.73587894,0.8687973,1.5273333,2.1971464,-0.1549542,-0.17458797,3.16751,2.4640918,0.57353973,0.18395185,1.7811298,4.023087,3.2951832,1.4306426,7.465422,-4.388273,-5.481678,3.9979458,0.14848709,-2.238679,-0.6793499,-1.8296838,4.581082,-7.3117914,-2.821201,-7.460886,6.786144,3.111446,-0.73153377,2.1739125,-4.5618415,3.8248062,1.3404369,-4.348612,7.7666163,2.1093369,2.5477648,1.5272975,-0.016736984,-5.237615,-21.172523,13.127243,4.29703,8.246565,-1.1845887,3.0774713,2.2391915,0.6791115,9.241152,2.3755193,4.8138022,2.556336,-2.5911927,-0.101196766,-1.6931951,0.12601614,0.5183697,-0.4862249,7.9508424,-6.158286,1.7684817,-1.9174039,-3.8427353,-3.6105514,-0.64030886,-8.313197,1.2827277,-7.746041,3.8739085,0.8957863,-9.331399,-1.4988005,12.761211,-1.2383521,5.331385,-2.132082,0.885582,3.599012,2.2708058,1.640451,2.4626493,-3.140521,2.233243,-6.1650457,7.7599525,2.772665,4.358113],"QQQ^FG_TOTAL_RETURNC(-10AY,0,AM)":[1.2241125,1.638782,-0.395751,-2.5168538,3.596127,3.514862,4.781759,1.8749952,-0.0353992,-0.97185373,6.1848283,0.6993294,0.04798174,4.085934,0.043845177,0.6831646,1.2928724,0.5216241,1.2726784,-8.734399,1.9893885,8.254946,1.2147546,-1.041621,-7.8501043,-2.1104336,5.874574,1.6320109,-2.431643,2.5700927,4.486537,3.44038,0.9071708,-0.15211701,0.22852421,1.8043637,2.6206374,5.399263,0.47795773,1.687634,4.9637914,1.7873287,2.0319939,-0.9853542,1.3642788,2.3697376,5.3810716,1.2889504,7.7143073,-0.79051256,-5.588192,2.1323562,4.7624946,3.5942435,2.4184346,0.6905794,1.6095161,-5.5137396,-8.114499,-7.3111,10.20211,6.6234946,3.4671903,6.5804243,-6.3370285,5.7896256,2.995181,-6.047779,4.8410773,0.90289116,4.9994826,5.1715016,6.0337067,2.5290608,-25.81635,23.50111,9.09177,8.537781,3.6851048,9.247696,-6.1470213,7.7907324,1.9842744,6.325972,5.58728,-1.2107432,-1.2028873,6.9983006,-3.6562383,6.4617753,5.8837175,1.3661027,0.046122074,0.3002882,6.249666,-0.011980534,-11.395246,-6.3322783,6.9351673,-7.512146,-9.809458,-2.7584672,6.017196,4.0100694,-12.129617,-0.032663345,4.8652887,-7.2053194,8.078993,2.7201056,4.5172334,2.214682,5.290425,8.902681,3.6106348,-1.7357528,-2.8942108,-0.62585473,9.669065,4.904592,3.7519217],"EMXC^P_PRICE(0,-200D)":[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,50.14,50.61,50.38,50.26,50.22,49.7,50.02,49.57,49.9,50.33,50.2,50.32,50.32,49.67,49.43,49.45,49.75,49.9,49.67,48.97,48.83,49.6,49.53,49.77,49.715,50.23,50.28,50.4,50.64,50.07,49.99,49.55,49.37,49.36],"CPALM-FDS^MAX(FG_PRICE(0,-5AY))":8163.0,"W-FDS^FG_PRICE_CHANGE(0,-3AM)":1.57513835674756,"NI-FDS^MAX(FG_PRICE(0,-5AY))":48241.0,"PLATI-FDS^FG_PRICE_CHANGE(0,-3AM)":0.331858407079655,"COPP-FDS^MAX(FG_PRICE(0,-5AY))":4.929,"TIOS-FDS^FG_PRICE_CHANGE(0,-3AM)":14.3267201350781,"FC0000US^FG_PRICE(0)":365.82245,"FC0000JP^FG_PRICE(0)":171.16547,"FC0000AU^FG_PRICE(0)":343.8447,"EWD^FG_PRICE_MAVG(0,,,,200)":35.09175,"SPY^FG_PRICE_MAVG(0,,,,200)":440.03445,"EWL^FG_PRICE_MAVG(0,,,,200)":45.95275,"EWC^FG_PRICE_MAVG(0,,,,200)":34.58745,"EWI^FG_COMPANY_NAME":"iShares MSCI Italy ETF","EWJ^FG_COMPANY_NAME":"iShares MSCI Japan ETF","EWL^FG_COMPANY_NAME":"iShares MSCI Switzerland ETF","IWM^FG_TOTAL_RETURNC(0,-6AM)":1.6341686,"INDA^P_PRICE(0)/P_PRICE_LOW_PR(0,,,USD,,,\"PRICE\",\"INTRA\",\"52W\")-1":0.28902423,"VGK^P_PRICE(0)/P_PRICE_HIGH_PR(0,,,USD,,,\"PRICE\",\"INTRA\",\"52W\")":0.96202725,"EWD^FG_TOTAL_RETURNC(0,-3AM)":19.769882,"SPY^P_PRICE(0)/P_PRICE_HIGH_PR(0,,,USD,,,\"PRICE\",\"INTRA\",\"52W\")":0.99925804,"EWL^P_PRICE(0)/P_PRICE_LOW_PR(0,,,USD,,,\"PRICE\",\"INTRA\",\"52W\")-1":0.11985564,"EWG^FG_TOTAL_RETURNC(0,-6AM)":-0.85392,"ENZL^P_PRICE(0)/P_PRICE_LOW_PR(0,,,USD,,,\"PRICE\",\"INTRA\",\"52W\")-1":0.12892723,"SPY^FMA_PCT_ABOVE_MAVG(200,0,,,,\"PORTAGG\")":68.5258964143426,"VGK^PERCENT_CHANGE(FMA_EPS(+1,0,,,,\"PORTAGG\",\"MEAN\"),FMA_EPS(+1,-3AM,,,,\"PORTAGG\",\"MEAN\"))":2.13111087902791,"UUP^P_PRICE(0,-200D)":[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,28.37,28.29,28.27,28.35,28.14,28.09,28.02,28.1,27.92,27.74,27.79,27.7,27.66,27.7,27.67,27.82,27.89,27.75,27.71,27.7,27.79,27.66,27.75,27.78,27.78,27.72,27.82,27.68,27.52,27.65,27.8,27.9,27.74,27.72],"CPALM-FDS^FG_PRICE(0)/MAX(FG_PRICE(0,-1AY))":0.907788305985671,"W-FDS^FG_PRICE_CHANGE(0,-1AM)":-3.20486815415821,"NI-FDS^FG_PRICE(0)/MAX(FG_PRICE(0,-1AY))":0.532601463739188,"PLATI-FDS^FG_PRICE_CHANGE(0,-1AM)":-8.10536980749746,"COPP-FDS^FG_PRICE(0)/MAX(FG_PRICE(0,-1AY))":0.882118584485587,"TIOS-FDS^FG_PRICE_CHANGE(0,-1AM)":-0.073789846517136,"EWD^FG_PRICE_MAVG(0,,,,60)":36.270332,"SPY^FG_PRICE_MAVG(0,,,,60)":458.09317,"EWL^FG_PRICE_MAVG(0,,,,60)":45.66,"EWC^FG_PRICE_MAVG(0,,,,60)":34.984165,"EWD^FG_COMPANY_NAME":"iShares MSCI Sweden ETF","EWG^FG_COMPANY_NAME":"iShares MSCI Germany ETF","IWM^FG_TOTAL_RETURNC(0,-3AM)":19.192112,"INDA^P_PRICE(0)/P_PRICE_HIGH_PR(0,,,USD,,,\"PRICE\",\"INTRA\",\"52W\")":0.9697211,"EWJ^FG_TOTAL_RETURNC(0,-3AM)":15.574288,"VGK^FG_TOTAL_RETURNC(0,-6AM)":-0.38306713,"EWN^P_PRICE(0)/P_PRICE_LOW_PR(0,,,USD,,,\"PRICE\",\"INTRA\",\"52W\")-1":0.21851754,"SPY^FG_TOTAL_RETURNC(0,-6AM)":8.047128,"EWG^FG_TOTAL_RETURNC(0,-3AM)":14.127803,"ENZL^P_PRICE(0)/P_PRICE_HIGH_PR(0,,,USD,,,\"PRICE\",\"INTRA\",\"52W\")":0.8682287,"QQQ^PERCENT_CHANGE(FMA_EPS(+1,0,,,,\"PORTAGG\",\"MEAN\"),FMA_EPS(+1,-1AM,,,,\"PORTAGG\",\"MEAN\"))":0.0138182180655791,"EWJ^PERCENT_CHANGE(FMA_EPS(+1,0,,,,\"PORTAGG\",\"MEAN\"),FMA_EPS(+1,-3AM,,,,\"PORTAGG\",\"MEAN\"))":3.70695813063528,"VGK^PERCENT_CHANGE(FMA_EPS(+1,0,,,,\"PORTAGG\",\"MEAN\"),FMA_EPS(+1,-1AM,,,,\"PORTAGG\",\"MEAN\"))":-0.27959135033297,"EWN^FMA_PCT_ABOVE_MAVG(200,0,,,,\"PORTAGG\")":45.2830188679245,"EWG^FMA_PCT_ABOVE_MAVG(200,0,,,,\"PORTAGG\")":50.8474576271186,"FXI^SIZE(FG_CONSTITUENTS)":51,"EMXC^FMA_COS_DOWN(\"EPS\",\"1M\",+1,0,,,\"PORTAGG\",\"MEANR\")":273.0,"URTH^SIZE(FG_CONSTITUENTS)":1484,"VGK^FMA_COS_UP(\"EPS\",\"1M\",+1,0,,,\"PORTAGG\",\"MEANR\")":383.0,"EWQ^SIZE(FG_CONSTITUENTS)":63,"QQQ^FMA_COS_UP(\"EPS\",\"1M\",+1,0,,,\"PORTAGG\",\"MEANR\")":39.0,"EWG^SIZE(FG_CONSTITUENTS)":59,"EWA^FMA_COS_UP(\"EPS\",\"1M\",+1,0,,,\"PORTAGG\",\"MEANR\")":26.0,"EWU^FG_COMPANY_NAME":"iShares MSCI United Kingdom ETF","FXI^FG_TOTAL_RETURNC(0,-6AM)":-17.826832,"EMXC^FG_TOTAL_RETURNC(0,-6AM)":2.2006512,"USO^FG_TOTAL_RETURNC(0,-3AM)":-11.699831,"QQQ^P_PRICE(0)/P_PRICE_HIGH_PR(0,,,USD,,,\"PRICE\",\"INTRA\",\"52W\")":0.9970628,"UUP^FG_TOTAL_RETURNC(0,-3AM)":-0.4593432,"VWO^FG_TOTAL_RETURNC(0,-3AM)":6.7972064,"EWJ^P_PRICE(0)/P_PRICE_LOW_PR(0,,,USD,,,\"PRICE\",\"INTRA\",\"52W\")-1":0.21143794,"DBA^P_PRICE(0)/P_PRICE_HIGH_PR(0,,,USD,,,\"PRICE\",\"INTRA\",\"52W\")":0.9488662,"EWI^P_PRICE_RETURNS_PR('52W',2,-10AY,0,AM)":[15.6317,34.490227,41.124557,43.36375,30.626179,51.27592,33.86668,16.93567,10.7109785,-3.9180338,-0.62915087,-6.280339,-13.612824,-8.418965,-9.615517,-14.112621,-3.1716228,-8.5733529999999991,-5.3614674,-5.003375,-7.4431124,5.8309436,-2.1036446,3.092146,-10.12355,-23.173672,-16.76169,-14.532357,-23.8038,-20.201445,-27.028322,-20.477926,-19.374275,-23.263227,-22.356247,-11.171997,3.9668202,8.663738,8.562696,3.4668326,26.35535,16.185057,36.418987,36.76964,45.06966,40.25172,48.147095,31.971205,41.11754,41.63183,26.813866,39.924576,12.984133,9.498572,3.1917334,-5.5204153,-4.3923974,-14.399367,-16.982126,-18.98328,-21.706373,-13.2368145,-9.347135,-13.572269,-12.694019,0.6480336,1.1945724,-1.5424788,-0.6776273,17.292463,22.958935,29.758953,19.81411,16.861689,-28.792637,-27.052385,-19.51313,-9.412551,-6.121832,-0.7678807,-11.102873,-10.412902,-1.7793834,1.0918021,1.7071605,3.8347602,67.43745,65.2995,63.216187,34.800957,26.188923,31.054592,38.90034,38.00423,19.590927,13.146055,11.726928,5.7786345,-5.4049373,-8.480674,-12.616146,-21.33972,-23.823154,-23.932611,-30.053335,-27.777815,-12.758833,-13.064199,-4.4513645,0.8649349,7.7762246,14.7589445,14.636028,30.077993,47.998833,37.18214,40.31769,34.352337,23.24828,30.55321,15.873396],"CPALM-FDS^FG_PRICE_CHANGE(0,-1AY)":1.1068211068211,"W-FDS^FG_PRICE_MAVG(0,,,,30)":6.0695,"NI-FDS^FG_PRICE_CHANGE(0,-1AY)":-42.0976491862568,"PLATI-FDS^FG_PRICE_MAVG(0,,,,30)":949.2,"COPP-FDS^FG_PRICE_CHANGE(0,-1AY)":-11.5185707569346,"TIOS-FDS^FG_PRICE_MAVG(0,,,,30)":136.89267,"EWD^FG_PRICE_MAVG(0,,,,30)":38.192665,"SPY^FG_PRICE_MAVG(0,,,,30)":473.09567,"EWL^FG_PRICE_MAVG(0,,,,30)":47.313,"EWC^FG_PRICE_MAVG(0,,,,30)":36.122665,"EWN^FG_COMPANY_NAME":"iShares MSCI Netherlands ETF","EWC^FG_COMPANY_NAME":"iShares MSCI Canada ETF","QQQ^P_PRICE(0)/P_PRICE_LOW_PR(0,,,USD,,,\"PRICE\",\"INTRA\",\"52W\")-1":0.5060816,"INDA^FG_TOTAL_RETURNC(0,-6AM)":9.738504,"URTH^P_PRICE(0)/P_PRICE_LOW_PR(0,,,USD,,,\"PRICE\",\"INTRA\",\"52W\")-1":0.2249726,"EWN^P_PRICE(0)/P_PRICE_HIGH_PR(0,,,USD,,,\"PRICE\",\"INTRA\",\"52W\")":0.96952426,"SPY^FG_TOTAL_RETURNC(0,-3AM)":15.784895,"EWL^P_PRICE(0)/P_PRICE_HIGH_PR(0,,,USD,,,\"PRICE\",\"INTRA\",\"52W\")":0.9508531,"EWC^P_PRICE(0)/P_PRICE_LOW_PR(0,,,USD,,,\"PRICE\",\"INTRA\",\"52W\")-1":0.15218079,"ENZL^FG_TOTAL_RETURNC(0,-6AM)":-3.7183404,"QQQ^FMA_PCT_ABOVE_MAVG(200,0,,,,\"PORTAGG\")":80.3921568627451,"VGK^FMA_PCT_ABOVE_MAVG(200,0,,,,\"PORTAGG\")":64.5440251572327,"EWQ^PERCENT_CHANGE(FMA_EPS(+1,0,,,,\"PORTAGG\",\"MEAN\"),FMA_EPS(+1,-3AM,,,,\"PORTAGG\",\"MEAN\"))":-1.42206542985628,"EWU^PERCENT_CHANGE(FMA_EPS(+1,0,,,,\"PORTAGG\",\"MEAN\"),FMA_EPS(+1,-1AM,,,,\"PORTAGG\",\"MEAN\"))":-1.63028060823515,"EWC^PERCENT_CHANGE(FMA_EPS(+1,0,,,,\"PORTAGG\",\"MEAN\"),FMA_EPS(+1,-3AM,,,,\"PORTAGG\",\"MEAN\"))":-2.94301902293941,"FXI^FMA_COS_DOWN(\"EPS\",\"1M\",+1,0,,,\"PORTAGG\",\"MEANR\")":23.0,"EMXC^FMA_COS_UP(\"EPS\",\"1M\",+1,0,,,\"PORTAGG\",\"MEANR\")":227.0,"EWI^SIZE(FG_CONSTITUENTS)":26,"EWU^SIZE(FG_CONSTITUENTS)":84,"ENZL^SIZE(FG_CONSTITUENTS)":16,"FXI^FG_TOTAL_RETURNC(0,-3AM)":-10.113943,"TLT^P_PRICE(0)/P_PRICE_HIGH_PR(0,,,USD,,,\"PRICE\",\"INTRA\",\"52W\")":0.8586949,"INDA^FG_TOTAL_RETURNC(0,-3AM)":11.600184,"VGK^FG_TOTAL_RETURNC(0,-3AM)":12.124073,"FXI^FMA_COS_UP(\"EPS\",\"1M\",+1,0,,,\"PORTAGG\",\"MEANR\")":17.0,"INDA^SIZE(FG_CONSTITUENTS)":133,"URTH^FMA_COS_DOWN(\"EPS\",\"1M\",+1,0,,,\"PORTAGG\",\"MEANR\")":583.0,"EWI^FMA_COS_DOWN(\"EPS\",\"1M\",+1,0,,,\"PORTAGG\",\"MEANR\")":11.0,"EWQ^FMA_COS_DOWN(\"EPS\",\"1M\",+1,0,,,\"PORTAGG\",\"MEANR\")":29.0,"EWU^FMA_COS_DOWN(\"EPS\",\"1M\",+1,0,,,\"PORTAGG\",\"MEANR\")":36.0,"EWG^FMA_COS_DOWN(\"EPS\",\"1M\",+1,0,,,\"PORTAGG\",\"MEANR\")":31.0,"ENZL^FMA_COS_DOWN(\"EPS\",\"1M\",+1,0,,,\"PORTAGG\",\"MEANR\")":1.0,"EMXC^FG_TOTAL_RETURNC(0,-3AM)":11.757016,"VWO^FG_TOTAL_RETURNC(0,-1AM)":-1.7883718,"URTH^FG_TOTAL_RETURNC(0,-3AM)":15.087986,"EWI^P_PRICE(0)/P_PRICE_HIGH_PR(0,,,USD,,,\"PRICE\",\"INTRA\",\"52W\")":0.9644108,"EWN^FG_TOTAL_RETURNC(0,-3AM)":20.905363,"EMXC^FMA_PCT_ABOVE_MAVG(200,0,,,,\"PORTAGG\")":58.4569732937685,"EWL^PERCENT_CHANGE(FMA_EPS(+1,0,,,,\"PORTAGG\",\"MEAN\"),FMA_EPS(+1,-1AM,,,,\"PORTAGG\",\"MEAN\"))":-2.09408622053679,"INDA^FMA_COS_UP(\"EPS\",\"1M\",+1,0,,,\"PORTAGG\",\"MEANR\")":41.0,"TLT^FG_TOTAL_RETURNC(0,-3AM)":12.541485,"OIL^P_PRICE_RETURNS_PR('52W',2,-10AY,0,AM)":[2.8886676,11.614645,11.549759,19.38492,18.403137,21.515549,5.730033,-1.9923091,-4.176414,-10.156054,-14.485634,-36.45485,-46.090855,-44.77958,-47.57437,-42.261703,-42.324757,-44.3133,-53.85349,-59.307156,-54.535465,-50.007057,-50.100204,-43.418797,-42.25181,-47.340332,-33.604557,-37.337856,-34.865387,-32.524086,-29.28505,-6.7055345,-20.238995,-10.045224,-9.548855,13.417398,30.733765,34.046112,0.17902851,-3.6236465,-9.654558,-25.504858,-11.369503,-9.468752,-1.1711121,-8.019143,8.024502,1.5841246,13.389122,11.488092,31.685184,35.092342,41.830063,56.91415,49.27113,44.25268,45.02307,35.426163,-6.2142076,-16.403044,-12.98787,-3.1244934,-5.425948,-2.7104497,-18.730873,-11.2925415,-14.968264,-22.037815,-19.659096,-16.982943,5.68316,32.65661,6.3539743,-4.7937336,-54.76719,-58.909206,-43.568356,-29.253138,-27.54256,-23.356337,-32.37737,-31.307877,-29.514069,-25.786972,-15.754527,5.31168,108.82354,124.23389,76.567635,73.602,69.359886,53.40394,86.40764,105.72097,91.482124,63.361477,71.26783,60.10102,109.68308,80.61674,86.062515,58.400154,50.310123,68.73737,26.880598,23.679817,21.097862,31.111109,18.4492,1.1917233,-25.554996,-12.883067,-19.68137,null,null,null,null,null,null,null,null],"CPALM-FDS^FG_PRICE_CHANGE(0,-6AM)":-1.62784873528675,"W-FDS^FG_PRICE(0)":5.965,"NI-FDS^FG_PRICE_CHANGE(0,-6AM)":-23.0658337337818,"PLATI-FDS^FG_PRICE(0)":907.0,"COPP-FDS^FG_PRICE_CHANGE(0,-6AM)":-1.02550617933211,"TIOS-FDS^FG_PRICE(0)":135.42,"EWD^FG_PRICE(0)":36.83,"SPY^FG_PRICE(0)":484.86,"EWL^FG_PRICE(0)":46.53,"EWC^FG_PRICE(0)":36.19,"EWQ^FG_COMPANY_NAME":"iShares MSCI France ETF","EWA^FG_COMPANY_NAME":"iShares MSCI Australia ETF","URTH^P_PRICE(0)/P_PRICE_HIGH_PR(0,,,USD,,,\"PRICE\",\"INTRA\",\"52W\")":0.9981393,"EWN^FG_TOTAL_RETURNC(0,-6AM)":0.9599447,"EWL^FG_TOTAL_RETURNC(0,-6AM)":-1.876843,"ENZL^FG_TOTAL_RETURNC(0,-3AM)":12.473655,"EMXC^PERCENT_CHANGE(FMA_EPS(+1,0,,,,\"PORTAGG\",\"MEAN\"),FMA_EPS(+1,-3AM,,,,\"PORTAGG\",\"MEAN\"))":0.485963810321842,"EWJ^PERCENT_CHANGE(FMA_EPS(+1,0,,,,\"PORTAGG\",\"MEAN\"),FMA_EPS(+1,-1AM,,,,\"PORTAGG\",\"MEAN\"))":-2.94688985109829,"EWI^PERCENT_CHANGE(FMA_EPS(+1,0,,,,\"PORTAGG\",\"MEAN\"),FMA_EPS(+1,-3AM,,,,\"PORTAGG\",\"MEAN\"))":-0.23026345203514,"EWQ^PERCENT_CHANGE(FMA_EPS(+1,0,,,,\"PORTAGG\",\"MEAN\"),FMA_EPS(+1,-1AM,,,,\"PORTAGG\",\"MEAN\"))":-1.84153225645767,"EWU^FMA_PCT_ABOVE_MAVG(200,0,,,,\"PORTAGG\")":50.6024096385542,"FXI^FG_TOTAL_RETURNC(0,-1AM)":-4.078084,"TLT^FG_TOTAL_RETURNC(0,-6AM)":-5.959618,"USO^FG_TOTAL_RETURNC(0,-1AM)":1.4121413,"QQQ^FG_TOTAL_RETURNC(0,-6AM)":13.184988,"UUP^FG_TOTAL_RETURNC(0,-1AM)":2.3204446,"EWC^FG_TOTAL_RETURNC(0,-6AM)":2.4667382,"EWI^PERCENT_CHANGE(FMA_EPS(+1,0,,,,\"PORTAGG\",\"MEAN\"),FMA_EPS(+1,-1AM,,,,\"PORTAGG\",\"MEAN\"))":-1.75707811783771,"URTH^FMA_COS_UP(\"EPS\",\"1M\",+1,0,,,\"PORTAGG\",\"MEANR\")":535.0,"EWL^SIZE(FG_CONSTITUENTS)":46,"EWJ^FG_TOTAL_RETURNC(0,-6AM)":7.3891044,"UUP^P_PRICE_RETURNS_PR('52W',2,-10AY,0,AM)":[-1.0994017,-3.1503081,-4.8125744,-5.3167877,-5.5408955,-4.2077007,-2.8841853,-0.4085362,3.8248897,6.8351984,7.540679,10.592043,16.767014,16.310406,18.956697,19.887697,17.910444,16.915894,17.911839,13.293743,11.495781,10.867655,10.741687,6.8172336,3.4814,0.958848,-2.427566,-4.494381,-2.3734212,-3.4772217,-1.1760116,-1.4919341,-1.7515957,3.1136274,1.1932254,4.267812,0.11600256,3.2053828,3.3306599,5.303955,1.9448876,4.1407824,-3.030306,-1.1870682,-2.9995918,-4.392159,-7.2330656,-8.844555,-9.106952,-9.807521,-8.962631,-7.429105,-1.695782,-1.2147486,2.8519988,4.987228,4.4409394,4.7748446,6.8252444,6.924975,9.635555,10.864365,10.972584,10.77689,7.7474236,4.9627066,7.025552,5.870199,8.683931,5.4365754,5.346799,4.3767333,5.403614,6.3643217,10.582876,6.175673,4.322636,2.7896643,-1.2732446,-3.767395,-3.1213462,-4.050803,-5.350155,-7.349581,-7.382041,-9.429747,-11.047554,-10.209322,-9.996283,-5.5449305,-2.459979,-0.8340001,-2.1159887,0.07967949,3.6043286,5.7542086,5.4343343,6.0082316,5.988753,10.004067,12.675476,12.71255,14.056873,16.339611,21.377098,19.626545,10.475445,9.700001,8.244503,10.747075,6.578517,4.104829,4.8707724,2.7265072,-1.1022687,-0.19797683,-0.20292401,-0.5286157,2.485311,3.1918526,7.545936],"CPALM-FDS^FG_PRICE_CHANGE(0,-3AM)":6.39219934994584,"PASP-FDS^MAX(FG_PRICE(0,-5AY))":3158.12,"NI-FDS^FG_PRICE_CHANGE(0,-3AM)":-11.7176730079956,"BRENT-FDS^MAX(FG_PRICE(0,-5AY))":140.85,"COPP-FDS^FG_PRICE_CHANGE(0,-3AM)":5.34564791491743,"FC0000GB^FG_PRICE(0)":116.88543,"FC0000GR^FG_PRICE(0)":9.301108,"FC0000NZ^FG_PRICE(0)":389.04752,"EWN^FG_PRICE_MAVG(0,,,,200)":41.68178,"QQQ^FG_PRICE_MAVG(0,,,,200)":366.6176,"EWJ^FG_PRICE_MAVG(0,,,,200)":61.3713,"EWA^FG_PRICE_MAVG(0,,,,200)":22.50115,"ENZL^FG_COMPANY_NAME":"iShares MSCI New Zealand ETF","SPY^P_PRICE(0)/P_PRICE_LOW_PR(0,,,USD,,,\"PRICE\",\"INTRA\",\"52W\")-1":0.27376854,"URTH^FG_TOTAL_RETURNC(0,-6AM)":6.1447144,"EWI^P_PRICE(0)/P_PRICE_LOW_PR(0,,,USD,,,\"PRICE\",\"INTRA\",\"52W\")-1":0.18792677,"EWL^FG_TOTAL_RETURNC(0,-3AM)":10.339106,"EWC^P_PRICE(0)/P_PRICE_HIGH_PR(0,,,USD,,,\"PRICE\",\"INTRA\",\"52W\")":0.97837245,"FXI^PERCENT_CHANGE(FMA_EPS(+1,0,,,,\"PORTAGG\",\"MEAN\"),FMA_EPS(+1,-3AM,,,,\"PORTAGG\",\"MEAN\"))":-5.32816672786005,"EMXC^PERCENT_CHANGE(FMA_EPS(+1,0,,,,\"PORTAGG\",\"MEAN\"),FMA_EPS(+1,-1AM,,,,\"PORTAGG\",\"MEAN\"))":-1.03909626173999,"EWJ^FMA_PCT_ABOVE_MAVG(200,0,,,,\"PORTAGG\")":73.8938053097345,"EWQ^FMA_PCT_ABOVE_MAVG(200,0,,,,\"PORTAGG\")":66.1290322580645,"EWL^PERCENT_CHANGE(FMA_EPS(+1,0,,,,\"PORTAGG\",\"MEAN\"),FMA_EPS(+1,-3AM,,,,\"PORTAGG\",\"MEAN\"))":-0.511292603310681,"EWC^PERCENT_CHANGE(FMA_EPS(+1,0,,,,\"PORTAGG\",\"MEAN\"),FMA_EPS(+1,-1AM,,,,\"PORTAGG\",\"MEAN\"))":-2.0384392612853,"IWM^SIZE(FG_CONSTITUENTS)":1956,"INDA^FMA_COS_DOWN(\"EPS\",\"1M\",+1,0,,,\"PORTAGG\",\"MEANR\")":67.0,"EWI^FMA_COS_UP(\"EPS\",\"1M\",+1,0,,,\"PORTAGG\",\"MEANR\")":8.0,"EWU^FMA_COS_UP(\"EPS\",\"1M\",+1,0,,,\"PORTAGG\",\"MEANR\")":37.0,"ENZL^FMA_COS_UP(\"EPS\",\"1M\",+1,0,,,\"PORTAGG\",\"MEANR\")":2.0,"EWJ^P_PRICE(0)/P_PRICE_HIGH_PR(0,,,USD,,,\"PRICE\",\"INTRA\",\"52W\")":0.98863125,"EMXC^FG_TOTAL_RETURNC(0,-1AM)":-1.303947,"EWN^FG_PRICE_MAVG(0,,,,60)":42.210533,"QQQ^FG_PRICE_MAVG(0,,,,60)":392.03482,"EWJ^FG_PRICE_MAVG(0,,,,60)":62.697,"EWA^FG_PRICE_MAVG(0,,,,60)":22.811832,"EWC^FMA_PCT_ABOVE_MAVG(200,0,,,,\"PORTAGG\")":59.5505617977528,"EWD^SIZE(FG_CONSTITUENTS)":45,"QQQ^FG_TOTAL_RETURNC(0,-3AM)":19.364405,"VWO^P_PRICE_RETURNS_PR('52W',2,-10AY,0,AM)":[-10.611439,-7.603979,-5.872011,-0.8479774,2.1710157,18.190134,13.934875,20.812393,5.1992297,0.67020655,7.8945756,1.3266444,9.991371,8.778393,8.551741,11.466241,5.1752806,0.22749901,-10.916269,-23.123276,-20.713335,-8.75197,-16.583145,-13.190025,-27.514713,-23.412943,-14.451992,-18.446636,-23.31137,-13.189769,-3.5237312,14.285707,17.850662,10.324025,5.0535917,7.4273944,30.196201,32.09597,21.490692,15.864611,27.440369,17.68403,19.19136,19.040024,18.55377,19.546593,29.859138,33.538853,36.59797,25.854946,17.005968,18.303658,13.973009,8.077919,2.9290438,-2.5901556,-4.734373,-12.06305,-13.601339,-14.280855,-17.354017,-10.235065,-7.6675773,-1.7286897,-9.624558,2.494204,2.5627732,-2.906984,2.3861885,12.544001,11.400175,21.649277,14.692366,8.088791,-24.552757,-17.091835,-7.2726545,-1.3689995,3.8892627,12.725377,5.7781577,11.946106,16.678692,13.739956,22.563755,29.569853,73.640656,54.992294,44.47974,35.74718,23.6032,16.42934,23.200512,17.248558,7.978487,2.5868416,-6.296486,-9.193021,-8.324307,-14.816273,-16.137177,-20.787668,-20.41129,-14.543581,-23.847652,-26.789904,-20.428299,-18.012571,-10.318851,-13.634336,-10.520333,-5.579591,-3.3343256,0.7331729,3.9956927,0.89832544,6.456208,6.101918,7.7876687,7.445979,-4.263675],"CPALM-FDS^FG_PRICE_CHANGE(0,-1AM)":6.82621702474844,"PASP-FDS^FG_PRICE(0)/MAX(FG_PRICE(0,-1AY))":0.535816618911175,"NI-FDS^FG_PRICE_CHANGE(0,-1AM)":-2.13936430317848,"BRENT-FDS^FG_PRICE(0)/MAX(FG_PRICE(0,-1AY))":0.870614479821537,"COPP-FDS^FG_PRICE_CHANGE(0,-1AM)":-3.37568989860096,"EWI^FG_TOTAL_RETURNC(-10AY,0,AM)":[5.8475733,2.979517,1.8685937,5.7988167,-5.257261,5.54899,-5.0076904,-6.14925,-0.6997466,-6.278026,1.093638,-4.887825,-2.4337888,9.17095,0.5376339,0.53476095,4.9202085,1.4575481,-1.6705453,-5.494505,-3.55677,7.1631193,-6.4857664,0.16019344,-12.756902,-9.017062,8.928574,2.5409818,-5.8353367,6.254196,-10.024654,2.92238,-2.2182763,1.7241359,-5.129349,14.587855,2.1118045,-4.906726,8.827293,-2.1159887,14.81185,-2.2981644,5.7412744,3.0927777,5.033338,-2.8879702,0.58823824,0.38836002,10.60853,-4.5601726,-2.5585651,8.003796,-7.2934985,-5.415499,-0.2403915,-5.6110144,6.017506,-12.831098,-2.446729,-2.2865415,7.169807,4.0688634,3.5338402,2.9048681,-6.3514414,7.690847,1.5568376,-8.163988,6.948757,2.9401183,2.6798368,2.7018666,-1.0437727,1.1228323,-36.675636,5.419767,5.0403237,19.228697,5.2460313,-1.0046303,-6.049967,3.7390947,12.57509,5.7040453,-0.6107867,3.4141302,2.1129012,4.073715,2.9201746,-0.766629,-1.4778316,2.8125048,-0.4255414,1.8315077,-1.2589991,0.007545948,-0.21551847,-3.702563,-8.683109,-0.5614042,-0.49399734,-10.6731415,-5.4828167,3.6363602,-8.437765,5.018246,19.417894,-0.34249425,9.670246,1.6553998,-2.426052,7.935965,-2.4929047,1.3595581,7.8181148,-4.1868925,-1.773274,-4.12637,8.910561,5.513406,-2.0444393],"CPALM-FDS^FG_PRICE_MAVG(0,,,,30)":3717.3,"PASP-FDS^FG_PRICE_CHANGE(0,-1AY)":-45.7971014492754,"NI-FDS^FG_PRICE_MAVG(0,,,,30)":16220.0,"BRENT-FDS^FG_PRICE_CHANGE(0,-1AY)":-4.04559678140367,"COPP-FDS^FG_PRICE_MAVG(0,,,,30)":3.8258,"EWN^FG_PRICE_MAVG(0,,,,30)":43.8329,"QQQ^FG_PRICE_MAVG(0,,,,30)":406.85565,"EWJ^FG_PRICE_MAVG(0,,,,30)":64.154,"EWA^FG_PRICE_MAVG(0,,,,30)":23.729,"FXI^P_PRICE(0)/P_PRICE_LOW_PR(0,,,USD,,,\"PRICE\",\"INTRA\",\"52W\")-1":0.05992329,"VWO^P_PRICE(0)/P_PRICE_LOW_PR(0,,,USD,,,\"PRICE\",\"INTRA\",\"52W\")-1":0.055666804,"EWI^FG_TOTAL_RETURNC(0,-6AM)":1.5688419,"EWQ^P_PRICE(0)/P_PRICE_LOW_PR(0,,,USD,,,\"PRICE\",\"INTRA\",\"52W\")-1":0.121806264,"EWC^FG_TOTAL_RETURNC(0,-3AM)":13.184488,"FXI^PERCENT_CHANGE(FMA_EPS(+1,0,,,,\"PORTAGG\",\"MEAN\"),FMA_EPS(+1,-1AM,,,,\"PORTAGG\",\"MEAN\"))":-3.42934681225637,"INDA^PERCENT_CHANGE(FMA_EPS(+1,0,,,,\"PORTAGG\",\"MEAN\"),FMA_EPS(+1,-3AM,,,,\"PORTAGG\",\"MEAN\"))":-1.11868298443792,"URTH^PERCENT_CHANGE(FMA_EPS(+1,0,,,,\"PORTAGG\",\"MEAN\"),FMA_EPS(+1,-1AM,,,,\"PORTAGG\",\"MEAN\"))":-1.06217986937887,"EWI^FMA_PCT_ABOVE_MAVG(200,0,,,,\"PORTAGG\")":76.0,"EWL^FMA_PCT_ABOVE_MAVG(200,0,,,,\"PORTAGG\")":51.1111111111111,"EWA^PERCENT_CHANGE(FMA_EPS(+1,0,,,,\"PORTAGG\",\"MEAN\"),FMA_EPS(+1,-3AM,,,,\"PORTAGG\",\"MEAN\"))":1.68939068844742,"IWM^FMA_COS_DOWN(\"EPS\",\"1M\",+1,0,,,\"PORTAGG\",\"MEANR\")":351.0,"SPY^SIZE(FG_CONSTITUENTS)":504,"VWO^SIZE(FG_CONSTITUENTS)":4695,"EWC^SIZE(FG_CONSTITUENTS)":89,"VWO^FMA_COS_UP(\"EPS\",\"1M\",+1,0,,,\"PORTAGG\",\"MEANR\")":728.0,"QQQ^FMA_COS_DOWN(\"EPS\",\"1M\",+1,0,,,\"PORTAGG\",\"MEANR\")":23.0,"EWL^FMA_COS_UP(\"EPS\",\"1M\",+1,0,,,\"PORTAGG\",\"MEANR\")":12.0,"DBA^FG_TOTAL_RETURNC(0,-3AM)":1.7559171,"UUP^P_PRICE(0)/P_PRICE_HIGH_PR(0,,,USD,,,\"PRICE\",\"INTRA\",\"52W\")":0.92093486,"GLD^FG_TOTAL_RETURNC(0,-3AM)":2.7217507,"IWM^FMA_PCT_ABOVE_MAVG(200,0,,,,\"PORTAGG\")":59.0909090909091,"FC0000CA^FG_PRICE(0)":277.89963,"EWD^FG_TOTAL_RETURNC(0,-6AM)":5.44703,"QQQ^PERCENT_CHANGE(FMA_EPS(+1,0,,,,\"PORTAGG\",\"MEAN\"),FMA_EPS(+1,-3AM,,,,\"PORTAGG\",\"MEAN\"))":1.23012472805758,"EWG^PERCENT_CHANGE(FMA_EPS(+1,0,,,,\"PORTAGG\",\"MEAN\"),FMA_EPS(+1,-3AM,,,,\"PORTAGG\",\"MEAN\"))":-0.120229080268066,"EWN^FMA_COS_DOWN(\"EPS\",\"1M\",+1,0,,,\"PORTAGG\",\"MEANR\")":24.0,"EWA^FMA_COS_DOWN(\"EPS\",\"1M\",+1,0,,,\"PORTAGG\",\"MEANR\")":20.0,"FXI^P_PRICE(0)/P_PRICE_HIGH_PR(0,,,USD,,,\"PRICE\",\"INTRA\",\"52W\")":0.66247195,"USO^FG_TOTAL_RETURNC(0,-6AM)":0.9711623,"DBA^FG_TOTAL_RETURNC(0,-1AM)":2.1541476,"GLD^FG_TOTAL_RETURNC(0,-1AM)":-1.2193263,"VWO^FG_TOTAL_RETURNC(0,-6AM)":-1.4993668,"EWU^PERCENT_CHANGE(FMA_EPS(+1,0,,,,\"PORTAGG\",\"MEAN\"),FMA_EPS(+1,-3AM,,,,\"PORTAGG\",\"MEAN\"))":-3.60704885307133,"ENZL^FMA_PCT_ABOVE_MAVG(200,0,,,,\"PORTAGG\")":43.75,"EWN^FMA_COS_UP(\"EPS\",\"1M\",+1,0,,,\"PORTAGG\",\"MEANR\")":13.0,"EWJ^FMA_COS_UP(\"EPS\",\"1M\",+1,0,,,\"PORTAGG\",\"MEANR\")":90.0,"VGK^FG_TOTAL_RETURNC(0,-1AM)":-2.574098,"URTH^PERCENT_CHANGE(FMA_EPS(+1,0,,,,\"PORTAGG\",\"MEAN\"),FMA_EPS(+1,-3AM,,,,\"PORTAGG\",\"MEAN\"))":-0.823389296597765,"EWQ^FMA_COS_UP(\"EPS\",\"1M\",+1,0,,,\"PORTAGG\",\"MEANR\")":20.0,"EMXC^FG_TOTAL_RETURNC(-10AY,0,AM)":[null,null,null,null,null,null,null,null,null,null,null,null,null,null,null,null,null,null,null,null,null,null,null,null,null,null,null,null,null,null,null,null,null,null,null,null,null,null,null,null,null,null,null,0.6596446,1.497078,0.8123636,2.612698,-0.5428076,8.247625,-1.7212391,-3.650421,-0.7578552,-3.8163543,-4.9279156,1.6400218,-1.210171,1.449573,-7.6484203,0.9381175,-1.114434,6.8773627,2.5614262,-1.1776686,2.9176116,-7.10721,7.451296,0.32663345,-9.540063,6.51716,2.9058695,0.5469799,5.4146767,1.1448026,-5.4186344,-35.456993,19.790995,3.829527,11.765039,4.586518,1.888454,-2.1678924999999998,6.1812043,8.786308,6.483376,8.749366,-0.2164185,-2.8695345,4.328406,-0.82318187,3.5385013,-1.5293002,-1.2914777,2.9811144,-1.4152467,-0.48939586,0.07665157,0.26926994,-1.3251603,-3.474903,-3.6521733,-4.205781,-9.387398,1.595974,4.1339397,-9.110761,1.201129,6.8838954,-2.0775676,7.887566,-4.4332085,-1.1393726,1.9345522,1.231575,3.6025047,3.1801462,-3.0257463,-2.306199,-3.4715354,7.7887416,5.0513506,-1.303947],"CPALM-FDS^FG_PRICE(0)":3928.0,"PASP-FDS^FG_PRICE_CHANGE(0,-6AM)":-28.6259541984733,"NI-FDS^FG_PRICE(0)":16010.0,"BRENT-FDS^FG_PRICE_CHANGE(0,-6AM)":6.52605459057072,"COPP-FDS^FG_PRICE(0)":3.764,"EWN^FG_PRICE(0)":44.22,"QQQ^FG_PRICE(0)":423.48,"EWJ^FG_PRICE(0)":66.09,"EWA^FG_PRICE(0)":23.48,"EMXC^P_PRICE(0)/P_PRICE_LOW_PR(0,,,USD,,,\"PRICE\",\"INTRA\",\"52W\")-1":0.15644503,"EWI^FG_TOTAL_RETURNC(0,-3AM)":12.565875,"EWQ^P_PRICE(0)/P_PRICE_HIGH_PR(0,,,USD,,,\"PRICE\",\"INTRA\",\"52W\")":0.9451814,"EWA^P_PRICE(0)/P_PRICE_LOW_PR(0,,,USD,,,\"PRICE\",\"INTRA\",\"52W\")-1":0.14760506,"FXI^FMA_PCT_ABOVE_MAVG(200,0,,,,\"PORTAGG\")":7.84313725490196,"URTH^FMA_PCT_ABOVE_MAVG(200,0,,,,\"PORTAGG\")":64.116452268111,"EWD^PERCENT_CHANGE(FMA_EPS(+1,0,,,,\"PORTAGG\",\"MEAN\"),FMA_EPS(+1,-3AM,,,,\"PORTAGG\",\"MEAN\"))":-5.99423781159711,"SPY^PERCENT_CHANGE(FMA_EPS(+1,0,,,,\"PORTAGG\",\"MEAN\"),FMA_EPS(+1,-1AM,,,,\"PORTAGG\",\"MEAN\"))":-0.442544599235732,"EWA^PERCENT_CHANGE(FMA_EPS(+1,0,,,,\"PORTAGG\",\"MEAN\"),FMA_EPS(+1,-1AM,,,,\"PORTAGG\",\"MEAN\"))":-1.52557640161734,"IWM^FMA_COS_UP(\"EPS\",\"1M\",+1,0,,,\"PORTAGG\",\"MEANR\")":340.0,"VWO^FMA_COS_DOWN(\"EPS\",\"1M\",+1,0,,,\"PORTAGG\",\"MEANR\")":1280.0,"EWD^FMA_COS_DOWN(\"EPS\",\"1M\",+1,0,,,\"PORTAGG\",\"MEANR\")":20.0,"SPY^FMA_COS_DOWN(\"EPS\",\"1M\",+1,0,,,\"PORTAGG\",\"MEANR\")":154.0,"EWL^FMA_COS_DOWN(\"EPS\",\"1M\",+1,0,,,\"PORTAGG\",\"MEANR\")":30.0,"EWC^FMA_COS_DOWN(\"EPS\",\"1M\",+1,0,,,\"PORTAGG\",\"MEANR\")":33.0,"TLT^FG_TOTAL_RETURNC(0,-1AM)":-4.6458483,"DBA^FG_TOTAL_RETURNC(0,-6AM)":1.3860583,"QQQ^FG_TOTAL_RETURNC(0,-1AM)":3.7519217,"GLD^FG_TOTAL_RETURNC(0,-6AM)":3.1672,"SPY^FG_TOTAL_RETURNC(0,-1AM)":2.3667216,"EWC^FMA_COS_UP(\"EPS\",\"1M\",+1,0,,,\"PORTAGG\",\"MEANR\")":24.0,"EWA^FG_TOTAL_RETURNC(0,-6AM)":3.5599232,"VGK^SIZE(FG_CONSTITUENTS)":1294,"EWD^FMA_COS_UP(\"EPS\",\"1M\",+1,0,,,\"PORTAGG\",\"MEANR\")":11.0,"QQQ^SIZE(FG_CONSTITUENTS)":102,"EWA^SIZE(FG_CONSTITUENTS)":59,"EWJ^FG_TOTAL_RETURNC(0,-1AM)":4.358113,"VWO^P_PRICE(0)/P_PRICE_HIGH_PR(0,,,USD,,,\"PRICE\",\"INTRA\",\"52W\")":0.9149601,"VWO^PERCENT_CHANGE(FMA_EPS(+1,0,,,,\"PORTAGG\",\"MEAN\"),FMA_EPS(+1,-1AM,,,,\"PORTAGG\",\"MEAN\"))":-2.12835915837633,"EWJ^SIZE(FG_CONSTITUENTS)":226,"FC0000CH^FG_PRICE(0)":324.733,"EWG^FG_PRICE(0)":28.85,"VGK^P_PRICE(0)/P_PRICE_LOW_PR(0,,,USD,,,\"PRICE\",\"INTRA\",\"52W\")-1":0.13421726,"EWG^P_PRICE(0)/P_PRICE_HIGH_PR(0,,,USD,,,\"PRICE\",\"INTRA\",\"52W\")":0.96488297,"EWA^FG_TOTAL_RETURNC(0,-3AM)":15.935003,"EMXC^SIZE(FG_CONSTITUENTS)":701,"EWJ^FMA_COS_DOWN(\"EPS\",\"1M\",+1,0,,,\"PORTAGG\",\"MEANR\")":95.0,"VGK^FMA_COS_DOWN(\"EPS\",\"1M\",+1,0,,,\"PORTAGG\",\"MEANR\")":379.0,"SPY^FG_COMPANY_NAME":"SPDR S&P 500 ETF Trust","EMXC^P_PRICE(0)/P_PRICE_HIGH_PR(0,,,USD,,,\"PRICE\",\"INTRA\",\"52W\")":0.96429217,"UUP^FG_TOTAL_RETURNC(0,-6AM)":5.6996584,"EWN^PERCENT_CHANGE(FMA_EPS(+1,0,,,,\"PORTAGG\",\"MEAN\"),FMA_EPS(+1,-1AM,,,,\"PORTAGG\",\"MEAN\"))":-0.967977680475362,"EWG^PERCENT_CHANGE(FMA_EPS(+1,0,,,,\"PORTAGG\",\"MEAN\"),FMA_EPS(+1,-1AM,,,,\"PORTAGG\",\"MEAN\"))":-1.8409355062554,"QQQ^FG_COMPANY_NAME":"Invesco QQQ Trust Series I","SPY^PERCENT_CHANGE(FMA_EPS(+1,0,,,,\"PORTAGG\",\"MEAN\"),FMA_EPS(+1,-3AM,,,,\"PORTAGG\",\"MEAN\"))":-1.36402561754431,"EWG^FMA_COS_UP(\"EPS\",\"1M\",+1,0,,,\"PORTAGG\",\"MEANR\")":16.0,"OIL^FG_TOTAL_RETURNC(-10AY,0,AM)":[-1.9780219,5.039966,-1.334101,3.2451391,3.0178785,3.028965,-3.1866908,-6.7715826,-2.6272,-10.035408,-5.468851,-23.629057,-16.842102,7.594931,-6.3277245,13.707722,2.5640965,-0.19230247,-19.772642,-17.62333,8.571434,-1.0746479,-5.6449833,-13.403261,-14.973492,-2.0629823,18.105804,6.065309,7.8662395,3.3953428,-13.535124,5.6803107,-7.178128,12.513887,-5.9215965,8.584332,-1.9917965,0.4184127,-11.733925,2.2341847,0.9234905,-14.744449,5.1816583,5.5758,4.8671007,1.184988,10.865331,1.3456583,9.848106,-1.2651563,4.256284,4.8793435,5.957043,-5.414754,-0.21924376,2.0263672,5.2883387,-5.3863583,-23.223156,-10.707021,15.670645,8.195698,1.0135055,10.448444,-11.490643,-0.95773935,-0.29771328,-6.456113,8.500814,-2.2347867,3.848374,5.489552,-7.2640896,-3.6103725,-51.77647,0.33456087,28.064192,17.854082,2.1129727,2.2903562,-7.397479,-0.68857074,6.5602303,11.067545,7.2704673,18.248177,-4.377097,7.7388406,2.902174,13.553715,-0.3822446,-7.346755,12.525261,12.073601,-3.0036032,-5.243593,14.074076,8.976316,25.236584,-8.200396,7.164645,-3.3285975,-6.0008764,4.599428,-15.387612,8.633841,-4.49304,2.5915504,3.0574918,-6.900996,-7.8656077,10.078502,-3.579235,null,null,null,null,null,null,null,null],"W-FDS^MAX(FG_PRICE(0,-5AY))":14.2525,"PASP-FDS^FG_PRICE_CHANGE(0,-3AM)":-16.8888888888889,"PLATI-FDS^MAX(FG_PRICE(0,-5AY))":1272.59,"BRENT-FDS^FG_PRICE_CHANGE(0,-3AM)":-9.18129892109161,"TIOS-FDS^MAX(FG_PRICE(0,-5AY))":219.77,"EWI^FG_PRICE_MAVG(0,,,,200)":31.7333,"EWQ^FG_PRICE_MAVG(0,,,,200)":37.569023,"EWU^FG_PRICE_MAVG(0,,,,200)":32.35645,"EWG^FG_PRICE_MAVG(0,,,,200)":28.02675,"ENZL^FG_PRICE_MAVG(0,,,,200)":46.970894,"EWD^P_PRICE(0)/P_PRICE_LOW_PR(0,,,USD,,,\"PRICE\",\"INTRA\",\"52W\")-1":0.20026076,"EWQ^FG_TOTAL_RETURNC(0,-6AM)":-3.611648,"EWU^P_PRICE(0)/P_PRICE_LOW_PR(0,,,USD,,,\"PRICE\",\"INTRA\",\"52W\")-1":0.06666672,"EWA^P_PRICE(0)/P_PRICE_HIGH_PR(0,,,USD,,,\"PRICE\",\"INTRA\",\"52W\")":0.93100715,"IWM^PERCENT_CHANGE(FMA_EPS(+1,0,,,,\"PORTAGG\",\"MEAN\"),FMA_EPS(+1,-3AM,,,,\"PORTAGG\",\"MEAN\"))":-9.25291349651962,"INDA^PERCENT_CHANGE(FMA_EPS(+1,0,,,,\"PORTAGG\",\"MEAN\"),FMA_EPS(+1,-1AM,,,,\"PORTAGG\",\"MEAN\"))":-0.445172704205354,"VWO^PERCENT_CHANGE(FMA_EPS(+1,0,,,,\"PORTAGG\",\"MEAN\"),FMA_EPS(+1,-3AM,,,,\"PORTAGG\",\"MEAN\"))":0.305103662247655,"EWD^PERCENT_CHANGE(FMA_EPS(+1,0,,,,\"PORTAGG\",\"MEAN\"),FMA_EPS(+1,-1AM,,,,\"PORTAGG\",\"MEAN\"))":-5.30658079005561,"EWA^FMA_PCT_ABOVE_MAVG(200,0,,,,\"PORTAGG\")":57.6271186440678,"SPY^FMA_COS_UP(\"EPS\",\"1M\",+1,0,,,\"PORTAGG\",\"MEANR\")":204.0,"EWQ^FG_TOTAL_RETURNC(0,-3AM)":10.739887,"EWU^P_PRICE(0)/P_PRICE_HIGH_PR(0,,,USD,,,\"PRICE\",\"INTRA\",\"52W\")":0.93993247,"INDA^FMA_PCT_ABOVE_MAVG(200,0,,,,\"PORTAGG\")":85.4961832061069,"EWD^FMA_PCT_ABOVE_MAVG(200,0,,,,\"PORTAGG\")":67.4418604651163,"ENZL^PERCENT_CHANGE(FMA_EPS(+1,0,,,,\"PORTAGG\",\"MEAN\"),FMA_EPS(+1,-3AM,,,,\"PORTAGG\",\"MEAN\"))":-6.36892912759188,"USO^P_PRICE(0)/P_PRICE_HIGH_PR(0,,,USD,,,\"PRICE\",\"INTRA\",\"52W\")":0.8363549,"EWN^PERCENT_CHANGE(FMA_EPS(+1,0,,,,\"PORTAGG\",\"MEAN\"),FMA_EPS(+1,-3AM,,,,\"PORTAGG\",\"MEAN\"))":1.2667841733908,"EWN^SIZE(FG_CONSTITUENTS)":55,"UUP^FG_TOTAL_RETURNC(-10AY,0,AM)":[-0.13876557,-0.32422543,-0.23234487,-0.46575665,0.5147338,-0.37243962,0.7009387,1.809752,2.689147,1.2871623,2.8045535,1.9181609,5.4370522,-0.7139981,2.037561,0.31323433,-1.3270915,-1.0284841,1.5587449,-2.4006307,1.2903333,0.7165551,2.6877522,-1.6936064,1.2529373,-2.2815168,-1.385045,-1.0834694,0.12170076,-2.1474898,4.3892264,-3.0940056,1.0233283,3.3225298,3.0980468,1.2932658,-2.7788222,0.7338762,-1.2653351,0.23300648,-2.5184035,-0.039744377,-3.300196,-0.7401347,-0.86992383,1.8804789,-0.5742371,0.21834373,-3.1314373,-0.042533875,-0.34042597,1.9214392,3.5190582,0.76892376,0.36144257,1.320529,-1.3033152,2.1208525,1.371479,0.27058125,-0.63485503,0.8627415,0.31104088,1.3953567,0.688076,-1.480633,1.9653082,0.22675991,1.319766,-0.93040466,1.089406,-0.4603505,0.3427267,1.8216252,4.2489767,-2.6456892,-0.88137984,-3.1122625,-2.065003,-1.679033,1.3502836,-1.8808782,-0.2795577,-2.5630713,0.041103363,-0.16434193,2.3868322,-1.7282903,-0.9406984,1.9818425,1.1335969,-0.04003048,0.04005432,0.56045055,2.9856682,-0.5411744,-0.46637654,0.585711,2.368009,2.5786877,0.8872509,2.015388,2.2988439,2.0014048,4.371774,-0.69261193,-5.081373,-1.2392998,-1.786989,2.91121,-1.485151,-0.3948331,2.2342324,-0.070500374,-1.3756633,2.7897,2.7487874,0.54181814,-1.1788487,-1.5562415,2.3204446],"W-FDS^FG_PRICE(0)/MAX(FG_PRICE(0,-1AY))":0.753156565656566,"PASP-FDS^FG_PRICE_CHANGE(0,-1AM)":-25.7936507936508,"PLATI-FDS^FG_PRICE(0)/MAX(FG_PRICE(0,-1AY))":0.799118942731277,"BRENT-FDS^FG_PRICE_CHANGE(0,-1AM)":0.0,"TIOS-FDS^FG_PRICE(0)/MAX(FG_PRICE(0,-1AY))":0.939372918978912,"EWI^FG_PRICE_MAVG(0,,,,60)":32.716835,"EWQ^FG_PRICE_MAVG(0,,,,60)":37.47425,"EWU^FG_PRICE_MAVG(0,,,,60)":32.196,"EWG^FG_PRICE_MAVG(0,,,,60)":28.180666,"ENZL^FG_PRICE_MAVG(0,,,,60)":45.946667,"IWM^PERCENT_CHANGE(FMA_EPS(+1,0,,,,\"PORTAGG\",\"MEAN\"),FMA_EPS(+1,-1AM,,,,\"PORTAGG\",\"MEAN\"))":-1.71510238238717,"EWQ^FG_PRICE(0)":37.76,"ENZL^FG_PRICE(0)":46.32,"IWM^P_PRICE(0)/P_PRICE_HIGH_PR(0,,,USD,,,\"PRICE\",\"INTRA\",\"52W\")":0.9536717,"EWU^FG_TOTAL_RETURNC(0,-3AM)":6.1845303,"VWO^FMA_PCT_ABOVE_MAVG(200,0,,,,\"PORTAGG\")":43.1372549019608,"ENZL^PERCENT_CHANGE(FMA_EPS(+1,0,,,,\"PORTAGG\",\"MEAN\"),FMA_EPS(+1,-1AM,,,,\"PORTAGG\",\"MEAN\"))":-1.28793663595383,"GLD^P_PRICE(0)/P_PRICE_HIGH_PR(0,,,USD,,,\"PRICE\",\"INTRA\",\"52W\")":0.97291523,"SPY^FG_TOTAL_RETURNC(-10AY,0,AM)":[0.14244318,0.60179234,1.7046094,0.6713271,1.5470862,3.397119,1.409018,0.27688742,-0.12722611,-1.5554786,6.027806,1.070106,-1.3381481,3.0438542,-0.13257265,0.5523801,0.8666396,0.04041195,-0.8771956,-5.9710684,-1.5212,7.184911,0.75178146,-0.8619666,-7.5235424,0.9447813,6.204653,2.834916,-1.7992973,3.265357,3.0501485,0.7963538,-0.8606911,-0.93060136,3.1404853,2.873981,0.19493103,4.5500755,-0.58787465,0.2392888,2.327466,1.7769217,1.5423894,-0.9397328,2.5007486,2.6739836,1.4251828,3.5056949,5.898845,-3.0287027,-5.688846,3.301692,2.5471687,0.9565592,1.9873381,1.9950032,2.6322126,-6.2947392,-3.786409,-8.020735,9.434986,5.971682,0.47792196,4.880929,-3.6670268,4.711008,2.0510197,-5.0594926,5.175805,0.5600095,3.6948085,3.8051248,3.2687902,0.5305767,-32.733715,25.176048,5.8621287,6.0896754,3.4962416,5.115187,-4.5755863,7.172072,3.3778667,3.268373,4.1651964,1.2066483,0.8458972,6.99358,-0.4319191,2.183783,4.103172,1.6638637,-0.5916357,2.242887,3.325832,0.87242126,-6.931573,-3.6599815,5.5015445,-4.0017962,-6.835037,-4.3410597,4.5045733,4.368627,-10.39809,1.723063,7.5155616,-4.4059157,4.6277165,0.0074863434,-1.4904141,4.8401475,0.4585147,5.007386,4.3789387,-2.02353,-2.4993896,-2.3140252,8.219564,4.5170903,2.3667216],"W-FDS^FG_PRICE_CHANGE(0,-1AY)":-17.1527777777778,"PASP-FDS^FG_PRICE_MAVG(0,,,,30)":1065.6,"PLATI-FDS^FG_PRICE_CHANGE(0,-1AY)":-13.2057416267943,"BRENT-FDS^FG_PRICE_MAVG(0,,,,30)":85.86,"TIOS-FDS^FG_PRICE_CHANGE(0,-1AY)":11.0546170247663,"EWI^FG_PRICE_MAVG(0,,,,30)":33.638332,"EWQ^FG_PRICE_MAVG(0,,,,30)":38.533833,"EWU^FG_PRICE_MAVG(0,,,,30)":32.708,"EWG^FG_PRICE_MAVG(0,,,,30)":29.219667,"ENZL^FG_PRICE_MAVG(0,,,,30)":47.436165,"IWM^P_PRICE(0)/P_PRICE_LOW_PR(0,,,USD,,,\"PRICE\",\"INTRA\",\"52W\")-1":0.21216059,"EWD^P_PRICE(0)/P_PRICE_HIGH_PR(0,,,USD,,,\"PRICE\",\"INTRA\",\"52W\")":0.92010826,"EWU^FG_TOTAL_RETURNC(0,-6AM)":-1.6325355,"EWG^P_PRICE(0)/P_PRICE_LOW_PR(0,,,USD,,,\"PRICE\",\"INTRA\",\"52W\")-1":0.1677798,"EWI^FG_PRICE(0)":33.06,"EWU^FG_PRICE(0)":32.0,"VWO^FG_TOTAL_RETURNC(-10AY,0,AM)":[-3.305173,0.41120052,-1.0749876,6.180668,4.813099,1.1888027,4.346442,0.28979778,-4.334301,-3.5698712,4.9415708,-7.532811,4.9634695,-0.6961107,-1.2811184,9.03151,-1.1023641,-3.5714269,-7.255304,-13.068038,-1.7720103,10.977781,-4.0648165,-3.7715554,-11.599403,4.0243506,10.26932,3.4258723,-6.5391245,9.155512,3.9447665,2.1143913,1.2920499,1.0082245,-6.041503,-1.5971601,7.1367383,5.5422425,1.4163971,-0.9975016,2.4181366,0.79900026,4.5912027,2.6525855,2.2165537,0.5205989,3.0623794,-0.27563572,10.12547,-2.758342,-5.7142916,0.10051727,-1.3310075,-4.766697,-0.023376942,-2.8517962,0.57747364,-7.7759624,1.2595057,-1.8657744,7.049155,3.924501,0.023901463,4.9827337,-9.258831,7.139492,0.85026026,-8.032787,6.060612,1.3736606,1.2952805,6.036234,0.927186,-3.1593084,-29.388947,15.3644085,2.7888417,12.518549,6.2268376,2.2796035,-2.8990507,7.2847724,5.5776,3.3655405,9.7561,1.444447,-5.3718805,2.974701,-2.3260236,3.7079334,-3.2762527,-3.6566556,2.7480364,1.6290426,-2.3174942,-1.7957807,0.9760022,-2.3962915,-4.466611,-5.6096973,-2.5241017,-2.0430386,-1.28299,1.8391371,-8.438664,-2.0522416,5.904758,1.1856198,10.451614,-6.004673,-1.0220408,0.40210485,-1.0012567,2.0787954,2.9638767,-2.2012591,-1.1293054,-4.6153903,7.0068836,1.6214252,-1.7883718],"W-FDS^FG_PRICE_CHANGE(0,-6AM)":-14.4802867383513,"PASP-FDS^FG_PRICE(0)":935.0,"PLATI-FDS^FG_PRICE_CHANGE(0,-6AM)":-6.01036269430052,"BRENT-FDS^FG_PRICE(0)":85.86,"TIOS-FDS^FG_PRICE_CHANGE(0,-6AM)":20.4054414510536}]]></FdsFormulaCache>
</file>

<file path=customXml/itemProps1.xml><?xml version="1.0" encoding="utf-8"?>
<ds:datastoreItem xmlns:ds="http://schemas.openxmlformats.org/officeDocument/2006/customXml" ds:itemID="{BEB16605-B1E8-4CFF-AAD5-19EE6664810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Aset class Rankings</vt:lpstr>
      <vt:lpstr>Asset class</vt:lpstr>
      <vt:lpstr>Momnetum ranking</vt:lpstr>
      <vt:lpstr>Risk</vt:lpstr>
      <vt:lpstr>Timing</vt:lpstr>
      <vt:lpstr>Commodities</vt:lpstr>
      <vt:lpstr>Monthly Returns</vt:lpstr>
      <vt:lpstr>Yearly returns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Rizael Castro</cp:lastModifiedBy>
  <cp:lastPrinted>2023-12-28T02:21:32Z</cp:lastPrinted>
  <dcterms:created xsi:type="dcterms:W3CDTF">2023-02-28T05:25:38Z</dcterms:created>
  <dcterms:modified xsi:type="dcterms:W3CDTF">2024-01-25T02:53:28Z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