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46992432-4F5F-4A9F-BC9B-02F4945C65EE}" xr6:coauthVersionLast="47" xr6:coauthVersionMax="47" xr10:uidLastSave="{00000000-0000-0000-0000-000000000000}"/>
  <bookViews>
    <workbookView xWindow="-110" yWindow="-110" windowWidth="25820" windowHeight="15500" firstSheet="1" activeTab="4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57" l="1" a="1"/>
  <c r="G17" i="57" l="1"/>
  <c r="G14" i="57" a="1"/>
  <c r="G14" i="57" l="1"/>
  <c r="G13" i="57" a="1"/>
  <c r="G13" i="57" l="1"/>
  <c r="G12" i="57" a="1"/>
  <c r="G12" i="57" l="1"/>
  <c r="G11" i="57" a="1"/>
  <c r="G11" i="57" l="1"/>
  <c r="G10" i="57" a="1"/>
  <c r="G10" i="57" l="1"/>
  <c r="G9" i="57" a="1"/>
  <c r="G9" i="57" l="1"/>
  <c r="G8" i="57" a="1"/>
  <c r="G8" i="57" l="1"/>
  <c r="G7" i="57" a="1"/>
  <c r="G7" i="57" l="1"/>
  <c r="G6" i="57" a="1"/>
  <c r="G6" i="57" l="1"/>
  <c r="G5" i="57" a="1"/>
  <c r="G5" i="57" l="1"/>
  <c r="G4" i="57" a="1"/>
  <c r="G4" i="57" l="1"/>
  <c r="G3" i="57" a="1"/>
  <c r="G3" i="57" l="1"/>
  <c r="G2" i="57" a="1"/>
  <c r="G2" i="57" l="1"/>
  <c r="E17" i="57" a="1"/>
  <c r="E17" i="57" l="1"/>
  <c r="D17" i="57" a="1"/>
  <c r="D17" i="57" l="1"/>
  <c r="D14" i="57" a="1"/>
  <c r="D14" i="57" l="1"/>
  <c r="D13" i="57" a="1"/>
  <c r="D13" i="57" l="1"/>
  <c r="D12" i="57" a="1"/>
  <c r="D12" i="57" l="1"/>
  <c r="D11" i="57" a="1"/>
  <c r="D11" i="57" l="1"/>
  <c r="D10" i="57" a="1"/>
  <c r="D10" i="57" l="1"/>
  <c r="D9" i="57" a="1"/>
  <c r="D9" i="57" l="1"/>
  <c r="D8" i="57" a="1"/>
  <c r="D8" i="57" l="1"/>
  <c r="D7" i="57" a="1"/>
  <c r="D7" i="57" l="1"/>
  <c r="D6" i="57" a="1"/>
  <c r="D6" i="57" l="1"/>
  <c r="D5" i="57" a="1"/>
  <c r="D5" i="57" l="1"/>
  <c r="D4" i="57" a="1"/>
  <c r="D4" i="57" l="1"/>
  <c r="D3" i="57" a="1"/>
  <c r="D3" i="57" l="1"/>
  <c r="D2" i="57" a="1"/>
  <c r="D2" i="57" l="1"/>
  <c r="B17" i="57" a="1"/>
  <c r="B17" i="57" l="1"/>
  <c r="M16" i="48" a="1"/>
  <c r="M16" i="48" l="1"/>
  <c r="M14" i="48" a="1"/>
  <c r="M14" i="48" l="1"/>
  <c r="M13" i="48" a="1"/>
  <c r="M13" i="48" l="1"/>
  <c r="M12" i="48" a="1"/>
  <c r="M12" i="48" l="1"/>
  <c r="M11" i="48" a="1"/>
  <c r="M11" i="48" l="1"/>
  <c r="M10" i="48" a="1"/>
  <c r="M10" i="48" l="1"/>
  <c r="M9" i="48" a="1"/>
  <c r="M9" i="48" l="1"/>
  <c r="M8" i="48" a="1"/>
  <c r="M8" i="48" l="1"/>
  <c r="M7" i="48" a="1"/>
  <c r="M7" i="48" l="1"/>
  <c r="M6" i="48" a="1"/>
  <c r="M6" i="48" l="1"/>
  <c r="M5" i="48" a="1"/>
  <c r="M5" i="48" l="1"/>
  <c r="J20" i="48" a="1"/>
  <c r="J20" i="48" l="1"/>
  <c r="J19" i="48" a="1"/>
  <c r="J19" i="48" l="1"/>
  <c r="M4" i="48" a="1"/>
  <c r="M15" i="48" a="1"/>
  <c r="J16" i="48" a="1"/>
  <c r="J16" i="48" l="1"/>
  <c r="M15" i="48"/>
  <c r="M4" i="48"/>
  <c r="J15" i="48" a="1"/>
  <c r="J15" i="48" l="1"/>
  <c r="J14" i="48" a="1"/>
  <c r="J14" i="48" l="1"/>
  <c r="J13" i="48" a="1"/>
  <c r="J13" i="48" l="1"/>
  <c r="J12" i="48" a="1"/>
  <c r="J12" i="48" l="1"/>
  <c r="J11" i="48" a="1"/>
  <c r="J11" i="48" l="1"/>
  <c r="J10" i="48" a="1"/>
  <c r="J10" i="48" l="1"/>
  <c r="J9" i="48" a="1"/>
  <c r="J9" i="48" l="1"/>
  <c r="J8" i="48" a="1"/>
  <c r="J8" i="48" l="1"/>
  <c r="J7" i="48" a="1"/>
  <c r="J7" i="48" l="1"/>
  <c r="J6" i="48" a="1"/>
  <c r="J6" i="48" l="1"/>
  <c r="J5" i="48" a="1"/>
  <c r="J5" i="48" l="1"/>
  <c r="J4" i="48" a="1"/>
  <c r="J4" i="48" l="1"/>
  <c r="N2" i="38" a="1"/>
  <c r="N2" i="38" l="1"/>
  <c r="M2" i="38" a="1"/>
  <c r="M2" i="38" l="1"/>
  <c r="L2" i="38" a="1"/>
  <c r="L2" i="38" l="1"/>
  <c r="K2" i="38" a="1"/>
  <c r="K2" i="38" l="1"/>
  <c r="J2" i="38" a="1"/>
  <c r="J2" i="38" l="1"/>
  <c r="I2" i="38" a="1"/>
  <c r="I2" i="38" l="1"/>
  <c r="H2" i="38" a="1"/>
  <c r="H2" i="38" l="1"/>
  <c r="G2" i="38" a="1"/>
  <c r="G2" i="38" l="1"/>
  <c r="F2" i="38" a="1"/>
  <c r="F2" i="38" l="1"/>
  <c r="E2" i="38" a="1"/>
  <c r="E2" i="38" l="1"/>
  <c r="D2" i="38" a="1"/>
  <c r="D2" i="38" l="1"/>
  <c r="C2" i="38" a="1"/>
  <c r="C2" i="38" l="1"/>
  <c r="B2" i="38" a="1"/>
  <c r="B2" i="38" l="1"/>
  <c r="A2" i="38" a="1"/>
  <c r="A2" i="38" l="1"/>
  <c r="AN4" i="9" a="1"/>
  <c r="AN4" i="9" l="1"/>
  <c r="AM4" i="9" a="1"/>
  <c r="AM4" i="9" l="1"/>
  <c r="AL4" i="9" a="1"/>
  <c r="AL4" i="9" l="1"/>
  <c r="AK4" i="9" a="1"/>
  <c r="AK4" i="9" l="1"/>
  <c r="AJ4" i="9" a="1"/>
  <c r="AJ4" i="9" l="1"/>
  <c r="AI4" i="9" a="1"/>
  <c r="AI4" i="9" l="1"/>
  <c r="AH4" i="9" a="1"/>
  <c r="AH4" i="9" l="1"/>
  <c r="AG4" i="9" a="1"/>
  <c r="AG4" i="9" l="1"/>
  <c r="AF4" i="9" a="1"/>
  <c r="AF4" i="9" l="1"/>
  <c r="AE4" i="9" a="1"/>
  <c r="AE4" i="9" l="1"/>
  <c r="AD4" i="9" a="1"/>
  <c r="AD4" i="9" l="1"/>
  <c r="AC4" i="9" a="1"/>
  <c r="AC4" i="9" l="1"/>
  <c r="AB4" i="9" a="1"/>
  <c r="AB4" i="9" l="1"/>
  <c r="AA4" i="9" a="1"/>
  <c r="AA4" i="9" l="1"/>
  <c r="Z4" i="9" a="1"/>
  <c r="Z4" i="9" l="1"/>
  <c r="Y4" i="9" a="1"/>
  <c r="Y4" i="9" l="1"/>
  <c r="X4" i="9" a="1"/>
  <c r="X4" i="9" l="1"/>
  <c r="W4" i="9" a="1"/>
  <c r="W4" i="9" l="1"/>
  <c r="V4" i="9" a="1"/>
  <c r="V4" i="9" l="1"/>
  <c r="U4" i="9" a="1"/>
  <c r="U4" i="9" l="1"/>
  <c r="T4" i="9" a="1"/>
  <c r="T4" i="9" l="1"/>
  <c r="S4" i="9" a="1"/>
  <c r="S4" i="9" l="1"/>
  <c r="R4" i="9" a="1"/>
  <c r="R4" i="9" l="1"/>
  <c r="Q4" i="9" a="1"/>
  <c r="Q4" i="9" l="1"/>
  <c r="P4" i="9" a="1"/>
  <c r="P4" i="9" l="1"/>
  <c r="O4" i="9" a="1"/>
  <c r="O4" i="9" l="1"/>
  <c r="N4" i="9" a="1"/>
  <c r="N4" i="9" l="1"/>
  <c r="M4" i="9" a="1"/>
  <c r="M4" i="9" l="1"/>
  <c r="L4" i="9" a="1"/>
  <c r="L4" i="9" l="1"/>
  <c r="K4" i="9" a="1"/>
  <c r="K4" i="9" l="1"/>
  <c r="J4" i="9" a="1"/>
  <c r="J4" i="9" l="1"/>
  <c r="I4" i="9" a="1"/>
  <c r="I4" i="9" l="1"/>
  <c r="H4" i="9" a="1"/>
  <c r="H4" i="9" l="1"/>
  <c r="G4" i="9" a="1"/>
  <c r="G4" i="9" l="1"/>
  <c r="F4" i="9" a="1"/>
  <c r="F4" i="9" l="1"/>
  <c r="E4" i="9" a="1"/>
  <c r="E4" i="9" l="1"/>
  <c r="D4" i="9" a="1"/>
  <c r="D4" i="9" l="1"/>
  <c r="C4" i="9" a="1"/>
  <c r="C4" i="9" l="1"/>
  <c r="B4" i="9" a="1"/>
  <c r="B4" i="9" l="1"/>
  <c r="A4" i="9" a="1"/>
  <c r="A13" i="9" l="1"/>
  <c r="A12" i="9"/>
  <c r="A11" i="9"/>
  <c r="A10" i="9"/>
  <c r="A9" i="9"/>
  <c r="A8" i="9"/>
  <c r="A7" i="9"/>
  <c r="A6" i="9"/>
  <c r="A5" i="9"/>
  <c r="A4" i="9"/>
  <c r="H15" i="43" a="1"/>
  <c r="H15" i="43" l="1"/>
  <c r="G15" i="43" a="1"/>
  <c r="G15" i="43" l="1"/>
  <c r="H14" i="43" a="1"/>
  <c r="H14" i="43" l="1"/>
  <c r="G14" i="43" a="1"/>
  <c r="G14" i="43" l="1"/>
  <c r="H13" i="43" a="1"/>
  <c r="H13" i="43" l="1"/>
  <c r="G13" i="43" a="1"/>
  <c r="G13" i="43" l="1"/>
  <c r="H12" i="43" a="1"/>
  <c r="H12" i="43" l="1"/>
  <c r="G12" i="43" a="1"/>
  <c r="G12" i="43" l="1"/>
  <c r="H11" i="43" a="1"/>
  <c r="H11" i="43" l="1"/>
  <c r="G11" i="43" a="1"/>
  <c r="G11" i="43" l="1"/>
  <c r="H10" i="43" a="1"/>
  <c r="H10" i="43" l="1"/>
  <c r="G10" i="43" a="1"/>
  <c r="G10" i="43" l="1"/>
  <c r="H9" i="43" a="1"/>
  <c r="H9" i="43" l="1"/>
  <c r="G9" i="43" a="1"/>
  <c r="G9" i="43" l="1"/>
  <c r="H8" i="43" a="1"/>
  <c r="H8" i="43" l="1"/>
  <c r="G8" i="43" a="1"/>
  <c r="G8" i="43" l="1"/>
  <c r="H7" i="43" a="1"/>
  <c r="H7" i="43" l="1"/>
  <c r="G7" i="43" a="1"/>
  <c r="G7" i="43" l="1"/>
  <c r="H6" i="43" a="1"/>
  <c r="H6" i="43" l="1"/>
  <c r="G6" i="43" a="1"/>
  <c r="G6" i="43" l="1"/>
  <c r="H5" i="43" a="1"/>
  <c r="H5" i="43" l="1"/>
  <c r="G5" i="43" a="1"/>
  <c r="G5" i="43" l="1"/>
  <c r="H4" i="43" a="1"/>
  <c r="H4" i="43" l="1"/>
  <c r="G4" i="43" a="1"/>
  <c r="G4" i="43" l="1"/>
  <c r="H3" i="43" a="1"/>
  <c r="H3" i="43" l="1"/>
  <c r="G3" i="43" a="1"/>
  <c r="G3" i="43" l="1"/>
  <c r="C11" i="43" a="1"/>
  <c r="C11" i="43" l="1"/>
  <c r="C10" i="43" a="1"/>
  <c r="C10" i="43" l="1"/>
  <c r="C9" i="43" a="1"/>
  <c r="C9" i="43" l="1"/>
  <c r="C8" i="43" a="1"/>
  <c r="C8" i="43" l="1"/>
  <c r="C7" i="43" a="1"/>
  <c r="C7" i="43" l="1"/>
  <c r="C6" i="43" a="1"/>
  <c r="C6" i="43" l="1"/>
  <c r="C5" i="43" a="1"/>
  <c r="C5" i="43" l="1"/>
  <c r="C4" i="43" a="1"/>
  <c r="C4" i="43" l="1"/>
  <c r="C3" i="43" a="1"/>
  <c r="C3" i="43" l="1"/>
  <c r="J15" i="42" a="1"/>
  <c r="J15" i="42" l="1"/>
  <c r="I15" i="42" a="1"/>
  <c r="I15" i="42" l="1"/>
  <c r="H15" i="42" a="1"/>
  <c r="H15" i="42" l="1"/>
  <c r="G15" i="42" a="1"/>
  <c r="G15" i="42" l="1"/>
  <c r="F15" i="42" a="1"/>
  <c r="F15" i="42" l="1"/>
  <c r="E15" i="42" a="1"/>
  <c r="E15" i="42" l="1"/>
  <c r="D15" i="42" a="1"/>
  <c r="D15" i="42" l="1"/>
  <c r="C15" i="42" a="1"/>
  <c r="C15" i="42" l="1"/>
  <c r="J14" i="42" a="1"/>
  <c r="J14" i="42" l="1"/>
  <c r="I14" i="42" a="1"/>
  <c r="I14" i="42" l="1"/>
  <c r="H14" i="42" a="1"/>
  <c r="H14" i="42" l="1"/>
  <c r="G14" i="42" a="1"/>
  <c r="G14" i="42" l="1"/>
  <c r="F14" i="42" a="1"/>
  <c r="F14" i="42" l="1"/>
  <c r="E14" i="42" a="1"/>
  <c r="E14" i="42" l="1"/>
  <c r="D14" i="42" a="1"/>
  <c r="D14" i="42" l="1"/>
  <c r="C14" i="42" a="1"/>
  <c r="C14" i="42" l="1"/>
  <c r="J13" i="42" a="1"/>
  <c r="J13" i="42" l="1"/>
  <c r="I13" i="42" a="1"/>
  <c r="I13" i="42" l="1"/>
  <c r="H13" i="42" a="1"/>
  <c r="H13" i="42" l="1"/>
  <c r="G13" i="42" a="1"/>
  <c r="G13" i="42" l="1"/>
  <c r="F13" i="42" a="1"/>
  <c r="F13" i="42" l="1"/>
  <c r="E13" i="42" a="1"/>
  <c r="E13" i="42" l="1"/>
  <c r="D13" i="42" a="1"/>
  <c r="D13" i="42" l="1"/>
  <c r="C13" i="42" a="1"/>
  <c r="C13" i="42" l="1"/>
  <c r="J12" i="42" a="1"/>
  <c r="J12" i="42" l="1"/>
  <c r="I12" i="42" a="1"/>
  <c r="I12" i="42" l="1"/>
  <c r="H12" i="42" a="1"/>
  <c r="H12" i="42" l="1"/>
  <c r="G12" i="42" a="1"/>
  <c r="G12" i="42" l="1"/>
  <c r="F12" i="42" a="1"/>
  <c r="F12" i="42" l="1"/>
  <c r="E12" i="42" a="1"/>
  <c r="E12" i="42" l="1"/>
  <c r="D12" i="42" a="1"/>
  <c r="D12" i="42" l="1"/>
  <c r="C12" i="42" a="1"/>
  <c r="C12" i="42" l="1"/>
  <c r="J11" i="42" a="1"/>
  <c r="J11" i="42" l="1"/>
  <c r="I11" i="42" a="1"/>
  <c r="I11" i="42" l="1"/>
  <c r="H11" i="42" a="1"/>
  <c r="H11" i="42" l="1"/>
  <c r="G11" i="42" a="1"/>
  <c r="G11" i="42" l="1"/>
  <c r="F11" i="42" a="1"/>
  <c r="F11" i="42" l="1"/>
  <c r="E11" i="42" a="1"/>
  <c r="E11" i="42" l="1"/>
  <c r="D11" i="42" a="1"/>
  <c r="D11" i="42" l="1"/>
  <c r="C11" i="42" a="1"/>
  <c r="C11" i="42" l="1"/>
  <c r="J10" i="42" a="1"/>
  <c r="J10" i="42" l="1"/>
  <c r="I10" i="42" a="1"/>
  <c r="I10" i="42" l="1"/>
  <c r="H10" i="42" a="1"/>
  <c r="H10" i="42" l="1"/>
  <c r="G10" i="42" a="1"/>
  <c r="G10" i="42" l="1"/>
  <c r="F10" i="42" a="1"/>
  <c r="F10" i="42" l="1"/>
  <c r="E10" i="42" a="1"/>
  <c r="E10" i="42" l="1"/>
  <c r="D10" i="42" a="1"/>
  <c r="D10" i="42" l="1"/>
  <c r="C10" i="42" a="1"/>
  <c r="C10" i="42" l="1"/>
  <c r="J9" i="42" a="1"/>
  <c r="J9" i="42" l="1"/>
  <c r="I9" i="42" a="1"/>
  <c r="I9" i="42" l="1"/>
  <c r="H9" i="42" a="1"/>
  <c r="H9" i="42" l="1"/>
  <c r="G9" i="42" a="1"/>
  <c r="G9" i="42" l="1"/>
  <c r="F9" i="42" a="1"/>
  <c r="F9" i="42" l="1"/>
  <c r="E9" i="42" a="1"/>
  <c r="E9" i="42" l="1"/>
  <c r="D9" i="42" a="1"/>
  <c r="D9" i="42" l="1"/>
  <c r="C9" i="42" a="1"/>
  <c r="C9" i="42" l="1"/>
  <c r="J8" i="42" a="1"/>
  <c r="J8" i="42" l="1"/>
  <c r="I8" i="42" a="1"/>
  <c r="I8" i="42" l="1"/>
  <c r="H8" i="42" a="1"/>
  <c r="H8" i="42" l="1"/>
  <c r="G8" i="42" a="1"/>
  <c r="G8" i="42" l="1"/>
  <c r="F8" i="42" a="1"/>
  <c r="F8" i="42" l="1"/>
  <c r="E8" i="42" a="1"/>
  <c r="E8" i="42" l="1"/>
  <c r="D8" i="42" a="1"/>
  <c r="D8" i="42" l="1"/>
  <c r="C8" i="42" a="1"/>
  <c r="C8" i="42" l="1"/>
  <c r="J7" i="42" a="1"/>
  <c r="J7" i="42" l="1"/>
  <c r="I7" i="42" a="1"/>
  <c r="I7" i="42" l="1"/>
  <c r="H7" i="42" a="1"/>
  <c r="H7" i="42" l="1"/>
  <c r="G7" i="42" a="1"/>
  <c r="G7" i="42" l="1"/>
  <c r="F7" i="42" a="1"/>
  <c r="F7" i="42" l="1"/>
  <c r="E7" i="42" a="1"/>
  <c r="E7" i="42" l="1"/>
  <c r="D7" i="42" a="1"/>
  <c r="D7" i="42" l="1"/>
  <c r="C7" i="42" a="1"/>
  <c r="C7" i="42" l="1"/>
  <c r="J6" i="42" a="1"/>
  <c r="J6" i="42" l="1"/>
  <c r="I6" i="42" a="1"/>
  <c r="I6" i="42" l="1"/>
  <c r="H6" i="42" a="1"/>
  <c r="H6" i="42" l="1"/>
  <c r="G6" i="42" a="1"/>
  <c r="G6" i="42" l="1"/>
  <c r="F6" i="42" a="1"/>
  <c r="F6" i="42" l="1"/>
  <c r="E6" i="42" a="1"/>
  <c r="E6" i="42" l="1"/>
  <c r="D6" i="42" a="1"/>
  <c r="D6" i="42" l="1"/>
  <c r="C6" i="42" a="1"/>
  <c r="C6" i="42" l="1"/>
  <c r="J5" i="42" a="1"/>
  <c r="J5" i="42" l="1"/>
  <c r="I5" i="42" a="1"/>
  <c r="I5" i="42" l="1"/>
  <c r="H5" i="42" a="1"/>
  <c r="H5" i="42" l="1"/>
  <c r="G5" i="42" a="1"/>
  <c r="G5" i="42" l="1"/>
  <c r="F5" i="42" a="1"/>
  <c r="F5" i="42" l="1"/>
  <c r="E5" i="42" a="1"/>
  <c r="E5" i="42" l="1"/>
  <c r="D5" i="42" a="1"/>
  <c r="D5" i="42" l="1"/>
  <c r="C5" i="42" a="1"/>
  <c r="C5" i="42" l="1"/>
  <c r="J4" i="42" a="1"/>
  <c r="J4" i="42" l="1"/>
  <c r="I4" i="42" a="1"/>
  <c r="I4" i="42" l="1"/>
  <c r="H4" i="42" a="1"/>
  <c r="H4" i="42" l="1"/>
  <c r="G4" i="42" a="1"/>
  <c r="G4" i="42" l="1"/>
  <c r="F4" i="42" a="1"/>
  <c r="F4" i="42" l="1"/>
  <c r="E4" i="42" a="1"/>
  <c r="E4" i="42" l="1"/>
  <c r="D4" i="42" a="1"/>
  <c r="D4" i="42" l="1"/>
  <c r="C4" i="42" a="1"/>
  <c r="C4" i="42" l="1"/>
  <c r="J3" i="42" a="1"/>
  <c r="J3" i="42" l="1"/>
  <c r="I3" i="42" a="1"/>
  <c r="I3" i="42" l="1"/>
  <c r="H3" i="42" a="1"/>
  <c r="H3" i="42" l="1"/>
  <c r="G3" i="42" a="1"/>
  <c r="G3" i="42" l="1"/>
  <c r="F3" i="42" a="1"/>
  <c r="F3" i="42" l="1"/>
  <c r="E3" i="42" a="1"/>
  <c r="E3" i="42" l="1"/>
  <c r="D3" i="42" a="1"/>
  <c r="D3" i="42" l="1"/>
  <c r="C3" i="42" a="1"/>
  <c r="C3" i="42" l="1"/>
  <c r="N2" i="18" a="1"/>
  <c r="N2" i="18" l="1"/>
  <c r="M2" i="18" a="1"/>
  <c r="M2" i="18" l="1"/>
  <c r="L2" i="18" a="1"/>
  <c r="L2" i="18" l="1"/>
  <c r="K2" i="18" a="1"/>
  <c r="K2" i="18" l="1"/>
  <c r="J2" i="18" a="1"/>
  <c r="J2" i="18" l="1"/>
  <c r="I2" i="18" a="1"/>
  <c r="I2" i="18" l="1"/>
  <c r="H2" i="18" a="1"/>
  <c r="H2" i="18" l="1"/>
  <c r="G2" i="18" a="1"/>
  <c r="G2" i="18" l="1"/>
  <c r="F2" i="18" a="1"/>
  <c r="F2" i="18" l="1"/>
  <c r="E2" i="18" a="1"/>
  <c r="E2" i="18" l="1"/>
  <c r="D2" i="18" a="1"/>
  <c r="D2" i="18" l="1"/>
  <c r="C2" i="18" a="1"/>
  <c r="C2" i="18" l="1"/>
  <c r="B2" i="18" a="1"/>
  <c r="B2" i="18" l="1"/>
  <c r="A2" i="18" a="1"/>
  <c r="A2" i="18" l="1"/>
  <c r="N2" i="15" a="1"/>
  <c r="N2" i="15" l="1"/>
  <c r="M2" i="15" a="1"/>
  <c r="M2" i="15" l="1"/>
  <c r="L2" i="15" a="1"/>
  <c r="L2" i="15" l="1"/>
  <c r="K2" i="15" a="1"/>
  <c r="K2" i="15" l="1"/>
  <c r="J2" i="15" a="1"/>
  <c r="J2" i="15" l="1"/>
  <c r="I2" i="15" a="1"/>
  <c r="I2" i="15" l="1"/>
  <c r="H2" i="15" a="1"/>
  <c r="H2" i="15" l="1"/>
  <c r="G2" i="15" a="1"/>
  <c r="G2" i="15" l="1"/>
  <c r="F2" i="15" a="1"/>
  <c r="F2" i="15" l="1"/>
  <c r="E2" i="15" a="1"/>
  <c r="E2" i="15" l="1"/>
  <c r="D2" i="15" a="1"/>
  <c r="D2" i="15" l="1"/>
  <c r="C2" i="15" a="1"/>
  <c r="C2" i="15" l="1"/>
  <c r="B2" i="15" a="1"/>
  <c r="B2" i="15" l="1"/>
  <c r="A2" i="15" a="1"/>
  <c r="A2" i="15" l="1"/>
  <c r="N2" i="5" a="1"/>
  <c r="N2" i="5" l="1"/>
  <c r="M2" i="5" a="1"/>
  <c r="M2" i="5" l="1"/>
  <c r="L2" i="5" a="1"/>
  <c r="L2" i="5" l="1"/>
  <c r="K2" i="5" a="1"/>
  <c r="K2" i="5" l="1"/>
  <c r="J2" i="5" a="1"/>
  <c r="J2" i="5" l="1"/>
  <c r="I2" i="5" a="1"/>
  <c r="I2" i="5" l="1"/>
  <c r="H2" i="5" a="1"/>
  <c r="H2" i="5" l="1"/>
  <c r="G2" i="5" a="1"/>
  <c r="G2" i="5" l="1"/>
  <c r="F2" i="5" a="1"/>
  <c r="F2" i="5" l="1"/>
  <c r="E2" i="5" a="1"/>
  <c r="E2" i="5" l="1"/>
  <c r="D2" i="5" a="1"/>
  <c r="D2" i="5" l="1"/>
  <c r="C2" i="5" a="1"/>
  <c r="C2" i="5" l="1"/>
  <c r="B2" i="5" a="1"/>
  <c r="B2" i="5" l="1"/>
  <c r="A2" i="5" a="1"/>
  <c r="A2" i="5" l="1"/>
  <c r="N2" i="7" a="1"/>
  <c r="N2" i="7" l="1"/>
  <c r="M2" i="7" a="1"/>
  <c r="M2" i="7" l="1"/>
  <c r="L2" i="7" a="1"/>
  <c r="L2" i="7" l="1"/>
  <c r="K2" i="7" a="1"/>
  <c r="K2" i="7" l="1"/>
  <c r="J2" i="7" a="1"/>
  <c r="J2" i="7" l="1"/>
  <c r="I2" i="7" a="1"/>
  <c r="I2" i="7" l="1"/>
  <c r="H2" i="7" a="1"/>
  <c r="H2" i="7" l="1"/>
  <c r="G2" i="7" a="1"/>
  <c r="G2" i="7" l="1"/>
  <c r="F2" i="7" a="1"/>
  <c r="F2" i="7" l="1"/>
  <c r="E2" i="7" a="1"/>
  <c r="E2" i="7" l="1"/>
  <c r="D2" i="7" a="1"/>
  <c r="D2" i="7" l="1"/>
  <c r="C2" i="7" a="1"/>
  <c r="C2" i="7" l="1"/>
  <c r="B2" i="7" a="1"/>
  <c r="B2" i="7" l="1"/>
  <c r="A2" i="7" a="1"/>
  <c r="A2" i="7" l="1"/>
  <c r="N2" i="47" a="1"/>
  <c r="N2" i="47" l="1"/>
  <c r="M2" i="47" a="1"/>
  <c r="M2" i="47" l="1"/>
  <c r="L2" i="47" a="1"/>
  <c r="L2" i="47" l="1"/>
  <c r="K2" i="47" a="1"/>
  <c r="K2" i="47" l="1"/>
  <c r="J2" i="47" a="1"/>
  <c r="J2" i="47" l="1"/>
  <c r="I2" i="47" a="1"/>
  <c r="I2" i="47" l="1"/>
  <c r="H2" i="47" a="1"/>
  <c r="H2" i="47" l="1"/>
  <c r="G2" i="47" a="1"/>
  <c r="G2" i="47" l="1"/>
  <c r="F2" i="47" a="1"/>
  <c r="F2" i="47" l="1"/>
  <c r="E2" i="47" a="1"/>
  <c r="E2" i="47" l="1"/>
  <c r="D2" i="47" a="1"/>
  <c r="D2" i="47" l="1"/>
  <c r="C2" i="47" a="1"/>
  <c r="C2" i="47" l="1"/>
  <c r="B2" i="47" a="1"/>
  <c r="B2" i="47" l="1"/>
  <c r="A2" i="47" a="1"/>
  <c r="A2" i="47" l="1"/>
  <c r="N2" i="46" a="1"/>
  <c r="N2" i="46" l="1"/>
  <c r="M2" i="46" a="1"/>
  <c r="M2" i="46" l="1"/>
  <c r="L2" i="46" a="1"/>
  <c r="L2" i="46" l="1"/>
  <c r="K2" i="46" a="1"/>
  <c r="K2" i="46" l="1"/>
  <c r="J2" i="46" a="1"/>
  <c r="J2" i="46" l="1"/>
  <c r="I2" i="46" a="1"/>
  <c r="I2" i="46" l="1"/>
  <c r="H2" i="46" a="1"/>
  <c r="H2" i="46" l="1"/>
  <c r="G2" i="46" a="1"/>
  <c r="G2" i="46" l="1"/>
  <c r="F2" i="46" a="1"/>
  <c r="F2" i="46" l="1"/>
  <c r="E2" i="46" a="1"/>
  <c r="E2" i="46" l="1"/>
  <c r="D2" i="46" a="1"/>
  <c r="D2" i="46" l="1"/>
  <c r="C2" i="46" a="1"/>
  <c r="C2" i="46" l="1"/>
  <c r="B2" i="46" a="1"/>
  <c r="B2" i="46" l="1"/>
  <c r="A2" i="46" a="1"/>
  <c r="A2" i="46" l="1"/>
  <c r="J12" i="52" a="1"/>
  <c r="J12" i="52" l="1"/>
  <c r="I12" i="52" a="1"/>
  <c r="I12" i="52" l="1"/>
  <c r="H12" i="52" a="1"/>
  <c r="H12" i="52" l="1"/>
  <c r="G12" i="52" a="1"/>
  <c r="G12" i="52" l="1"/>
  <c r="F12" i="52" a="1"/>
  <c r="F12" i="52" l="1"/>
  <c r="E12" i="52" a="1"/>
  <c r="E12" i="52" l="1"/>
  <c r="D12" i="52" a="1"/>
  <c r="D12" i="52" l="1"/>
  <c r="C12" i="52" a="1"/>
  <c r="C12" i="52" l="1"/>
  <c r="J11" i="52" a="1"/>
  <c r="J11" i="52" l="1"/>
  <c r="I11" i="52" a="1"/>
  <c r="I11" i="52" l="1"/>
  <c r="H11" i="52" a="1"/>
  <c r="H11" i="52" l="1"/>
  <c r="G11" i="52" a="1"/>
  <c r="G11" i="52" l="1"/>
  <c r="F11" i="52" a="1"/>
  <c r="F11" i="52" l="1"/>
  <c r="E11" i="52" a="1"/>
  <c r="E11" i="52" l="1"/>
  <c r="D11" i="52" a="1"/>
  <c r="D11" i="52" l="1"/>
  <c r="C11" i="52" a="1"/>
  <c r="C11" i="52" l="1"/>
  <c r="J10" i="52" a="1"/>
  <c r="J10" i="52" l="1"/>
  <c r="I10" i="52" a="1"/>
  <c r="I10" i="52" l="1"/>
  <c r="H10" i="52" a="1"/>
  <c r="H10" i="52" l="1"/>
  <c r="G10" i="52" a="1"/>
  <c r="G10" i="52" l="1"/>
  <c r="F10" i="52" a="1"/>
  <c r="F10" i="52" l="1"/>
  <c r="E10" i="52" a="1"/>
  <c r="E10" i="52" l="1"/>
  <c r="D10" i="52" a="1"/>
  <c r="D10" i="52" l="1"/>
  <c r="C10" i="52" a="1"/>
  <c r="C10" i="52" l="1"/>
  <c r="J9" i="52" a="1"/>
  <c r="J9" i="52" l="1"/>
  <c r="I9" i="52" a="1"/>
  <c r="I9" i="52" l="1"/>
  <c r="H9" i="52" a="1"/>
  <c r="H9" i="52" l="1"/>
  <c r="G9" i="52" a="1"/>
  <c r="G9" i="52" l="1"/>
  <c r="F9" i="52" a="1"/>
  <c r="F9" i="52" l="1"/>
  <c r="E9" i="52" a="1"/>
  <c r="E9" i="52" l="1"/>
  <c r="D9" i="52" a="1"/>
  <c r="D9" i="52" l="1"/>
  <c r="C9" i="52" a="1"/>
  <c r="C9" i="52" l="1"/>
  <c r="J8" i="52" a="1"/>
  <c r="J8" i="52" l="1"/>
  <c r="I8" i="52" a="1"/>
  <c r="I8" i="52" l="1"/>
  <c r="H8" i="52" a="1"/>
  <c r="H8" i="52" l="1"/>
  <c r="G8" i="52" a="1"/>
  <c r="G8" i="52" l="1"/>
  <c r="F8" i="52" a="1"/>
  <c r="F8" i="52" l="1"/>
  <c r="E8" i="52" a="1"/>
  <c r="E8" i="52" l="1"/>
  <c r="D8" i="52" a="1"/>
  <c r="D8" i="52" l="1"/>
  <c r="C8" i="52" a="1"/>
  <c r="C8" i="52" l="1"/>
  <c r="J7" i="52" a="1"/>
  <c r="J7" i="52" l="1"/>
  <c r="I7" i="52" a="1"/>
  <c r="I7" i="52" l="1"/>
  <c r="H7" i="52" a="1"/>
  <c r="H7" i="52" l="1"/>
  <c r="G7" i="52" a="1"/>
  <c r="G7" i="52" l="1"/>
  <c r="F7" i="52" a="1"/>
  <c r="F7" i="52" l="1"/>
  <c r="E7" i="52" a="1"/>
  <c r="E7" i="52" l="1"/>
  <c r="D7" i="52" a="1"/>
  <c r="D7" i="52" l="1"/>
  <c r="C7" i="52" a="1"/>
  <c r="C7" i="52" l="1"/>
  <c r="J6" i="52" a="1"/>
  <c r="J6" i="52" l="1"/>
  <c r="I6" i="52" a="1"/>
  <c r="I6" i="52" l="1"/>
  <c r="H6" i="52" a="1"/>
  <c r="H6" i="52" l="1"/>
  <c r="G6" i="52" a="1"/>
  <c r="G6" i="52" l="1"/>
  <c r="F6" i="52" a="1"/>
  <c r="F6" i="52" l="1"/>
  <c r="E6" i="52" a="1"/>
  <c r="E6" i="52" l="1"/>
  <c r="D6" i="52" a="1"/>
  <c r="D6" i="52" l="1"/>
  <c r="C6" i="52" a="1"/>
  <c r="C6" i="52" l="1"/>
  <c r="J5" i="52" a="1"/>
  <c r="J5" i="52" l="1"/>
  <c r="I5" i="52" a="1"/>
  <c r="I5" i="52" l="1"/>
  <c r="H5" i="52" a="1"/>
  <c r="H5" i="52" l="1"/>
  <c r="G5" i="52" a="1"/>
  <c r="G5" i="52" l="1"/>
  <c r="F5" i="52" a="1"/>
  <c r="F5" i="52" l="1"/>
  <c r="E5" i="52" a="1"/>
  <c r="E5" i="52" l="1"/>
  <c r="D5" i="52" a="1"/>
  <c r="D5" i="52" l="1"/>
  <c r="C5" i="52" a="1"/>
  <c r="C5" i="52" l="1"/>
  <c r="J4" i="52" a="1"/>
  <c r="J4" i="52" l="1"/>
  <c r="I4" i="52" a="1"/>
  <c r="I4" i="52" l="1"/>
  <c r="H4" i="52" a="1"/>
  <c r="H4" i="52" l="1"/>
  <c r="G4" i="52" a="1"/>
  <c r="G4" i="52" l="1"/>
  <c r="F4" i="52" a="1"/>
  <c r="F4" i="52" l="1"/>
  <c r="E4" i="52" a="1"/>
  <c r="E4" i="52" l="1"/>
  <c r="D4" i="52" a="1"/>
  <c r="D4" i="52" l="1"/>
  <c r="C4" i="52" a="1"/>
  <c r="C4" i="52" l="1"/>
  <c r="J3" i="52" a="1"/>
  <c r="J3" i="52" l="1"/>
  <c r="I3" i="52" a="1"/>
  <c r="I3" i="52" l="1"/>
  <c r="H3" i="52" a="1"/>
  <c r="H3" i="52" l="1"/>
  <c r="G3" i="52" a="1"/>
  <c r="G3" i="52" l="1"/>
  <c r="F3" i="52" a="1"/>
  <c r="F3" i="52" l="1"/>
  <c r="E3" i="52" a="1"/>
  <c r="E3" i="52" l="1"/>
  <c r="D3" i="52" a="1"/>
  <c r="D3" i="52" l="1"/>
  <c r="C3" i="52" a="1"/>
  <c r="C3" i="52" l="1"/>
  <c r="V17" i="56" a="1"/>
  <c r="V17" i="56" l="1"/>
  <c r="U17" i="56" a="1"/>
  <c r="U17" i="56" l="1"/>
  <c r="T17" i="56" a="1"/>
  <c r="T17" i="56" l="1"/>
  <c r="S17" i="56" a="1"/>
  <c r="S17" i="56" l="1"/>
  <c r="V16" i="56" a="1"/>
  <c r="V16" i="56" l="1"/>
  <c r="U16" i="56" a="1"/>
  <c r="U16" i="56" l="1"/>
  <c r="T16" i="56" a="1"/>
  <c r="T16" i="56" l="1"/>
  <c r="S16" i="56" a="1"/>
  <c r="S16" i="56" l="1"/>
  <c r="V15" i="56" a="1"/>
  <c r="V15" i="56" l="1"/>
  <c r="U15" i="56" a="1"/>
  <c r="U15" i="56" l="1"/>
  <c r="T15" i="56" a="1"/>
  <c r="T15" i="56" l="1"/>
  <c r="S15" i="56" a="1"/>
  <c r="S15" i="56" l="1"/>
  <c r="V14" i="56" a="1"/>
  <c r="V14" i="56" l="1"/>
  <c r="U14" i="56" a="1"/>
  <c r="U14" i="56" l="1"/>
  <c r="T14" i="56" a="1"/>
  <c r="T14" i="56" l="1"/>
  <c r="S14" i="56" a="1"/>
  <c r="S14" i="56" l="1"/>
  <c r="V13" i="56" a="1"/>
  <c r="V13" i="56" l="1"/>
  <c r="U13" i="56" a="1"/>
  <c r="U13" i="56" l="1"/>
  <c r="T13" i="56" a="1"/>
  <c r="T13" i="56" l="1"/>
  <c r="S13" i="56" a="1"/>
  <c r="S13" i="56" l="1"/>
  <c r="V12" i="56" a="1"/>
  <c r="V12" i="56" l="1"/>
  <c r="U12" i="56" a="1"/>
  <c r="U12" i="56" l="1"/>
  <c r="T12" i="56" a="1"/>
  <c r="T12" i="56" l="1"/>
  <c r="S12" i="56" a="1"/>
  <c r="S12" i="56" l="1"/>
  <c r="V11" i="56" a="1"/>
  <c r="V11" i="56" l="1"/>
  <c r="U11" i="56" a="1"/>
  <c r="U11" i="56" l="1"/>
  <c r="T11" i="56" a="1"/>
  <c r="T11" i="56" l="1"/>
  <c r="S11" i="56" a="1"/>
  <c r="S11" i="56" l="1"/>
  <c r="V10" i="56" a="1"/>
  <c r="V10" i="56" l="1"/>
  <c r="U10" i="56" a="1"/>
  <c r="U10" i="56" l="1"/>
  <c r="T10" i="56" a="1"/>
  <c r="T10" i="56" l="1"/>
  <c r="S10" i="56" a="1"/>
  <c r="S10" i="56" l="1"/>
  <c r="V9" i="56" a="1"/>
  <c r="V9" i="56" l="1"/>
  <c r="U9" i="56" a="1"/>
  <c r="U9" i="56" l="1"/>
  <c r="T9" i="56" a="1"/>
  <c r="T9" i="56" l="1"/>
  <c r="S9" i="56" a="1"/>
  <c r="S9" i="56" l="1"/>
  <c r="V8" i="56" a="1"/>
  <c r="V8" i="56" l="1"/>
  <c r="U8" i="56" a="1"/>
  <c r="U8" i="56" l="1"/>
  <c r="T8" i="56" a="1"/>
  <c r="T8" i="56" l="1"/>
  <c r="S8" i="56" a="1"/>
  <c r="S8" i="56" l="1"/>
  <c r="V7" i="56" a="1"/>
  <c r="V7" i="56" l="1"/>
  <c r="U7" i="56" a="1"/>
  <c r="U7" i="56" l="1"/>
  <c r="T7" i="56" a="1"/>
  <c r="T7" i="56" l="1"/>
  <c r="S7" i="56" a="1"/>
  <c r="S7" i="56" l="1"/>
  <c r="V6" i="56" a="1"/>
  <c r="V6" i="56" l="1"/>
  <c r="U6" i="56" a="1"/>
  <c r="U6" i="56" l="1"/>
  <c r="T6" i="56" a="1"/>
  <c r="T6" i="56" l="1"/>
  <c r="S6" i="56" a="1"/>
  <c r="S6" i="56" l="1"/>
  <c r="V5" i="56" a="1"/>
  <c r="V5" i="56" l="1"/>
  <c r="U5" i="56" a="1"/>
  <c r="U5" i="56" l="1"/>
  <c r="T5" i="56" a="1"/>
  <c r="T5" i="56" l="1"/>
  <c r="S5" i="56" a="1"/>
  <c r="S5" i="56" l="1"/>
  <c r="J17" i="56" a="1"/>
  <c r="J17" i="56" l="1"/>
  <c r="I17" i="56" a="1"/>
  <c r="I17" i="56" l="1"/>
  <c r="H17" i="56" a="1"/>
  <c r="H17" i="56" l="1"/>
  <c r="G17" i="56" a="1"/>
  <c r="G17" i="56" l="1"/>
  <c r="J16" i="56" a="1"/>
  <c r="J16" i="56" l="1"/>
  <c r="I16" i="56" a="1"/>
  <c r="I16" i="56" l="1"/>
  <c r="H16" i="56" a="1"/>
  <c r="H16" i="56" l="1"/>
  <c r="G16" i="56" a="1"/>
  <c r="G16" i="56" l="1"/>
  <c r="J15" i="56" a="1"/>
  <c r="J15" i="56" l="1"/>
  <c r="I15" i="56" a="1"/>
  <c r="I15" i="56" l="1"/>
  <c r="H15" i="56" a="1"/>
  <c r="H15" i="56" l="1"/>
  <c r="G15" i="56" a="1"/>
  <c r="G15" i="56" l="1"/>
  <c r="J14" i="56" a="1"/>
  <c r="J14" i="56" l="1"/>
  <c r="I14" i="56" a="1"/>
  <c r="I14" i="56" l="1"/>
  <c r="H14" i="56" a="1"/>
  <c r="H14" i="56" l="1"/>
  <c r="G14" i="56" a="1"/>
  <c r="G14" i="56" l="1"/>
  <c r="J13" i="56" a="1"/>
  <c r="J13" i="56" l="1"/>
  <c r="I13" i="56" a="1"/>
  <c r="I13" i="56" l="1"/>
  <c r="H13" i="56" a="1"/>
  <c r="H13" i="56" l="1"/>
  <c r="G13" i="56" a="1"/>
  <c r="G13" i="56" l="1"/>
  <c r="J12" i="56" a="1"/>
  <c r="J12" i="56" l="1"/>
  <c r="I12" i="56" a="1"/>
  <c r="I12" i="56" l="1"/>
  <c r="H12" i="56" a="1"/>
  <c r="H12" i="56" l="1"/>
  <c r="G12" i="56" a="1"/>
  <c r="G12" i="56" l="1"/>
  <c r="J11" i="56" a="1"/>
  <c r="J11" i="56" l="1"/>
  <c r="I11" i="56" a="1"/>
  <c r="I11" i="56" l="1"/>
  <c r="H11" i="56" a="1"/>
  <c r="H11" i="56" l="1"/>
  <c r="G11" i="56" a="1"/>
  <c r="G11" i="56" l="1"/>
  <c r="J10" i="56" a="1"/>
  <c r="J10" i="56" l="1"/>
  <c r="I10" i="56" a="1"/>
  <c r="I10" i="56" l="1"/>
  <c r="H10" i="56" a="1"/>
  <c r="H10" i="56" l="1"/>
  <c r="G10" i="56" a="1"/>
  <c r="G10" i="56" l="1"/>
  <c r="J9" i="56" a="1"/>
  <c r="J9" i="56" l="1"/>
  <c r="I9" i="56" a="1"/>
  <c r="I9" i="56" l="1"/>
  <c r="H9" i="56" a="1"/>
  <c r="H9" i="56" l="1"/>
  <c r="G9" i="56" a="1"/>
  <c r="G9" i="56" l="1"/>
  <c r="J8" i="56" a="1"/>
  <c r="J8" i="56" l="1"/>
  <c r="I8" i="56" a="1"/>
  <c r="I8" i="56" l="1"/>
  <c r="H8" i="56" a="1"/>
  <c r="H8" i="56" l="1"/>
  <c r="G8" i="56" a="1"/>
  <c r="G8" i="56" l="1"/>
  <c r="J7" i="56" a="1"/>
  <c r="J7" i="56" l="1"/>
  <c r="I7" i="56" a="1"/>
  <c r="I7" i="56" l="1"/>
  <c r="H7" i="56" a="1"/>
  <c r="H7" i="56" l="1"/>
  <c r="G7" i="56" a="1"/>
  <c r="G7" i="56" l="1"/>
  <c r="J6" i="56" a="1"/>
  <c r="J6" i="56" l="1"/>
  <c r="I6" i="56" a="1"/>
  <c r="I6" i="56" l="1"/>
  <c r="H6" i="56" a="1"/>
  <c r="H6" i="56" l="1"/>
  <c r="G6" i="56" a="1"/>
  <c r="G6" i="56" l="1"/>
  <c r="J5" i="56" a="1"/>
  <c r="J5" i="56" l="1"/>
  <c r="I5" i="56" a="1"/>
  <c r="I5" i="56" l="1"/>
  <c r="H5" i="56" a="1"/>
  <c r="H5" i="56" l="1"/>
  <c r="G5" i="56" a="1"/>
  <c r="G5" i="56" l="1"/>
  <c r="C26" i="56" a="1"/>
  <c r="C26" i="56" l="1"/>
  <c r="C25" i="56" a="1"/>
  <c r="C25" i="56" l="1"/>
  <c r="C24" i="56" a="1"/>
  <c r="C24" i="56" l="1"/>
  <c r="C23" i="56" a="1"/>
  <c r="C23" i="56" l="1"/>
  <c r="B17" i="56" a="1"/>
  <c r="B17" i="56" l="1"/>
  <c r="B16" i="56" a="1"/>
  <c r="B16" i="56" l="1"/>
  <c r="B15" i="56" a="1"/>
  <c r="B15" i="56" l="1"/>
  <c r="B14" i="56" a="1"/>
  <c r="B14" i="56" l="1"/>
  <c r="B13" i="56" a="1"/>
  <c r="B13" i="56" l="1"/>
  <c r="B12" i="56" a="1"/>
  <c r="B12" i="56" l="1"/>
  <c r="B11" i="56" a="1"/>
  <c r="B11" i="56" l="1"/>
  <c r="B10" i="56" a="1"/>
  <c r="B10" i="56" l="1"/>
  <c r="B9" i="56" a="1"/>
  <c r="B9" i="56" l="1"/>
  <c r="B8" i="56" a="1"/>
  <c r="B8" i="56" l="1"/>
  <c r="B7" i="56" a="1"/>
  <c r="B7" i="56" l="1"/>
  <c r="B6" i="56" a="1"/>
  <c r="B6" i="56" l="1"/>
  <c r="B5" i="56" a="1"/>
  <c r="B5" i="56" l="1"/>
  <c r="C16" i="13" a="1"/>
  <c r="C16" i="13" l="1"/>
  <c r="C15" i="13" a="1"/>
  <c r="C15" i="13" l="1"/>
  <c r="C14" i="13" a="1"/>
  <c r="C14" i="13" l="1"/>
  <c r="C13" i="13" a="1"/>
  <c r="C13" i="13" l="1"/>
  <c r="C12" i="13" a="1"/>
  <c r="C12" i="13" l="1"/>
  <c r="C11" i="13" a="1"/>
  <c r="C11" i="13" l="1"/>
  <c r="C10" i="13" a="1"/>
  <c r="C10" i="13" l="1"/>
  <c r="C9" i="13" a="1"/>
  <c r="C9" i="13" l="1"/>
  <c r="C8" i="13" a="1"/>
  <c r="C8" i="13" l="1"/>
  <c r="C7" i="13" a="1"/>
  <c r="C7" i="13" l="1"/>
  <c r="C6" i="13" a="1"/>
  <c r="C6" i="13" l="1"/>
  <c r="C5" i="13" a="1"/>
  <c r="C5" i="13" l="1"/>
  <c r="C4" i="13" a="1"/>
  <c r="C4" i="13" l="1"/>
  <c r="S23" i="12" a="1"/>
  <c r="S23" i="12" l="1"/>
  <c r="R23" i="12" a="1"/>
  <c r="R23" i="12" l="1"/>
  <c r="Q23" i="12" a="1"/>
  <c r="Q23" i="12" l="1"/>
  <c r="P23" i="12" a="1"/>
  <c r="P23" i="12" l="1"/>
  <c r="O23" i="12" a="1"/>
  <c r="O23" i="12" l="1"/>
  <c r="N23" i="12" a="1"/>
  <c r="N23" i="12" l="1"/>
  <c r="M23" i="12" a="1"/>
  <c r="M23" i="12" l="1"/>
  <c r="L23" i="12" a="1"/>
  <c r="L23" i="12" l="1"/>
  <c r="K23" i="12" a="1"/>
  <c r="K23" i="12" l="1"/>
  <c r="S22" i="12" a="1"/>
  <c r="S22" i="12" l="1"/>
  <c r="R22" i="12" a="1"/>
  <c r="R22" i="12" l="1"/>
  <c r="Q22" i="12" a="1"/>
  <c r="Q22" i="12" l="1"/>
  <c r="P22" i="12" a="1"/>
  <c r="P22" i="12" l="1"/>
  <c r="O22" i="12" a="1"/>
  <c r="O22" i="12" l="1"/>
  <c r="N22" i="12" a="1"/>
  <c r="N22" i="12" l="1"/>
  <c r="M22" i="12" a="1"/>
  <c r="M22" i="12" l="1"/>
  <c r="L22" i="12" a="1"/>
  <c r="L22" i="12" l="1"/>
  <c r="K22" i="12" a="1"/>
  <c r="K22" i="12" l="1"/>
  <c r="S21" i="12" a="1"/>
  <c r="S21" i="12" l="1"/>
  <c r="R21" i="12" a="1"/>
  <c r="R21" i="12" l="1"/>
  <c r="Q21" i="12" a="1"/>
  <c r="Q21" i="12" l="1"/>
  <c r="P21" i="12" a="1"/>
  <c r="P21" i="12" l="1"/>
  <c r="O21" i="12" a="1"/>
  <c r="O21" i="12" l="1"/>
  <c r="N21" i="12" a="1"/>
  <c r="N21" i="12" l="1"/>
  <c r="M21" i="12" a="1"/>
  <c r="M21" i="12" l="1"/>
  <c r="L21" i="12" a="1"/>
  <c r="L21" i="12" l="1"/>
  <c r="K21" i="12" a="1"/>
  <c r="K21" i="12" l="1"/>
  <c r="S20" i="12" a="1"/>
  <c r="S20" i="12" l="1"/>
  <c r="R20" i="12" a="1"/>
  <c r="R20" i="12" l="1"/>
  <c r="Q20" i="12" a="1"/>
  <c r="Q20" i="12" l="1"/>
  <c r="P20" i="12" a="1"/>
  <c r="P20" i="12" l="1"/>
  <c r="O20" i="12" a="1"/>
  <c r="O20" i="12" l="1"/>
  <c r="N20" i="12" a="1"/>
  <c r="N20" i="12" l="1"/>
  <c r="M20" i="12" a="1"/>
  <c r="M20" i="12" l="1"/>
  <c r="L20" i="12" a="1"/>
  <c r="L20" i="12" l="1"/>
  <c r="K20" i="12" a="1"/>
  <c r="K20" i="12" l="1"/>
  <c r="S19" i="12" a="1"/>
  <c r="S19" i="12" l="1"/>
  <c r="R19" i="12" a="1"/>
  <c r="R19" i="12" l="1"/>
  <c r="Q19" i="12" a="1"/>
  <c r="Q19" i="12" l="1"/>
  <c r="P19" i="12" a="1"/>
  <c r="P19" i="12" l="1"/>
  <c r="O19" i="12" a="1"/>
  <c r="O19" i="12" l="1"/>
  <c r="N19" i="12" a="1"/>
  <c r="N19" i="12" l="1"/>
  <c r="M19" i="12" a="1"/>
  <c r="M19" i="12" l="1"/>
  <c r="L19" i="12" a="1"/>
  <c r="L19" i="12" l="1"/>
  <c r="K19" i="12" a="1"/>
  <c r="K19" i="12" l="1"/>
  <c r="S18" i="12" a="1"/>
  <c r="S18" i="12" l="1"/>
  <c r="R18" i="12" a="1"/>
  <c r="R18" i="12" l="1"/>
  <c r="Q18" i="12" a="1"/>
  <c r="Q18" i="12" l="1"/>
  <c r="P18" i="12" a="1"/>
  <c r="P18" i="12" l="1"/>
  <c r="O18" i="12" a="1"/>
  <c r="O18" i="12" l="1"/>
  <c r="N18" i="12" a="1"/>
  <c r="N18" i="12" l="1"/>
  <c r="M18" i="12" a="1"/>
  <c r="M18" i="12" l="1"/>
  <c r="L18" i="12" a="1"/>
  <c r="L18" i="12" l="1"/>
  <c r="K18" i="12" a="1"/>
  <c r="K18" i="12" l="1"/>
  <c r="S15" i="12" a="1"/>
  <c r="S15" i="12" l="1"/>
  <c r="R15" i="12" a="1"/>
  <c r="R15" i="12" l="1"/>
  <c r="Q15" i="12" a="1"/>
  <c r="Q15" i="12" l="1"/>
  <c r="P15" i="12" a="1"/>
  <c r="P15" i="12" l="1"/>
  <c r="O15" i="12" a="1"/>
  <c r="O15" i="12" l="1"/>
  <c r="N15" i="12" a="1"/>
  <c r="N15" i="12" l="1"/>
  <c r="M15" i="12" a="1"/>
  <c r="M15" i="12" l="1"/>
  <c r="L15" i="12" a="1"/>
  <c r="L15" i="12" l="1"/>
  <c r="K15" i="12" a="1"/>
  <c r="K15" i="12" l="1"/>
  <c r="S14" i="12" a="1"/>
  <c r="S14" i="12" l="1"/>
  <c r="R14" i="12" a="1"/>
  <c r="R14" i="12" l="1"/>
  <c r="Q14" i="12" a="1"/>
  <c r="Q14" i="12" l="1"/>
  <c r="P14" i="12" a="1"/>
  <c r="P14" i="12" l="1"/>
  <c r="O14" i="12" a="1"/>
  <c r="O14" i="12" l="1"/>
  <c r="N14" i="12" a="1"/>
  <c r="N14" i="12" l="1"/>
  <c r="M14" i="12" a="1"/>
  <c r="M14" i="12" l="1"/>
  <c r="L14" i="12" a="1"/>
  <c r="L14" i="12" l="1"/>
  <c r="K14" i="12" a="1"/>
  <c r="K14" i="12" l="1"/>
  <c r="S13" i="12" a="1"/>
  <c r="S13" i="12" l="1"/>
  <c r="R13" i="12" a="1"/>
  <c r="R13" i="12" l="1"/>
  <c r="Q13" i="12" a="1"/>
  <c r="Q13" i="12" l="1"/>
  <c r="P13" i="12" a="1"/>
  <c r="P13" i="12" l="1"/>
  <c r="O13" i="12" a="1"/>
  <c r="O13" i="12" l="1"/>
  <c r="N13" i="12" a="1"/>
  <c r="N13" i="12" l="1"/>
  <c r="M13" i="12" a="1"/>
  <c r="M13" i="12" l="1"/>
  <c r="L13" i="12" a="1"/>
  <c r="L13" i="12" l="1"/>
  <c r="K13" i="12" a="1"/>
  <c r="K13" i="12" l="1"/>
  <c r="S12" i="12" a="1"/>
  <c r="S12" i="12" l="1"/>
  <c r="R12" i="12" a="1"/>
  <c r="R12" i="12" l="1"/>
  <c r="Q12" i="12" a="1"/>
  <c r="Q12" i="12" l="1"/>
  <c r="P12" i="12" a="1"/>
  <c r="P12" i="12" l="1"/>
  <c r="O12" i="12" a="1"/>
  <c r="O12" i="12" l="1"/>
  <c r="N12" i="12" a="1"/>
  <c r="N12" i="12" l="1"/>
  <c r="M12" i="12" a="1"/>
  <c r="M12" i="12" l="1"/>
  <c r="L12" i="12" a="1"/>
  <c r="L12" i="12" l="1"/>
  <c r="K12" i="12" a="1"/>
  <c r="K12" i="12" l="1"/>
  <c r="S11" i="12" a="1"/>
  <c r="S11" i="12" l="1"/>
  <c r="R11" i="12" a="1"/>
  <c r="R11" i="12" l="1"/>
  <c r="Q11" i="12" a="1"/>
  <c r="Q11" i="12" l="1"/>
  <c r="P11" i="12" a="1"/>
  <c r="P11" i="12" l="1"/>
  <c r="O11" i="12" a="1"/>
  <c r="O11" i="12" l="1"/>
  <c r="N11" i="12" a="1"/>
  <c r="N11" i="12" l="1"/>
  <c r="M11" i="12" a="1"/>
  <c r="M11" i="12" l="1"/>
  <c r="L11" i="12" a="1"/>
  <c r="L11" i="12" l="1"/>
  <c r="K11" i="12" a="1"/>
  <c r="K11" i="12" l="1"/>
  <c r="S10" i="12" a="1"/>
  <c r="S10" i="12" l="1"/>
  <c r="R10" i="12" a="1"/>
  <c r="R10" i="12" l="1"/>
  <c r="Q10" i="12" a="1"/>
  <c r="Q10" i="12" l="1"/>
  <c r="P10" i="12" a="1"/>
  <c r="P10" i="12" l="1"/>
  <c r="O10" i="12" a="1"/>
  <c r="O10" i="12" l="1"/>
  <c r="N10" i="12" a="1"/>
  <c r="N10" i="12" l="1"/>
  <c r="M10" i="12" a="1"/>
  <c r="M10" i="12" l="1"/>
  <c r="L10" i="12" a="1"/>
  <c r="L10" i="12" l="1"/>
  <c r="K10" i="12" a="1"/>
  <c r="K10" i="12" l="1"/>
  <c r="S9" i="12" a="1"/>
  <c r="S9" i="12" l="1"/>
  <c r="R9" i="12" a="1"/>
  <c r="R9" i="12" l="1"/>
  <c r="Q9" i="12" a="1"/>
  <c r="Q9" i="12" l="1"/>
  <c r="P9" i="12" a="1"/>
  <c r="P9" i="12" l="1"/>
  <c r="O9" i="12" a="1"/>
  <c r="O9" i="12" l="1"/>
  <c r="N9" i="12" a="1"/>
  <c r="N9" i="12" l="1"/>
  <c r="M9" i="12" a="1"/>
  <c r="M9" i="12" l="1"/>
  <c r="L9" i="12" a="1"/>
  <c r="L9" i="12" l="1"/>
  <c r="K9" i="12" a="1"/>
  <c r="K9" i="12" l="1"/>
  <c r="S8" i="12" a="1"/>
  <c r="S8" i="12" l="1"/>
  <c r="R8" i="12" a="1"/>
  <c r="R8" i="12" l="1"/>
  <c r="Q8" i="12" a="1"/>
  <c r="Q8" i="12" l="1"/>
  <c r="P8" i="12" a="1"/>
  <c r="P8" i="12" l="1"/>
  <c r="O8" i="12" a="1"/>
  <c r="O8" i="12" l="1"/>
  <c r="N8" i="12" a="1"/>
  <c r="N8" i="12" l="1"/>
  <c r="M8" i="12" a="1"/>
  <c r="M8" i="12" l="1"/>
  <c r="L8" i="12" a="1"/>
  <c r="L8" i="12" l="1"/>
  <c r="K8" i="12" a="1"/>
  <c r="K8" i="12" l="1"/>
  <c r="S7" i="12" a="1"/>
  <c r="S7" i="12" l="1"/>
  <c r="R7" i="12" a="1"/>
  <c r="R7" i="12" l="1"/>
  <c r="Q7" i="12" a="1"/>
  <c r="Q7" i="12" l="1"/>
  <c r="P7" i="12" a="1"/>
  <c r="P7" i="12" l="1"/>
  <c r="O7" i="12" a="1"/>
  <c r="O7" i="12" l="1"/>
  <c r="N7" i="12" a="1"/>
  <c r="N7" i="12" l="1"/>
  <c r="M7" i="12" a="1"/>
  <c r="M7" i="12" l="1"/>
  <c r="L7" i="12" a="1"/>
  <c r="L7" i="12" l="1"/>
  <c r="K7" i="12" a="1"/>
  <c r="K7" i="12" l="1"/>
  <c r="S6" i="12" a="1"/>
  <c r="S6" i="12" l="1"/>
  <c r="R6" i="12" a="1"/>
  <c r="R6" i="12" l="1"/>
  <c r="Q6" i="12" a="1"/>
  <c r="Q6" i="12" l="1"/>
  <c r="P6" i="12" a="1"/>
  <c r="P6" i="12" l="1"/>
  <c r="O6" i="12" a="1"/>
  <c r="O6" i="12" l="1"/>
  <c r="N6" i="12" a="1"/>
  <c r="N6" i="12" l="1"/>
  <c r="M6" i="12" a="1"/>
  <c r="M6" i="12" l="1"/>
  <c r="L6" i="12" a="1"/>
  <c r="L6" i="12" l="1"/>
  <c r="K6" i="12" a="1"/>
  <c r="K6" i="12" l="1"/>
  <c r="S5" i="12" a="1"/>
  <c r="S5" i="12" l="1"/>
  <c r="R5" i="12" a="1"/>
  <c r="R5" i="12" l="1"/>
  <c r="Q5" i="12" a="1"/>
  <c r="Q5" i="12" l="1"/>
  <c r="P5" i="12" a="1"/>
  <c r="P5" i="12" l="1"/>
  <c r="O5" i="12" a="1"/>
  <c r="O5" i="12" l="1"/>
  <c r="N5" i="12" a="1"/>
  <c r="N5" i="12" l="1"/>
  <c r="M5" i="12" a="1"/>
  <c r="M5" i="12" l="1"/>
  <c r="L5" i="12" a="1"/>
  <c r="L5" i="12" l="1"/>
  <c r="K5" i="12" a="1"/>
  <c r="K5" i="12" l="1"/>
  <c r="S4" i="12" a="1"/>
  <c r="S4" i="12" l="1"/>
  <c r="R4" i="12" a="1"/>
  <c r="R4" i="12" l="1"/>
  <c r="Q4" i="12" a="1"/>
  <c r="Q4" i="12" l="1"/>
  <c r="P4" i="12" a="1"/>
  <c r="P4" i="12" l="1"/>
  <c r="O4" i="12" a="1"/>
  <c r="O4" i="12" l="1"/>
  <c r="N4" i="12" a="1"/>
  <c r="N4" i="12" l="1"/>
  <c r="M4" i="12" a="1"/>
  <c r="M4" i="12" l="1"/>
  <c r="L4" i="12" a="1"/>
  <c r="L4" i="12" l="1"/>
  <c r="K4" i="12" a="1"/>
  <c r="K4" i="12" l="1"/>
  <c r="S3" i="12" a="1"/>
  <c r="S3" i="12" l="1"/>
  <c r="R3" i="12" a="1"/>
  <c r="R3" i="12" l="1"/>
  <c r="Q3" i="12" a="1"/>
  <c r="Q3" i="12" l="1"/>
  <c r="P3" i="12" a="1"/>
  <c r="P3" i="12" l="1"/>
  <c r="O3" i="12" a="1"/>
  <c r="O3" i="12" l="1"/>
  <c r="N3" i="12" a="1"/>
  <c r="N3" i="12" l="1"/>
  <c r="M3" i="12" a="1"/>
  <c r="M3" i="12" l="1"/>
  <c r="L3" i="12" a="1"/>
  <c r="L3" i="12" l="1"/>
  <c r="K3" i="12" a="1"/>
  <c r="K3" i="12" l="1"/>
  <c r="G23" i="12" a="1"/>
  <c r="G23" i="12" l="1"/>
  <c r="F23" i="12" a="1"/>
  <c r="F23" i="12" l="1"/>
  <c r="E23" i="12" a="1"/>
  <c r="E23" i="12" l="1"/>
  <c r="G22" i="12" a="1"/>
  <c r="G22" i="12" l="1"/>
  <c r="F22" i="12" a="1"/>
  <c r="F22" i="12" l="1"/>
  <c r="E22" i="12" a="1"/>
  <c r="E22" i="12" l="1"/>
  <c r="G21" i="12" a="1"/>
  <c r="G21" i="12" l="1"/>
  <c r="F21" i="12" a="1"/>
  <c r="F21" i="12" l="1"/>
  <c r="E21" i="12" a="1"/>
  <c r="E21" i="12" l="1"/>
  <c r="G20" i="12" a="1"/>
  <c r="G20" i="12" l="1"/>
  <c r="F20" i="12" a="1"/>
  <c r="F20" i="12" l="1"/>
  <c r="E20" i="12" a="1"/>
  <c r="E20" i="12" l="1"/>
  <c r="G19" i="12" a="1"/>
  <c r="G19" i="12" l="1"/>
  <c r="F19" i="12" a="1"/>
  <c r="F19" i="12" l="1"/>
  <c r="E19" i="12" a="1"/>
  <c r="E19" i="12" l="1"/>
  <c r="G18" i="12" a="1"/>
  <c r="G18" i="12" l="1"/>
  <c r="F18" i="12" a="1"/>
  <c r="F18" i="12" l="1"/>
  <c r="E18" i="12" a="1"/>
  <c r="E18" i="12" l="1"/>
  <c r="G15" i="12" a="1"/>
  <c r="G15" i="12" l="1"/>
  <c r="F15" i="12" a="1"/>
  <c r="F15" i="12" l="1"/>
  <c r="E15" i="12" a="1"/>
  <c r="E15" i="12" l="1"/>
  <c r="G14" i="12" a="1"/>
  <c r="G14" i="12" l="1"/>
  <c r="F14" i="12" a="1"/>
  <c r="F14" i="12" l="1"/>
  <c r="E14" i="12" a="1"/>
  <c r="E14" i="12" l="1"/>
  <c r="G13" i="12" a="1"/>
  <c r="G13" i="12" l="1"/>
  <c r="F13" i="12" a="1"/>
  <c r="F13" i="12" l="1"/>
  <c r="E13" i="12" a="1"/>
  <c r="E13" i="12" l="1"/>
  <c r="G12" i="12" a="1"/>
  <c r="G12" i="12" l="1"/>
  <c r="F12" i="12" a="1"/>
  <c r="F12" i="12" l="1"/>
  <c r="E12" i="12" a="1"/>
  <c r="E12" i="12" l="1"/>
  <c r="G11" i="12" a="1"/>
  <c r="G11" i="12" l="1"/>
  <c r="F11" i="12" a="1"/>
  <c r="F11" i="12" l="1"/>
  <c r="E11" i="12" a="1"/>
  <c r="E11" i="12" l="1"/>
  <c r="G10" i="12" a="1"/>
  <c r="G10" i="12" l="1"/>
  <c r="F10" i="12" a="1"/>
  <c r="F10" i="12" l="1"/>
  <c r="E10" i="12" a="1"/>
  <c r="E10" i="12" l="1"/>
  <c r="G9" i="12" a="1"/>
  <c r="G9" i="12" l="1"/>
  <c r="F9" i="12" a="1"/>
  <c r="F9" i="12" l="1"/>
  <c r="E9" i="12" a="1"/>
  <c r="E9" i="12" l="1"/>
  <c r="G8" i="12" a="1"/>
  <c r="G8" i="12" l="1"/>
  <c r="F8" i="12" a="1"/>
  <c r="F8" i="12" l="1"/>
  <c r="E8" i="12" a="1"/>
  <c r="E8" i="12" l="1"/>
  <c r="G7" i="12" a="1"/>
  <c r="G7" i="12" l="1"/>
  <c r="F7" i="12" a="1"/>
  <c r="F7" i="12" l="1"/>
  <c r="E7" i="12" a="1"/>
  <c r="E7" i="12" l="1"/>
  <c r="G6" i="12" a="1"/>
  <c r="G6" i="12" l="1"/>
  <c r="F6" i="12" a="1"/>
  <c r="F6" i="12" l="1"/>
  <c r="E6" i="12" a="1"/>
  <c r="E6" i="12" l="1"/>
  <c r="G5" i="12" a="1"/>
  <c r="G5" i="12" l="1"/>
  <c r="F5" i="12" a="1"/>
  <c r="F5" i="12" l="1"/>
  <c r="E5" i="12" a="1"/>
  <c r="E5" i="12" l="1"/>
  <c r="G4" i="12" a="1"/>
  <c r="G4" i="12" l="1"/>
  <c r="F4" i="12" a="1"/>
  <c r="F4" i="12" l="1"/>
  <c r="E4" i="12" a="1"/>
  <c r="E4" i="12" l="1"/>
  <c r="G3" i="12" a="1"/>
  <c r="G3" i="12" l="1"/>
  <c r="F3" i="12" a="1"/>
  <c r="F3" i="12" l="1"/>
  <c r="E3" i="12" a="1"/>
  <c r="E3" i="12" l="1"/>
  <c r="B15" i="12" a="1"/>
  <c r="B15" i="12" l="1"/>
  <c r="B14" i="12" a="1"/>
  <c r="B14" i="12" l="1"/>
  <c r="B13" i="12" a="1"/>
  <c r="B13" i="12" l="1"/>
  <c r="B12" i="12" a="1"/>
  <c r="B12" i="12" l="1"/>
  <c r="B11" i="12" a="1"/>
  <c r="B11" i="12" l="1"/>
  <c r="B10" i="12" a="1"/>
  <c r="B10" i="12" l="1"/>
  <c r="B9" i="12" a="1"/>
  <c r="B9" i="12" l="1"/>
  <c r="B8" i="12" a="1"/>
  <c r="B8" i="12" l="1"/>
  <c r="B7" i="12" a="1"/>
  <c r="B7" i="12" l="1"/>
  <c r="B6" i="12" a="1"/>
  <c r="B6" i="12" l="1"/>
  <c r="B5" i="12" a="1"/>
  <c r="B5" i="12" l="1"/>
  <c r="B4" i="12" a="1"/>
  <c r="B4" i="12" l="1"/>
  <c r="B3" i="12" a="1"/>
  <c r="B3" i="12" l="1"/>
  <c r="J14" i="39" a="1"/>
  <c r="J14" i="39" l="1"/>
  <c r="J13" i="39" a="1"/>
  <c r="J13" i="39" l="1"/>
  <c r="J12" i="39" a="1"/>
  <c r="J12" i="39" l="1"/>
  <c r="J11" i="39" a="1"/>
  <c r="J11" i="39" l="1"/>
  <c r="J10" i="39" a="1"/>
  <c r="J10" i="39" l="1"/>
  <c r="J9" i="39" a="1"/>
  <c r="J9" i="39" l="1"/>
  <c r="J8" i="39" a="1"/>
  <c r="J8" i="39" l="1"/>
  <c r="J7" i="39" a="1"/>
  <c r="J7" i="39" l="1"/>
  <c r="J6" i="39" a="1"/>
  <c r="J6" i="39" l="1"/>
  <c r="J5" i="39" a="1"/>
  <c r="J5" i="39" l="1"/>
  <c r="J4" i="39" a="1"/>
  <c r="J4" i="39" l="1"/>
  <c r="J3" i="39" a="1"/>
  <c r="J3" i="39" l="1"/>
  <c r="J2" i="39" a="1"/>
  <c r="J2" i="39" l="1"/>
  <c r="H14" i="39" a="1"/>
  <c r="H14" i="39" l="1"/>
  <c r="H13" i="39" a="1"/>
  <c r="H13" i="39" l="1"/>
  <c r="H12" i="39" a="1"/>
  <c r="H12" i="39" l="1"/>
  <c r="H11" i="39" a="1"/>
  <c r="H11" i="39" l="1"/>
  <c r="H10" i="39" a="1"/>
  <c r="H10" i="39" l="1"/>
  <c r="H9" i="39" a="1"/>
  <c r="H9" i="39" l="1"/>
  <c r="H8" i="39" a="1"/>
  <c r="H8" i="39" l="1"/>
  <c r="H7" i="39" a="1"/>
  <c r="H7" i="39" l="1"/>
  <c r="H6" i="39" a="1"/>
  <c r="H6" i="39" l="1"/>
  <c r="H5" i="39" a="1"/>
  <c r="H5" i="39" l="1"/>
  <c r="H4" i="39" a="1"/>
  <c r="H4" i="39" l="1"/>
  <c r="H3" i="39" a="1"/>
  <c r="H3" i="39" l="1"/>
  <c r="H2" i="39" a="1"/>
  <c r="H2" i="39" l="1"/>
  <c r="F14" i="39" a="1"/>
  <c r="F14" i="39" l="1"/>
  <c r="F13" i="39" a="1"/>
  <c r="F13" i="39" l="1"/>
  <c r="F12" i="39" a="1"/>
  <c r="F12" i="39" l="1"/>
  <c r="F11" i="39" a="1"/>
  <c r="F11" i="39" l="1"/>
  <c r="F10" i="39" a="1"/>
  <c r="F10" i="39" l="1"/>
  <c r="F9" i="39" a="1"/>
  <c r="F9" i="39" l="1"/>
  <c r="F8" i="39" a="1"/>
  <c r="F8" i="39" l="1"/>
  <c r="F7" i="39" a="1"/>
  <c r="F7" i="39" l="1"/>
  <c r="F6" i="39" a="1"/>
  <c r="F6" i="39" l="1"/>
  <c r="F5" i="39" a="1"/>
  <c r="F5" i="39" l="1"/>
  <c r="F4" i="39" a="1"/>
  <c r="F4" i="39" l="1"/>
  <c r="F3" i="39" a="1"/>
  <c r="F3" i="39" l="1"/>
  <c r="F2" i="39" a="1"/>
  <c r="F2" i="39" l="1"/>
  <c r="C14" i="39" a="1"/>
  <c r="C14" i="39" l="1"/>
  <c r="C13" i="39" a="1"/>
  <c r="C13" i="39" l="1"/>
  <c r="C12" i="39" a="1"/>
  <c r="C12" i="39" l="1"/>
  <c r="C11" i="39" a="1"/>
  <c r="C11" i="39" l="1"/>
  <c r="C10" i="39" a="1"/>
  <c r="C10" i="39" l="1"/>
  <c r="C9" i="39" a="1"/>
  <c r="C9" i="39" l="1"/>
  <c r="C8" i="39" a="1"/>
  <c r="C8" i="39" l="1"/>
  <c r="C7" i="39" a="1"/>
  <c r="C7" i="39" l="1"/>
  <c r="C6" i="39" a="1"/>
  <c r="C6" i="39" l="1"/>
  <c r="C5" i="39" a="1"/>
  <c r="C5" i="39" l="1"/>
  <c r="C4" i="39" a="1"/>
  <c r="C4" i="39" l="1"/>
  <c r="C3" i="39" a="1"/>
  <c r="C3" i="39" l="1"/>
  <c r="C2" i="39" a="1"/>
  <c r="C2" i="39" l="1"/>
  <c r="M15" i="28" a="1"/>
  <c r="M15" i="28" l="1"/>
  <c r="L15" i="28" a="1"/>
  <c r="L15" i="28" l="1"/>
  <c r="K15" i="28" a="1"/>
  <c r="K15" i="28" l="1"/>
  <c r="M14" i="28" a="1"/>
  <c r="M14" i="28" l="1"/>
  <c r="L14" i="28" a="1"/>
  <c r="L14" i="28" l="1"/>
  <c r="K14" i="28" a="1"/>
  <c r="K14" i="28" l="1"/>
  <c r="M13" i="28" a="1"/>
  <c r="M13" i="28" l="1"/>
  <c r="L13" i="28" a="1"/>
  <c r="L13" i="28" l="1"/>
  <c r="K13" i="28" a="1"/>
  <c r="K13" i="28" l="1"/>
  <c r="M12" i="28" a="1"/>
  <c r="M12" i="28" l="1"/>
  <c r="L12" i="28" a="1"/>
  <c r="L12" i="28" l="1"/>
  <c r="K12" i="28" a="1"/>
  <c r="K12" i="28" l="1"/>
  <c r="M11" i="28" a="1"/>
  <c r="M11" i="28" l="1"/>
  <c r="L11" i="28" a="1"/>
  <c r="L11" i="28" l="1"/>
  <c r="K11" i="28" a="1"/>
  <c r="K11" i="28" l="1"/>
  <c r="M10" i="28" a="1"/>
  <c r="M10" i="28" l="1"/>
  <c r="L10" i="28" a="1"/>
  <c r="L10" i="28" l="1"/>
  <c r="K10" i="28" a="1"/>
  <c r="K10" i="28" l="1"/>
  <c r="M9" i="28" a="1"/>
  <c r="M9" i="28" l="1"/>
  <c r="L9" i="28" a="1"/>
  <c r="L9" i="28" l="1"/>
  <c r="K9" i="28" a="1"/>
  <c r="K9" i="28" l="1"/>
  <c r="M8" i="28" a="1"/>
  <c r="M8" i="28" l="1"/>
  <c r="L8" i="28" a="1"/>
  <c r="L8" i="28" l="1"/>
  <c r="K8" i="28" a="1"/>
  <c r="K8" i="28" l="1"/>
  <c r="M7" i="28" a="1"/>
  <c r="M7" i="28" l="1"/>
  <c r="L7" i="28" a="1"/>
  <c r="L7" i="28" l="1"/>
  <c r="K7" i="28" a="1"/>
  <c r="K7" i="28" l="1"/>
  <c r="M6" i="28" a="1"/>
  <c r="M6" i="28" l="1"/>
  <c r="L6" i="28" a="1"/>
  <c r="L6" i="28" l="1"/>
  <c r="K6" i="28" a="1"/>
  <c r="K6" i="28" l="1"/>
  <c r="M5" i="28" a="1"/>
  <c r="M5" i="28" l="1"/>
  <c r="L5" i="28" a="1"/>
  <c r="L5" i="28" l="1"/>
  <c r="K5" i="28" a="1"/>
  <c r="K5" i="28" l="1"/>
  <c r="M4" i="28" a="1"/>
  <c r="M4" i="28" l="1"/>
  <c r="L4" i="28" a="1"/>
  <c r="L4" i="28" l="1"/>
  <c r="K4" i="28" a="1"/>
  <c r="K4" i="28" l="1"/>
  <c r="M3" i="28" a="1"/>
  <c r="M3" i="28" l="1"/>
  <c r="L3" i="28" a="1"/>
  <c r="L3" i="28" l="1"/>
  <c r="K3" i="28" a="1"/>
  <c r="K3" i="28" l="1"/>
  <c r="H15" i="28" a="1"/>
  <c r="H15" i="28" l="1"/>
  <c r="G15" i="28" a="1"/>
  <c r="G15" i="28" l="1"/>
  <c r="H14" i="28" a="1"/>
  <c r="H14" i="28" l="1"/>
  <c r="G14" i="28" a="1"/>
  <c r="G14" i="28" l="1"/>
  <c r="H13" i="28" a="1"/>
  <c r="H13" i="28" l="1"/>
  <c r="G13" i="28" a="1"/>
  <c r="G13" i="28" l="1"/>
  <c r="H12" i="28" a="1"/>
  <c r="H12" i="28" l="1"/>
  <c r="G12" i="28" a="1"/>
  <c r="G12" i="28" l="1"/>
  <c r="H11" i="28" a="1"/>
  <c r="H11" i="28" l="1"/>
  <c r="G11" i="28" a="1"/>
  <c r="G11" i="28" l="1"/>
  <c r="H10" i="28" a="1"/>
  <c r="H10" i="28" l="1"/>
  <c r="G10" i="28" a="1"/>
  <c r="G10" i="28" l="1"/>
  <c r="H9" i="28" a="1"/>
  <c r="H9" i="28" l="1"/>
  <c r="G9" i="28" a="1"/>
  <c r="G9" i="28" l="1"/>
  <c r="H8" i="28" a="1"/>
  <c r="H8" i="28" l="1"/>
  <c r="G8" i="28" a="1"/>
  <c r="G8" i="28" l="1"/>
  <c r="H7" i="28" a="1"/>
  <c r="H7" i="28" l="1"/>
  <c r="G7" i="28" a="1"/>
  <c r="G7" i="28" l="1"/>
  <c r="H6" i="28" a="1"/>
  <c r="H6" i="28" l="1"/>
  <c r="G6" i="28" a="1"/>
  <c r="G6" i="28" l="1"/>
  <c r="H5" i="28" a="1"/>
  <c r="H5" i="28" l="1"/>
  <c r="G5" i="28" a="1"/>
  <c r="G5" i="28" l="1"/>
  <c r="H4" i="28" a="1"/>
  <c r="H4" i="28" l="1"/>
  <c r="G4" i="28" a="1"/>
  <c r="G4" i="28" l="1"/>
  <c r="H3" i="28" a="1"/>
  <c r="H3" i="28" l="1"/>
  <c r="G3" i="28" a="1"/>
  <c r="G3" i="28" l="1"/>
  <c r="E18" i="28" a="1"/>
  <c r="E18" i="28" l="1"/>
  <c r="D18" i="28" a="1"/>
  <c r="D18" i="28" l="1"/>
  <c r="E15" i="28" a="1"/>
  <c r="E15" i="28" l="1"/>
  <c r="D15" i="28" a="1"/>
  <c r="D15" i="28" l="1"/>
  <c r="E14" i="28" a="1"/>
  <c r="E14" i="28" l="1"/>
  <c r="D14" i="28" a="1"/>
  <c r="D14" i="28" l="1"/>
  <c r="E13" i="28" a="1"/>
  <c r="E13" i="28" l="1"/>
  <c r="D13" i="28" a="1"/>
  <c r="D13" i="28" l="1"/>
  <c r="E12" i="28" a="1"/>
  <c r="E12" i="28" l="1"/>
  <c r="D12" i="28" a="1"/>
  <c r="D12" i="28" l="1"/>
  <c r="E11" i="28" a="1"/>
  <c r="E11" i="28" l="1"/>
  <c r="D11" i="28" a="1"/>
  <c r="D11" i="28" l="1"/>
  <c r="E10" i="28" a="1"/>
  <c r="E10" i="28" l="1"/>
  <c r="D10" i="28" a="1"/>
  <c r="D10" i="28" l="1"/>
  <c r="E9" i="28" a="1"/>
  <c r="E9" i="28" l="1"/>
  <c r="D9" i="28" a="1"/>
  <c r="D9" i="28" l="1"/>
  <c r="E8" i="28" a="1"/>
  <c r="E8" i="28" l="1"/>
  <c r="D8" i="28" a="1"/>
  <c r="D8" i="28" l="1"/>
  <c r="E7" i="28" a="1"/>
  <c r="E7" i="28" l="1"/>
  <c r="D7" i="28" a="1"/>
  <c r="D7" i="28" l="1"/>
  <c r="E6" i="28" a="1"/>
  <c r="E6" i="28" l="1"/>
  <c r="D6" i="28" a="1"/>
  <c r="D6" i="28" l="1"/>
  <c r="E5" i="28" a="1"/>
  <c r="E5" i="28" l="1"/>
  <c r="D5" i="28" a="1"/>
  <c r="D5" i="28" l="1"/>
  <c r="E4" i="28" a="1"/>
  <c r="E4" i="28" l="1"/>
  <c r="D4" i="28" a="1"/>
  <c r="D4" i="28" l="1"/>
  <c r="E3" i="28" a="1"/>
  <c r="E3" i="28" l="1"/>
  <c r="D3" i="28" a="1"/>
  <c r="D3" i="28" l="1"/>
  <c r="O15" i="1" a="1"/>
  <c r="O15" i="1" l="1"/>
  <c r="O14" i="1" a="1"/>
  <c r="O14" i="1" l="1"/>
  <c r="O13" i="1" a="1"/>
  <c r="O13" i="1" l="1"/>
  <c r="O12" i="1" a="1"/>
  <c r="O12" i="1" l="1"/>
  <c r="O11" i="1" a="1"/>
  <c r="O11" i="1" l="1"/>
  <c r="O10" i="1" a="1"/>
  <c r="O10" i="1" l="1"/>
  <c r="O9" i="1" a="1"/>
  <c r="O9" i="1" l="1"/>
  <c r="O8" i="1" a="1"/>
  <c r="O8" i="1" l="1"/>
  <c r="O7" i="1" a="1"/>
  <c r="O7" i="1" l="1"/>
  <c r="O6" i="1" a="1"/>
  <c r="O6" i="1" l="1"/>
  <c r="O5" i="1" a="1"/>
  <c r="O5" i="1" l="1"/>
  <c r="O4" i="1" a="1"/>
  <c r="O4" i="1" l="1"/>
  <c r="O3" i="1" a="1"/>
  <c r="O3" i="1" l="1"/>
  <c r="L20" i="1" a="1"/>
  <c r="L20" i="1" l="1"/>
  <c r="K20" i="1" a="1"/>
  <c r="K20" i="1" l="1"/>
  <c r="J20" i="1" a="1"/>
  <c r="J20" i="1" l="1"/>
  <c r="I20" i="1" a="1"/>
  <c r="I20" i="1" l="1"/>
  <c r="H20" i="1" a="1"/>
  <c r="H20" i="1" l="1"/>
  <c r="G20" i="1" a="1"/>
  <c r="G20" i="1" l="1"/>
  <c r="F20" i="1" a="1"/>
  <c r="F20" i="1" l="1"/>
  <c r="L19" i="1" a="1"/>
  <c r="L19" i="1" l="1"/>
  <c r="K19" i="1" a="1"/>
  <c r="K19" i="1" l="1"/>
  <c r="J19" i="1" a="1"/>
  <c r="J19" i="1" l="1"/>
  <c r="I19" i="1" a="1"/>
  <c r="I19" i="1" l="1"/>
  <c r="H19" i="1" a="1"/>
  <c r="H19" i="1" l="1"/>
  <c r="G19" i="1" a="1"/>
  <c r="G19" i="1" l="1"/>
  <c r="F19" i="1" a="1"/>
  <c r="F19" i="1" l="1"/>
  <c r="L15" i="1" a="1"/>
  <c r="L15" i="1" l="1"/>
  <c r="K15" i="1" a="1"/>
  <c r="K15" i="1" l="1"/>
  <c r="J15" i="1" a="1"/>
  <c r="J15" i="1" l="1"/>
  <c r="I15" i="1" a="1"/>
  <c r="I15" i="1" l="1"/>
  <c r="H15" i="1" a="1"/>
  <c r="H15" i="1" l="1"/>
  <c r="G15" i="1" a="1"/>
  <c r="G15" i="1" l="1"/>
  <c r="F15" i="1" a="1"/>
  <c r="F15" i="1" l="1"/>
  <c r="L14" i="1" a="1"/>
  <c r="L14" i="1" l="1"/>
  <c r="K14" i="1" a="1"/>
  <c r="K14" i="1" l="1"/>
  <c r="J14" i="1" a="1"/>
  <c r="J14" i="1" l="1"/>
  <c r="I14" i="1" a="1"/>
  <c r="I14" i="1" l="1"/>
  <c r="H14" i="1" a="1"/>
  <c r="H14" i="1" l="1"/>
  <c r="G14" i="1" a="1"/>
  <c r="G14" i="1" l="1"/>
  <c r="F14" i="1" a="1"/>
  <c r="F14" i="1" l="1"/>
  <c r="L13" i="1" a="1"/>
  <c r="L13" i="1" l="1"/>
  <c r="K13" i="1" a="1"/>
  <c r="K13" i="1" l="1"/>
  <c r="J13" i="1" a="1"/>
  <c r="J13" i="1" l="1"/>
  <c r="I13" i="1" a="1"/>
  <c r="I13" i="1" l="1"/>
  <c r="H13" i="1" a="1"/>
  <c r="H13" i="1" l="1"/>
  <c r="G13" i="1" a="1"/>
  <c r="G13" i="1" l="1"/>
  <c r="F13" i="1" a="1"/>
  <c r="F13" i="1" l="1"/>
  <c r="L12" i="1" a="1"/>
  <c r="L12" i="1" l="1"/>
  <c r="K12" i="1" a="1"/>
  <c r="K12" i="1" l="1"/>
  <c r="J12" i="1" a="1"/>
  <c r="J12" i="1" l="1"/>
  <c r="I12" i="1" a="1"/>
  <c r="I12" i="1" l="1"/>
  <c r="H12" i="1" a="1"/>
  <c r="H12" i="1" l="1"/>
  <c r="G12" i="1" a="1"/>
  <c r="G12" i="1" l="1"/>
  <c r="F12" i="1" a="1"/>
  <c r="F12" i="1" l="1"/>
  <c r="L11" i="1" a="1"/>
  <c r="L11" i="1" l="1"/>
  <c r="K11" i="1" a="1"/>
  <c r="K11" i="1" l="1"/>
  <c r="J11" i="1" a="1"/>
  <c r="J11" i="1" l="1"/>
  <c r="I11" i="1" a="1"/>
  <c r="I11" i="1" l="1"/>
  <c r="H11" i="1" a="1"/>
  <c r="H11" i="1" l="1"/>
  <c r="G11" i="1" a="1"/>
  <c r="G11" i="1" l="1"/>
  <c r="F11" i="1" a="1"/>
  <c r="F11" i="1" l="1"/>
  <c r="L10" i="1" a="1"/>
  <c r="L10" i="1" l="1"/>
  <c r="K10" i="1" a="1"/>
  <c r="K10" i="1" l="1"/>
  <c r="J10" i="1" a="1"/>
  <c r="J10" i="1" l="1"/>
  <c r="I10" i="1" a="1"/>
  <c r="I10" i="1" l="1"/>
  <c r="H10" i="1" a="1"/>
  <c r="H10" i="1" l="1"/>
  <c r="G10" i="1" a="1"/>
  <c r="G10" i="1" l="1"/>
  <c r="F10" i="1" a="1"/>
  <c r="F10" i="1" l="1"/>
  <c r="L9" i="1" a="1"/>
  <c r="L9" i="1" l="1"/>
  <c r="K9" i="1" a="1"/>
  <c r="K9" i="1" l="1"/>
  <c r="J9" i="1" a="1"/>
  <c r="J9" i="1" l="1"/>
  <c r="I9" i="1" a="1"/>
  <c r="I9" i="1" l="1"/>
  <c r="H9" i="1" a="1"/>
  <c r="H9" i="1" l="1"/>
  <c r="G9" i="1" a="1"/>
  <c r="G9" i="1" l="1"/>
  <c r="F9" i="1" a="1"/>
  <c r="F9" i="1" l="1"/>
  <c r="L8" i="1" a="1"/>
  <c r="L8" i="1" l="1"/>
  <c r="K8" i="1" a="1"/>
  <c r="K8" i="1" l="1"/>
  <c r="J8" i="1" a="1"/>
  <c r="J8" i="1" l="1"/>
  <c r="I8" i="1" a="1"/>
  <c r="I8" i="1" l="1"/>
  <c r="H8" i="1" a="1"/>
  <c r="H8" i="1" l="1"/>
  <c r="G8" i="1" a="1"/>
  <c r="G8" i="1" l="1"/>
  <c r="F8" i="1" a="1"/>
  <c r="F8" i="1" l="1"/>
  <c r="L7" i="1" a="1"/>
  <c r="L7" i="1" l="1"/>
  <c r="K7" i="1" a="1"/>
  <c r="K7" i="1" l="1"/>
  <c r="J7" i="1" a="1"/>
  <c r="J7" i="1" l="1"/>
  <c r="I7" i="1" a="1"/>
  <c r="I7" i="1" l="1"/>
  <c r="H7" i="1" a="1"/>
  <c r="H7" i="1" l="1"/>
  <c r="G7" i="1" a="1"/>
  <c r="G7" i="1" l="1"/>
  <c r="F7" i="1" a="1"/>
  <c r="F7" i="1" l="1"/>
  <c r="L6" i="1" a="1"/>
  <c r="L6" i="1" l="1"/>
  <c r="K6" i="1" a="1"/>
  <c r="K6" i="1" l="1"/>
  <c r="J6" i="1" a="1"/>
  <c r="J6" i="1" l="1"/>
  <c r="I6" i="1" a="1"/>
  <c r="I6" i="1" l="1"/>
  <c r="H6" i="1" a="1"/>
  <c r="H6" i="1" l="1"/>
  <c r="G6" i="1" a="1"/>
  <c r="G6" i="1" l="1"/>
  <c r="F6" i="1" a="1"/>
  <c r="F6" i="1" l="1"/>
  <c r="L5" i="1" a="1"/>
  <c r="L5" i="1" l="1"/>
  <c r="K5" i="1" a="1"/>
  <c r="K5" i="1" l="1"/>
  <c r="J5" i="1" a="1"/>
  <c r="J5" i="1" l="1"/>
  <c r="I5" i="1" a="1"/>
  <c r="I5" i="1" l="1"/>
  <c r="H5" i="1" a="1"/>
  <c r="H5" i="1" l="1"/>
  <c r="G5" i="1" a="1"/>
  <c r="G5" i="1" l="1"/>
  <c r="F5" i="1" a="1"/>
  <c r="F5" i="1" l="1"/>
  <c r="L4" i="1" a="1"/>
  <c r="L4" i="1" l="1"/>
  <c r="K4" i="1" a="1"/>
  <c r="K4" i="1" l="1"/>
  <c r="J4" i="1" a="1"/>
  <c r="J4" i="1" l="1"/>
  <c r="I4" i="1" a="1"/>
  <c r="I4" i="1" l="1"/>
  <c r="H4" i="1" a="1"/>
  <c r="H4" i="1" l="1"/>
  <c r="G4" i="1" a="1"/>
  <c r="G4" i="1" l="1"/>
  <c r="F4" i="1" a="1"/>
  <c r="F4" i="1" l="1"/>
  <c r="L3" i="1" a="1"/>
  <c r="L3" i="1" l="1"/>
  <c r="K3" i="1" a="1"/>
  <c r="K3" i="1" l="1"/>
  <c r="J3" i="1" a="1"/>
  <c r="J3" i="1" l="1"/>
  <c r="I3" i="1" a="1"/>
  <c r="I3" i="1" l="1"/>
  <c r="H3" i="1" a="1"/>
  <c r="H3" i="1" l="1"/>
  <c r="G3" i="1" a="1"/>
  <c r="G3" i="1" l="1"/>
  <c r="F3" i="1" a="1"/>
  <c r="F3" i="1" l="1"/>
  <c r="D23" i="1" a="1"/>
  <c r="D23" i="1" l="1"/>
  <c r="C15" i="1" a="1"/>
  <c r="C15" i="1" l="1"/>
  <c r="C14" i="1" a="1"/>
  <c r="C14" i="1" l="1"/>
  <c r="C13" i="1" a="1"/>
  <c r="C13" i="1" l="1"/>
  <c r="C12" i="1" a="1"/>
  <c r="C12" i="1" l="1"/>
  <c r="C11" i="1" a="1"/>
  <c r="C11" i="1" l="1"/>
  <c r="C10" i="1" a="1"/>
  <c r="C10" i="1" l="1"/>
  <c r="C9" i="1" a="1"/>
  <c r="C9" i="1" l="1"/>
  <c r="C8" i="1" a="1"/>
  <c r="C8" i="1" l="1"/>
  <c r="C7" i="1" a="1"/>
  <c r="C7" i="1" l="1"/>
  <c r="C6" i="1" a="1"/>
  <c r="C6" i="1" l="1"/>
  <c r="C5" i="1" a="1"/>
  <c r="C5" i="1" l="1"/>
  <c r="C4" i="1" a="1"/>
  <c r="C4" i="1" l="1"/>
  <c r="C3" i="1" a="1"/>
  <c r="C3" i="1" l="1"/>
  <c r="D16" i="49" a="1"/>
  <c r="D16" i="49" l="1"/>
  <c r="D15" i="49" a="1"/>
  <c r="D15" i="49" l="1"/>
  <c r="D14" i="49" a="1"/>
  <c r="D14" i="49" l="1"/>
  <c r="D13" i="49" a="1"/>
  <c r="D13" i="49" l="1"/>
  <c r="D12" i="49" a="1"/>
  <c r="D12" i="49" l="1"/>
  <c r="D11" i="49" a="1"/>
  <c r="D11" i="49" l="1"/>
  <c r="D10" i="49" a="1"/>
  <c r="D10" i="49" l="1"/>
  <c r="D9" i="49" a="1"/>
  <c r="D9" i="49" l="1"/>
  <c r="D8" i="49" a="1"/>
  <c r="D8" i="49" l="1"/>
  <c r="D7" i="49" a="1"/>
  <c r="D7" i="49" l="1"/>
  <c r="D6" i="49" a="1"/>
  <c r="D6" i="49" l="1"/>
  <c r="D5" i="49" a="1"/>
  <c r="D5" i="49" l="1"/>
  <c r="D4" i="49" a="1"/>
  <c r="D4" i="49" l="1"/>
  <c r="C21" i="55" a="1"/>
  <c r="C21" i="55" l="1"/>
  <c r="C20" i="55" a="1"/>
  <c r="C20" i="55" l="1"/>
  <c r="C19" i="55" a="1"/>
  <c r="C19" i="55" l="1"/>
  <c r="C18" i="55" a="1"/>
  <c r="C18" i="55" l="1"/>
  <c r="C17" i="55" a="1"/>
  <c r="C17" i="55" l="1"/>
  <c r="C16" i="55" a="1"/>
  <c r="C16" i="55" l="1"/>
  <c r="C15" i="55" a="1"/>
  <c r="C15" i="55" l="1"/>
  <c r="C14" i="55" a="1"/>
  <c r="C14" i="55" l="1"/>
  <c r="C13" i="55" a="1"/>
  <c r="C13" i="55" l="1"/>
  <c r="C12" i="55" a="1"/>
  <c r="C12" i="55" l="1"/>
  <c r="C11" i="55" a="1"/>
  <c r="C11" i="55" l="1"/>
  <c r="C10" i="55" a="1"/>
  <c r="C10" i="55" l="1"/>
  <c r="C9" i="55" a="1"/>
  <c r="C9" i="55" l="1"/>
  <c r="C18" i="40" a="1"/>
  <c r="C18" i="40" l="1"/>
  <c r="C17" i="40" a="1"/>
  <c r="C17" i="40" l="1"/>
  <c r="C16" i="40" a="1"/>
  <c r="C16" i="40" l="1"/>
  <c r="C15" i="40" a="1"/>
  <c r="C15" i="40" l="1"/>
  <c r="C14" i="40" a="1"/>
  <c r="C14" i="40" l="1"/>
  <c r="C13" i="40" a="1"/>
  <c r="C13" i="40" l="1"/>
  <c r="C12" i="40" a="1"/>
  <c r="C12" i="40" l="1"/>
  <c r="C11" i="40" a="1"/>
  <c r="C11" i="40" l="1"/>
  <c r="C10" i="40" a="1"/>
  <c r="C10" i="40" l="1"/>
  <c r="C9" i="40" a="1"/>
  <c r="C9" i="40" l="1"/>
  <c r="C8" i="40" a="1"/>
  <c r="C8" i="40" l="1"/>
  <c r="C7" i="40" a="1"/>
  <c r="C7" i="40" l="1"/>
  <c r="C6" i="40" a="1"/>
  <c r="C6" i="40" l="1"/>
  <c r="H12" i="60" a="1"/>
  <c r="H12" i="60" l="1"/>
  <c r="G12" i="60" a="1"/>
  <c r="G12" i="60" l="1"/>
  <c r="F12" i="60" a="1"/>
  <c r="F12" i="60" l="1"/>
  <c r="E12" i="60" a="1"/>
  <c r="E12" i="60" l="1"/>
  <c r="H11" i="60" a="1"/>
  <c r="H11" i="60" l="1"/>
  <c r="G11" i="60" a="1"/>
  <c r="G11" i="60" l="1"/>
  <c r="F11" i="60" a="1"/>
  <c r="F11" i="60" l="1"/>
  <c r="E11" i="60" a="1"/>
  <c r="E11" i="60" l="1"/>
  <c r="H10" i="60" a="1"/>
  <c r="H10" i="60" l="1"/>
  <c r="G10" i="60" a="1"/>
  <c r="G10" i="60" l="1"/>
  <c r="F10" i="60" a="1"/>
  <c r="F10" i="60" l="1"/>
  <c r="E10" i="60" a="1"/>
  <c r="E10" i="60" l="1"/>
  <c r="H9" i="60" a="1"/>
  <c r="H9" i="60" l="1"/>
  <c r="G9" i="60" a="1"/>
  <c r="G9" i="60" l="1"/>
  <c r="F9" i="60" a="1"/>
  <c r="F9" i="60" l="1"/>
  <c r="E9" i="60" a="1"/>
  <c r="E9" i="60" l="1"/>
  <c r="H8" i="60" a="1"/>
  <c r="H8" i="60" l="1"/>
  <c r="G8" i="60" a="1"/>
  <c r="G8" i="60" l="1"/>
  <c r="F8" i="60" a="1"/>
  <c r="F8" i="60" l="1"/>
  <c r="E8" i="60" a="1"/>
  <c r="E8" i="60" l="1"/>
  <c r="H7" i="60" a="1"/>
  <c r="H7" i="60" l="1"/>
  <c r="G7" i="60" a="1"/>
  <c r="G7" i="60" l="1"/>
  <c r="F7" i="60" a="1"/>
  <c r="F7" i="60" l="1"/>
  <c r="E7" i="60" a="1"/>
  <c r="E7" i="60" l="1"/>
  <c r="H6" i="60" a="1"/>
  <c r="H6" i="60" l="1"/>
  <c r="G6" i="60" a="1"/>
  <c r="G6" i="60" l="1"/>
  <c r="F6" i="60" a="1"/>
  <c r="F6" i="60" l="1"/>
  <c r="E6" i="60" a="1"/>
  <c r="E6" i="60" l="1"/>
  <c r="H5" i="60" a="1"/>
  <c r="H5" i="60" l="1"/>
  <c r="G5" i="60" a="1"/>
  <c r="G5" i="60" l="1"/>
  <c r="F5" i="60" a="1"/>
  <c r="F5" i="60" l="1"/>
  <c r="E5" i="60" a="1"/>
  <c r="E5" i="60" l="1"/>
  <c r="H4" i="60" a="1"/>
  <c r="H4" i="60" l="1"/>
  <c r="G4" i="60" a="1"/>
  <c r="G4" i="60" l="1"/>
  <c r="F4" i="60" a="1"/>
  <c r="F4" i="60" l="1"/>
  <c r="E4" i="60" a="1"/>
  <c r="E4" i="60" l="1"/>
  <c r="H3" i="60" a="1"/>
  <c r="H3" i="60" l="1"/>
  <c r="G3" i="60" a="1"/>
  <c r="G3" i="60" l="1"/>
  <c r="F3" i="60" a="1"/>
  <c r="F3" i="60" l="1"/>
  <c r="E3" i="60" a="1"/>
  <c r="E3" i="60" l="1"/>
  <c r="Y2" i="12"/>
  <c r="F24" i="8"/>
  <c r="E24" i="8"/>
  <c r="Y13" i="12" l="1" a="1"/>
  <c r="Y13" i="12" s="1"/>
  <c r="AG2" i="12"/>
  <c r="AF2" i="12"/>
  <c r="AE2" i="12"/>
  <c r="Y11" i="12" l="1" a="1"/>
  <c r="Y11" i="12" s="1"/>
  <c r="Y9" i="12" a="1"/>
  <c r="Y9" i="12" s="1"/>
  <c r="Y12" i="12" a="1"/>
  <c r="Y12" i="12" s="1"/>
  <c r="Y10" i="12" a="1"/>
  <c r="Y10" i="12" s="1"/>
  <c r="Y8" i="12" a="1"/>
  <c r="Y8" i="12" s="1"/>
  <c r="Y4" i="12" a="1"/>
  <c r="Y4" i="12" s="1"/>
  <c r="Y7" i="12" a="1"/>
  <c r="Y7" i="12" s="1"/>
  <c r="Y6" i="12" a="1"/>
  <c r="Y6" i="12" s="1"/>
  <c r="Y5" i="12" a="1"/>
  <c r="Y5" i="12" s="1"/>
  <c r="Y3" i="12" a="1"/>
  <c r="Y3" i="12" s="1"/>
  <c r="Y15" i="12" a="1"/>
  <c r="Y15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L2" i="48" l="1"/>
  <c r="L1" i="48"/>
  <c r="L18" i="48" a="1"/>
  <c r="O3" i="48" a="1"/>
  <c r="K18" i="48" a="1"/>
  <c r="N3" i="48" a="1"/>
  <c r="N3" i="48" l="1"/>
  <c r="K18" i="48"/>
  <c r="O3" i="48"/>
  <c r="L18" i="48"/>
  <c r="C2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K19" i="48" a="1"/>
  <c r="K20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L19" i="48" a="1"/>
  <c r="L20" i="48" a="1"/>
  <c r="L20" i="48" l="1"/>
  <c r="L19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0" i="48"/>
  <c r="K19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O6" i="28" l="1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P14" i="56" l="1"/>
  <c r="M20" i="48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K8" i="13" l="1"/>
  <c r="K7" i="13"/>
  <c r="K6" i="13"/>
  <c r="AH2" i="12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F13" i="55"/>
  <c r="J13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M7" i="40" l="1"/>
  <c r="J14" i="49"/>
  <c r="M16" i="40"/>
  <c r="J10" i="49"/>
  <c r="F11" i="55"/>
  <c r="J11" i="55" s="1"/>
  <c r="F17" i="55"/>
  <c r="J17" i="55" s="1"/>
  <c r="J7" i="49"/>
  <c r="M15" i="40"/>
  <c r="F21" i="55"/>
  <c r="J21" i="55" s="1"/>
  <c r="J16" i="49"/>
  <c r="J13" i="49"/>
  <c r="M11" i="40"/>
  <c r="J9" i="49"/>
  <c r="F14" i="55"/>
  <c r="J14" i="55" s="1"/>
  <c r="J4" i="49"/>
  <c r="N6" i="40" l="1" a="1"/>
  <c r="N6" i="40" s="1"/>
  <c r="L4" i="49" s="1"/>
  <c r="N12" i="40" a="1"/>
  <c r="N12" i="40" s="1"/>
  <c r="L10" i="49" s="1"/>
  <c r="N10" i="40" a="1"/>
  <c r="N10" i="40" s="1"/>
  <c r="L8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2" i="55" l="1"/>
  <c r="R12" i="55" s="1"/>
  <c r="K9" i="55"/>
  <c r="R9" i="55" s="1"/>
  <c r="K18" i="55"/>
  <c r="R18" i="55" s="1"/>
  <c r="K15" i="55"/>
  <c r="R15" i="55" s="1"/>
  <c r="K21" i="55"/>
  <c r="R21" i="55" s="1"/>
  <c r="K11" i="55"/>
  <c r="R11" i="55" s="1"/>
  <c r="K17" i="55"/>
  <c r="R17" i="55" s="1"/>
  <c r="K13" i="55"/>
  <c r="R13" i="55" s="1"/>
  <c r="S14" i="55" s="1"/>
  <c r="K19" i="55"/>
  <c r="R19" i="55" s="1"/>
  <c r="S10" i="55" l="1"/>
  <c r="S20" i="55"/>
  <c r="S16" i="55"/>
  <c r="S19" i="55"/>
  <c r="S12" i="55"/>
  <c r="S17" i="55"/>
  <c r="S13" i="55"/>
  <c r="S21" i="55"/>
  <c r="S15" i="55"/>
  <c r="S11" i="55"/>
  <c r="S9" i="55"/>
  <c r="R3" i="55"/>
  <c r="S18" i="55"/>
  <c r="E13" i="59"/>
  <c r="E12" i="59"/>
  <c r="E15" i="59"/>
  <c r="E16" i="59"/>
  <c r="E8" i="59"/>
  <c r="E9" i="59"/>
  <c r="E11" i="59"/>
  <c r="E10" i="59"/>
  <c r="E17" i="59"/>
  <c r="E14" i="59"/>
  <c r="S3" i="55" l="1"/>
  <c r="K35" i="59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BF8D443B-6AF9-4371-932E-FC359989F930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Timestamp="1728031785"&gt;&lt;FQL&gt;&lt;Q&gt;FC0000ZA^FG_MCAP_IDX(0,,,USD)&lt;/Q&gt;&lt;R&gt;1&lt;/R&gt;&lt;C&gt;1&lt;/C&gt;&lt;D xsi:type="xsd:double"&gt;372551.9&lt;/D&gt;&lt;/FQL&gt;&lt;FQL&gt;&lt;Q&gt;FC0000IT^FMA_MCAP(0,,,USD,"PORTAGG")&lt;/Q&gt;&lt;R&gt;1&lt;/R&gt;&lt;C&gt;1&lt;/C&gt;&lt;D xsi:type="xsd:double"&gt;867474&lt;/D&gt;&lt;/FQL&gt;&lt;FQL&gt;&lt;Q&gt;FC0000SE^FMA_MCAP(0,,,USD,"PORTAGG")&lt;/Q&gt;&lt;R&gt;1&lt;/R&gt;&lt;C&gt;1&lt;/C&gt;&lt;D xsi:type="xsd:double"&gt;1071350.1&lt;/D&gt;&lt;/FQL&gt;&lt;FQL&gt;&lt;Q&gt;FC0000NL^FMA_MCAP(0,,,USD,"PORTAGG")&lt;/Q&gt;&lt;R&gt;1&lt;/R&gt;&lt;C&gt;1&lt;/C&gt;&lt;D xsi:type="xsd:double"&gt;1120241&lt;/D&gt;&lt;/FQL&gt;&lt;FQL&gt;&lt;Q&gt;FC0000FR^FMA_MCAP(0,,,USD,"PORTAGG")&lt;/Q&gt;&lt;R&gt;1&lt;/R&gt;&lt;C&gt;1&lt;/C&gt;&lt;D xsi:type="xsd:double"&gt;3184172.3&lt;/D&gt;&lt;/FQL&gt;&lt;FQL&gt;&lt;Q&gt;FC0000US^FMA_MCAP(0,,,USD,"PORTAGG")&lt;/Q&gt;&lt;R&gt;1&lt;/R&gt;&lt;C&gt;1&lt;/C&gt;&lt;D xsi:type="xsd:double"&gt;59163210&lt;/D&gt;&lt;/FQL&gt;&lt;FQL&gt;&lt;Q&gt;FC0000GB^FMA_MCAP(0,,,USD,"PORTAGG")&lt;/Q&gt;&lt;R&gt;1&lt;/R&gt;&lt;C&gt;1&lt;/C&gt;&lt;D xsi:type="xsd:double"&gt;3311836&lt;/D&gt;&lt;/FQL&gt;&lt;FQL&gt;&lt;Q&gt;FC0000CH^FMA_MCAP(0,,,USD,"PORTAGG")&lt;/Q&gt;&lt;R&gt;1&lt;/R&gt;&lt;C&gt;1&lt;/C&gt;&lt;D xsi:type="xsd:double"&gt;2297481.3&lt;/D&gt;&lt;/FQL&gt;&lt;FQL&gt;&lt;Q&gt;FC0000JP^FMA_MCAP(0,,,USD,"PORTAGG")&lt;/Q&gt;&lt;R&gt;1&lt;/R&gt;&lt;C&gt;1&lt;/C&gt;&lt;D xsi:type="xsd:double"&gt;6664353.5&lt;/D&gt;&lt;/FQL&gt;&lt;FQL&gt;&lt;Q&gt;FC0000DE^FMA_MCAP(0,,,USD,"PORTAGG")&lt;/Q&gt;&lt;R&gt;1&lt;/R&gt;&lt;C&gt;1&lt;/C&gt;&lt;D xsi:type="xsd:double"&gt;2368162.3&lt;/D&gt;&lt;/FQL&gt;&lt;FQL&gt;&lt;Q&gt;FC0000CA^FMA_MCAP(0,,,USD,"PORTAGG")&lt;/Q&gt;&lt;R&gt;1&lt;/R&gt;&lt;C&gt;1&lt;/C&gt;&lt;D xsi:type="xsd:double"&gt;2963770&lt;/D&gt;&lt;/FQL&gt;&lt;FQL&gt;&lt;Q&gt;FC0000AU^FMA_MCAP(0,,,USD,"PORTAGG")&lt;/Q&gt;&lt;R&gt;1&lt;/R&gt;&lt;C&gt;1&lt;/C&gt;&lt;D xsi:type="xsd:double"&gt;1830910.5&lt;/D&gt;&lt;/FQL&gt;&lt;FQL&gt;&lt;Q&gt;FC0000NZ^FMA_MCAP(0,,,USD,"PORTAGG")&lt;/Q&gt;&lt;R&gt;1&lt;/R&gt;&lt;C&gt;1&lt;/C&gt;&lt;D xsi:type="xsd:double"&gt;100085.03&lt;/D&gt;&lt;/FQL&gt;&lt;FQL&gt;&lt;Q&gt;CC_ZA^FG_COMPANY_NAME&lt;/Q&gt;&lt;R&gt;1&lt;/R&gt;&lt;C&gt;1&lt;/C&gt;&lt;D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Africa&lt;/D&gt;&lt;/FQL&gt;&lt;FQL&gt;&lt;Q&gt;NQG00809^FMA_MCAP(0,,,USD,"PORTAGG")&lt;/Q&gt;&lt;R&gt;0&lt;/R&gt;&lt;C&gt;0&lt;/C&gt;&lt;/FQL&gt;&lt;FQL&gt;&lt;Q&gt;EWI^FREF_MARKET_VALUE_COMPANY(0,,,USD,,0,,"LEGACY")&lt;/Q&gt;&lt;R&gt;1&lt;/R&gt;&lt;C&gt;1&lt;/C&gt;&lt;D xsi:type="xsd:double"&gt;497.547&lt;/D&gt;&lt;/FQL&gt;&lt;FQL&gt;&lt;Q&gt;EWD^FREF_MARKET_VALUE_COMPANY(0,,,USD,,0,,"LEGACY")&lt;/Q&gt;&lt;R&gt;1&lt;/R&gt;&lt;C&gt;1&lt;/C&gt;&lt;D xsi:type="xsd:double"&gt;318.52875&lt;/D&gt;&lt;/FQL&gt;&lt;FQL&gt;&lt;Q&gt;EWN^FREF_MARKET_VALUE_COMPANY(0,,,USD,,0,,"LEGACY")&lt;/Q&gt;&lt;R&gt;1&lt;/R&gt;&lt;C&gt;1&lt;/C&gt;&lt;D xsi:type="xsd:double"&gt;280&lt;/D&gt;&lt;/FQL&gt;&lt;FQL&gt;&lt;Q&gt;EWQ^FREF_MARKET_VALUE_COMPANY(0,,,USD,,0,,"LEGACY")&lt;/Q&gt;&lt;R&gt;1&lt;/R&gt;&lt;C&gt;1&lt;/C&gt;&lt;D xsi:type="xsd:double"&gt;640.748&lt;/D&gt;&lt;/FQL&gt;&lt;FQL&gt;&lt;Q&gt;SPY^FREF_MARKET_VALUE_COMPANY(0,,,USD,,0,,"LEGACY")&lt;/Q&gt;&lt;R&gt;1&lt;/R&gt;&lt;C&gt;1&lt;/C&gt;&lt;D xsi:type="xsd:double"&gt;587030.599804&lt;/D&gt;&lt;/FQL&gt;&lt;FQL&gt;&lt;Q&gt;QQQ^FREF_MARKET_VALUE_COMPANY(0,,,USD,,0,,"LEGACY")&lt;/Q&gt;&lt;R&gt;1&lt;/R&gt;&lt;C&gt;1&lt;/C&gt;&lt;D xsi:type="xsd:double"&gt;288520.569&lt;/D&gt;&lt;/FQL&gt;&lt;FQL&gt;&lt;Q&gt;EWU^FREF_MARKET_VALUE_COMPANY(0,,,USD,,0,,"LEGACY")&lt;/Q&gt;&lt;R&gt;1&lt;/R&gt;&lt;C&gt;1&lt;/C&gt;&lt;D xsi:type="xsd:double"&gt;3340.481&lt;/D&gt;&lt;/FQL&gt;&lt;FQL&gt;&lt;Q&gt;EWL^FREF_MARKET_VALUE_COMPANY(0,,,USD,,0,,"LEGACY")&lt;/Q&gt;&lt;R&gt;1&lt;/R&gt;&lt;C&gt;1&lt;/C&gt;&lt;D xsi:type="xsd:double"&gt;1293.11&lt;/D&gt;&lt;/FQL&gt;&lt;FQL&gt;&lt;Q&gt;EWJ^FREF_MARKET_VALUE_COMPANY(0,,,USD,,0,,"LEGACY")&lt;/Q&gt;&lt;R&gt;1&lt;/R&gt;&lt;C&gt;1&lt;/C&gt;&lt;D xsi:type="xsd:double"&gt;14867.5725&lt;/D&gt;&lt;/FQL&gt;&lt;FQL&gt;&lt;Q&gt;EWG^FREF_MARKET_VALUE_COMPANY(0,,,USD,,0,,"LEGACY")&lt;/Q&gt;&lt;R&gt;1&lt;/R&gt;&lt;C&gt;1&lt;/C&gt;&lt;D xsi:type="xsd:double"&gt;897.897&lt;/D&gt;&lt;/FQL&gt;&lt;FQL&gt;&lt;Q&gt;EWC^FREF_MARKET_VALUE_COMPANY(0,,,USD,,0,,"LEGACY")&lt;/Q&gt;&lt;R&gt;1&lt;/R&gt;&lt;C&gt;1&lt;/C&gt;&lt;D xsi:type="xsd:double"&gt;2853.838&lt;/D&gt;&lt;/FQL&gt;&lt;FQL&gt;&lt;Q&gt;EWA^FREF_MARKET_VALUE_COMPANY(0,,,USD,,0,,"LEGACY")&lt;/Q&gt;&lt;R&gt;1&lt;/R&gt;&lt;C&gt;1&lt;/C&gt;&lt;D xsi:type="xsd:double"&gt;1571.17&lt;/D&gt;&lt;/FQL&gt;&lt;FQL&gt;&lt;Q&gt;ENZL^FREF_MARKET_VALUE_COMPANY(0,,,USD,,0,,"LEGACY")&lt;/Q&gt;&lt;R&gt;1&lt;/R&gt;&lt;C&gt;1&lt;/C&gt;&lt;D xsi:type="xsd:double"&gt;100.3065&lt;/D&gt;&lt;/FQL&gt;&lt;FQL&gt;&lt;Q&gt;NQG00809^FG_COMPANY_NAME&lt;/Q&gt;&lt;R&gt;1&lt;/R&gt;&lt;C&gt;1&lt;/C&gt;&lt;D xsi:type="xsd:string"&gt;Nasdaq South Africa&lt;/D&gt;&lt;/FQL&gt;&lt;FQL&gt;&lt;Q&gt;DUMMY^ECON_EXPR_DATA('FDS_ECON[NTCPMIMFGSA@IT]',,,M)&lt;/Q&gt;&lt;R&gt;1&lt;/R&gt;&lt;C&gt;1&lt;/C&gt;&lt;D xsi:type="xsd:double"&gt;48.309246&lt;/D&gt;&lt;/FQL&gt;&lt;FQL&gt;&lt;Q&gt;DUMMY^ECON_EXPR_DATA('FDS_ECON[]',,,M)&lt;/Q&gt;&lt;R&gt;0&lt;/R&gt;&lt;C&gt;0&lt;/C&gt;&lt;/FQL&gt;&lt;FQL&gt;&lt;Q&gt;DUMMY^ECON_EXPR_DATA('FDS_ECON[NTCPMIMFGSA@NL]',,,M)&lt;/Q&gt;&lt;R&gt;1&lt;/R&gt;&lt;C&gt;1&lt;/C&gt;&lt;D xsi:type="xsd:double"&gt;48.15083&lt;/D&gt;&lt;/FQL&gt;&lt;FQL&gt;&lt;Q&gt;DUMMY^ECON_EXPR_DATA('FDS_ECON[NTCPMIMFGSA@FR]',,,M)&lt;/Q&gt;&lt;R&gt;1&lt;/R&gt;&lt;C&gt;1&lt;/C&gt;&lt;D xsi:type="xsd:double"&gt;44.596165&lt;/D&gt;&lt;/FQL&gt;&lt;FQL&gt;&lt;Q&gt;DUMMY^ECON_EXPR_DATA('FDS_ECON[NTCPMIMFGMESA@US]',,,M)&lt;/Q&gt;&lt;R&gt;1&lt;/R&gt;&lt;C&gt;1&lt;/C&gt;&lt;D xsi:type="xsd:double"&gt;47.257957&lt;/D&gt;&lt;/FQL&gt;&lt;FQL&gt;&lt;Q&gt;DUMMY^ECON_EXPR_DATA('FDS_ECON[NTCPMIMFGSA@GB]',,,M)&lt;/Q&gt;&lt;R&gt;1&lt;/R&gt;&lt;C&gt;1&lt;/C&gt;&lt;D xsi:type="xsd:double"&gt;51.538494&lt;/D&gt;&lt;/FQL&gt;&lt;FQL&gt;&lt;Q&gt;DUMMY^ECON_EXPR_DATA('FDS_ECON[NTCPMIMFGSA@CH]',,,M)&lt;/Q&gt;&lt;R&gt;1&lt;/R&gt;&lt;C&gt;1&lt;/C&gt;&lt;D xsi:type="xsd:double"&gt;49.874554&lt;/D&gt;&lt;/FQL&gt;&lt;FQL&gt;&lt;Q&gt;DUMMY^ECON_EXPR_DATA('FDS_ECON[NTCPMIMFGSA@JP]',,,M)&lt;/Q&gt;&lt;R&gt;1&lt;/R&gt;&lt;C&gt;1&lt;/C&gt;&lt;D xsi:type="xsd:double"&gt;49.730064&lt;/D&gt;&lt;/FQL&gt;&lt;FQL&gt;&lt;Q&gt;DUMMY^ECON_EXPR_DATA('FDS_ECON[NTCPMIMFGSA@DE]',,,M)&lt;/Q&gt;&lt;R&gt;1&lt;/R&gt;&lt;C&gt;1&lt;/C&gt;&lt;D xsi:type="xsd:double"&gt;40.599674&lt;/D&gt;&lt;/FQL&gt;&lt;FQL&gt;&lt;Q&gt;DUMMY^ECON_EXPR_DATA('FDS_ECON[NTCPMIMFGSA@CA]',,,M)&lt;/Q&gt;&lt;R&gt;1&lt;/R&gt;&lt;C&gt;1&lt;/C&gt;&lt;D xsi:type="xsd:double"&gt;50.366905&lt;/D&gt;&lt;/FQL&gt;&lt;FQL&gt;&lt;Q&gt;DUMMY^ECON_EXPR_DATA('FDS_ECON[NTCPMIMFGSA@AU]',,,M)&lt;/Q&gt;&lt;R&gt;1&lt;/R&gt;&lt;C&gt;1&lt;/C&gt;&lt;D xsi:type="xsd:double"&gt;46.746517&lt;/D&gt;&lt;/FQL&gt;&lt;FQL&gt;&lt;Q&gt;DUMMY^ECON_EXPR_DATA('FDS_ECON[NTCPMIMFGSA@NZ]',,,M)&lt;/Q&gt;&lt;R&gt;0&lt;/R&gt;&lt;C&gt;0&lt;/C&gt;&lt;/FQL&gt;&lt;FQL&gt;&lt;Q&gt;DUMMY^ECON_EXPR_DATA('FDS_ECON[NTCPMIMFGSA@EME]',,,M)&lt;/Q&gt;&lt;R&gt;1&lt;/R&gt;&lt;C&gt;1&lt;/C&gt;&lt;D xsi:type="xsd:double"&gt;49.8002&lt;/D&gt;&lt;/FQL&gt;&lt;FQL&gt;&lt;Q&gt;DUMMY^ECON_EXPR_DATA('FDS_ECON[PMIDMMANHE]',,,M)&lt;/Q&gt;&lt;R&gt;1&lt;/R&gt;&lt;C&gt;1&lt;/C&gt;&lt;D xsi:type="xsd:double"&gt;47.52011&lt;/D&gt;&lt;/FQL&gt;&lt;FQL&gt;&lt;Q&gt;EWI^FG_COMPANY_NAME&lt;/Q&gt;&lt;R&gt;1&lt;/R&gt;&lt;C&gt;1&lt;/C&gt;&lt;D xsi:type="xsd:string"&gt;iShares MSCI Italy ETF&lt;/D&gt;&lt;/FQL&gt;&lt;FQL&gt;&lt;Q&gt;EWD^FG_COMPANY_NAME&lt;/Q&gt;&lt;R&gt;1&lt;/R&gt;&lt;C&gt;1&lt;/C&gt;&lt;D xsi:type="xsd:string"&gt;iShares MSCI Sweden ETF&lt;/D&gt;&lt;/FQL&gt;&lt;FQL&gt;&lt;Q&gt;EWN^FG_COMPANY_NAME&lt;/Q&gt;&lt;R&gt;1&lt;/R&gt;&lt;C&gt;1&lt;/C&gt;&lt;D xsi:type="xsd:string"&gt;iShares MSCI Netherlands ETF&lt;/D&gt;&lt;/FQL&gt;&lt;FQL&gt;&lt;Q&gt;EWQ^FG_COMPANY_NAME&lt;/Q&gt;&lt;R&gt;1&lt;/R&gt;&lt;C&gt;1&lt;/C&gt;&lt;D xsi:type="xsd:string"&gt;iShares MSCI France ETF&lt;/D&gt;&lt;/FQL&gt;&lt;FQL&gt;&lt;Q&gt;SPY^FG_COMPANY_NAME&lt;/Q&gt;&lt;R&gt;1&lt;/R&gt;&lt;C&gt;1&lt;/C&gt;&lt;D xsi:type="xsd:string"&gt;SPDR S&amp;amp;P 500 ETF Trust&lt;/D&gt;&lt;/FQL&gt;&lt;FQL&gt;&lt;Q&gt;QQQ^FG_COMPANY_NAME&lt;/Q&gt;&lt;R&gt;1&lt;/R&gt;&lt;C&gt;1&lt;/C&gt;&lt;D xsi:type="xsd:string"&gt;Invesco QQQ Trust Series I&lt;/D&gt;&lt;/FQL&gt;&lt;FQL&gt;&lt;Q&gt;EWU^FG_COMPANY_NAME&lt;/Q&gt;&lt;R&gt;1&lt;/R&gt;&lt;C&gt;1&lt;/C&gt;&lt;D xsi:type="xsd:string"&gt;iShares MSCI United Kingdom ETF&lt;/D&gt;&lt;/FQL&gt;&lt;FQL&gt;&lt;Q&gt;EWL^FG_COMPANY_NAME&lt;/Q&gt;&lt;R&gt;1&lt;/R&gt;&lt;C&gt;1&lt;/C&gt;&lt;D xsi:type="xsd:string"&gt;iShares MSCI Switzerland ETF&lt;/D&gt;&lt;/FQL&gt;&lt;FQL&gt;&lt;Q&gt;EWJ^FG_COMPANY_NAME&lt;/Q&gt;&lt;R&gt;1&lt;/R&gt;&lt;C&gt;1&lt;/C&gt;&lt;D xsi:type="xsd:string"&gt;iShares MSCI Japan ETF&lt;/D&gt;&lt;/FQL&gt;&lt;FQL&gt;&lt;Q&gt;EWG^FG_COMPANY_NAME&lt;/Q&gt;&lt;R&gt;1&lt;/R&gt;&lt;C&gt;1&lt;/C&gt;&lt;D xsi:type="xsd:string"&gt;iShares MSCI Germany ETF&lt;/D&gt;&lt;/FQL&gt;&lt;FQL&gt;&lt;Q&gt;EWC^FG_COMPANY_NAME&lt;/Q&gt;&lt;R&gt;1&lt;/R&gt;&lt;C&gt;1&lt;/C&gt;&lt;D xsi:type="xsd:string"&gt;iShares MSCI Canada ETF&lt;/D&gt;&lt;/FQL&gt;&lt;FQL&gt;&lt;Q&gt;EWA^FG_COMPANY_NAME&lt;/Q&gt;&lt;R&gt;1&lt;/R&gt;&lt;C&gt;1&lt;/C&gt;&lt;D xsi:type="xsd:string"&gt;iShares MSCI Australia ETF&lt;/D&gt;&lt;/FQL&gt;&lt;FQL&gt;&lt;Q&gt;ENZL^FG_COMPANY_NAME&lt;/Q&gt;&lt;R&gt;1&lt;/R&gt;&lt;C&gt;1&lt;/C&gt;&lt;D xsi:type="xsd:string"&gt;iShares MSCI New Zealand ETF&lt;/D&gt;&lt;/FQL&gt;&lt;FQL&gt;&lt;Q&gt;EWI^FMA_ROE(NTMA,-20AY,NOW,FY,"PORTAGG","MEANR")&lt;/Q&gt;&lt;R&gt;20&lt;/R&gt;&lt;C&gt;1&lt;/C&gt;&lt;D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xsi:type="xsd:double"&gt;13.3572149047324&lt;/D&gt;&lt;/FQL&gt;&lt;FQL&gt;&lt;Q&gt;EWD^FMA_ROE(NTMA,-20AY,NOW,FY,"PORTAGG","MEANR")&lt;/Q&gt;&lt;R&gt;20&lt;/R&gt;&lt;C&gt;1&lt;/C&gt;&lt;D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xsi:type="xsd:double"&gt;13.4117967495928&lt;/D&gt;&lt;D xsi:type="xsd:double"&gt;11.9085678484881&lt;/D&gt;&lt;D xsi:type="xsd:double"&gt;15.3602779609384&lt;/D&gt;&lt;D xsi:type="xsd:double"&gt;14.6915673510105&lt;/D&gt;&lt;D xsi:type="xsd:double"&gt;15.368050598586&lt;/D&gt;&lt;/FQL&gt;&lt;FQL&gt;&lt;Q&gt;EWN^FMA_ROE(NTMA,-20AY,NOW,FY,"PORTAGG","MEANR")&lt;/Q&gt;&lt;R&gt;20&lt;/R&gt;&lt;C&gt;1&lt;/C&gt;&lt;D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xsi:type="xsd:double"&gt;13.0917636337237&lt;/D&gt;&lt;D xsi:type="xsd:double"&gt;9.77856566503728&lt;/D&gt;&lt;D xsi:type="xsd:double"&gt;10.8991459518594&lt;/D&gt;&lt;D xsi:type="xsd:double"&gt;12.0158891532418&lt;/D&gt;&lt;D xsi:type="xsd:double"&gt;12.7507267246828&lt;/D&gt;&lt;/FQL&gt;&lt;FQL&gt;&lt;Q&gt;EWQ^FMA_ROE(NTMA,-20AY,NOW,FY,"PORTAGG","MEANR")&lt;/Q&gt;&lt;R&gt;20&lt;/R&gt;&lt;C&gt;1&lt;/C&gt;&lt;D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xsi:type="xsd:double"&gt;10.9140096450728&lt;/D&gt;&lt;D xsi:type="xsd:double"&gt;8.94223448409826&lt;/D&gt;&lt;D xsi:type="xsd:double"&gt;12.253955548111&lt;/D&gt;&lt;D xsi:type="xsd:double"&gt;13.1534194530092&lt;/D&gt;&lt;D xsi:type="xsd:double"&gt;13.2312741384504&lt;/D&gt;&lt;/FQL&gt;&lt;FQL&gt;&lt;Q&gt;SPY^FMA_ROE(NTMA,-20AY,NOW,FY,"PORTAGG","MEANR")&lt;/Q&gt;&lt;R&gt;20&lt;/R&gt;&lt;C&gt;1&lt;/C&gt;&lt;D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xsi:type="xsd:double"&gt;18.2929292791204&lt;/D&gt;&lt;D xsi:type="xsd:double"&gt;17.2298191529736&lt;/D&gt;&lt;D xsi:type="xsd:double"&gt;20.6862902717992&lt;/D&gt;&lt;D xsi:type="xsd:double"&gt;20.5983105975354&lt;/D&gt;&lt;D xsi:type="xsd:double"&gt;20.3440340867651&lt;/D&gt;&lt;/FQL&gt;&lt;FQL&gt;&lt;Q&gt;QQQ^FMA_ROE(NTMA,-20AY,NOW,FY,"PORTAGG","MEANR")&lt;/Q&gt;&lt;R&gt;20&lt;/R&gt;&lt;C&gt;1&lt;/C&gt;&lt;D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xsi:type="xsd:double"&gt;25.0117290129984&lt;/D&gt;&lt;D xsi:type="xsd:double"&gt;24.5344428077456&lt;/D&gt;&lt;D xsi:type="xsd:double"&gt;26.6372020866639&lt;/D&gt;&lt;D xsi:type="xsd:double"&gt;24.0483215667605&lt;/D&gt;&lt;D xsi:type="xsd:double"&gt;25.3040632207851&lt;/D&gt;&lt;/FQL&gt;&lt;FQL&gt;&lt;Q&gt;EWU^FMA_ROE(NTMA,-20AY,NOW,FY,"PORTAGG","MEANR")&lt;/Q&gt;&lt;R&gt;20&lt;/R&gt;&lt;C&gt;1&lt;/C&gt;&lt;D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xsi:type="xsd:double"&gt;12.870966472555&lt;/D&gt;&lt;D xsi:type="xsd:double"&gt;11.2077122027496&lt;/D&gt;&lt;D xsi:type="xsd:double"&gt;13.9227366843934&lt;/D&gt;&lt;D xsi:type="xsd:double"&gt;15.8583479057593&lt;/D&gt;&lt;D xsi:type="xsd:double"&gt;14.7202942014685&lt;/D&gt;&lt;/FQL&gt;&lt;FQL&gt;&lt;Q&gt;EWL^FMA_ROE(NTMA,-20AY,NOW,FY,"PORTAGG","MEANR")&lt;/Q&gt;&lt;R&gt;20&lt;/R&gt;&lt;C&gt;1&lt;/C&gt;&lt;D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xsi:type="xsd:double"&gt;14.667779515581&lt;/D&gt;&lt;D xsi:type="xsd:double"&gt;16.3837417700753&lt;/D&gt;&lt;D xsi:type="xsd:double"&gt;16.6906517335277&lt;/D&gt;&lt;D xsi:type="xsd:double"&gt;19.3024636413407&lt;/D&gt;&lt;/FQL&gt;&lt;FQL&gt;&lt;Q&gt;EWJ^FMA_ROE(NTMA,-20AY,NOW,FY,"PORTAGG","MEANR")&lt;/Q&gt;&lt;R&gt;20&lt;/R&gt;&lt;C&gt;1&lt;/C&gt;&lt;D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xsi:type="xsd:double"&gt;8.28402149591678&lt;/D&gt;&lt;D xsi:type="xsd:double"&gt;7.30730049589558&lt;/D&gt;&lt;D xsi:type="xsd:double"&gt;9.18501663264773&lt;/D&gt;&lt;D xsi:type="xsd:double"&gt;9.19219315223847&lt;/D&gt;&lt;D xsi:type="xsd:double"&gt;9.28083453967333&lt;/D&gt;&lt;/FQL&gt;&lt;FQL&gt;&lt;Q&gt;EWG^FMA_ROE(NTMA,-20AY,NOW,FY,"PORTAGG","MEANR")&lt;/Q&gt;&lt;R&gt;20&lt;/R&gt;&lt;C&gt;1&lt;/C&gt;&lt;D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xsi:type="xsd:double"&gt;10.447567210817&lt;/D&gt;&lt;D xsi:type="xsd:double"&gt;9.71471543630713&lt;/D&gt;&lt;D xsi:type="xsd:double"&gt;12.1997093940908&lt;/D&gt;&lt;D xsi:type="xsd:double"&gt;11.8187115519998&lt;/D&gt;&lt;D xsi:type="xsd:double"&gt;11.93889064433&lt;/D&gt;&lt;/FQL&gt;&lt;FQL&gt;&lt;Q&gt;EWC^FMA_ROE(NTMA,-20AY,NOW,FY,"PORTAGG","MEANR")&lt;/Q&gt;&lt;R&gt;20&lt;/R&gt;&lt;C&gt;1&lt;/C&gt;&lt;D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xsi:type="xsd:double"&gt;11.9786784677485&lt;/D&gt;&lt;D xsi:type="xsd:double"&gt;11.1922086822881&lt;/D&gt;&lt;D xsi:type="xsd:double"&gt;14.1061782856045&lt;/D&gt;&lt;D xsi:type="xsd:double"&gt;14.002940310619&lt;/D&gt;&lt;D xsi:type="xsd:double"&gt;13.1491479008301&lt;/D&gt;&lt;/FQL&gt;&lt;FQL&gt;&lt;Q&gt;EWA^FMA_ROE(NTMA,-20AY,NOW,FY,"PORTAGG","MEANR")&lt;/Q&gt;&lt;R&gt;20&lt;/R&gt;&lt;C&gt;1&lt;/C&gt;&lt;D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xsi:type="xsd:double"&gt;11.7272452683733&lt;/D&gt;&lt;D xsi:type="xsd:double"&gt;11.0508592022587&lt;/D&gt;&lt;D xsi:type="xsd:double"&gt;12.8471719199911&lt;/D&gt;&lt;D xsi:type="xsd:double"&gt;14.658060585061&lt;/D&gt;&lt;D xsi:type="xsd:double"&gt;13.2263940971232&lt;/D&gt;&lt;/FQL&gt;&lt;FQL&gt;&lt;Q&gt;ENZL^FMA_ROE(NTMA,-20AY,NOW,FY,"PORTAGG","MEANR")&lt;/Q&gt;&lt;R&gt;20&lt;/R&gt;&lt;C&gt;1&lt;/C&gt;&lt;D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xsi:type="xsd:double"&gt;9.00388709577871&lt;/D&gt;&lt;D xsi:type="xsd:double"&gt;7.53226388544375&lt;/D&gt;&lt;D xsi:type="xsd:double"&gt;6.44400184436727&lt;/D&gt;&lt;D xsi:type="xsd:double"&gt;7.76896899459677&lt;/D&gt;&lt;D xsi:type="xsd:double"&gt;6.57910752236192&lt;/D&gt;&lt;/FQL&gt;&lt;FQL&gt;&lt;Q&gt;EWA^JULIAN(FMA_ROE(NTMA,-20AY,NOW,FY,"PORTAGG","MEANR").DATES)&lt;/Q&gt;&lt;R&gt;20&lt;/R&gt;&lt;C&gt;1&lt;/C&gt;&lt;D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</t>
        </r>
      </text>
    </comment>
    <comment ref="A2" authorId="0" shapeId="0" xr:uid="{83139FF7-42AA-4507-9113-C531213B08E8}">
      <text>
        <r>
          <rPr>
            <b/>
            <sz val="9"/>
            <color indexed="81"/>
            <rFont val="Tahoma"/>
            <charset val="1"/>
          </rPr>
          <t>3465&lt;/D&gt;&lt;D xsi:type="xsd:long"&gt;43830&lt;/D&gt;&lt;D xsi:type="xsd:long"&gt;44196&lt;/D&gt;&lt;D xsi:type="xsd:long"&gt;44561&lt;/D&gt;&lt;D xsi:type="xsd:long"&gt;44925&lt;/D&gt;&lt;D xsi:type="xsd:long"&gt;45289&lt;/D&gt;&lt;/FQL&gt;&lt;FQL&gt;&lt;Q&gt;CAGDPY@IT^EE_ACTUAL_ANNUAL(MED,+1)&lt;/Q&gt;&lt;R&gt;1&lt;/R&gt;&lt;C&gt;1&lt;/C&gt;&lt;D xsi:type="xsd:double"&gt;1.4&lt;/D&gt;&lt;/FQL&gt;&lt;FQL&gt;&lt;Q&gt;CAGDPY@IT^EE_ACTUAL_ANNUAL(MED,0)&lt;/Q&gt;&lt;R&gt;1&lt;/R&gt;&lt;C&gt;1&lt;/C&gt;&lt;D xsi:type="xsd:double"&gt;-0.0145026444035375&lt;/D&gt;&lt;/FQL&gt;&lt;FQL&gt;&lt;Q&gt;CAGDPY@SE^EE_ACTUAL_ANNUAL(MED,+1)&lt;/Q&gt;&lt;R&gt;1&lt;/R&gt;&lt;C&gt;1&lt;/C&gt;&lt;D xsi:type="xsd:double"&gt;6.15&lt;/D&gt;&lt;/FQL&gt;&lt;FQL&gt;&lt;Q&gt;CAGDPY@SE^EE_ACTUAL_ANNUAL(MED,0)&lt;/Q&gt;&lt;R&gt;1&lt;/R&gt;&lt;C&gt;1&lt;/C&gt;&lt;D xsi:type="xsd:double"&gt;6.54758763985883&lt;/D&gt;&lt;/FQL&gt;&lt;FQL&gt;&lt;Q&gt;CAGDPY@NL^EE_ACTUAL_ANNUAL(MED,+1)&lt;/Q&gt;&lt;R&gt;1&lt;/R&gt;&lt;C&gt;1&lt;/C&gt;&lt;D xsi:type="xsd:double"&gt;9.75&lt;/D&gt;&lt;/FQL&gt;&lt;FQL&gt;&lt;Q&gt;CAGDPY@NL^EE_ACTUAL_ANNUAL(MED,0)&lt;/Q&gt;&lt;R&gt;1&lt;/R&gt;&lt;C&gt;1&lt;/C&gt;&lt;D xsi:type="xsd:double"&gt;9.85408501996988&lt;/D&gt;&lt;/FQL&gt;&lt;FQL&gt;&lt;Q&gt;CAGDPY@FR^EE_ACTUAL_ANNUAL(MED,+1)&lt;/Q&gt;&lt;R&gt;1&lt;/R&gt;&lt;C&gt;1&lt;/C&gt;&lt;D xsi:type="xsd:double"&gt;-0.4&lt;/D&gt;&lt;/FQL&gt;&lt;FQL&gt;&lt;Q&gt;CAGDPY@FR^EE_ACTUAL_ANNUAL(MED,0)&lt;/Q&gt;&lt;R&gt;1&lt;/R&gt;&lt;C&gt;1&lt;/C&gt;&lt;D xsi:type="xsd:double"&gt;-1.0196499952943&lt;/D&gt;&lt;/FQL&gt;&lt;FQL&gt;&lt;Q&gt;CAGDPY@US^EE_ACTUAL_ANNUAL(MED,+1)&lt;/Q&gt;&lt;R&gt;1&lt;/R&gt;&lt;C&gt;1&lt;/C&gt;&lt;D xsi:type="xsd:double"&gt;-3.3&lt;/D&gt;&lt;/FQL&gt;&lt;FQL&gt;&lt;Q&gt;CAGDPY@US^EE_ACTUAL_ANNUAL(MED,0)&lt;/Q&gt;&lt;R&gt;1&lt;/R&gt;&lt;C&gt;1&lt;/C&gt;&lt;D xsi:type="xsd:double"&gt;-3.26791565830676&lt;/D&gt;&lt;/FQL&gt;&lt;FQL&gt;&lt;Q&gt;CAGDPY@GB^EE_ACTUAL_ANNUAL(MED,+1)&lt;/Q&gt;&lt;R&gt;1&lt;/R&gt;&lt;C&gt;1&lt;/C&gt;&lt;D xsi:type="xsd:double"&gt;-2.8&lt;/D&gt;&lt;/FQL&gt;&lt;FQL&gt;&lt;Q&gt;CAGDPY@GB^EE_ACTUAL_ANNUAL(MED,0)&lt;/Q&gt;&lt;R&gt;1&lt;/R&gt;&lt;C&gt;1&lt;/C&gt;&lt;D xsi:type="xsd:double"&gt;-3.3&lt;/D&gt;&lt;/FQL&gt;&lt;FQL&gt;&lt;Q&gt;CAGDPY@CH^EE_ACTUAL_ANNUAL(MED,+1)&lt;/Q&gt;&lt;R&gt;1&lt;/R&gt;&lt;C&gt;1&lt;/C&gt;&lt;D xsi:type="xsd:double"&gt;8&lt;/D&gt;&lt;/FQL&gt;&lt;FQL&gt;&lt;Q&gt;CAGDPY@CH^EE_ACTUAL_ANNUAL(MED,0)&lt;/Q&gt;&lt;R&gt;1&lt;/R&gt;&lt;C&gt;1&lt;/C&gt;&lt;D xsi:type="xsd:double"&gt;6.51381088906606&lt;/D&gt;&lt;/FQL&gt;&lt;FQL&gt;&lt;Q&gt;CAGDPY@JP^EE_ACTUAL_ANNUAL(MED,+1)&lt;/Q&gt;&lt;R&gt;1&lt;/R&gt;&lt;C&gt;1&lt;/C&gt;&lt;D xsi:type="xsd:double"&gt;4&lt;/D&gt;&lt;/FQL&gt;&lt;FQL&gt;&lt;Q&gt;CAGDPY@JP^EE_ACTUAL_ANNUAL(MED,0)&lt;/Q&gt;&lt;R&gt;1&lt;/R&gt;&lt;C&gt;1&lt;/C&gt;&lt;D xsi:type="xsd:double"&gt;3.60658196299853&lt;/D&gt;&lt;/FQL&gt;&lt;FQL&gt;&lt;Q&gt;CAGDPY@DE^EE_ACTUAL_ANNUAL(MED,+1)&lt;/Q&gt;&lt;R&gt;1&lt;/R&gt;&lt;C&gt;1&lt;/C&gt;&lt;D xsi:type="xsd:double"&gt;6.85&lt;/D&gt;&lt;/FQL&gt;&lt;FQL&gt;&lt;Q&gt;CAGDPY@DE^EE_ACTUAL_ANNUAL(MED,0)&lt;/Q&gt;&lt;R&gt;1&lt;/R&gt;&lt;C&gt;1&lt;/C&gt;&lt;D xsi:type="xsd:double"&gt;5.88214213185842&lt;/D&gt;&lt;/FQL&gt;&lt;FQL&gt;&lt;Q&gt;CAGDPY@CA^EE_ACTUAL_ANNUAL(MED,+1)&lt;/Q&gt;&lt;R&gt;1&lt;/R&gt;&lt;C&gt;1&lt;/C&gt;&lt;D xsi:type="xsd:double"&gt;-1&lt;/D&gt;&lt;/FQL&gt;&lt;FQL&gt;&lt;Q&gt;CAGDPY@CA^EE_ACTUAL_ANNUAL(MED,0)&lt;/Q&gt;&lt;R&gt;1&lt;/R&gt;&lt;C&gt;1&lt;/C&gt;&lt;D xsi:type="xsd:double"&gt;-0.725414399026327&lt;/D&gt;&lt;/FQL&gt;&lt;FQL&gt;&lt;Q&gt;CAGDPY@AU^EE_ACTUAL_ANNUAL(MED,+1)&lt;/Q&gt;&lt;R&gt;1&lt;/R&gt;&lt;C&gt;1&lt;/C&gt;&lt;D xsi:type="xsd:double"&gt;-1&lt;/D&gt;&lt;/FQL&gt;&lt;FQL&gt;&lt;Q&gt;CAGDPY@AU^EE_ACTUAL_ANNUAL(MED,0)&lt;/Q&gt;&lt;R&gt;1&lt;/R&gt;&lt;C&gt;1&lt;/C&gt;&lt;D xsi:type="xsd:double"&gt;0.252467670960909&lt;/D&gt;&lt;/FQL&gt;&lt;FQL&gt;&lt;Q&gt;CAGDPY@NZ^EE_ACTUAL_ANNUAL(MED,+1)&lt;/Q&gt;&lt;R&gt;1&lt;/R&gt;&lt;C&gt;1&lt;/C&gt;&lt;D xsi:type="xsd:double"&gt;-6.4&lt;/D&gt;&lt;/FQL&gt;&lt;FQL&gt;&lt;Q&gt;CAGDPY@NZ^EE_ACTUAL_ANNUAL(MED,0)&lt;/Q&gt;&lt;R&gt;1&lt;/R&gt;&lt;C&gt;1&lt;/C&gt;&lt;D xsi:type="xsd:double"&gt;-7.1&lt;/D&gt;&lt;/FQL&gt;&lt;FQL&gt;&lt;Q&gt;CC_US^FG_COMPANY_NAME&lt;/Q&gt;&lt;R&gt;1&lt;/R&gt;&lt;C&gt;1&lt;/C&gt;&lt;D xsi:type="xsd:string"&gt;United States&lt;/D&gt;&lt;/FQL&gt;&lt;FQL&gt;&lt;Q&gt;CC_GB^FG_COMPANY_NAME&lt;/Q&gt;&lt;R&gt;1&lt;/R&gt;&lt;C&gt;1&lt;/C&gt;&lt;D xsi:type="xsd:string"&gt;United Kingdom&lt;/D&gt;&lt;/FQL&gt;&lt;FQL&gt;&lt;Q&gt;CC_CH^FG_COMPANY_NAME&lt;/Q&gt;&lt;R&gt;1&lt;/R&gt;&lt;C&gt;1&lt;/C&gt;&lt;D xsi:type="xsd:string"&gt;Switzerland&lt;/D&gt;&lt;/FQL&gt;&lt;FQL&gt;&lt;Q&gt;CC_JP^FG_COMPANY_NAME&lt;/Q&gt;&lt;R&gt;1&lt;/R&gt;&lt;C&gt;1&lt;/C&gt;&lt;D xsi:type="xsd:string"&gt;Japan&lt;/D&gt;&lt;/FQL&gt;&lt;FQL&gt;&lt;Q&gt;CC_DE^FG_COMPANY_NAME&lt;/Q&gt;&lt;R&gt;1&lt;/R&gt;&lt;C&gt;1&lt;/C&gt;&lt;D xsi:type="xsd:string"&gt;Germany&lt;/D&gt;&lt;/FQL&gt;&lt;FQL&gt;&lt;Q&gt;CC_CA^FG_COMPANY_NAME&lt;/Q&gt;&lt;R&gt;1&lt;/R&gt;&lt;C&gt;1&lt;/C&gt;&lt;D xsi:type="xsd:string"&gt;Canada&lt;/D&gt;&lt;/FQL&gt;&lt;FQL&gt;&lt;Q&gt;CC_AU^FG_COMPANY_NAME&lt;/Q&gt;&lt;R&gt;1&lt;/R&gt;&lt;C&gt;1&lt;/C&gt;&lt;D xsi:type="xsd:string"&gt;Australia&lt;/D&gt;&lt;/FQL&gt;&lt;FQL&gt;&lt;Q&gt;CC_NZ^FG_COMPANY_NAME&lt;/Q&gt;&lt;R&gt;1&lt;/R&gt;&lt;C&gt;1&lt;/C&gt;&lt;D xsi:type="xsd:string"&gt;New Zealand&lt;/D&gt;&lt;/FQL&gt;&lt;FQL&gt;&lt;Q&gt;USDITL^STD(FG_PRICE_CHANGE(0,-3AY,M))&lt;/Q&gt;&lt;R&gt;1&lt;/R&gt;&lt;C&gt;1&lt;/C&gt;&lt;D xsi:type="xsd:double"&gt;2.17172777170536&lt;/D&gt;&lt;/FQL&gt;&lt;FQL&gt;&lt;Q&gt;USDITL^STD(FG_PRICE_CHANGE(0,-1AY,AM))&lt;/Q&gt;&lt;R&gt;1&lt;/R&gt;&lt;C&gt;1&lt;/C&gt;&lt;D xsi:type="xsd:double"&gt;1.34811379852049&lt;/D&gt;&lt;/FQL&gt;&lt;FQL&gt;&lt;Q&gt;USDITL^FG_PRICE_CHANGE(0,-6AM)&lt;/Q&gt;&lt;R&gt;1&lt;/R&gt;&lt;C&gt;1&lt;/C&gt;&lt;D xsi:type="xsd:double"&gt;-1.7743707&lt;/D&gt;&lt;/FQL&gt;&lt;FQL&gt;&lt;Q&gt;USDITL^FG_PRICE_CHANGE(0,-3AM)&lt;/Q&gt;&lt;R&gt;1&lt;/R&gt;&lt;C&gt;1&lt;/C&gt;&lt;D xsi:type="xsd:double"&gt;-1.9377351&lt;/D&gt;&lt;/FQL&gt;&lt;FQL&gt;&lt;Q&gt;USDITL^FG_PRICE_CHANGE(0,-1AM)&lt;/Q&gt;&lt;R&gt;1&lt;/R&gt;&lt;C&gt;1&lt;/C&gt;&lt;D xsi:type="xsd:double"&gt;0.22236109&lt;/D&gt;&lt;/FQL&gt;&lt;FQL&gt;&lt;Q&gt;USDITL^FG_PRICE_CHANGE(0,-1AY)&lt;/Q&gt;&lt;R&gt;1&lt;/R&gt;&lt;C&gt;1&lt;/C&gt;&lt;D xsi:type="xsd:double"&gt;-4.923761&lt;/D&gt;&lt;/FQL&gt;&lt;FQL&gt;&lt;Q&gt;USDITL^FG_PRICE(0)&lt;/Q&gt;&lt;R&gt;1&lt;/R&gt;&lt;C&gt;1&lt;/C&gt;&lt;D xsi:type="xsd:double"&gt;1757.3698&lt;/D&gt;&lt;/FQL&gt;&lt;FQL&gt;&lt;Q&gt;USDITL^FG_COMPANY_NAME&lt;/Q&gt;&lt;R&gt;1&lt;/R&gt;&lt;C&gt;1&lt;/C&gt;&lt;D xsi:type="xsd:string"&gt;Italian Lira per U.S. Dollar&lt;/D&gt;&lt;/FQL&gt;&lt;FQL&gt;&lt;Q&gt;USDSEK^STD(FG_PRICE_CHANGE(0,-3AY,M))&lt;/Q&gt;&lt;R&gt;1&lt;/R&gt;&lt;C&gt;1&lt;/C&gt;&lt;D xsi:type="xsd:double"&gt;3.09688558121638&lt;/D&gt;&lt;/FQL&gt;&lt;FQL&gt;&lt;Q&gt;USDSEK^STD(FG_PRICE_CHANGE(0,-1AY,AM))&lt;/Q&gt;&lt;R&gt;1&lt;/R&gt;&lt;C&gt;1&lt;/C&gt;&lt;D xsi:type="xsd:double"&gt;2.20071086088667&lt;/D&gt;&lt;/FQL&gt;&lt;FQL&gt;&lt;Q&gt;USDSEK^FG_PRICE_CHANGE(0,-6AM)&lt;/Q&gt;&lt;R&gt;1&lt;/R&gt;&lt;C&gt;1&lt;/C&gt;&lt;D xsi:type="xsd:double"&gt;-3.1205714&lt;/D&gt;&lt;/FQL&gt;&lt;FQL&gt;&lt;Q&gt;USDSEK^FG_PRICE_CHANGE(0,-3AM)&lt;/Q&gt;&lt;R&gt;1&lt;/R&gt;&lt;C&gt;1&lt;/C&gt;&lt;D xsi:type="xsd:double"&gt;-1.4652014&lt;/D&gt;&lt;/FQL&gt;&lt;FQL&gt;&lt;Q&gt;USDSEK^FG_PRICE_CHANGE(0,-1AM)&lt;/Q&gt;&lt;R&gt;1&lt;/R&gt;&lt;C&gt;1&lt;/C&gt;&lt;D xsi:type="xsd:double"&gt;-0.005811453&lt;/D&gt;&lt;/FQL&gt;&lt;FQL&gt;&lt;Q&gt;USDSEK^FG_PRICE_CHANGE(0,-1AY)&lt;/Q&gt;&lt;R&gt;1&lt;/R&gt;&lt;C&gt;1&lt;/C&gt;&lt;D xsi:type="xsd:double"&gt;-7.0047197&lt;/D&gt;&lt;/FQL&gt;&lt;FQL&gt;&lt;Q&gt;USDSEK^FG_PRICE(0)&lt;/Q&gt;&lt;R&gt;1&lt;/R&gt;&lt;C&gt;1&lt;/C&gt;&lt;D xsi:type="xsd:double"&gt;10.3195&lt;/D&gt;&lt;/FQL&gt;&lt;FQL&gt;&lt;Q&gt;USDSEK^FG_COMPANY_NAME&lt;/Q&gt;&lt;R&gt;1&lt;/R&gt;&lt;C&gt;1&lt;/C&gt;&lt;D xsi:type="xsd:string"&gt;Swedish Krona per U.S. Dollar&lt;/D&gt;&lt;/FQL&gt;&lt;FQL&gt;&lt;Q&gt;USDANG^STD(FG_PRICE_CHANGE(0,-3AY,M))&lt;/Q&gt;&lt;R&gt;1&lt;/R&gt;&lt;C&gt;1&lt;/C&gt;&lt;D xsi:type="xsd:double"&gt;0.0594600681310969&lt;/D&gt;&lt;/FQL&gt;&lt;FQL&gt;&lt;Q&gt;USDANG^STD(FG_PRICE_CHANGE(0,-1AY,AM))&lt;/Q&gt;&lt;R&gt;1&lt;/R&gt;&lt;C&gt;1&lt;/C&gt;&lt;D xsi:type="xsd:double"&gt;0&lt;/D&gt;&lt;/FQL&gt;&lt;FQL&gt;&lt;Q&gt;USDANG^FG_PRICE_CHANGE(0,-6AM)&lt;/Q&gt;&lt;R&gt;1&lt;/R&gt;&lt;C&gt;1&lt;/C&gt;&lt;D xsi:type="xsd:double"&gt;0&lt;/D&gt;&lt;/FQL&gt;&lt;FQL&gt;&lt;Q&gt;USDANG^FG_PRICE_CHANGE(0,-3AM)&lt;/Q&gt;&lt;R&gt;1&lt;/R&gt;&lt;C&gt;1&lt;/C&gt;&lt;D xsi:type="xsd:double"&gt;0&lt;/D&gt;&lt;/FQL&gt;&lt;FQL&gt;&lt;Q&gt;USDANG^FG_PRICE_CHANGE(0,-1AM)&lt;/Q&gt;&lt;R&gt;1&lt;/R&gt;&lt;C&gt;1&lt;/C&gt;&lt;D xsi:type="xsd:double"&gt;0&lt;/D&gt;&lt;/FQL&gt;&lt;FQL&gt;&lt;Q&gt;USDANG^FG_PRICE_CHANGE(0,-1AY)&lt;/Q&gt;&lt;R&gt;1&lt;/R&gt;&lt;C&gt;1&lt;/C&gt;&lt;D xsi:type="xsd:double"&gt;0&lt;/D&gt;&lt;/FQL&gt;&lt;FQL&gt;&lt;Q&gt;USDANG^FG_PRICE(0)&lt;/Q&gt;&lt;R&gt;1&lt;/R&gt;&lt;C&gt;1&lt;/C&gt;&lt;D xsi:type="xsd:double"&gt;1.79&lt;/D&gt;&lt;/FQL&gt;&lt;FQL&gt;&lt;Q&gt;USDANG^FG_COMPANY_NAME&lt;/Q&gt;&lt;R&gt;1&lt;/R&gt;&lt;C&gt;1&lt;/C&gt;&lt;D xsi:type="xsd:string"&gt;Netherlands Antilles Guilder per U.S. Dollar&lt;/D&gt;&lt;/FQL&gt;&lt;FQL&gt;&lt;Q&gt;USDCHF^STD(FG_PRICE_CHANGE(0,-3AY,M))&lt;/Q&gt;&lt;R&gt;1&lt;/R&gt;&lt;C&gt;1&lt;/C&gt;&lt;D xsi:type="xsd:double"&gt;2.45675419118825&lt;/D&gt;&lt;/FQL&gt;&lt;FQL&gt;&lt;Q&gt;USDCHF^STD(FG_PRICE_CHANGE(0,-1AY,AM))&lt;/Q&gt;&lt;R&gt;1&lt;/R&gt;&lt;C&gt;1&lt;/C&gt;&lt;D xsi:type="xsd:double"&gt;2.47403563623702&lt;/D&gt;&lt;/FQL&gt;&lt;FQL&gt;&lt;Q&gt;USDCHF^FG_PRICE_CHANGE(0,-6AM)&lt;/Q&gt;&lt;R&gt;1&lt;/R&gt;&lt;C&gt;1&lt;/C&gt;&lt;D xsi:type="xsd:double"&gt;-5.77358&lt;/D&gt;&lt;/FQL&gt;&lt;FQL&gt;&lt;Q&gt;USDCHF^FG_PRICE_CHANGE(0,-3AM)&lt;/Q&gt;&lt;R&gt;1&lt;/R&gt;&lt;C&gt;1&lt;/C&gt;&lt;D xsi:type="xsd:double"&gt;-5.282134&lt;/D&gt;&lt;/FQL&gt;&lt;FQL&gt;&lt;Q&gt;USDCHF^FG_PRICE_CHANGE(0,-1AM)&lt;/Q&gt;&lt;R&gt;1&lt;/R&gt;&lt;C&gt;1&lt;/C&gt;&lt;D xsi:type="xsd:double"&gt;0.4294634&lt;/D&gt;&lt;/FQL&gt;&lt;FQL&gt;&lt;Q&gt;USDCHF^FG_PRICE_CHANGE(0,-1AY)&lt;/Q&gt;&lt;R&gt;1&lt;/R&gt;&lt;C&gt;1&lt;/C&gt;&lt;D xsi:type="xsd:double"&gt;-7.3436794&lt;/D&gt;&lt;/FQL&gt;&lt;FQL&gt;&lt;Q&gt;USDCHF^FG_PRICE(0)&lt;/Q&gt;&lt;R&gt;1&lt;/R&gt;&lt;C&gt;1&lt;/C&gt;&lt;D xsi:type="xsd:double"&gt;0.85355&lt;/D&gt;&lt;/FQL&gt;&lt;FQL&gt;&lt;Q&gt;USDCHF^FG_COMPANY_NAME&lt;/Q&gt;&lt;R&gt;1&lt;/R&gt;&lt;C&gt;1&lt;/C&gt;&lt;D xsi:type="xsd:string"&gt;Swiss Franc per U.S. Dollar&lt;/D&gt;&lt;/FQL&gt;&lt;FQL&gt;&lt;Q&gt;USDUSD^STD(FG_PRICE_CHANGE(0,-3AY,M))&lt;/Q&gt;&lt;R&gt;1&lt;/R&gt;&lt;C&gt;1&lt;/C&gt;&lt;D xsi:type="xsd:double"&gt;0&lt;/D&gt;&lt;/FQL&gt;&lt;FQL&gt;&lt;Q&gt;USDUSD^STD(FG_PRICE_CHANGE(0,-1AY,AM))&lt;/Q&gt;&lt;R&gt;1&lt;/R&gt;&lt;C&gt;1&lt;/C&gt;&lt;D xsi:type="xsd:double"&gt;0&lt;/D&gt;&lt;/FQL&gt;&lt;FQL&gt;&lt;Q&gt;USDUSD^FG_PRICE_CHANGE(0,-6AM)&lt;/Q&gt;&lt;R&gt;1&lt;/R&gt;&lt;C&gt;1&lt;/C&gt;&lt;D xsi:type="xsd:double"&gt;0&lt;/D&gt;&lt;/FQL&gt;&lt;FQL&gt;&lt;Q&gt;USDUSD^FG_PRICE_CHANGE(0,-3AM)&lt;/Q&gt;&lt;R&gt;1&lt;/R&gt;&lt;C&gt;1&lt;/C&gt;&lt;D xsi:type="xsd:double"&gt;0&lt;/D&gt;&lt;/FQL&gt;&lt;FQL&gt;&lt;Q&gt;USDUSD^FG_PRICE_CHANGE(0,-1AM)&lt;/Q&gt;&lt;R&gt;1&lt;/R&gt;&lt;C&gt;1&lt;/C&gt;&lt;D xsi:type="xsd:double"&gt;0&lt;/D&gt;&lt;/FQL&gt;&lt;FQL&gt;&lt;Q&gt;USDUSD^FG_PRICE_CHANGE(0,-1AY)&lt;/Q&gt;&lt;R&gt;1&lt;/R&gt;&lt;C&gt;1&lt;/C&gt;&lt;D xsi:type="xsd:double"&gt;0&lt;/D&gt;&lt;/FQL&gt;&lt;FQL&gt;&lt;Q&gt;USDUSD^FG_PRICE(0)&lt;/Q&gt;&lt;R&gt;1&lt;/R&gt;&lt;C&gt;1&lt;/C&gt;&lt;D xsi:type="xsd:double"&gt;1&lt;/D&gt;&lt;/FQL&gt;&lt;FQL&gt;&lt;Q&gt;USDUSD^FG_COMPANY_NAME&lt;/Q&gt;&lt;R&gt;1&lt;/R&gt;&lt;C&gt;1&lt;/C&gt;&lt;D xsi:type="xsd:string"&gt;U.S. Dollar per U.S. Dollar&lt;/D&gt;&lt;/FQL&gt;&lt;FQL&gt;&lt;Q&gt;USDGBP^STD(FG_PRICE_CHANGE(0,-3AY,M))&lt;/Q&gt;&lt;R&gt;1&lt;/R&gt;&lt;C&gt;1&lt;/C&gt;&lt;D xsi:type="xsd:double"&gt;2.39047188640175&lt;/D&gt;&lt;/FQL&gt;&lt;FQL&gt;&lt;Q&gt;USDGBP^STD(FG_PRICE_CHANGE(0,-1AY,AM))&lt;/Q&gt;&lt;R&gt;1&lt;/R&gt;&lt;C&gt;1&lt;/C&gt;&lt;D xsi:type="xsd:double"&gt;1.76797555289531&lt;/D&gt;&lt;/FQL&gt;&lt;FQL&gt;&lt;Q&gt;USDGBP^FG_PRICE_CHANGE(0,-6AM)&lt;/Q&gt;&lt;R&gt;1&lt;/R&gt;&lt;C&gt;1&lt;/C&gt;&lt;D xsi:type="xsd:double"&gt;-3.734213&lt;/D&gt;&lt;/FQL&gt;&lt;FQL&gt;&lt;Q&gt;USDGBP^FG_PRICE_CHANGE(0,-3AM)&lt;/Q&gt;&lt;R&gt;1&lt;/R&gt;&lt;C&gt;1&lt;/C&gt;&lt;D xsi:type="xsd:double"&gt;-2.6471376&lt;/D&gt;&lt;/FQL&gt;&lt;FQL&gt;&lt;Q&gt;USDGBP^FG_PRICE_CHANGE(0,-1AM)&lt;/Q&gt;&lt;R&gt;1&lt;/R&gt;&lt;C&gt;1&lt;/C&gt;&lt;D xsi:type="xsd:double"&gt;-0.114429&lt;/D&gt;&lt;/FQL&gt;&lt;FQL&gt;&lt;Q&gt;USDGBP^FG_PRICE_CHANGE(0,-1AY)&lt;/Q&gt;&lt;R&gt;1&lt;/R&gt;&lt;C&gt;1&lt;/C&gt;&lt;D xsi:type="xsd:double"&gt;-7.8574953&lt;/D&gt;&lt;/FQL&gt;&lt;FQL&gt;&lt;Q&gt;USDGBP^FG_PRICE(0)&lt;/Q&gt;&lt;R&gt;1&lt;/R&gt;&lt;C&gt;1&lt;/C&gt;&lt;D xsi:type="xsd:double"&gt;0.7628638&lt;/D&gt;&lt;/FQL&gt;&lt;FQL&gt;&lt;Q&gt;USDGBP^FG_COMPANY_NAME&lt;/Q&gt;&lt;R&gt;1&lt;/R&gt;&lt;C&gt;1&lt;/C&gt;&lt;D xsi:type="xsd:string"&gt;British Pounds per U.S. Dollar&lt;/D&gt;&lt;/FQL&gt;&lt;FQL&gt;&lt;Q&gt;USDJPY^STD(FG_PRICE_CHANGE(0,-3AY,M))&lt;/Q&gt;&lt;R&gt;1&lt;/R&gt;&lt;C&gt;1&lt;/C&gt;&lt;D xsi:type="xsd:double"&gt;3.37764504980135&lt;/D&gt;&lt;/FQL&gt;&lt;FQL&gt;&lt;Q&gt;USDJPY^STD(FG_PRICE_CHANGE(0,-1AY,AM))&lt;/Q&gt;&lt;R&gt;1&lt;/R&gt;&lt;C&gt;1&lt;/C&gt;&lt;D xsi:type="xsd:double"&gt;3.24877519198343&lt;/D&gt;&lt;/FQL&gt;&lt;FQL&gt;&lt;Q&gt;USDJPY^FG_PRICE_CHANGE(0,-6AM)&lt;/Q&gt;&lt;R&gt;1&lt;/R&gt;&lt;C&gt;1&lt;/C&gt;&lt;D xsi:type="xsd:double"&gt;-3.3200443&lt;/D&gt;&lt;/FQL&gt;&lt;FQL&gt;&lt;Q&gt;USDJPY^FG_PRICE_CHANGE(0,-3AM)&lt;/Q&gt;&lt;R&gt;1&lt;/R&gt;&lt;C&gt;1&lt;/C&gt;&lt;D xsi:type="xsd:double"&gt;-9.042173&lt;/D&gt;&lt;/FQL&gt;&lt;FQL&gt;&lt;Q&gt;USDJPY^FG_PRICE_CHANGE(0,-1AM)&lt;/Q&gt;&lt;R&gt;1&lt;/R&gt;&lt;C&gt;1&lt;/C&gt;&lt;D xsi:type="xsd:double"&gt;0.7966757&lt;/D&gt;&lt;/FQL&gt;&lt;FQL&gt;&lt;Q&gt;USDJPY^FG_PRICE_CHANGE(0,-1AY)&lt;/Q&gt;&lt;R&gt;1&lt;/R&gt;&lt;C&gt;1&lt;/C&gt;&lt;D xsi:type="xsd:double"&gt;-1.5429556&lt;/D&gt;&lt;/FQL&gt;&lt;FQL&gt;&lt;Q&gt;USDJPY^FG_PRICE(0)&lt;/Q&gt;&lt;R&gt;1&lt;/R&gt;&lt;C&gt;1&lt;/C&gt;&lt;D xsi:type="xsd:double"&gt;146.765&lt;/D&gt;&lt;/FQL&gt;&lt;FQL&gt;&lt;Q&gt;USDJPY^FG_COMPANY_NAME&lt;/Q&gt;&lt;R&gt;1&lt;/R&gt;&lt;C&gt;1&lt;/C&gt;&lt;D xsi:type="xsd:string"&gt;Japanese Yen per U.S. Dollar&lt;/D&gt;&lt;/FQL&gt;&lt;FQL&gt;&lt;Q&gt;USDEUR^STD(FG_PRICE_CHANGE(0,-3AY,M))&lt;/Q&gt;&lt;R&gt;1&lt;/R&gt;&lt;C&gt;1&lt;/C&gt;&lt;D xsi:type="xsd:double"&gt;2.17172756290048&lt;/D&gt;&lt;/FQL&gt;&lt;FQL&gt;&lt;Q&gt;USDEUR^STD(FG_PRICE_CHANGE(0,-1AY,AM))&lt;/Q&gt;&lt;R&gt;1&lt;/R&gt;&lt;C&gt;1&lt;/C&gt;&lt;D xsi:type="xsd:double"&gt;1.34811491898353&lt;/D&gt;&lt;/FQL&gt;&lt;FQL&gt;&lt;Q&gt;USDEUR^FG_PRICE_CHANGE(0,-6AM)&lt;/Q&gt;&lt;R&gt;1&lt;/R&gt;&lt;C&gt;1&lt;/C&gt;&lt;D xsi:type="xsd:double"&gt;-1.7743707&lt;/D&gt;&lt;/FQL&gt;&lt;FQL&gt;&lt;Q&gt;USDEUR^FG_PRICE_CHANGE(0,-3AM)&lt;/Q&gt;&lt;R&gt;1&lt;/R&gt;&lt;C&gt;1&lt;/C&gt;&lt;D xsi:type="xsd:double"&gt;-1.937741&lt;/D&gt;&lt;/FQL&gt;&lt;FQL&gt;&lt;Q&gt;USDEUR^FG_PRICE_CHANGE(0,-1AM)&lt;/Q&gt;&lt;R&gt;1&lt;/R&gt;&lt;C&gt;1&lt;/C&gt;&lt;D xsi:type="xsd:double"&gt;0.22236109&lt;/D&gt;&lt;/FQL&gt;&lt;FQL&gt;&lt;Q&gt;USDEUR^FG_PRICE_CHANGE(0,-1AY)&lt;/Q&gt;&lt;R&gt;1&lt;/R&gt;&lt;C&gt;1&lt;/C&gt;&lt;D xsi:type="xsd:double"&gt;-4.923767&lt;/D&gt;&lt;/FQL&gt;&lt;FQL&gt;&lt;Q&gt;USDEUR^FG_PRICE(0)&lt;/Q&gt;&lt;R&gt;1&lt;/R&gt;&lt;C&gt;1&lt;/C&gt;&lt;D xsi:type="xsd:double"&gt;0.9076057&lt;/D&gt;&lt;/FQL&gt;&lt;FQL&gt;&lt;Q&gt;USDEUR^FG_COMPANY_NAME&lt;/Q&gt;&lt;R&gt;1&lt;/R&gt;&lt;C&gt;1&lt;/C&gt;&lt;D xsi:type="xsd:string"&gt;Euro per U.S. Dollar&lt;/D&gt;&lt;/FQL&gt;&lt;FQL&gt;&lt;Q&gt;USDCAD^STD(FG_PRICE_CHANGE(0,-3AY,M))&lt;/Q&gt;&lt;R&gt;1&lt;/R&gt;&lt;C&gt;1&lt;/C&gt;&lt;D xsi:type="xsd:double"&gt;1.83419096764442&lt;/D&gt;&lt;/FQL&gt;&lt;FQL&gt;&lt;Q&gt;USDCAD^STD(FG_PRICE_CHANGE(0,-1AY,AM))&lt;/Q&gt;&lt;R&gt;1&lt;/R&gt;&lt;C&gt;1&lt;/C&gt;&lt;D xsi:type="xsd:double"&gt;1.08906497746873&lt;/D&gt;&lt;/FQL&gt;&lt;FQL&gt;&lt;Q&gt;USDCAD^FG_PRICE_CHANGE(0,-6AM)&lt;/Q&gt;&lt;R&gt;1&lt;/R&gt;&lt;C&gt;1&lt;/C&gt;&lt;D xsi:type="xsd:double"&gt;0.16274452&lt;/D&gt;&lt;/FQL&gt;&lt;FQL&gt;&lt;Q&gt;USDCAD^FG_PRICE_CHANGE(0,-3AM)&lt;/Q&gt;&lt;R&gt;1&lt;/R&gt;&lt;C&gt;1&lt;/C&gt;&lt;D xsi:type="xsd:double"&gt;-0.6748557&lt;/D&gt;&lt;/FQL&gt;&lt;FQL&gt;&lt;Q&gt;USDCAD^FG_PRICE_CHANGE(0,-1AM)&lt;/Q&gt;&lt;R&gt;1&lt;/R&gt;&lt;C&gt;1&lt;/C&gt;&lt;D xsi:type="xsd:double"&gt;-0.081169605&lt;/D&gt;&lt;/FQL&gt;&lt;FQL&gt;&lt;Q&gt;USDCAD^FG_PRICE_CHANGE(0,-1AY)&lt;/Q&gt;&lt;R&gt;1&lt;/R&gt;&lt;C&gt;1&lt;/C&gt;&lt;D xsi:type="xsd:double"&gt;-1.2975156&lt;/D&gt;&lt;/FQL&gt;&lt;FQL&gt;&lt;Q&gt;USDCAD^FG_PRICE(0)&lt;/Q&gt;&lt;R&gt;1&lt;/R&gt;&lt;C&gt;1&lt;/C&gt;&lt;D xsi:type="xsd:double"&gt;1.35405&lt;/D&gt;&lt;/FQL&gt;&lt;FQL&gt;&lt;Q&gt;USDCAD^FG_COMPANY_NAME&lt;/Q&gt;&lt;R&gt;1&lt;/R&gt;&lt;C&gt;1&lt;/C&gt;&lt;D xsi:type="xsd:string"&gt;Canadian Dollar per U.S. Dollar&lt;/D&gt;&lt;/FQL&gt;&lt;FQL&gt;&lt;Q&gt;USDAUD^STD(FG_PRICE_CHANGE(0,-3AY,M))&lt;/Q&gt;&lt;R&gt;1&lt;/R&gt;&lt;C&gt;1&lt;/C&gt;&lt;D xsi:type="xsd:double"&gt;3.161718116431&lt;/D&gt;&lt;/FQL&gt;&lt;FQL&gt;&lt;Q&gt;USDAUD^STD(FG_PRICE_CHANGE(0,-1AY,AM))&lt;/Q&gt;&lt;R&gt;1&lt;/R&gt;&lt;C&gt;1&lt;/C&gt;&lt;D xsi:type="xsd:double"&gt;2.06521701135076&lt;/D&gt;&lt;/FQL&gt;&lt;FQL&gt;&lt;Q&gt;USDAUD^FG_PRICE_CHANGE(0,-6AM)&lt;/Q&gt;&lt;R&gt;1&lt;/R&gt;&lt;C&gt;1&lt;/C&gt;&lt;D xsi:type="xsd:double"&gt;-4.3052435&lt;/D&gt;&lt;/FQL&gt;&lt;FQL&gt;&lt;Q&gt;USDAUD^FG_PRICE_CHANGE(0,-3AM)&lt;/Q&gt;&lt;R&gt;1&lt;/R&gt;&lt;C&gt;1&lt;/C&gt;&lt;D xsi:type="xsd:double"&gt;-1.7542601&lt;/D&gt;&lt;/FQL&gt;&lt;FQL&gt;&lt;Q&gt;USDAUD^FG_PRICE_CHANGE(0,-1AM)&lt;/Q&gt;&lt;R&gt;1&lt;/R&gt;&lt;C&gt;1&lt;/C&gt;&lt;D xsi:type="xsd:double"&gt;-1.8273532&lt;/D&gt;&lt;/FQL&gt;&lt;FQL&gt;&lt;Q&gt;USDAUD^FG_PRICE_CHANGE(0,-1AY)&lt;/Q&gt;&lt;R&gt;1&lt;/R&gt;&lt;C&gt;1&lt;/C&gt;&lt;D xsi:type="xsd:double"&gt;-7.8503075&lt;/D&gt;&lt;/FQL&gt;&lt;FQL&gt;&lt;Q&gt;USDAUD^FG_PRICE(0)&lt;/Q&gt;&lt;R&gt;1&lt;/R&gt;&lt;C&gt;1&lt;/C&gt;&lt;D xsi:type="xsd:double"&gt;1.4618814&lt;/D&gt;&lt;/FQL&gt;&lt;FQL&gt;&lt;Q&gt;USDAUD^FG_COMPANY_NAME&lt;/Q&gt;&lt;R&gt;1&lt;/R&gt;&lt;C&gt;1&lt;/C&gt;&lt;D xsi:type="xsd:string"&gt;Australian Dollar per U.S. Dollar&lt;/D&gt;&lt;/FQL&gt;&lt;FQL&gt;&lt;Q&gt;USDNZD^STD(FG_PRICE_CHANGE(0,-3AY,M))&lt;/Q&gt;&lt;R&gt;1&lt;/R&gt;&lt;C&gt;1&lt;/C&gt;&lt;D xsi:type="xsd:double"&gt;3.60072422412022&lt;/D&gt;&lt;/FQL&gt;&lt;FQL&gt;&lt;Q&gt;USDNZD^STD(FG_PRICE_CHANGE(0,-1AY,AM))&lt;/Q&gt;&lt;R&gt;1&lt;/R&gt;&lt;C&gt;1&lt;/C&gt;&lt;D xsi:type="xsd:double"&gt;2.01042165247398&lt;/D&gt;&lt;/FQL&gt;&lt;FQL&gt;&lt;Q&gt;USDNZD^FG_PRICE_CHANGE(0,-6AM)&lt;/Q&gt;&lt;R&gt;1&lt;/R&gt;&lt;C&gt;1&lt;/C&gt;&lt;D xsi:type="xsd:double"&gt;-3.6831558&lt;/D&gt;&lt;/FQL&gt;&lt;FQL&gt;&lt;Q&gt;USDNZD^FG_PRICE_CHANGE(0,-3AM)&lt;/Q&gt;&lt;R&gt;1&lt;/R&gt;&lt;C&gt;1&lt;/C&gt;&lt;D xsi:type="xsd:double"&gt;-1.6324818&lt;/D&gt;&lt;/FQL&gt;&lt;FQL&gt;&lt;Q&gt;USDNZD^FG_PRICE_CHANGE(0,-1AM)&lt;/Q&gt;&lt;R&gt;1&lt;/R&gt;&lt;C&gt;1&lt;/C&gt;&lt;D xsi:type="xsd:double"&gt;-0.48250556&lt;/D&gt;&lt;/FQL&gt;&lt;FQL&gt;&lt;Q&gt;USDNZD^FG_PRICE_CHANGE(0,-1AY)&lt;/Q&gt;&lt;R&gt;1&lt;/R&gt;&lt;C&gt;1&lt;/C&gt;&lt;D xsi:type="xsd:double"&gt;-5.0341787&lt;/D&gt;&lt;/FQL&gt;&lt;FQL&gt;&lt;Q&gt;USDNZD^FG_PRICE(0)&lt;/Q&gt;&lt;R&gt;1&lt;/R&gt;&lt;C&gt;1&lt;/C&gt;&lt;D xsi:type="xsd:double"&gt;1.6083635&lt;/D&gt;&lt;/FQL&gt;&lt;FQL&gt;&lt;Q&gt;USDNZD^FG_COMPANY_NAME&lt;/Q&gt;&lt;R&gt;1&lt;/R&gt;&lt;C&gt;1&lt;/C&gt;&lt;D xsi:type="xsd:string"&gt;New Zealand Dollar per U.S. Dollar&lt;/D&gt;&lt;/FQL&gt;&lt;FQL&gt;&lt;Q&gt;EWI^FMA_EPS(NTMA,-20AY,0,CY,,"PORTAGG","MEANR")&lt;/Q&gt;&lt;R&gt;20&lt;/R&gt;&lt;C&gt;1&lt;/C&gt;&lt;D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xsi:type="xsd:double"&gt;1.99711745729498&lt;/D&gt;&lt;D xsi:type="xsd:double"&gt;2.96400297596909&lt;/D&gt;&lt;D xsi:type="xsd:double"&gt;3.54736708862932&lt;/D&gt;&lt;D xsi:type="xsd:double"&gt;3.81180271683843&lt;/D&gt;&lt;/FQL&gt;&lt;FQL&gt;&lt;Q&gt;EWD^FMA_EPS(NTMA,-20AY,0,CY,,"PORTAGG","MEANR")&lt;/Q&gt;&lt;R&gt;20&lt;/R&gt;&lt;C&gt;1&lt;/C&gt;&lt;D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xsi:type="xsd:double"&gt;2.04500092616456&lt;/D&gt;&lt;D xsi:type="xsd:double"&gt;2.21310873799954&lt;/D&gt;&lt;D xsi:type="xsd:double"&gt;2.48981565234839&lt;/D&gt;&lt;D xsi:type="xsd:double"&gt;2.56381617192707&lt;/D&gt;&lt;D xsi:type="xsd:double"&gt;2.51009258677616&lt;/D&gt;&lt;/FQL&gt;&lt;FQL&gt;&lt;Q&gt;EWN^FMA_EPS(NTMA,-20AY,0,CY,,"PORTAGG","MEANR")&lt;/Q&gt;&lt;R&gt;20&lt;/R&gt;&lt;C&gt;1&lt;/C&gt;&lt;D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xsi:type="xsd:double"&gt;1.99085799541384&lt;/D&gt;&lt;D xsi:type="xsd:double"&gt;2.00892946055423&lt;/D&gt;&lt;D xsi:type="xsd:double"&gt;2.43601807945448&lt;/D&gt;&lt;D xsi:type="xsd:double"&gt;2.4294142632387&lt;/D&gt;&lt;D xsi:type="xsd:double"&gt;2.95668122593824&lt;/D&gt;&lt;/FQL&gt;&lt;FQL&gt;&lt;Q&gt;EWQ^FMA_EPS(NTMA,-20AY,0,CY,,"PORTAGG","MEANR")&lt;/Q&gt;&lt;R&gt;20&lt;/R&gt;&lt;C&gt;1&lt;/C&gt;&lt;D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xsi:type="xsd:double"&gt;2.19705970678672&lt;/D&gt;&lt;D xsi:type="xsd:double"&gt;1.85109750448731&lt;/D&gt;&lt;D xsi:type="xsd:double"&gt;2.46081748725315&lt;/D&gt;&lt;D xsi:type="xsd:double"&gt;2.80266519059803&lt;/D&gt;&lt;D xsi:type="xsd:double"&gt;2.92070467941154&lt;/D&gt;&lt;/FQL&gt;&lt;FQL&gt;&lt;Q&gt;SPY^FMA_EPS(NTMA,-20AY,0,CY,,"PORTAGG","MEANR")&lt;/Q&gt;&lt;R&gt;20&lt;/R&gt;&lt;C&gt;1&lt;/C&gt;&lt;D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xsi:type="xsd:double"&gt;17.729435531558&lt;/D&gt;&lt;D xsi:type="xsd:double"&gt;16.6617704313591&lt;/D&gt;&lt;D xsi:type="xsd:double"&gt;22.2767075600012&lt;/D&gt;&lt;D xsi:type="xsd:double"&gt;22.9687105543244&lt;/D&gt;&lt;D xsi:type="xsd:double"&gt;24.3449868841318&lt;/D&gt;&lt;/FQL&gt;&lt;FQL&gt;&lt;Q&gt;QQQ^FMA_EPS(NTMA,-20AY,0,CY,,"PORTAGG","MEANR")&lt;/Q&gt;&lt;R&gt;20&lt;/R&gt;&lt;C&gt;1&lt;/C&gt;&lt;D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xsi:type="xsd:double"&gt;9.35231852658857&lt;/D&gt;&lt;D xsi:type="xsd:double"&gt;10.4260783274605&lt;/D&gt;&lt;D xsi:type="xsd:double"&gt;13.640269812374&lt;/D&gt;&lt;D xsi:type="xsd:double"&gt;12.7503134079603&lt;/D&gt;&lt;D xsi:type="xsd:double"&gt;16.3243000888956&lt;/D&gt;&lt;/FQL&gt;&lt;FQL&gt;&lt;Q&gt;EWU^FMA_EPS(NTMA,-20AY,0,CY,,"PORTAGG","MEANR")&lt;/Q&gt;&lt;R&gt;20&lt;/R&gt;&lt;C&gt;1&lt;/C&gt;&lt;D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xsi:type="xsd:double"&gt;2.53509270637055&lt;/D&gt;&lt;D xsi:type="xsd:double"&gt;2.03535923448403&lt;/D&gt;&lt;D xsi:type="xsd:double"&gt;2.71455451649836&lt;/D&gt;&lt;D xsi:type="xsd:double"&gt;3.12785085030901&lt;/D&gt;&lt;D xsi:type="xsd:double"&gt;3.00293990504371&lt;/D&gt;&lt;/FQL&gt;&lt;FQL&gt;&lt;Q&gt;EWL^FMA_EPS(NTMA,-20AY,0,CY,,"PORTAGG","MEANR")&lt;/Q&gt;&lt;R&gt;20&lt;/R&gt;&lt;C&gt;1&lt;/C&gt;&lt;D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xsi:type="xsd:double"&gt;2.36864078682371&lt;/D&gt;&lt;D xsi:type="xsd:double"&gt;2.66234515884581&lt;/D&gt;&lt;D xsi:type="xsd:double"&gt;2.58388720632297&lt;/D&gt;&lt;D xsi:type="xsd:double"&gt;2.86470858427176&lt;/D&gt;&lt;/FQL&gt;&lt;FQL&gt;&lt;Q&gt;EWJ^FMA_EPS(NTMA,-20AY,0,CY,,"PORTAGG","MEANR")&lt;/Q&gt;&lt;R&gt;20&lt;/R&gt;&lt;C&gt;1&lt;/C&gt;&lt;D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xsi:type="xsd:double"&gt;3.82685104354792&lt;/D&gt;&lt;D xsi:type="xsd:double"&gt;3.39521519550336&lt;/D&gt;&lt;D xsi:type="xsd:double"&gt;4.29874485010794&lt;/D&gt;&lt;D xsi:type="xsd:double"&gt;4.15253666902284&lt;/D&gt;&lt;D xsi:type="xsd:double"&gt;4.25857630683662&lt;/D&gt;&lt;/FQL&gt;&lt;FQL&gt;&lt;Q&gt;EWG^FMA_EPS(NTMA,-20AY,0,CY,,"PORTAGG","MEANR")&lt;/Q&gt;&lt;R&gt;20&lt;/R&gt;&lt;C&gt;1&lt;/C&gt;&lt;D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xsi:type="xsd:double"&gt;2.08815829697001&lt;/D&gt;&lt;D xsi:type="xsd:double"&gt;1.98003612030208&lt;/D&gt;&lt;D xsi:type="xsd:double"&gt;2.44944590598376&lt;/D&gt;&lt;D xsi:type="xsd:double"&gt;2.36386840125656&lt;/D&gt;&lt;D xsi:type="xsd:double"&gt;2.65638349123077&lt;/D&gt;&lt;/FQL&gt;&lt;FQL&gt;&lt;Q&gt;EWC^FMA_EPS(NTMA,-20AY,0,CY,,"PORTAGG","MEANR")&lt;/Q&gt;&lt;R&gt;20&lt;/R&gt;&lt;C&gt;1&lt;/C&gt;&lt;D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xsi:type="xsd:double"&gt;2.07393919718226&lt;/D&gt;&lt;D xsi:type="xsd:double"&gt;1.95784087398727&lt;/D&gt;&lt;D xsi:type="xsd:double"&gt;2.66448337817763&lt;/D&gt;&lt;D xsi:type="xsd:double"&gt;2.74920456102042&lt;/D&gt;&lt;D xsi:type="xsd:double"&gt;2.68301216298059&lt;/D&gt;&lt;/FQL&gt;&lt;FQL&gt;&lt;Q&gt;EWA^FMA_EPS(NTMA,-20AY,0,CY,,"PORTAGG","MEANR")&lt;/Q&gt;&lt;R&gt;20&lt;/R&gt;&lt;C&gt;1&lt;/C&gt;&lt;D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xsi:type="xsd:double"&gt;1.31799698442393&lt;/D&gt;&lt;D xsi:type="xsd:double"&gt;1.26256164128892&lt;/D&gt;&lt;D xsi:type="xsd:double"&gt;1.41909398824033&lt;/D&gt;&lt;D xsi:type="xsd:double"&gt;1.56850336770513&lt;/D&gt;&lt;D xsi:type="xsd:double"&gt;1.47895581929429&lt;/D&gt;&lt;/FQL&gt;&lt;FQL&gt;&lt;Q&gt;ENZL^FMA_EPS(NTMA,-20AY,0,CY,,"PORTAGG","MEANR")&lt;/Q&gt;&lt;R&gt;20&lt;/R&gt;&lt;C&gt;1&lt;/C&gt;&lt;D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xsi:type="xsd:double"&gt;2.24732563529813&lt;/D&gt;&lt;D xsi:type="xsd:double"&gt;1.98522616654652&lt;/D&gt;&lt;D xsi:type="xsd:double"&gt;1.82093690891181&lt;/D&gt;&lt;D xsi:type="xsd:double"&gt;2.11037843374038&lt;/D&gt;&lt;D xsi:type="xsd:double"&gt;2.11106619444845&lt;/D&gt;&lt;/FQL&gt;&lt;FQL&gt;&lt;Q&gt;EWA^JULIAN(FMA_EPS(NTMA,-20AY,0,CY,,"PORTAGG","MEANR").DATES)&lt;/Q&gt;&lt;R&gt;20&lt;/R&gt;&lt;C&gt;1&lt;/C&gt;&lt;D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xsi:type="xsd:long"&gt;45289&lt;/D&gt;&lt;/FQL&gt;&lt;FQL&gt;&lt;Q&gt;EWI^P_PRICE_RETURNS_PR('52W',2,-10AY,0,AM)&lt;/Q&gt;&lt;R&gt;121&lt;/R&gt;&lt;C&gt;1&lt;/C&gt;&lt;D xsi:type="xsd:double"&gt;5.481267&lt;/D&gt;&lt;D xsi:type="xsd:double"&gt;-4.0539026&lt;/D&gt;&lt;D xsi:type="xsd:double"&gt;1.6454458&lt;/D&gt;&lt;D xsi:type="xsd:double"&gt;-9.217387&lt;/D&gt;&lt;D xsi:type="xsd:double"&gt;-2.443117&lt;/D&gt;&lt;D xsi:type="xsd:double"&gt;-6.3556075&lt;/D&gt;&lt;D xsi:type="xsd:double"&gt;-12.893075&lt;/D&gt;&lt;D xsi:type="xsd:double"&gt;-12.173438&lt;/D&gt;&lt;D xsi:type="xsd:double"&gt;-7.775712&lt;/D&gt;&lt;D xsi:type="xsd:double"&gt;-13.228625&lt;/D&gt;&lt;D xsi:type="xsd:double"&gt;-2.3263395&lt;/D&gt;&lt;D xsi:type="xsd:double"&gt;-7.2598577&lt;/D&gt;&lt;D xsi:type="xsd:double"&gt;-0.4489839&lt;/D&gt;&lt;D xsi:type="xsd:double"&gt;4.868412&lt;/D&gt;&lt;D xsi:type="xsd:double"&gt;-0.72230697&lt;/D&gt;&lt;D xsi:type="xsd:double"&gt;3.1199813&lt;/D&gt;&lt;D xsi:type="xsd:double"&gt;-17.463821&lt;/D&gt;&lt;D xsi:type="xsd:double"&gt;-16.652674&lt;/D&gt;&lt;D xsi:type="xsd:double"&gt;-18.017746&lt;/D&gt;&lt;D xsi:type="xsd:double"&gt;-19.003094&lt;/D&gt;&lt;D xsi:type="xsd:double"&gt;-22.936417&lt;/D&gt;&lt;D xsi:type="xsd:double"&gt;-26.031101&lt;/D&gt;&lt;D xsi:type="xsd:double"&gt;-28.361135&lt;/D&gt;&lt;D xsi:type="xsd:double"&gt;-19.122028&lt;/D&gt;&lt;D xsi:type="xsd:double"&gt;-23.069542&lt;/D&gt;&lt;D xsi:type="xsd:double"&gt;-23.983747&lt;/D&gt;&lt;D xsi:type="xsd:double"&gt;-19.61515&lt;/D&gt;&lt;D xsi:type="xsd:double"&gt;-7.495719&lt;/D&gt;&lt;D xsi:type="xsd:double"&gt;8.532524&lt;/D&gt;&lt;D xsi:type="xsd:double"&gt;5.9138775&lt;/D&gt;&lt;D xsi:type="xsd:double"&gt;9.962284&lt;/D&gt;&lt;D xsi:type="xsd:double"&gt;12.490225&lt;/D&gt;&lt;D xsi:type="xsd:double"&gt;22.102844&lt;/D&gt;&lt;D xsi:type="xsd:double"&gt;33.198082&lt;/D&gt;&lt;D xsi:type="xsd:double"&gt;44.532562&lt;/D&gt;&lt;D xsi:type="xsd:double"&gt;37.509872&lt;/D&gt;&lt;D xsi:type="xsd:double"&gt;46.95375&lt;/D&gt;&lt;D xsi:type="xsd:double"&gt;46.491074&lt;/D&gt;&lt;D xsi:type="xsd:double"&gt;44.274857&lt;/D&gt;&lt;D xsi:type="xsd:double"&gt;28.092253&lt;/D&gt;&lt;D xsi:type="xsd:double"&gt;41.68725&lt;/D&gt;&lt;D xsi:type="xsd:double"&gt;34.418823&lt;/D&gt;&lt;D xsi:type="xsd:double"&gt;29.151201&lt;/D&gt;&lt;D xsi:type="xsd:double"&gt;29.72461&lt;/D&gt;&lt;D xsi:type="xsd:double"&gt;10.067725&lt;/D&gt;&lt;D xsi:type="xsd:double"&gt;6.759715&lt;/D&gt;&lt;D xsi:type="xsd:double"&gt;-1.3479054&lt;/D&gt;&lt;D xsi:type="xsd:double"&gt;-7.517028&lt;/D&gt;&lt;D xsi:type="xsd:double"&gt;-9.019118&lt;/D&gt;&lt;D xsi:type="xsd:double"&gt;-15.278572&lt;/D&gt;&lt;D xsi:type="xsd:double"&gt;-12.94331&lt;/D&gt;&lt;D xsi:type="xsd:double"&gt;-18.37917&lt;/D&gt;&lt;D xsi:type="xsd:double"&gt;-20.900005&lt;/D&gt;&lt;D xsi:type="xsd:double"&gt;-9.957438&lt;/D&gt;&lt;D xsi:type="xsd:double"&gt;-8.502311&lt;/D&gt;&lt;D xsi:type="xsd:double"&gt;-13.267631&lt;/D&gt;&lt;D xsi:type="xsd:double"&gt;-10.218966&lt;/D&gt;&lt;D xsi:type="xsd:double"&gt;2.306068&lt;/D&gt;&lt;D xsi:type="xsd:double"&gt;-2.3326337&lt;/D&gt;&lt;D xsi:type="xsd:double"&gt;4.5315146&lt;/D&gt;&lt;D xsi:type="xsd:double"&gt;2.062285&lt;/D&gt;&lt;D xsi:type="xsd:double"&gt;19.90292&lt;/D&gt;&lt;D xsi:type="xsd:double"&gt;15.286482&lt;/D&gt;&lt;D xsi:type="xsd:double"&gt;27.929592&lt;/D&gt;&lt;D xsi:type="xsd:double"&gt;16.081465&lt;/D&gt;&lt;D xsi:type="xsd:double"&gt;1.8737912&lt;/D&gt;&lt;D xsi:type="xsd:double"&gt;-27.81877&lt;/D&gt;&lt;D xsi:type="xsd:double"&gt;-23.056608&lt;/D&gt;&lt;D xsi:type="xsd:double"&gt;-1.9290626&lt;/D&gt;&lt;D xsi:type="xsd:double"&gt;-9.31806&lt;/D&gt;&lt;D xsi:type="xsd:double"&gt;-4.545641&lt;/D&gt;&lt;D xsi:type="xsd:double"&gt;-4.4237795&lt;/D&gt;&lt;D xsi:type="xsd:double"&gt;-6.538457&lt;/D&gt;&lt;D xsi:type="xsd:double"&gt;-15.6264305&lt;/D&gt;&lt;D xsi:type="xsd:double"&gt;3.1376958&lt;/D&gt;&lt;D xsi:type="xsd:double"&gt;1.6735792&lt;/D&gt;&lt;D xsi:type="xsd:double"&gt;4.205847&lt;/D&gt;&lt;D xsi:type="xsd:double"&gt;14.620649&lt;/D&gt;&lt;D xsi:type="xsd:double"&gt;63.152813&lt;/D&gt;&lt;D xsi:type="xsd:double"&gt;58.37741&lt;/D&gt;&lt;D xsi:type="xsd:double"&gt;39.424515&lt;/D&gt;&lt;D xsi:type="xsd:double"&gt;35.063396&lt;/D&gt;&lt;D xsi:type="xsd:double"&gt;32.14071&lt;/D&gt;&lt;D xsi:type="xsd:double"&gt;33.085884&lt;/D&gt;&lt;D xsi:type="xsd:double"&gt;32.934402&lt;/D&gt;&lt;D xsi:type="xsd:double"&gt;43.879845&lt;/D&gt;&lt;D xsi:type="xsd:double"&gt;11.24661&lt;/D&gt;&lt;D xsi:type="xsd:double"&gt;16.260254&lt;/D&gt;&lt;D xsi:type="xsd:double"&gt;14.391172&lt;/D&gt;&lt;D xsi:type="xsd:double"&gt;-2.7714312&lt;/D&gt;&lt;D xsi:type="xsd:double"&gt;-3.3081055&lt;/D&gt;&lt;D xsi:type="xsd:double"&gt;-11.554491&lt;/D&gt;&lt;D xsi:type="xsd:double"&gt;-13.688433&lt;/D&gt;&lt;D xsi:type="xsd:double"&gt;-22.247553&lt;/D&gt;&lt;D xsi:type="xsd:double"&gt;-21.380688&lt;/D&gt;&lt;D xsi:type="xsd:double"&gt;-28.350645&lt;/D&gt;&lt;D xsi:type="xsd:double"&gt;-27.512228&lt;/D&gt;&lt;D xsi:type="xsd:double"&gt;-27.289206&lt;/D&gt;&lt;D xsi:type="xsd:double"&gt;-7.941538&lt;/D&gt;&lt;D xsi:type="xsd:double"&gt;-13.988757&lt;/D&gt;&lt;D xsi:type="xsd:double"&gt;-4.617417&lt;/D&gt;&lt;D xsi:type="xsd:double"&gt;13.257933&lt;/D&gt;&lt;D xsi:type="xsd:double"&gt;7.3770285&lt;/D&gt;&lt;D xsi:type="xsd:double"&gt;18.229235&lt;/D&gt;&lt;D xsi:type="xsd:double"&gt;11.502159&lt;/D&gt;&lt;D xsi:type="xsd:double"&gt;37.198627&lt;/D&gt;&lt;D xsi:type="xsd:double"&gt;37.089203&lt;/D&gt;&lt;D xsi:type="xsd:double"&gt;44.340862&lt;/D&gt;&lt;D xsi:type="xsd:double"&gt;38.126266&lt;/D&gt;&lt;D xsi:type="xsd:double"&gt;37.17097&lt;/D&gt;&lt;D xsi:type="xsd:double"&gt;23.165834&lt;/D&gt;&lt;D xsi:type="xsd:double"&gt;25.585615&lt;/D&gt;&lt;D xsi:type="xsd:double"&gt;13.907539&lt;/D&gt;&lt;D xsi:type="xsd:double"&gt;23.607481&lt;/D&gt;&lt;D xsi:type="xsd:double"&gt;26.579905&lt;/D&gt;&lt;D xsi:type="xsd:double"&gt;22.272396&lt;/D&gt;&lt;D xsi:type="xsd:double"&gt;31.418705&lt;/D&gt;&lt;D xsi:type="xsd:double"&gt;19.364035&lt;/D&gt;&lt;D xsi:type="xsd:double"&gt;14.599991&lt;/D&gt;&lt;D xsi:type="xsd:double"&gt;23.97573&lt;/D&gt;&lt;D xsi:type="xsd:double"&gt;32.378376&lt;/D&gt;&lt;/FQL&gt;&lt;FQL&gt;&lt;Q&gt;EWD^P_PRICE_RETURNS_PR('52W',2,-10AY,0,AM)&lt;/Q&gt;&lt;R&gt;121&lt;/R&gt;&lt;C&gt;1&lt;/C&gt;&lt;D xsi:type="xsd:double"&gt;-3.1404912&lt;/D&gt;&lt;D xsi:type="xsd:double"&gt;-0.9003699&lt;/D&gt;&lt;D xsi:type="xsd:double"&gt;1.8890977&lt;/D&gt;&lt;D xsi:type="xsd:double"&gt;-6.5948305&lt;/D&gt;&lt;D xsi:type="xsd:double"&gt;3.4631848&lt;/D&gt;&lt;D xsi:type="xsd:double"&gt;1.2722611&lt;/D&gt;&lt;D xsi:type="xsd:double"&gt;-5.072558&lt;/D&gt;&lt;D xsi:type="xsd:double"&gt;-3.8370073&lt;/D&gt;&lt;D xsi:type="xsd:double"&gt;-1.480639&lt;/D&gt;&lt;D xsi:type="xsd:double"&gt;-7.0961833&lt;/D&gt;&lt;D xsi:type="xsd:double"&gt;-1.9891798&lt;/D&gt;&lt;D xsi:type="xsd:double"&gt;-7.243395&lt;/D&gt;&lt;D xsi:type="xsd:double"&gt;-4.9015403&lt;/D&gt;&lt;D xsi:type="xsd:double"&gt;-2.0335197&lt;/D&gt;&lt;D xsi:type="xsd:double"&gt;-5.4369984&lt;/D&gt;&lt;D xsi:type="xsd:double"&gt;-4.535884&lt;/D&gt;&lt;D xsi:type="xsd:double"&gt;-16.464394&lt;/D&gt;&lt;D xsi:type="xsd:double"&gt;-15.323406&lt;/D&gt;&lt;D xsi:type="xsd:double"&gt;-8.682966&lt;/D&gt;&lt;D xsi:type="xsd:double"&gt;-10.273111&lt;/D&gt;&lt;D xsi:type="xsd:double"&gt;-11.648297&lt;/D&gt;&lt;D xsi:type="xsd:double"&gt;-11.095184&lt;/D&gt;&lt;D xsi:type="xsd:double"&gt;-10.170102&lt;/D&gt;&lt;D xsi:type="xsd:double"&gt;0.40832758&lt;/D&gt;&lt;D xsi:type="xsd:double"&gt;3.2378793&lt;/D&gt;&lt;D xsi:type="xsd:double"&gt;-7.1336746&lt;/D&gt;&lt;D xsi:type="xsd:double"&gt;-5.738908&lt;/D&gt;&lt;D xsi:type="xsd:double"&gt;3.0859709&lt;/D&gt;&lt;D xsi:type="xsd:double"&gt;19.782507&lt;/D&gt;&lt;D xsi:type="xsd:double"&gt;13.188065&lt;/D&gt;&lt;D xsi:type="xsd:double"&gt;10.429085&lt;/D&gt;&lt;D xsi:type="xsd:double"&gt;17.641317&lt;/D&gt;&lt;D xsi:type="xsd:double"&gt;21.91596&lt;/D&gt;&lt;D xsi:type="xsd:double"&gt;26.529562&lt;/D&gt;&lt;D xsi:type="xsd:double"&gt;27.322197&lt;/D&gt;&lt;D xsi:type="xsd:double"&gt;23.978651&lt;/D&gt;&lt;D xsi:type="xsd:double"&gt;26.537907&lt;/D&gt;&lt;D xsi:type="xsd:double"&gt;33.935917&lt;/D&gt;&lt;D xsi:type="xsd:double"&gt;27.319849&lt;/D&gt;&lt;D xsi:type="xsd:double"&gt;22.397114&lt;/D&gt;&lt;D xsi:type="xsd:double"&gt;18.54335&lt;/D&gt;&lt;D xsi:type="xsd:double"&gt;13.205481&lt;/D&gt;&lt;D xsi:type="xsd:double"&gt;7.9451323&lt;/D&gt;&lt;D xsi:type="xsd:double"&gt;0.95077753&lt;/D&gt;&lt;D xsi:type="xsd:double"&gt;-1.2812734&lt;/D&gt;&lt;D xsi:type="xsd:double"&gt;-4.620737&lt;/D&gt;&lt;D xsi:type="xsd:double"&gt;-1.6008794&lt;/D&gt;&lt;D xsi:type="xsd:double"&gt;-2.9696643&lt;/D&gt;&lt;D xsi:type="xsd:double"&gt;-4.9482703&lt;/D&gt;&lt;D xsi:type="xsd:double"&gt;-11.0989275&lt;/D&gt;&lt;D xsi:type="</t>
        </r>
      </text>
    </comment>
    <comment ref="A3" authorId="0" shapeId="0" xr:uid="{B3BE6B2A-693C-4DF4-B732-91050A54DAC0}">
      <text>
        <r>
          <rPr>
            <b/>
            <sz val="9"/>
            <color indexed="81"/>
            <rFont val="Tahoma"/>
            <charset val="1"/>
          </rPr>
          <t>xsd:double"&gt;-7.889348&lt;/D&gt;&lt;D xsi:type="xsd:double"&gt;-16.387165&lt;/D&gt;&lt;D xsi:type="xsd:double"&gt;-13.946253&lt;/D&gt;&lt;D xsi:type="xsd:double"&gt;-5.0964413&lt;/D&gt;&lt;D xsi:type="xsd:double"&gt;1.0107279&lt;/D&gt;&lt;D xsi:type="xsd:double"&gt;2.4505496&lt;/D&gt;&lt;D xsi:type="xsd:double"&gt;-6.743222&lt;/D&gt;&lt;D xsi:type="xsd:double"&gt;5.6881666&lt;/D&gt;&lt;D xsi:type="xsd:double"&gt;-6.9919467&lt;/D&gt;&lt;D xsi:type="xsd:double"&gt;-8.8873205&lt;/D&gt;&lt;D xsi:type="xsd:double"&gt;-9.680486&lt;/D&gt;&lt;D xsi:type="xsd:double"&gt;10.750556&lt;/D&gt;&lt;D xsi:type="xsd:double"&gt;8.992327&lt;/D&gt;&lt;D xsi:type="xsd:double"&gt;25.684393&lt;/D&gt;&lt;D xsi:type="xsd:double"&gt;11.911667&lt;/D&gt;&lt;D xsi:type="xsd:double"&gt;6.182277&lt;/D&gt;&lt;D xsi:type="xsd:double"&gt;-21.123827&lt;/D&gt;&lt;D xsi:type="xsd:double"&gt;-12.664151&lt;/D&gt;&lt;D xsi:type="xsd:double"&gt;15.087867&lt;/D&gt;&lt;D xsi:type="xsd:double"&gt;2.711296&lt;/D&gt;&lt;D xsi:type="xsd:double"&gt;22.94613&lt;/D&gt;&lt;D xsi:type="xsd:double"&gt;26.206314&lt;/D&gt;&lt;D xsi:type="xsd:double"&gt;27.00975&lt;/D&gt;&lt;D xsi:type="xsd:double"&gt;11.713171&lt;/D&gt;&lt;D xsi:type="xsd:double"&gt;28.170193&lt;/D&gt;&lt;D xsi:type="xsd:double"&gt;22.261215&lt;/D&gt;&lt;D xsi:type="xsd:double"&gt;32.436752&lt;/D&gt;&lt;D xsi:type="xsd:double"&gt;41.66819&lt;/D&gt;&lt;D xsi:type="xsd:double"&gt;89.20971&lt;/D&gt;&lt;D xsi:type="xsd:double"&gt;78.67354&lt;/D&gt;&lt;D xsi:type="xsd:double"&gt;53.451885&lt;/D&gt;&lt;D xsi:type="xsd:double"&gt;53.677845&lt;/D&gt;&lt;D xsi:type="xsd:double"&gt;44.302727&lt;/D&gt;&lt;D xsi:type="xsd:double"&gt;43.636013&lt;/D&gt;&lt;D xsi:type="xsd:double"&gt;30.707598&lt;/D&gt;&lt;D xsi:type="xsd:double"&gt;43.346596&lt;/D&gt;&lt;D xsi:type="xsd:double"&gt;15.61371&lt;/D&gt;&lt;D xsi:type="xsd:double"&gt;24.003338&lt;/D&gt;&lt;D xsi:type="xsd:double"&gt;6.804943&lt;/D&gt;&lt;D xsi:type="xsd:double"&gt;-13.05818&lt;/D&gt;&lt;D xsi:type="xsd:double"&gt;-7.306075&lt;/D&gt;&lt;D xsi:type="xsd:double"&gt;-20.06259&lt;/D&gt;&lt;D xsi:type="xsd:double"&gt;-20.30549&lt;/D&gt;&lt;D xsi:type="xsd:double"&gt;-30.431414&lt;/D&gt;&lt;D xsi:type="xsd:double"&gt;-27.511097&lt;/D&gt;&lt;D xsi:type="xsd:double"&gt;-36.70828&lt;/D&gt;&lt;D xsi:type="xsd:double"&gt;-34.61194&lt;/D&gt;&lt;D xsi:type="xsd:double"&gt;-37.464725&lt;/D&gt;&lt;D xsi:type="xsd:double"&gt;-19.806374&lt;/D&gt;&lt;D xsi:type="xsd:double"&gt;-27.632856&lt;/D&gt;&lt;D xsi:type="xsd:double"&gt;-12.105489&lt;/D&gt;&lt;D xsi:type="xsd:double"&gt;4.7614336&lt;/D&gt;&lt;D xsi:type="xsd:double"&gt;-7.5841846&lt;/D&gt;&lt;D xsi:type="xsd:double"&gt;5.772114&lt;/D&gt;&lt;D xsi:type="xsd:double"&gt;-2.9057205&lt;/D&gt;&lt;D xsi:type="xsd:double"&gt;15.950537&lt;/D&gt;&lt;D xsi:type="xsd:double"&gt;3.8364172&lt;/D&gt;&lt;D xsi:type="xsd:double"&gt;13.63163&lt;/D&gt;&lt;D xsi:type="xsd:double"&gt;15.778172&lt;/D&gt;&lt;D xsi:type="xsd:double"&gt;15.557898&lt;/D&gt;&lt;D xsi:type="xsd:double"&gt;7.809818&lt;/D&gt;&lt;D xsi:type="xsd:double"&gt;18.638908&lt;/D&gt;&lt;D xsi:type="xsd:double"&gt;4.618156&lt;/D&gt;&lt;D xsi:type="xsd:double"&gt;16.017925&lt;/D&gt;&lt;D xsi:type="xsd:double"&gt;15.6354065&lt;/D&gt;&lt;D xsi:type="xsd:double"&gt;10.751211&lt;/D&gt;&lt;D xsi:type="xsd:double"&gt;22.812199&lt;/D&gt;&lt;D xsi:type="xsd:double"&gt;20.591784&lt;/D&gt;&lt;D xsi:type="xsd:double"&gt;16.793228&lt;/D&gt;&lt;D xsi:type="xsd:double"&gt;29.49897&lt;/D&gt;&lt;D xsi:type="xsd:double"&gt;36.26734&lt;/D&gt;&lt;/FQL&gt;&lt;FQL&gt;&lt;Q&gt;EWN^P_PRICE_RETURNS_PR('52W',2,-10AY,0,AM)&lt;/Q&gt;&lt;R&gt;121&lt;/R&gt;&lt;C&gt;1&lt;/C&gt;&lt;D xsi:type="xsd:double"&gt;0.2631545&lt;/D&gt;&lt;D xsi:type="xsd:double"&gt;-3.2031596&lt;/D&gt;&lt;D xsi:type="xsd:double"&gt;1.4842033&lt;/D&gt;&lt;D xsi:type="xsd:double"&gt;-4.6979666&lt;/D&gt;&lt;D xsi:type="xsd:double"&gt;4.4409394&lt;/D&gt;&lt;D xsi:type="xsd:double"&gt;4.6795607&lt;/D&gt;&lt;D xsi:type="xsd:double"&gt;0.709188&lt;/D&gt;&lt;D xsi:type="xsd:double"&gt;4.788029&lt;/D&gt;&lt;D xsi:type="xsd:double"&gt;5.9515&lt;/D&gt;&lt;D xsi:type="xsd:double"&gt;1.3664007&lt;/D&gt;&lt;D xsi:type="xsd:double"&gt;12.729322&lt;/D&gt;&lt;D xsi:type="xsd:double"&gt;-1.2110174&lt;/D&gt;&lt;D xsi:type="xsd:double"&gt;2.34313&lt;/D&gt;&lt;D xsi:type="xsd:double"&gt;8.591091&lt;/D&gt;&lt;D xsi:type="xsd:double"&gt;-0.7656574&lt;/D&gt;&lt;D xsi:type="xsd:double"&gt;1.5233636&lt;/D&gt;&lt;D xsi:type="xsd:double"&gt;-3.9222002&lt;/D&gt;&lt;D xsi:type="xsd:double"&gt;-6.587124&lt;/D&gt;&lt;D xsi:type="xsd:double"&gt;-1.9242287&lt;/D&gt;&lt;D xsi:type="xsd:double"&gt;-5.242479&lt;/D&gt;&lt;D xsi:type="xsd:double"&gt;-4.4510484&lt;/D&gt;&lt;D xsi:type="xsd:double"&gt;-9.170872&lt;/D&gt;&lt;D xsi:type="xsd:double"&gt;-9.07138&lt;/D&gt;&lt;D xsi:type="xsd:double"&gt;7.4507833&lt;/D&gt;&lt;D xsi:type="xsd:double"&gt;7.573104&lt;/D&gt;&lt;D xsi:type="xsd:double"&gt;-2.5476754&lt;/D&gt;&lt;D xsi:type="xsd:double"&gt;-3.5498977&lt;/D&gt;&lt;D xsi:type="xsd:double"&gt;4.1323066&lt;/D&gt;&lt;D xsi:type="xsd:double"&gt;11.445177&lt;/D&gt;&lt;D xsi:type="xsd:double"&gt;13.771713&lt;/D&gt;&lt;D xsi:type="xsd:double"&gt;12.445175&lt;/D&gt;&lt;D xsi:type="xsd:double"&gt;19.13582&lt;/D&gt;&lt;D xsi:type="xsd:double"&gt;22.377777&lt;/D&gt;&lt;D xsi:type="xsd:double"&gt;28.12965&lt;/D&gt;&lt;D xsi:type="xsd:double"&gt;33.39739&lt;/D&gt;&lt;D xsi:type="xsd:double"&gt;25.774944&lt;/D&gt;&lt;D xsi:type="xsd:double"&gt;28.962029&lt;/D&gt;&lt;D xsi:type="xsd:double"&gt;34.78948&lt;/D&gt;&lt;D xsi:type="xsd:double"&gt;38.057182&lt;/D&gt;&lt;D xsi:type="xsd:double"&gt;34.74865&lt;/D&gt;&lt;D xsi:type="xsd:double"&gt;34.76502&lt;/D&gt;&lt;D xsi:type="xsd:double"&gt;25.550604&lt;/D&gt;&lt;D xsi:type="xsd:double"&gt;20.867146&lt;/D&gt;&lt;D xsi:type="xsd:double"&gt;13.527&lt;/D&gt;&lt;D xsi:type="xsd:double"&gt;8.519161&lt;/D&gt;&lt;D xsi:type="xsd:double"&gt;7.474327&lt;/D&gt;&lt;D xsi:type="xsd:double"&gt;4.682076&lt;/D&gt;&lt;D xsi:type="xsd:double"&gt;3.535688&lt;/D&gt;&lt;D xsi:type="xsd:double"&gt;-2.085346&lt;/D&gt;&lt;D xsi:type="xsd:double"&gt;-7.9382124&lt;/D&gt;&lt;D xsi:type="xsd:double"&gt;-6.630361&lt;/D&gt;&lt;D xsi:type="xsd:double"&gt;-17.649628&lt;/D&gt;&lt;D xsi:type="xsd:double"&gt;-13.873922&lt;/D&gt;&lt;D xsi:type="xsd:double"&gt;-3.3952773&lt;/D&gt;&lt;D xsi:type="xsd:double"&gt;-1.8155038&lt;/D&gt;&lt;D xsi:type="xsd:double"&gt;1.6332984&lt;/D&gt;&lt;D xsi:type="xsd:double"&gt;-4.0144324&lt;/D&gt;&lt;D xsi:type="xsd:double"&gt;6.2765837&lt;/D&gt;&lt;D xsi:type="xsd:double"&gt;-0.85271&lt;/D&gt;&lt;D xsi:type="xsd:double"&gt;0.93113184&lt;/D&gt;&lt;D xsi:type="xsd:double"&gt;4.78127&lt;/D&gt;&lt;D xsi:type="xsd:double"&gt;16.50387&lt;/D&gt;&lt;D xsi:type="xsd:double"&gt;15.891064&lt;/D&gt;&lt;D xsi:type="xsd:double"&gt;34.875416&lt;/D&gt;&lt;D xsi:type="xsd:double"&gt;19.341553&lt;/D&gt;&lt;D xsi:type="xsd:double"&gt;6.783128&lt;/D&gt;&lt;D xsi:type="xsd:double"&gt;-16.571337&lt;/D&gt;&lt;D xsi:type="xsd:double"&gt;-9.231461&lt;/D&gt;&lt;D xsi:type="xsd:double"&gt;11.977005&lt;/D&gt;&lt;D xsi:type="xsd:double"&gt;7.836938&lt;/D&gt;&lt;D xsi:type="xsd:double"&gt;15.2360325&lt;/D&gt;&lt;D xsi:type="xsd:double"&gt;16.283798&lt;/D&gt;&lt;D xsi:type="xsd:double"&gt;17.484247&lt;/D&gt;&lt;D xsi:type="xsd:double"&gt;10.168541&lt;/D&gt;&lt;D xsi:type="xsd:double"&gt;25.5391&lt;/D&gt;&lt;D xsi:type="xsd:double"&gt;23.225773&lt;/D&gt;&lt;D xsi:type="xsd:double"&gt;33.022533&lt;/D&gt;&lt;D xsi:type="xsd:double"&gt;43.35054&lt;/D&gt;&lt;D xsi:type="xsd:double"&gt;92.31813&lt;/D&gt;&lt;D xsi:type="xsd:double"&gt;76.44505&lt;/D&gt;&lt;D xsi:type="xsd:double"&gt;54.043674&lt;/D&gt;&lt;D xsi:type="xsd:double"&gt;47.33356&lt;/D&gt;&lt;D xsi:type="xsd:double"&gt;46.053947&lt;/D&gt;&lt;D xsi:type="xsd:double"&gt;54.730392&lt;/D&gt;&lt;D xsi:type="xsd:double"&gt;40.851868&lt;/D&gt;&lt;D xsi:type="xsd:double"&gt;52.031242&lt;/D&gt;&lt;D xsi:type="xsd:double"&gt;21.602844&lt;/D&gt;&lt;D xsi:type="xsd:double"&gt;23.497808&lt;/D&gt;&lt;D xsi:type="xsd:double"&gt;6.497836&lt;/D&gt;&lt;D xsi:type="xsd:double"&gt;-6.1158714&lt;/D&gt;&lt;D xsi:type="xsd:double"&gt;-8.838474&lt;/D&gt;&lt;D xsi:type="xsd:double"&gt;-19.544607&lt;/D&gt;&lt;D xsi:type="xsd:double"&gt;-20.368444&lt;/D&gt;&lt;D xsi:type="xsd:double"&gt;-26.87679&lt;/D&gt;&lt;D xsi:type="xsd:double"&gt;-23.113268&lt;/D&gt;&lt;D xsi:type="xsd:double"&gt;-37.342323&lt;/D&gt;&lt;D xsi:type="xsd:double"&gt;-35.42714&lt;/D&gt;&lt;D xsi:type="xsd:double"&gt;-39.463318&lt;/D&gt;&lt;D xsi:type="xsd:double"&gt;-18.317812&lt;/D&gt;&lt;D xsi:type="xsd:double"&gt;-23.400032&lt;/D&gt;&lt;D xsi:type="xsd:double"&gt;-4.7567725&lt;/D&gt;&lt;D xsi:type="xsd:double"&gt;4.335642&lt;/D&gt;&lt;D xsi:type="xsd:double"&gt;1.1273503&lt;/D&gt;&lt;D xsi:type="xsd:double"&gt;10.235559&lt;/D&gt;&lt;D xsi:type="xsd:double"&gt;9.672952&lt;/D&gt;&lt;D xsi:type="xsd:double"&gt;27.024292&lt;/D&gt;&lt;D xsi:type="xsd:double"&gt;16.1098&lt;/D&gt;&lt;D xsi:type="xsd:double"&gt;25.123346&lt;/D&gt;&lt;D xsi:type="xsd:double"&gt;19.717253&lt;/D&gt;&lt;D xsi:type="xsd:double"&gt;27.185404&lt;/D&gt;&lt;D xsi:type="xsd:double"&gt;9.567165&lt;/D&gt;&lt;D xsi:type="xsd:double"&gt;15.1654005&lt;/D&gt;&lt;D xsi:type="xsd:double"&gt;7.292402&lt;/D&gt;&lt;D xsi:type="xsd:double"&gt;19.980967&lt;/D&gt;&lt;D xsi:type="xsd:double"&gt;19.496595&lt;/D&gt;&lt;D xsi:type="xsd:double"&gt;19.898499&lt;/D&gt;&lt;D xsi:type="xsd:double"&gt;22.436596&lt;/D&gt;&lt;D xsi:type="xsd:double"&gt;21.249699&lt;/D&gt;&lt;D xsi:type="xsd:double"&gt;9.770477&lt;/D&gt;&lt;D xsi:type="xsd:double"&gt;22.214794&lt;/D&gt;&lt;D xsi:type="xsd:double"&gt;38.026417&lt;/D&gt;&lt;/FQL&gt;&lt;FQL&gt;&lt;Q&gt;EWQ^P_PRICE_RETURNS_PR('52W',2,-10AY,0,AM)&lt;/Q&gt;&lt;R&gt;121&lt;/R&gt;&lt;C&gt;1&lt;/C&gt;&lt;D xsi:type="xsd:double"&gt;-2.1363854&lt;/D&gt;&lt;D xsi:type="xsd:double"&gt;-6.5243244&lt;/D&gt;&lt;D xsi:type="xsd:double"&gt;-1.7378151&lt;/D&gt;&lt;D xsi:type="xsd:double"&gt;-9.054065&lt;/D&gt;&lt;D xsi:type="xsd:double"&gt;1.1673331&lt;/D&gt;&lt;D xsi:type="xsd:double"&gt;-4.556644&lt;/D&gt;&lt;D xsi:type="xsd:double"&gt;-7.0757685&lt;/D&gt;&lt;D xsi:type="xsd:double"&gt;-5.8624687&lt;/D&gt;&lt;D xsi:type="xsd:double"&gt;-5.23693&lt;/D&gt;&lt;D xsi:type="xsd:double"&gt;-9.478974&lt;/D&gt;&lt;D xsi:type="xsd:double"&gt;1.6487122&lt;/D&gt;&lt;D xsi:type="xsd:double"&gt;-8.767408&lt;/D&gt;&lt;D xsi:type="xsd:double"&gt;-2.8776407&lt;/D&gt;&lt;D xsi:type="xsd:double"&gt;5.8876395&lt;/D&gt;&lt;D xsi:type="xsd:double"&gt;-2.7839065&lt;/D&gt;&lt;D xsi:type="xsd:double"&gt;0.23943186&lt;/D&gt;&lt;D xsi:type="xsd:double"&gt;-9.506249&lt;/D&gt;&lt;D xsi:type="xsd:double"&gt;-8.700478&lt;/D&gt;&lt;D xsi:type="xsd:double"&gt;-6.839025&lt;/D&gt;&lt;D xsi:type="xsd:double"&gt;-8.846092&lt;/D&gt;&lt;D xsi:type="xsd:double"&gt;-8.10424&lt;/D&gt;&lt;D xsi:type="xsd:double"&gt;-9.083867&lt;/D&gt;&lt;D xsi:type="xsd:double"&gt;-10.430795&lt;/D&gt;&lt;D xsi:type="xsd:double"&gt;1.7862082&lt;/D&gt;&lt;D xsi:type="xsd:double"&gt;1.2693882&lt;/D&gt;&lt;D xsi:type="xsd:double"&gt;-5.941206&lt;/D&gt;&lt;D xsi:type="xsd:double"&gt;-3.5247684&lt;/D&gt;&lt;D xsi:type="xsd:double"&gt;4.8605084&lt;/D&gt;&lt;D xsi:type="xsd:double"&gt;12.883604&lt;/D&gt;&lt;D xsi:type="xsd:double"&gt;12.234127&lt;/D&gt;&lt;D xsi:type="xsd:double"&gt;13.598167&lt;/D&gt;&lt;D xsi:type="xsd:double"&gt;18.491686&lt;/D&gt;&lt;D xsi:type="xsd:double"&gt;24.418545&lt;/D&gt;&lt;D xsi:type="xsd:double"&gt;28.231466&lt;/D&gt;&lt;D xsi:type="xsd:double"&gt;30.15306&lt;/D&gt;&lt;D xsi:type="xsd:double"&gt;26.241386&lt;/D&gt;&lt;D xsi:type="xsd:double"&gt;31.167543&lt;/D&gt;&lt;D xsi:type="xsd:double"&gt;34.48168&lt;/D&gt;&lt;D xsi:type="xsd:double"&gt;35.647358&lt;/D&gt;&lt;D xsi:type="xsd:double"&gt;30.13382&lt;/D&gt;&lt;D xsi:type="xsd:double"&gt;32.40565&lt;/D&gt;&lt;D xsi:type="xsd:double"&gt;27.122175&lt;/D&gt;&lt;D xsi:type="xsd:double"&gt;20.516884&lt;/D&gt;&lt;D xsi:type="xsd:double"&gt;18.058277&lt;/D&gt;&lt;D xsi:type="xsd:double"&gt;10.472465&lt;/D&gt;&lt;D xsi:type="xsd:double"&gt;8.5611105&lt;/D&gt;&lt;D xsi:type="xsd:double"&gt;7.935357&lt;/D&gt;&lt;D xsi:type="xsd:double"&gt;6.950426&lt;/D&gt;&lt;D xsi:type="xsd:double"&gt;3.1603098&lt;/D&gt;&lt;D xsi:type="xsd:double"&gt;-6.3210306&lt;/D&gt;&lt;D xsi:type="xsd:double"&gt;-6.9306016&lt;/D&gt;&lt;D xsi:type="xsd:double"&gt;-15.507448&lt;/D&gt;&lt;D xsi:type="xsd:double"&gt;-13.514101&lt;/D&gt;&lt;D xsi:type="xsd:double"&gt;-3.385961&lt;/D&gt;&lt;D xsi:type="xsd:double"&gt;-0.98704696&lt;/D&gt;&lt;D xsi:type="xsd:double"&gt;-3.7103534&lt;/D&gt;&lt;D xsi:type="xsd:double"&gt;-6.61391&lt;/D&gt;&lt;D xsi:type="xsd:double"&gt;4.6059012&lt;/D&gt;&lt;D xsi:type="xsd:double"&gt;-4.175252&lt;/D&gt;&lt;D xsi:type="xsd:double"&gt;-2.7243912&lt;/D&gt;&lt;D xsi:type="xsd:double"&gt;-3.4216702&lt;/D&gt;&lt;D xsi:type="xsd:double"&gt;12.586821&lt;/D&gt;&lt;D xsi:type="xsd:double"&gt;13.271379&lt;/D&gt;&lt;D xsi:type="xsd:double"&gt;29.214525&lt;/D&gt;&lt;D xsi:type="xsd:double"&gt;14.585304&lt;/D&gt;&lt;D xsi:type="xsd:double"&gt;1.4479399&lt;/D&gt;&lt;D xsi:type="xsd:double"&gt;-25.598568&lt;/D&gt;&lt;D xsi:type="xsd:double"&gt;-19.655449&lt;/D&gt;&lt;D xsi:type="xsd:double"&gt;-1.4846087&lt;/D&gt;&lt;D xsi:type="xsd:double"&gt;-8.499283&lt;/D&gt;&lt;D xsi:type="xsd:double"&gt;-1.5865803&lt;/D&gt;&lt;D xsi:type="xsd:double"&gt;0.6612301&lt;/D&gt;&lt;D xsi:type="xsd:double"&gt;-2.1952093&lt;/D&gt;&lt;D xsi:type="xsd:double"&gt;-10.108024&lt;/D&gt;&lt;D xsi:type="xsd:double"&gt;7.9870224&lt;/D&gt;&lt;D xsi:type="xsd:double"&gt;2.8523922&lt;/D&gt;&lt;D xsi:type="xsd:double"&gt;6.575012&lt;/D&gt;&lt;D xsi:type="xsd:double"&gt;18.979477&lt;/D&gt;&lt;D xsi:type="xsd:double"&gt;61.32288&lt;/D&gt;&lt;D xsi:type="xsd:double"&gt;57.604374&lt;/D&gt;&lt;D xsi:type="xsd:double"&gt;40.522396&lt;/D&gt;&lt;D xsi:type="xsd:double"&gt;38.95763&lt;/D&gt;&lt;D xsi:type="xsd:double"&gt;39.023674&lt;/D&gt;&lt;D xsi:type="xsd:double"&gt;35.594296&lt;/D&gt;&lt;D xsi:type="xsd:double"&gt;35.936092&lt;/D&gt;&lt;D xsi:type="xsd:double"&gt;45.80542&lt;/D&gt;&lt;D xsi:type="xsd:double"&gt;15.138161&lt;/D&gt;&lt;D xsi:type="xsd:double"&gt;22.53517&lt;/D&gt;&lt;D xsi:type="xsd:double"&gt;19.277727&lt;/D&gt;&lt;D xsi:type="xsd:double"&gt;1.8886328&lt;/D&gt;&lt;D xsi:type="xsd:double"&gt;4.6483636&lt;/D&gt;&lt;D xsi:type="xsd:double"&gt;-8.002096&lt;/D&gt;&lt;D xsi:type="xsd:double"&gt;-8.334457&lt;/D&gt;&lt;D xsi:type="xsd:double"&gt;-16.32346&lt;/D&gt;&lt;D xsi:type="xsd:double"&gt;-13.813663&lt;/D&gt;&lt;D xsi:type="xsd:double"&gt;-22.38112&lt;/D&gt;&lt;D xsi:type="xsd:double"&gt;-22.882300999999998&lt;/D&gt;&lt;D xsi:type="xsd:double"&gt;-23.396105&lt;/D&gt;&lt;D xsi:type="xsd:double"&gt;-5.1412106&lt;/D&gt;&lt;D xsi:type="xsd:double"&gt;-11.905831&lt;/D&gt;&lt;D xsi:type="xsd:double"&gt;0.6918669&lt;/D&gt;&lt;D xsi:type="xsd:double"&gt;14.388884&lt;/D&gt;&lt;D xsi:type="xsd:double"&gt;10.858429&lt;/D&gt;&lt;D xsi:type="xsd:double"&gt;22.25691&lt;/D&gt;&lt;D xsi:type="xsd:double"&gt;12.324774&lt;/D&gt;&lt;D xsi:type="xsd:double"&gt;30.88789&lt;/D&gt;&lt;D xsi:type="xsd:double"&gt;22.200453&lt;/D&gt;&lt;D xsi:type="xsd:double"&gt;31.38839&lt;/D&gt;&lt;D xsi:type="xsd:double"&gt;29.678488&lt;/D&gt;&lt;D xsi:type="xsd:double"&gt;25.699211&lt;/D&gt;&lt;D xsi:type="xsd:double"&gt;13.988113&lt;/D&gt;&lt;D xsi:type="xsd:double"&gt;16.995085&lt;/D&gt;&lt;D xsi:type="xsd:double"&gt;6.203139&lt;/D&gt;&lt;D xsi:type="xsd:double"&gt;12.643003&lt;/D&gt;&lt;D xsi:type="xsd:double"&gt;11.028135&lt;/D&gt;&lt;D xsi:type="xsd:double"&gt;6.708777&lt;/D&gt;&lt;D xsi:type="xsd:double"&gt;13.599992&lt;/D&gt;&lt;D xsi:type="xsd:double"&gt;4.2497396&lt;/D&gt;&lt;D xsi:type="xsd:double"&gt;1.9848824&lt;/D&gt;&lt;D xsi:type="xsd:double"&gt;8.299959&lt;/D&gt;&lt;D xsi:type="xsd:double"&gt;16.194069&lt;/D&gt;&lt;/FQL&gt;&lt;FQL&gt;&lt;Q&gt;SPY^P_PRICE_RETURNS_PR('52W',2,-10AY,0,AM)&lt;/Q&gt;&lt;R&gt;121&lt;/R&gt;&lt;C&gt;1&lt;/C&gt;&lt;D xsi:type="xsd:double"&gt;19.51909&lt;/D&gt;&lt;D xsi:type="xsd:double"&gt;16.729963&lt;/D&gt;&lt;D xsi:type="xsd:double"&gt;17.901957&lt;/D&gt;&lt;D xsi:type="xsd:double"&gt;14.498711&lt;/D&gt;&lt;D xsi:type="xsd:double"&gt;19.905567&lt;/D&gt;&lt;D xsi:type="xsd:double"&gt;16.359688&lt;/D&gt;&lt;D xsi:type="xsd:double"&gt;11.4277&lt;/D&gt;&lt;D xsi:type="xsd:double"&gt;14.075815&lt;/D&gt;&lt;D xsi:type="xsd:double"&gt;12.062597&lt;/D&gt;&lt;D xsi:type="xsd:double"&gt;7.173836&lt;/D&gt;&lt;D xsi:type="xsd:double"&gt;11.120855&lt;/D&gt;&lt;D xsi:type="xsd:double"&gt;-0.5545318&lt;/D&gt;&lt;D xsi:type="xsd:double"&gt;2.3498535&lt;/D&gt;&lt;D xsi:type="xsd:double"&gt;6.691575&lt;/D&gt;&lt;D xsi:type="xsd:double"&gt;0.90550184&lt;/D&gt;&lt;D xsi:type="xsd:double"&gt;1.2520194&lt;/D&gt;&lt;D xsi:type="xsd:double"&gt;-4.6661797&lt;/D&gt;&lt;D xsi:type="xsd:double"&gt;-3.4041345&lt;/D&gt;&lt;D xsi:type="xsd:double"&gt;2.7596354&lt;/D&gt;&lt;D xsi:type="xsd:double"&gt;-0.0572443&lt;/D&gt;&lt;D xsi:type="xsd:double"&gt;1.3632178&lt;/D&gt;&lt;D xsi:type="xsd:double"&gt;3.380084&lt;/D&gt;&lt;D xsi:type="xsd:double"&gt;5.3004503&lt;/D&gt;&lt;D xsi:type="xsd:double"&gt;14.194632&lt;/D&gt;&lt;D xsi:type="xsd:double"&gt;13.053167&lt;/D&gt;&lt;D xsi:type="xsd:double"&gt;1.0910153&lt;/D&gt;&lt;D xsi:type="xsd:double"&gt;7.6292157&lt;/D&gt;&lt;D xsi:type="xsd:double"&gt;12.858129&lt;/D&gt;&lt;D xsi:type="xsd:double"&gt;22.463142&lt;/D&gt;&lt;D xsi:type="xsd:double"&gt;21.910799&lt;/D&gt;&lt;D xsi:type="xsd:double"&gt;16.085922&lt;/D&gt;&lt;D xsi:type="xsd:double"&gt;18.073917&lt;/D&gt;&lt;D xsi:type="xsd:double"&gt;18.167995&lt;/D&gt;&lt;D xsi:type="xsd:double"&gt;17.731262&lt;/D&gt;&lt;D xsi:type="xsd:double"&gt;16.564512&lt;/D&gt;&lt;D xsi:type="xsd:double"&gt;16.328764&lt;/D&gt;&lt;D xsi:type="xsd:double"&gt;19.556618&lt;/D&gt;&lt;D xsi:type="xsd:double"&gt;26.296795&lt;/D&gt;&lt;D xsi:type="xsd:double"&gt;22.88295&lt;/D&gt;&lt;D xsi:type="xsd:double"&gt;22.410225&lt;/D&gt;&lt;D xsi:type="xsd:double"&gt;23.279358&lt;/D&gt;&lt;D xsi:type="xsd:double"&gt;15.121424&lt;/D&gt;&lt;D xsi:type="xsd:double"&gt;12.919593&lt;/D&gt;&lt;D xsi:type="xsd:double"&gt;12.218582&lt;/D&gt;&lt;D xsi:type="xsd:double"&gt;14.56604&lt;/D&gt;&lt;D xsi:type="xsd:double"&gt;13.93075&lt;/D&gt;&lt;D xsi:type="xsd:double"&gt;16.97786&lt;/D&gt;&lt;D xsi:type="xsd:double"&gt;19.489134&lt;/D&gt;&lt;D xsi:type="xsd:double"&gt;17.469894&lt;/D&gt;&lt;D xsi:type="xsd:double"&gt;7.474339&lt;/D&gt;&lt;D xsi:type="xsd:double"&gt;7.535386&lt;/D&gt;&lt;D xsi:type="xsd:double"&gt;-7.9824686&lt;/D&gt;&lt;D xsi:type="xsd:double"&gt;-2.257222&lt;/D&gt;&lt;D xsi:type="xsd:double"&gt;6.7546606&lt;/D&gt;&lt;D xsi:type="xsd:double"&gt;11.97933&lt;/D&gt;&lt;D xsi:type="xsd:double"&gt;14.144754&lt;/D&gt;&lt;D xsi:type="xsd:double"&gt;2.3125887&lt;/D&gt;&lt;D xsi:type="xsd:double"&gt;12.493086&lt;/D&gt;&lt;D xsi:type="xsd:double"&gt;5.683923&lt;/D&gt;&lt;D xsi:type="xsd:double"&gt;2.1402717&lt;/D&gt;&lt;D xsi:type="xsd:double"&gt;1.5457392&lt;/D&gt;&lt;D xsi:type="xsd:double"&gt;14.169002&lt;/D&gt;&lt;D xsi:type="xsd:double"&gt;13.047564&lt;/D&gt;&lt;D xsi:type="xsd:double"&gt;34.519398&lt;/D&gt;&lt;D xsi:type="xsd:double"&gt;22.28844&lt;/D&gt;&lt;D xsi:type="xsd:double"&gt;9.093618&lt;/D&gt;&lt;D xsi:type="xsd:double"&gt;-11.553431&lt;/D&gt;&lt;D xsi:type="xsd:double"&gt;-1.084584&lt;/D&gt;&lt;D xsi:type="xsd:double"&gt;16.051842&lt;/D&gt;&lt;D xsi:type="xsd:double"&gt;7.4635267&lt;/D&gt;&lt;D xsi:type="xsd:double"&gt;14.636588&lt;/D&gt;&lt;D xsi:type="xsd:double"&gt;21.203077&lt;/D&gt;&lt;D xsi:type="xsd:double"&gt;18.170643&lt;/D&gt;&lt;D xsi:type="xsd:double"&gt;11.921144&lt;/D&gt;&lt;D xsi:type="xsd:double"&gt;20.787632&lt;/D&gt;&lt;D xsi:type="xsd:double"&gt;18.373215&lt;/D&gt;&lt;D xsi:type="xsd:double"&gt;20.053577&lt;/D&gt;&lt;D xsi:type="xsd:double"&gt;29.456282&lt;/D&gt;&lt;D xsi:type="xsd:double"&gt;65.37613&lt;/D&gt;&lt;D xsi:type="xsd:double"&gt;50.26951&lt;/D&gt;&lt;D xsi:type="xsd:double"&gt;36.308014&lt;/D&gt;&lt;D xsi:type="xsd:double"&gt;40.99548&lt;/D&gt;&lt;D xsi:type="xsd:double"&gt;36.187756&lt;/D&gt;&lt;D xsi:type="xsd:double"&gt;33.148266&lt;/D&gt;&lt;D xsi:type="xsd:double"&gt;30.667091&lt;/D&gt;&lt;D xsi:type="xsd:double"&gt;40.259136&lt;/D&gt;&lt;D xsi:type="xsd:double"&gt;25.406324&lt;/D&gt;&lt;D xsi:type="xsd:double"&gt;29.490494&lt;/D&gt;&lt;D xsi:type="xsd:double"&gt;18.53093&lt;/D&gt;&lt;D xsi:type="xsd:double"&gt;15.771008&lt;/D&gt;&lt;D xsi:type="xsd:double"&gt;14.555395&lt;/D&gt;&lt;D xsi:type="xsd:double"&gt;0.88385344&lt;/D&gt;&lt;D xsi:type="xsd:double"&gt;-0.6664932&lt;/D&gt;&lt;D xsi:type="xsd:double"&gt;-10.165781&lt;/D&gt;&lt;D xsi:type="xsd:double"&gt;-4.7134104&lt;/D&gt;&lt;D xsi:type="xsd:double"&gt;-12.215585&lt;/D&gt;&lt;D xsi:type="xsd:double"&gt;-14.293856&lt;/D&gt;&lt;D xsi:type="xsd:double"&gt;-18.953974&lt;/D&gt;&lt;D xsi:type="xsd:double"&gt;-9.689199&lt;/D&gt;&lt;D xsi:type="xsd:double"&gt;-18.98524&lt;/D&gt;&lt;D xsi:type="xsd:double"&gt;-6.166917&lt;/D&gt;&lt;D xsi:type="xsd:double"&gt;-5.724949&lt;/D&gt;&lt;D xsi:type="xsd:double"&gt;-7.717848&lt;/D&gt;&lt;D xsi:type="xsd:double"&gt;-0.33519864&lt;/D&gt;&lt;D xsi:type="xsd:double"&gt;4.272735&lt;/D&gt;&lt;D xsi:type="xsd:double"&gt;18.325293&lt;/D&gt;&lt;D xsi:type="xsd:double"&gt;10.082412&lt;/D&gt;&lt;D xsi:type="xsd:double"&gt;15.691757&lt;/D&gt;&lt;D xsi:type="xsd:double"&gt;16.825617&lt;/D&gt;&lt;D xsi:type="xsd:double"&gt;19.02715&lt;/D&gt;&lt;D xsi:type="xsd:double"&gt;14.48791&lt;/D&gt;&lt;D xsi:type="xsd:double"&gt;24.984741&lt;/D&gt;&lt;D xsi:type="xsd:double"&gt;20.427608&lt;/D&gt;&lt;D xsi:type="xsd:double"&gt;31.909966&lt;/D&gt;&lt;D xsi:type="xsd:double"&gt;28.233683&lt;/D&gt;&lt;D xsi:type="xsd:double"&gt;27.135468&lt;/D&gt;&lt;D xsi:type="xsd:double"&gt;25.137543&lt;/D&gt;&lt;D xsi:type="xsd:double"&gt;26.009106&lt;/D&gt;&lt;D xsi:type="xsd:double"&gt;20.053053&lt;/D&gt;&lt;D xsi:type="xsd:double"&gt;24.08178&lt;/D&gt;&lt;D xsi:type="xsd:double"&gt;36.511684&lt;/D&gt;&lt;/FQL&gt;&lt;FQL&gt;&lt;Q&gt;QQQ^P_PRICE_RETURNS_PR('52W',2,-10AY,0,AM)&lt;/Q&gt;&lt;R&gt;121&lt;/R&gt;&lt;C&gt;1&lt;/C&gt;&lt;D xsi:type="xsd:double"&gt;26.545883&lt;/D&gt;&lt;D xsi:type="xsd:double"&gt;24.621344&lt;/D&gt;&lt;D xsi:type="xsd:double"&gt;25.24736&lt;/D&gt;&lt;D xsi:type="xsd:double"&gt;19.760979&lt;/D&gt;&lt;D xsi:type="xsd:double"&gt;24.019098&lt;/D&gt;&lt;D xsi:type="xsd:double"&gt;22.763454&lt;/D&gt;&lt;D xsi:type="xsd:double"&gt;18.8362&lt;/D&gt;&lt;D xsi:type="xsd:double"&gt;25.796616&lt;/D&gt;&lt;D xsi:type="xsd:double"&gt;22.423458&lt;/D&gt;&lt;D xsi:type="xsd:double"&gt;14.72975&lt;/D&gt;&lt;D xsi:type="xsd:double"&gt;19.147718&lt;/D&gt;&lt;D xsi:type="xsd:double"&gt;5.0453067&lt;/D&gt;&lt;D xsi:type="xsd:double"&gt;8.152592&lt;/D&gt;&lt;D xsi:type="xsd:double"&gt;14.310848&lt;/D&gt;&lt;D xsi:type="xsd:double"&gt;7.8799963&lt;/D&gt;&lt;D xsi:type="xsd:double"&gt;9.446454&lt;/D&gt;&lt;D xsi:type="xsd:double"&gt;-0.25328994&lt;/D&gt;&lt;D xsi:type="xsd:double"&gt;-1.9842267&lt;/D&gt;&lt;D xsi:type="xsd:double"&gt;6.2000275&lt;/D&gt;&lt;D xsi:type="xsd:double"&gt;-1.9874871&lt;/D&gt;&lt;D xsi:type="xsd:double"&gt;0.7788539&lt;/D&gt;&lt;D xsi:type="xsd:double"&gt;1.2783289&lt;/D&gt;&lt;D xsi:type="xsd:double"&gt;4.517472&lt;/D&gt;&lt;D xsi:type="xsd:double"&gt;13.995767&lt;/D&gt;&lt;D xsi:type="xsd:double"&gt;15.269876&lt;/D&gt;&lt;D xsi:type="xsd:double"&gt;0.28802156&lt;/D&gt;&lt;D xsi:type="xsd:double"&gt;2.236712&lt;/D&gt;&lt;D xsi:type="xsd:double"&gt;8.059561&lt;/D&gt;&lt;D xsi:type="xsd:double"&gt;25.008858&lt;/D&gt;&lt;D xsi:type="xsd:double"&gt;25.422405&lt;/D&gt;&lt;D xsi:type="xsd:double"&gt;21.113491&lt;/D&gt;&lt;D xsi:type="xsd:double"&gt;30.898594&lt;/D&gt;&lt;D xsi:type="xsd:double"&gt;31.068588&lt;/D&gt;&lt;D xsi:type="xsd:double"&gt;27.310658&lt;/D&gt;&lt;D xsi:type="xsd:double"&gt;25.604094&lt;/D&gt;&lt;D xsi:type="xsd:double"&gt;26.356638&lt;/D&gt;&lt;D xsi:type="xsd:double"&gt;24.295092&lt;/D&gt;&lt;D xsi:type="xsd:double"&gt;35.735&lt;/D&gt;&lt;D xsi:type="xsd:double"&gt;35.132946&lt;/D&gt;&lt;D xsi:type="xsd:double"&gt;35.09277&lt;/D&gt;&lt;D xsi:type="xsd:double"&gt;32.550003&lt;/D&gt;&lt;D xsi:type="xsd:double"&gt;28.080952&lt;/D&gt;&lt;D xsi:type="xsd:double"&gt;19.899487&lt;/D&gt;&lt;D xsi:type="xsd:double"&gt;19.137526&lt;/D&gt;&lt;D xsi:type="xsd:double"&gt;22.843765&lt;/D&gt;&lt;D xsi:type="xsd:double"&gt;26.428091&lt;/D&gt;&lt;D xsi:type="xsd:double"&gt;26.604044&lt;/D&gt;&lt;D xsi:type="xsd:double"&gt;28.700888&lt;/D&gt;&lt;D xsi:type="xsd:double"&gt;28.439236&lt;/D&gt;&lt;D xsi:type="xsd:double"&gt;12.431717&lt;/D&gt;&lt;D xsi:type="xsd:double"&gt;12.405502&lt;/D&gt;&lt;D xsi:type="xsd:double"&gt;-5.5796146&lt;/D&gt;&lt;D xsi:type="xsd:double"&gt;0.5487323&lt;/D&gt;&lt;D xsi:type="xsd:double"&gt;6.9315434&lt;/D&gt;&lt;D xsi:type="xsd:double"&gt;17.882002&lt;/D&gt;&lt;D xsi:type="xsd:double"&gt;19.144058&lt;/D&gt;&lt;D xsi:type="xsd:double"&gt;-0.658679&lt;/D&gt;&lt;D xsi:type="xsd:double"&gt;13.068199&lt;/D&gt;&lt;D xsi:type="xsd:double"&gt;5.271876&lt;/D&gt;&lt;D xsi:type="xsd:double"&gt;0.33735037&lt;/D&gt;&lt;D xsi:type="xsd:double"&gt;0.96541643&lt;/D&gt;&lt;D xsi:type="xsd:double"&gt;16.622341&lt;/D&gt;&lt;D xsi:type="xsd:double"&gt;17.926825&lt;/D&gt;&lt;D xsi:type="xsd:double"&gt;44.13445&lt;/D&gt;&lt;D xsi:type="xsd:double"&gt;33.89652&lt;/D&gt;&lt;D xsi:type="xsd:double"&gt;21.109903&lt;/D&gt;&lt;D xsi:type="xsd:double"&gt;0.62907934&lt;/D&gt;&lt;D xsi:type="xsd:double"&gt;13.564264&lt;/D&gt;&lt;D xsi:type="xsd:double"&gt;40.31949&lt;/D&gt;&lt;D xsi:type="xsd:double"&gt;33.792843&lt;/D&gt;&lt;D xsi:type="xsd:double"&gt;44.941605&lt;/D&gt;&lt;D xsi:type="xsd:double"&gt;56.058838&lt;/D&gt;&lt;D xsi:type="xsd:double"&gt;50.15584&lt;/D&gt;&lt;D xsi:type="xsd:double"&gt;39.138306&lt;/D&gt;&lt;D xsi:type="xsd:double"&gt;52.20494&lt;/D&gt;&lt;D xsi:type="xsd:double"&gt;48.61877&lt;/D&gt;&lt;D xsi:type="xsd:double"&gt;47.813904&lt;/D&gt;&lt;D xsi:type="xsd:double"&gt;48.637436&lt;/D&gt;&lt;D xsi:type="xsd:double"&gt;79.143036&lt;/D&gt;&lt;D xsi:type="xsd:double"&gt;59.014847&lt;/D&gt;&lt;D xsi:type="xsd:double"&gt;40.293015&lt;/D&gt;&lt;D xsi:type="xsd:double"&gt;43.016754&lt;/D&gt;&lt;D xsi:type="xsd:double"&gt;36.94048&lt;/D&gt;&lt;D xsi:type="xsd:double"&gt;33.5145&lt;/D&gt;&lt;D xsi:type="xsd:double"&gt;28.29306&lt;/D&gt;&lt;D xsi:type="xsd:double"&gt;43.92271&lt;/D&gt;&lt;D xsi:type="xsd:double"&gt;26.587343&lt;/D&gt;&lt;D xsi:type="xsd:double"&gt;28.646982&lt;/D&gt;&lt;D xsi:type="xsd:double"&gt;8.847034&lt;/D&gt;&lt;D xsi:type="xsd:double"&gt;11.240303&lt;/D&gt;&lt;D xsi:type="xsd:double"&gt;12.023603&lt;/D&gt;&lt;D xsi:type="xsd:double"&gt;-4.7093925&lt;/D&gt;&lt;D xsi:type="xsd:double"&gt;-6.764656&lt;/D&gt;&lt;D xsi:type="xsd:double"&gt;-19.988829&lt;/D&gt;&lt;D xsi:type="xsd:double"&gt;-11.485023&lt;/D&gt;&lt;D xsi:type="xsd:double"&gt;-21.974766&lt;/D&gt;&lt;D xsi:type="xsd:double"&gt;-23.586428&lt;/D&gt;&lt;D xsi:type="xsd:double"&gt;-33.337013&lt;/D&gt;&lt;D xsi:type="xsd:double"&gt;-24.504536&lt;/D&gt;&lt;D xsi:type="xsd:double"&gt;-33.67283&lt;/D&gt;&lt;D xsi:type="xsd:double"&gt;-12.762183&lt;/D&gt;&lt;D xsi:type="xsd:double"&gt;-11.797607&lt;/D&gt;&lt;D xsi:type="xsd:double"&gt;-10.847026&lt;/D&gt;&lt;D xsi:type="xsd:double"&gt;0.2817154&lt;/D&gt;&lt;D xsi:type="xsd:double"&gt;13.672638&lt;/D&gt;&lt;D xsi:type="xsd:double"&gt;32.186043&lt;/D&gt;&lt;D xsi:type="xsd:double"&gt;16.591251&lt;/D&gt;&lt;D xsi:type="xsd:double"&gt;27.016926&lt;/D&gt;&lt;D xsi:type="xsd:double"&gt;30.638838&lt;/D&gt;&lt;D xsi:type="xsd:double"&gt;42.12197&lt;/D&gt;&lt;D xsi:type="xsd:double"&gt;33.662964&lt;/D&gt;&lt;D xsi:type="xsd:double"&gt;51.646435&lt;/D&gt;&lt;D xsi:type="xsd:double"&gt;38.57497&lt;/D&gt;&lt;D xsi:type="xsd:double"&gt;54.079758&lt;/D&gt;&lt;D xsi:type="xsd:double"&gt;39.010704&lt;/D&gt;&lt;D xsi:type="xsd:double"&gt;38.16341&lt;/D&gt;&lt;D xsi:type="xsd:double"&gt;28.618694&lt;/D&gt;&lt;D xsi:type="xsd:double"&gt;33.523346&lt;/D&gt;&lt;D xsi:type="xsd:double"&gt;20.687569&lt;/D&gt;&lt;D xsi:type="xsd:double"&gt;23.14738&lt;/D&gt;&lt;D xsi:type="xsd:double"&gt;36.618782&lt;/D&gt;&lt;/FQL&gt;&lt;FQL&gt;&lt;Q&gt;EWU^P_PRICE_RETURNS_PR('52W',2,-10AY,0,AM)&lt;/Q&gt;&lt;R&gt;121&lt;/R&gt;&lt;C&gt;1&lt;/C&gt;&lt;D xsi:type="xsd:double"&gt;2.785194&lt;/D&gt;&lt;D xsi:type="xsd:double"&gt;-1.6297817&lt;/D&gt;&lt;D xsi:type="xsd:double"&gt;0.7729769&lt;/D&gt;&lt;D xsi:type="xsd:double"&gt;-7.331353&lt;/D&gt;&lt;D xsi:type="xsd:double"&gt;2.4832606&lt;/D&gt;&lt;D xsi:type="xsd:double"&gt;-2.8535783&lt;/D&gt;&lt;D xsi:type="xsd:double"&gt;-5.8742704&lt;/D&gt;&lt;D xsi:type="xsd:double"&gt;-4.7111692&lt;/D&gt;&lt;D xsi:type="xsd:double"&gt;-5.238116&lt;/D&gt;&lt;D xsi:type="xsd:double"&gt;-9.894401&lt;/D&gt;&lt;D xsi:type="xsd:double"&gt;-5.35962&lt;/D&gt;&lt;D xsi:type="xsd:double"&gt;-15.500641&lt;/D&gt;&lt;D xsi:type="xsd:double"&gt;-7.308316&lt;/D&gt;&lt;D xsi:type="xsd:double"&gt;-2.3666918&lt;/D&gt;&lt;D xsi:type="xsd:double"&gt;-8.588654&lt;/D&gt;&lt;D xsi:type="xsd:double"&gt;-7.0310116&lt;/D&gt;&lt;D xsi:type="xsd:double"&gt;-15.746021&lt;/D&gt;&lt;D xsi:type="xsd:double"&gt;-15.216482&lt;/D&gt;&lt;D xsi:type="xsd:double"&gt;-11.038107&lt;/D&gt;&lt;D xsi:type="xsd:double"&gt;-13.273466&lt;/D&gt;&lt;D xsi:type="xsd:double"&gt;-12.084693&lt;/D&gt;&lt;D xsi:type="xsd:double"&gt;-12.171942&lt;/D&gt;&lt;D xsi:type="xsd:double"&gt;-12.045181&lt;/D&gt;&lt;D xsi:type="xsd:double"&gt;1.2027383&lt;/D&gt;&lt;D xsi:type="xsd:double"&gt;-2.0454824&lt;/D&gt;&lt;D xsi:type="xsd:double"&gt;-11.838788&lt;/D&gt;&lt;D xsi:type="xsd:double"&gt;-7.2517514&lt;/D&gt;&lt;D xsi:type="xsd:double"&gt;-0.8443475&lt;/D&gt;&lt;D xsi:type="xsd:double"&gt;8.14364&lt;/D&gt;&lt;D xsi:type="xsd:double"&gt;7.546413&lt;/D&gt;&lt;D xsi:type="xsd:double"&gt;8.201206&lt;/D&gt;&lt;D xsi:type="xsd:double"&gt;7.2523475&lt;/D&gt;&lt;D xsi:type="xsd:double"&gt;12.274897&lt;/D&gt;&lt;D xsi:type="xsd:double"&gt;12.39264&lt;/D&gt;&lt;D xsi:type="xsd:double"&gt;14.920294&lt;/D&gt;&lt;D xsi:type="xsd:double"&gt;11.007082&lt;/D&gt;&lt;D xsi:type="xsd:double"&gt;14.103306&lt;/D&gt;&lt;D xsi:type="xsd:double"&gt;21.388126&lt;/D&gt;&lt;D xsi:type="xsd:double"&gt;20.292473&lt;/D&gt;&lt;D xsi:type="xsd:double"&gt;22.027706&lt;/D&gt;&lt;D xsi:type="xsd:double"&gt;20.064354&lt;/D&gt;&lt;D xsi:type="xsd:double"&gt;11.925364&lt;/D&gt;&lt;D xsi:type="xsd:double"&gt;11.613703&lt;/D&gt;&lt;D xsi:type="xsd:double"&gt;13.102425&lt;/D&gt;&lt;D xsi:type="xsd:double"&gt;8.419668&lt;/D&gt;&lt;D xsi:type="xsd:double"&gt;7.9122066&lt;/D&gt;&lt;D xsi:type="xsd:double"&gt;4.6163917&lt;/D&gt;&lt;D xsi:type="xsd:double"&gt;3.4807682&lt;/D&gt;&lt;D xsi:type="xsd:double"&gt;1.9185066&lt;/D&gt;&lt;D xsi:type="xsd:double"&gt;-3.4116209&lt;/D&gt;&lt;D xsi:type="xsd:double"&gt;-5.243248&lt;/D&gt;&lt;D xsi:type="xsd:double"&gt;-15.500808&lt;/D&gt;&lt;D xsi:type="xsd:double"&gt;-11.036414&lt;/D&gt;&lt;D xsi:type="xsd:double"&gt;-0.44788718&lt;/D&gt;&lt;D xsi:type="xsd:double"&gt;2.1416187&lt;/D&gt;&lt;D xsi:type="xsd:double"&gt;-1.5184402&lt;/D&gt;&lt;D xsi:type="xsd:double"&gt;-8.391905&lt;/D&gt;&lt;D xsi:type="xsd:double"&gt;-0.35901666&lt;/D&gt;&lt;D xsi:type="xsd:double"&gt;-6.133932&lt;/D&gt;&lt;D xsi:type="xsd:double"&gt;-5.338323&lt;/D&gt;&lt;D xsi:type="xsd:double"&gt;-6.5496325&lt;/D&gt;&lt;D xsi:type="xsd:double"&gt;5.5838704&lt;/D&gt;&lt;D xsi:type="xsd:double"&gt;6.724286&lt;/D&gt;&lt;D xsi:type="xsd:double"&gt;21.152996&lt;/D&gt;&lt;D xsi:type="xsd:double"&gt;6.9710255&lt;/D&gt;&lt;D xsi:type="xsd:double"&gt;-6.736273&lt;/D&gt;&lt;D xsi:type="xsd:double"&gt;-30.456179&lt;/D&gt;&lt;D xsi:type="xsd:double"&gt;-23.1198&lt;/D&gt;&lt;D xsi:type="xsd:double"&gt;-9.8004875&lt;/D&gt;&lt;D xsi:type="xsd:double"&gt;-17.175371&lt;/D&gt;&lt;D xsi:type="xsd:double"&gt;-11.203551&lt;/D&gt;&lt;D xsi:type="xsd:double"&gt;-11.185598&lt;/D&gt;&lt;D xsi:type="xsd:double"&gt;-11.932241&lt;/D&gt;&lt;D xsi:type="xsd:double"&gt;-20.001543&lt;/D&gt;&lt;D xsi:type="xsd:double"&gt;-5.5623827&lt;/D&gt;&lt;D xsi:type="xsd:double"&gt;-11.804509&lt;/D&gt;&lt;D xsi:type="xsd:double"&gt;-5.785185&lt;/D&gt;&lt;D xsi:type="xsd:double"&gt;9.510124&lt;/D&gt;&lt;D xsi:type="xsd:double"&gt;43.06388&lt;/D&gt;&lt;D xsi:type="xsd:double"&gt;37.796055&lt;/D&gt;&lt;D xsi:type="xsd:double"&gt;26.843082&lt;/D&gt;&lt;D xsi:type="xsd:double"&gt;30.004692&lt;/D&gt;&lt;D xsi:type="xsd:double"&gt;29.698336&lt;/D&gt;&lt;D xsi:type="xsd:double"&gt;32.05025&lt;/D&gt;&lt;D xsi:type="xsd:double"&gt;30.44113&lt;/D&gt;&lt;D xsi:type="xsd:double"&gt;37.31581&lt;/D&gt;&lt;D xsi:type="xsd:double"&gt;12.290692&lt;/D&gt;&lt;D xsi:type="xsd:double"&gt;19.614864&lt;/D&gt;&lt;D xsi:type="xsd:double"&gt;20.38045&lt;/D&gt;&lt;D xsi:type="xsd:double"&gt;10.167122&lt;/D&gt;&lt;D xsi:type="xsd:double"&gt;11.945545&lt;/D&gt;&lt;D xsi:type="xsd:double"&gt;3.190899&lt;/D&gt;&lt;D xsi:type="xsd:double"&gt;1.3152957&lt;/D&gt;&lt;D xsi:type="xsd:double"&gt;-4.9628735&lt;/D&gt;&lt;D xsi:type="xsd:double"&gt;-3.155905&lt;/D&gt;&lt;D xsi:type="xsd:double"&gt;-11.10031&lt;/D&gt;&lt;D xsi:type="xsd:double"&gt;-13.193548&lt;/D&gt;&lt;D xsi:type="xsd:double"&gt;-14.40565&lt;/D&gt;&lt;D xsi:type="xsd:double"&gt;2.7708411&lt;/D&gt;&lt;D xsi:type="xsd:double"&gt;-5.1482735&lt;/D&gt;&lt;D xsi:type="xsd:double"&gt;-2.7380228&lt;/D&gt;&lt;D xsi:type="xsd:double"&gt;3.1390548&lt;/D&gt;&lt;D xsi:type="xsd:double"&gt;-0.29580593&lt;/D&gt;&lt;D xsi:type="xsd:double"&gt;6.0237885&lt;/D&gt;&lt;D xsi:type="xsd:double"&gt;1.1889458&lt;/D&gt;&lt;D xsi:type="xsd:double"&gt;11.498857&lt;/D&gt;&lt;D xsi:type="xsd:double"&gt;8.706784&lt;/D&gt;&lt;D xsi:type="xsd:double"&gt;16.719936&lt;/D&gt;&lt;D xsi:type="xsd:double"&gt;18.87064&lt;/D&gt;&lt;D xsi:type="xsd:double"&gt;17.281092&lt;/D&gt;&lt;D xsi:type="xsd:double"&gt;6.9146633&lt;/D&gt;&lt;D xsi:type="xsd:double"&gt;10.966396&lt;/D&gt;&lt;D xsi:type="xsd:double"&gt;4.579401&lt;/D&gt;&lt;D xsi:type="xsd:double"&gt;5.7022095&lt;/D&gt;&lt;D xsi:type="xsd:double"&gt;8.909655&lt;/D&gt;&lt;D xsi:type="xsd:double"&gt;10.247922&lt;/D&gt;&lt;D xsi:type="xsd:double"&gt;15.763497&lt;/D&gt;&lt;D xsi:type="xsd:double"&gt;14.052868&lt;/D&gt;&lt;D xsi:type="xsd:double"&gt;14.259386&lt;/D&gt;&lt;D xsi:type="xsd:double"&gt;19.759464&lt;/D&gt;&lt;D xsi:type="xsd:double"&gt;24.443615&lt;/D&gt;&lt;/FQL&gt;&lt;FQL&gt;&lt;Q&gt;EWL^P_PRICE_RETURNS_PR('52W',2,-10AY,0,AM)&lt;/Q&gt;&lt;R&gt;121&lt;/R&gt;&lt;C&gt;1&lt;/C&gt;&lt;D xsi:type="xsd:double"&gt;3.9068103&lt;/D&gt;&lt;D xsi:type="xsd:double"&gt;1.8193841&lt;/D&gt;&lt;D xsi:type="xsd:double"&gt;6.2946677&lt;/D&gt;&lt;D xsi:type="xsd:double"&gt;0.13849735&lt;/D&gt;&lt;D xsi:type="xsd:double"&gt;4.598081&lt;/D&gt;&lt;D xsi:type="xsd:double"&gt;1.105082&lt;/D&gt;&lt;D xsi:type="xsd:double"&gt;0.28125048&lt;/D&gt;&lt;D xsi:type="xsd:double"&gt;2.2106528&lt;/D&gt;&lt;D xsi:type="xsd:double"&gt;3.23025&lt;/D&gt;&lt;D xsi:type="xsd:double"&gt;-1.6312003&lt;/D&gt;&lt;D xsi:type="xsd:double"&gt;6.906903&lt;/D&gt;&lt;D xsi:type="xsd:double"&gt;-5.5177093&lt;/D&gt;&lt;D xsi:type="xsd:double"&gt;-0.750196&lt;/D&gt;&lt;D xsi:type="xsd:double"&gt;2.741444&lt;/D&gt;&lt;D xsi:type="xsd:double"&gt;-3.0135393&lt;/D&gt;&lt;D xsi:type="xsd:double"&gt;0.28828382&lt;/D&gt;&lt;D xsi:type="xsd:double"&gt;-7.6633635&lt;/D&gt;&lt;D xsi:type="xsd:double"&gt;-8.981216&lt;/D&gt;&lt;D xsi:type="xsd:double"&gt;-9.892124&lt;/D&gt;&lt;D xsi:type="xsd:double"&gt;-10.965353&lt;/D&gt;&lt;D xsi:type="xsd:double"&gt;-10.641277&lt;/D&gt;&lt;D xsi:type="xsd:double"&gt;-7.0082664&lt;/D&gt;&lt;D xsi:type="xsd:double"&gt;-10.234666&lt;/D&gt;&lt;D xsi:type="xsd:double"&gt;0.49598217&lt;/D&gt;&lt;D xsi:type="xsd:double"&gt;0.9726286&lt;/D&gt;&lt;D xsi:type="xsd:double"&gt;-7.9215946&lt;/D&gt;&lt;D xsi:type="xsd:double"&gt;-6.367117&lt;/D&gt;&lt;D xsi:type="xsd:double"&gt;-2.1387458&lt;/D&gt;&lt;D xsi:type="xsd:double"&gt;8.6526985&lt;/D&gt;&lt;D xsi:type="xsd:double"&gt;10.03381&lt;/D&gt;&lt;D xsi:type="xsd:double"&gt;11.06379&lt;/D&gt;&lt;D xsi:type="xsd:double"&gt;13.346052&lt;/D&gt;&lt;D xsi:type="xsd:double"&gt;18.078375&lt;/D&gt;&lt;D xsi:type="xsd:double"&gt;17.698383&lt;/D&gt;&lt;D xsi:type="xsd:double"&gt;19.115389&lt;/D&gt;&lt;D xsi:type="xsd:double"&gt;15.711641&lt;/D&gt;&lt;D xsi:type="xsd:double"&gt;18.162477&lt;/D&gt;&lt;D xsi:type="xsd:double"&gt;23.27584&lt;/D&gt;&lt;D xsi:type="xsd:double"&gt;27.407742&lt;/D&gt;&lt;D xsi:type="xsd:double"&gt;24.002636&lt;/D&gt;&lt;D xsi:type="xsd:double"&gt;21.918571&lt;/D&gt;&lt;D xsi:type="xsd:double"&gt;12.266958&lt;/D&gt;&lt;D xsi:type="xsd:double"&gt;8.208239&lt;/D&gt;&lt;D xsi:type="xsd:double"&gt;3.3836722&lt;/D&gt;&lt;D xsi:type="xsd:double"&gt;-1.8227816&lt;/D&gt;&lt;D xsi:type="xsd:double"&gt;-2.4191916&lt;/D&gt;&lt;D xsi:type="xsd:double"&gt;2.1828651&lt;/D&gt;&lt;D xsi:type="xsd:double"&gt;3.881967&lt;/D&gt;&lt;D xsi:type="xsd:double"&gt;0.76231956&lt;/D&gt;&lt;D xsi:type="xsd:double"&gt;-1.4680624&lt;/D&gt;&lt;D xsi:type="xsd:double"&gt;-2.1027327&lt;/D&gt;&lt;D xsi:type="xsd:double"&gt;-10.74127&lt;/D&gt;&lt;D xsi:type="xsd:double"&gt;-8.714026&lt;/D&gt;&lt;D xsi:type="xsd:double"&gt;4.061687&lt;/D&gt;&lt;D xsi:type="xsd:double"&gt;8.167195&lt;/D&gt;&lt;D xsi:type="xsd:double"&gt;9.3153715&lt;/D&gt;&lt;D xsi:type="xsd:double"&gt;10.9612465&lt;/D&gt;&lt;D xsi:type="xsd:double"&gt;18.200148&lt;/D&gt;&lt;D xsi:type="xsd:double"&gt;9.807861&lt;/D&gt;&lt;D xsi:type="xsd:double"&gt;9.246075&lt;/D&gt;&lt;D xsi:type="xsd:double"&gt;7.799983&lt;/D&gt;&lt;D xsi:type="xsd:double"&gt;18.315304&lt;/D&gt;&lt;D xsi:type="xsd:double"&gt;17.446888&lt;/D&gt;&lt;D xsi:type="xsd:double"&gt;32.84123&lt;/D&gt;&lt;D xsi:type="xsd:double"&gt;25.393248&lt;/D&gt;&lt;D xsi:type="xsd:double"&gt;13.720072&lt;/D&gt;&lt;D xsi:type="xsd:double"&gt;-0.8005023&lt;/D&gt;&lt;D xsi:type="xsd:double"&gt;2.9318213&lt;/D&gt;&lt;D xsi:type="xsd:double"&gt;10.808921&lt;/D&gt;&lt;D xsi:type="xsd:double"&gt;6.6479445&lt;/D&gt;&lt;D xsi:type="xsd:double"&gt;12.320638&lt;/D&gt;&lt;D xsi:type="xsd:double"&gt;13.203001&lt;/D&gt;&lt;D xsi:type="xsd:double"&gt;15.904558&lt;/D&gt;&lt;D xsi:type="xsd:double"&gt;7.0604563&lt;/D&gt;&lt;D xsi:type="xsd:double"&gt;13.207352&lt;/D&gt;&lt;D xsi:type="xsd:double"&gt;11.787022&lt;/D&gt;&lt;D xsi:type="xsd:double"&gt;11.27857&lt;/D&gt;&lt;D xsi:type="xsd:double"&gt;14.022148&lt;/D&gt;&lt;D xsi:type="xsd:double"&gt;32.477615&lt;/D&gt;&lt;D xsi:type="xsd:double"&gt;30.626547&lt;/D&gt;&lt;D xsi:type="xsd:double"&gt;25.571955&lt;/D&gt;&lt;D xsi:type="xsd:double"&gt;26.301552&lt;/D&gt;&lt;D xsi:type="xsd:double"&gt;25.4354&lt;/D&gt;&lt;D xsi:type="xsd:double"&gt;24.705482&lt;/D&gt;&lt;D xsi:type="xsd:double"&gt;15.659666&lt;/D&gt;&lt;D xsi:type="xsd:double"&gt;27.75942&lt;/D&gt;&lt;D xsi:type="xsd:double"&gt;17.55787&lt;/D&gt;&lt;D xsi:type="xsd:double"&gt;20.581318&lt;/D&gt;&lt;D xsi:type="xsd:double"&gt;11.771048&lt;/D&gt;&lt;D xsi:type="xsd:double"&gt;10.154009&lt;/D&gt;&lt;D xsi:type="xsd:double"&gt;12.176191&lt;/D&gt;&lt;D xsi:type="xsd:double"&gt;0.18882751&lt;/D&gt;&lt;D xsi:type="xsd:double"&gt;-6.439626&lt;/D&gt;&lt;D xsi:type="xsd:double"&gt;-13.02101&lt;/D&gt;&lt;D xsi:type="xsd:double"&gt;-13.362408&lt;/D&gt;&lt;D xsi:type="xsd:double"&gt;-19.85411&lt;/D&gt;&lt;D xsi:type="xsd:double"&gt;-18.376463&lt;/D&gt;&lt;D xsi:type="xsd:double"&gt;-24.103434&lt;/D&gt;&lt;D xsi:type="xsd:double"&gt;-10.534376&lt;/D&gt;&lt;D xsi:type="xsd:double"&gt;-17.866253&lt;/D&gt;&lt;D xsi:type="xsd:double"&gt;-6.1262665&lt;/D&gt;&lt;D xsi:type="xsd:double"&gt;-4.2694807&lt;/D&gt;&lt;D xsi:type="xsd:double"&gt;-6.286174&lt;/D&gt;&lt;D xsi:type="xsd:double"&gt;7.698083&lt;/D&gt;&lt;D xsi:type="xsd:double"&gt;5.598259&lt;/D&gt;&lt;D xsi:type="xsd:double"&gt;12.91697&lt;/D&gt;&lt;D xsi:type="xsd:double"&gt;10.537648&lt;/D&gt;&lt;D xsi:type="xsd:double"&gt;17.080784&lt;/D&gt;&lt;D xsi:type="xsd:double"&gt;15.957403&lt;/D&gt;&lt;D xsi:type="xsd:double"&gt;16.117775&lt;/D&gt;&lt;D xsi:type="xsd:double"&gt;7.7215195&lt;/D&gt;&lt;D xsi:type="xsd:double"&gt;14.779413&lt;/D&gt;&lt;D xsi:type="xsd:double"&gt;6.921208&lt;/D&gt;&lt;D xsi:type="xsd:double"&gt;10.989261&lt;/D&gt;&lt;D xsi:type="xsd:double"&gt;5.572903&lt;/D&gt;&lt;D xsi:type="xsd:double"&gt;-2.620864&lt;/D&gt;&lt;D xsi:type="xsd:double"&gt;6.8816185&lt;/D&gt;&lt;D xsi:type="xsd:double"&gt;7.456088&lt;/D&gt;&lt;D xsi:type="xsd:double"&gt;9.077263&lt;/D&gt;&lt;D xsi:type="xsd:double"&gt;15.85747&lt;/D&gt;&lt;D xsi:type="xsd:double"&gt;22.076488&lt;/D&gt;&lt;/FQL&gt;&lt;FQL&gt;&lt;Q&gt;EWJ^P_PRICE_RETURNS_PR('52W',2,-10AY,0,AM)&lt;/Q&gt;&lt;R&gt;121&lt;/R&gt;&lt;C&gt;1&lt;/C&gt;&lt;D xsi:type="xsd:double"&gt;-0.43292642&lt;/D&gt;&lt;D xsi:type="xsd:double"&gt;4.5282364&lt;/D&gt;&lt;D xsi:type="xsd:double"&gt;-0.39174557&lt;/D&gt;&lt;D xsi:type="xsd:double"&gt;-4.490942&lt;/D&gt;&lt;D xsi:type="xsd:double"&gt;5.7477117&lt;/D&gt;&lt;D xsi:type="xsd:double"&gt;10.029257&lt;/D&gt;&lt;D xsi:type="xsd:double"&gt;12.14695&lt;/D&gt;&lt;D xsi:type="xsd:double"&gt;17.524565&lt;/D&gt;&lt;D xsi:type="xsd:double"&gt;13.655222&lt;/D&gt;&lt;D xsi:type="xsd:double"&gt;6.721592&lt;/D&gt;&lt;D xsi:type="xsd:double"&gt;8.600176&lt;/D&gt;&lt;D xsi:type="xsd:double"&gt;0.587523&lt;/D&gt;&lt;D xsi:type="xsd:double"&gt;3.6767602&lt;/D&gt;&lt;D xsi:type="xsd:double"&gt;3.2611132&lt;/D&gt;&lt;D xsi:type="xsd:double"&gt;6.1228395&lt;/D&gt;&lt;D xsi:type="xsd:double"&gt;9.162164&lt;/D&gt;&lt;D xsi:type="xsd:double"&gt;-2.4324179&lt;/D&gt;&lt;D xsi:type="xsd:double"&gt;-6.323653&lt;/D&gt;&lt;D xsi:type="xsd:double"&gt;-10.432518&lt;/D&gt;&lt;D xsi:type="xsd:double"&gt;-10.426962&lt;/D&gt;&lt;D xsi:type="xsd:double"&gt;-9.558225&lt;/D&gt;&lt;D xsi:type="xsd:double"&gt;-9.648591&lt;/D&gt;&lt;D xsi:type="xsd:double"&gt;-6.2764463&lt;/D&gt;&lt;D xsi:type="xsd:double"&gt;7.387948&lt;/D&gt;&lt;D xsi:type="xsd:double"&gt;8.934855&lt;/D&gt;&lt;D xsi:type="xsd:double"&gt;2.5916815&lt;/D&gt;&lt;D xsi:type="xsd:double"&gt;0.99806786&lt;/D&gt;&lt;D xsi:type="xsd:double"&gt;3.6163807&lt;/D&gt;&lt;D xsi:type="xsd:double"&gt;16.51429&lt;/D&gt;&lt;D xsi:type="xsd:double"&gt;14.87919&lt;/D&gt;&lt;D xsi:type="xsd:double"&gt;18.559324&lt;/D&gt;&lt;D xsi:type="xsd:double"&gt;15.851271&lt;/D&gt;&lt;D xsi:type="xsd:double"&gt;19.830168&lt;/D&gt;&lt;D xsi:type="xsd:double"&gt;18.388866&lt;/D&gt;&lt;D xsi:type="xsd:double"&gt;18.160236&lt;/D&gt;&lt;D xsi:type="xsd:double"&gt;12.134684&lt;/D&gt;&lt;D xsi:type="xsd:double"&gt;14.125037&lt;/D&gt;&lt;D xsi:type="xsd:double"&gt;20.25138&lt;/D&gt;&lt;D xsi:type="xsd:double"&gt;22.757626&lt;/D&gt;&lt;D xsi:type="xsd:double"&gt;25.712336&lt;/D&gt;&lt;D xsi:type="xsd:double"&gt;24.245811&lt;/D&gt;&lt;D xsi:type="xsd:double"&gt;18.349707&lt;/D&gt;&lt;D xsi:type="xsd:double"&gt;17.859161&lt;/D&gt;&lt;D xsi:type="xsd:double"&gt;16.685688&lt;/D&gt;&lt;D xsi:type="xsd:double"&gt;13.340366&lt;/D&gt;&lt;D xsi:type="xsd:double"&gt;8.166588&lt;/D&gt;&lt;D xsi:type="xsd:double"&gt;7.6720715&lt;/D&gt;&lt;D xsi:type="xsd:double"&gt;7.967663&lt;/D&gt;&lt;D xsi:type="xsd:double"&gt;8.573568&lt;/D&gt;&lt;D xsi:type="xsd:double"&gt;-5.4658175&lt;/D&gt;&lt;D xsi:type="xsd:double"&gt;-4.580748&lt;/D&gt;&lt;D xsi:</t>
        </r>
      </text>
    </comment>
    <comment ref="A4" authorId="0" shapeId="0" xr:uid="{912FBD71-31D4-4ECB-982C-117259FC5BE4}">
      <text>
        <r>
          <rPr>
            <b/>
            <sz val="9"/>
            <color indexed="81"/>
            <rFont val="Tahoma"/>
            <charset val="1"/>
          </rPr>
          <t>type="xsd:double"&gt;-15.667301&lt;/D&gt;&lt;D xsi:type="xsd:double"&gt;-13.192195&lt;/D&gt;&lt;D xsi:type="xsd:double"&gt;-6.6220284&lt;/D&gt;&lt;D xsi:type="xsd:double"&gt;-6.616366&lt;/D&gt;&lt;D xsi:type="xsd:double"&gt;-5.7295265&lt;/D&gt;&lt;D xsi:type="xsd:double"&gt;-10.457486&lt;/D&gt;&lt;D xsi:type="xsd:double"&gt;-0.5068898&lt;/D&gt;&lt;D xsi:type="xsd:double"&gt;-6.1558247&lt;/D&gt;&lt;D xsi:type="xsd:double"&gt;-5.767679&lt;/D&gt;&lt;D xsi:type="xsd:double"&gt;-4.9226284&lt;/D&gt;&lt;D xsi:type="xsd:double"&gt;10.147738&lt;/D&gt;&lt;D xsi:type="xsd:double"&gt;7.9453826&lt;/D&gt;&lt;D xsi:type="xsd:double"&gt;19.107258&lt;/D&gt;&lt;D xsi:type="xsd:double"&gt;9.906864&lt;/D&gt;&lt;D xsi:type="xsd:double"&gt;-0.85276365&lt;/D&gt;&lt;D xsi:type="xsd:double"&gt;-14.106024&lt;/D&gt;&lt;D xsi:type="xsd:double"&gt;-5.9912148&lt;/D&gt;&lt;D xsi:type="xsd:double"&gt;9.538519&lt;/D&gt;&lt;D xsi:type="xsd:double"&gt;1.337564&lt;/D&gt;&lt;D xsi:type="xsd:double"&gt;4.6025634&lt;/D&gt;&lt;D xsi:type="xsd:double"&gt;9.145355&lt;/D&gt;&lt;D xsi:type="xsd:double"&gt;7.4836135&lt;/D&gt;&lt;D xsi:type="xsd:double"&gt;3.427434&lt;/D&gt;&lt;D xsi:type="xsd:double"&gt;12.6544&lt;/D&gt;&lt;D xsi:type="xsd:double"&gt;15.40935&lt;/D&gt;&lt;D xsi:type="xsd:double"&gt;19.35265&lt;/D&gt;&lt;D xsi:type="xsd:double"&gt;30.48147&lt;/D&gt;&lt;D xsi:type="xsd:double"&gt;48.74023&lt;/D&gt;&lt;D xsi:type="xsd:double"&gt;35.7648&lt;/D&gt;&lt;D xsi:type="xsd:double"&gt;22.382402&lt;/D&gt;&lt;D xsi:type="xsd:double"&gt;24.481678&lt;/D&gt;&lt;D xsi:type="xsd:double"&gt;24.513865&lt;/D&gt;&lt;D xsi:type="xsd:double"&gt;25.793434&lt;/D&gt;&lt;D xsi:type="xsd:double"&gt;19.700968&lt;/D&gt;&lt;D xsi:type="xsd:double"&gt;17.419743&lt;/D&gt;&lt;D xsi:type="xsd:double"&gt;3.5892963&lt;/D&gt;&lt;D xsi:type="xsd:double"&gt;1.270771&lt;/D&gt;&lt;D xsi:type="xsd:double"&gt;-5.230987&lt;/D&gt;&lt;D xsi:type="xsd:double"&gt;-7.319194&lt;/D&gt;&lt;D xsi:type="xsd:double"&gt;-8.57262&lt;/D&gt;&lt;D xsi:type="xsd:double"&gt;-14.641166&lt;/D&gt;&lt;D xsi:type="xsd:double"&gt;-15.420109&lt;/D&gt;&lt;D xsi:type="xsd:double"&gt;-19.572884&lt;/D&gt;&lt;D xsi:type="xsd:double"&gt;-16.552866&lt;/D&gt;&lt;D xsi:type="xsd:double"&gt;-23.264378&lt;/D&gt;&lt;D xsi:type="xsd:double"&gt;-27.236855&lt;/D&gt;&lt;D xsi:type="xsd:double"&gt;-26.820671&lt;/D&gt;&lt;D xsi:type="xsd:double"&gt;-14.54823&lt;/D&gt;&lt;D xsi:type="xsd:double"&gt;-17.413246&lt;/D&gt;&lt;D xsi:type="xsd:double"&gt;-7.786703&lt;/D&gt;&lt;D xsi:type="xsd:double"&gt;-6.308275&lt;/D&gt;&lt;D xsi:type="xsd:double"&gt;-3.6506832&lt;/D&gt;&lt;D xsi:type="xsd:double"&gt;4.0055513&lt;/D&gt;&lt;D xsi:type="xsd:double"&gt;7.773435&lt;/D&gt;&lt;D xsi:type="xsd:double"&gt;18.128777&lt;/D&gt;&lt;D xsi:type="xsd:double"&gt;10.937559&lt;/D&gt;&lt;D xsi:type="xsd:double"&gt;18.256546&lt;/D&gt;&lt;D xsi:type="xsd:double"&gt;19.195795&lt;/D&gt;&lt;D xsi:type="xsd:double"&gt;25.40375&lt;/D&gt;&lt;D xsi:type="xsd:double"&gt;13.559496&lt;/D&gt;&lt;D xsi:type="xsd:double"&gt;18.01368&lt;/D&gt;&lt;D xsi:type="xsd:double"&gt;15.654051&lt;/D&gt;&lt;D xsi:type="xsd:double"&gt;28.189934&lt;/D&gt;&lt;D xsi:type="xsd:double"&gt;21.940804&lt;/D&gt;&lt;D xsi:type="xsd:double"&gt;20.64141&lt;/D&gt;&lt;D xsi:type="xsd:double"&gt;14.314592&lt;/D&gt;&lt;D xsi:type="xsd:double"&gt;14.34387&lt;/D&gt;&lt;D xsi:type="xsd:double"&gt;7.41781&lt;/D&gt;&lt;D xsi:type="xsd:double"&gt;16.74155&lt;/D&gt;&lt;D xsi:type="xsd:double"&gt;23.425425&lt;/D&gt;&lt;/FQL&gt;&lt;FQL&gt;&lt;Q&gt;EWG^P_PRICE_RETURNS_PR('52W',2,-10AY,0,AM)&lt;/Q&gt;&lt;R&gt;121&lt;/R&gt;&lt;C&gt;1&lt;/C&gt;&lt;D xsi:type="xsd:double"&gt;-1.3759732&lt;/D&gt;&lt;D xsi:type="xsd:double"&gt;-5.862445&lt;/D&gt;&lt;D xsi:type="xsd:double"&gt;-2.9102623&lt;/D&gt;&lt;D xsi:type="xsd:double"&gt;-9.494901&lt;/D&gt;&lt;D xsi:type="xsd:double"&gt;1.600039&lt;/D&gt;&lt;D xsi:type="xsd:double"&gt;-1.7475545&lt;/D&gt;&lt;D xsi:type="xsd:double"&gt;-1.9275844&lt;/D&gt;&lt;D xsi:type="xsd:double"&gt;-3.5145342&lt;/D&gt;&lt;D xsi:type="xsd:double"&gt;-5.0690117&lt;/D&gt;&lt;D xsi:type="xsd:double"&gt;-9.212196&lt;/D&gt;&lt;D xsi:type="xsd:double"&gt;1.238668&lt;/D&gt;&lt;D xsi:type="xsd:double"&gt;-9.456831&lt;/D&gt;&lt;D xsi:type="xsd:double"&gt;-6.742507&lt;/D&gt;&lt;D xsi:type="xsd:double"&gt;3.2082438&lt;/D&gt;&lt;D xsi:type="xsd:double"&gt;-5.0302863&lt;/D&gt;&lt;D xsi:type="xsd:double"&gt;-2.79271&lt;/D&gt;&lt;D xsi:type="xsd:double"&gt;-15.916795&lt;/D&gt;&lt;D xsi:type="xsd:double"&gt;-15.617186&lt;/D&gt;&lt;D xsi:type="xsd:double"&gt;-13.744556&lt;/D&gt;&lt;D xsi:type="xsd:double"&gt;-11.693621&lt;/D&gt;&lt;D xsi:type="xsd:double"&gt;-10.647946&lt;/D&gt;&lt;D xsi:type="xsd:double"&gt;-12.140441&lt;/D&gt;&lt;D xsi:type="xsd:double"&gt;-9.202456&lt;/D&gt;&lt;D xsi:type="xsd:double"&gt;4.3566823&lt;/D&gt;&lt;D xsi:type="xsd:double"&gt;7.7863216&lt;/D&gt;&lt;D xsi:type="xsd:double"&gt;-4.915905&lt;/D&gt;&lt;D xsi:type="xsd:double"&gt;-5.549103&lt;/D&gt;&lt;D xsi:type="xsd:double"&gt;3.678&lt;/D&gt;&lt;D xsi:type="xsd:double"&gt;17.315186&lt;/D&gt;&lt;D xsi:type="xsd:double"&gt;17.252659&lt;/D&gt;&lt;D xsi:type="xsd:double"&gt;15.273309&lt;/D&gt;&lt;D xsi:type="xsd:double"&gt;17.693281&lt;/D&gt;&lt;D xsi:type="xsd:double"&gt;24.889278&lt;/D&gt;&lt;D xsi:type="xsd:double"&gt;28.070091&lt;/D&gt;&lt;D xsi:type="xsd:double"&gt;24.604988&lt;/D&gt;&lt;D xsi:type="xsd:double"&gt;19.625902&lt;/D&gt;&lt;D xsi:type="xsd:double"&gt;26.581526&lt;/D&gt;&lt;D xsi:type="xsd:double"&gt;34.221397&lt;/D&gt;&lt;D xsi:type="xsd:double"&gt;36.155773&lt;/D&gt;&lt;D xsi:type="xsd:double"&gt;28.932358&lt;/D&gt;&lt;D xsi:type="xsd:double"&gt;25.431501&lt;/D&gt;&lt;D xsi:type="xsd:double"&gt;17.11582&lt;/D&gt;&lt;D xsi:type="xsd:double"&gt;13.062536&lt;/D&gt;&lt;D xsi:type="xsd:double"&gt;11.635947&lt;/D&gt;&lt;D xsi:type="xsd:double"&gt;4.370308&lt;/D&gt;&lt;D xsi:type="xsd:double"&gt;1.4526725&lt;/D&gt;&lt;D xsi:type="xsd:double"&gt;1.9751787&lt;/D&gt;&lt;D xsi:type="xsd:double"&gt;0.9038806&lt;/D&gt;&lt;D xsi:type="xsd:double"&gt;-5.7065845&lt;/D&gt;&lt;D xsi:type="xsd:double"&gt;-14.858067&lt;/D&gt;&lt;D xsi:type="xsd:double"&gt;-14.994896&lt;/D&gt;&lt;D xsi:type="xsd:double"&gt;-23.93207&lt;/D&gt;&lt;D xsi:type="xsd:double"&gt;-20.872295&lt;/D&gt;&lt;D xsi:type="xsd:double"&gt;-11.139929&lt;/D&gt;&lt;D xsi:type="xsd:double"&gt;-10.032648&lt;/D&gt;&lt;D xsi:type="xsd:double"&gt;-9.247065&lt;/D&gt;&lt;D xsi:type="xsd:double"&gt;-12.653124&lt;/D&gt;&lt;D xsi:type="xsd:double"&gt;-2.6142836&lt;/D&gt;&lt;D xsi:type="xsd:double"&gt;-10.987127&lt;/D&gt;&lt;D xsi:type="xsd:double"&gt;-11.159695&lt;/D&gt;&lt;D xsi:type="xsd:double"&gt;-9.800398&lt;/D&gt;&lt;D xsi:type="xsd:double"&gt;7.1332574&lt;/D&gt;&lt;D xsi:type="xsd:double"&gt;8.38995&lt;/D&gt;&lt;D xsi:type="xsd:double"&gt;21.277916&lt;/D&gt;&lt;D xsi:type="xsd:double"&gt;9.562004&lt;/D&gt;&lt;D xsi:type="xsd:double"&gt;-2.1357358&lt;/D&gt;&lt;D xsi:type="xsd:double"&gt;-24.767273&lt;/D&gt;&lt;D xsi:type="xsd:double"&gt;-17.153847&lt;/D&gt;&lt;D xsi:type="xsd:double"&gt;5.732441&lt;/D&gt;&lt;D xsi:type="xsd:double"&gt;-1.0038435&lt;/D&gt;&lt;D xsi:type="xsd:double"&gt;10.415613&lt;/D&gt;&lt;D xsi:type="xsd:double"&gt;15.615618&lt;/D&gt;&lt;D xsi:type="xsd:double"&gt;13.1447315&lt;/D&gt;&lt;D xsi:type="xsd:double"&gt;-3.4159482&lt;/D&gt;&lt;D xsi:type="xsd:double"&gt;8.942329&lt;/D&gt;&lt;D xsi:type="xsd:double"&gt;10.563791&lt;/D&gt;&lt;D xsi:type="xsd:double"&gt;16.12978&lt;/D&gt;&lt;D xsi:type="xsd:double"&gt;26.289474&lt;/D&gt;&lt;D xsi:type="xsd:double"&gt;70.44282&lt;/D&gt;&lt;D xsi:type="xsd:double"&gt;55.269993&lt;/D&gt;&lt;D xsi:type="xsd:double"&gt;31.779325&lt;/D&gt;&lt;D xsi:type="xsd:double"&gt;29.986143&lt;/D&gt;&lt;D xsi:type="xsd:double"&gt;23.235344&lt;/D&gt;&lt;D xsi:type="xsd:double"&gt;20.918476&lt;/D&gt;&lt;D xsi:type="xsd:double"&gt;15.694893&lt;/D&gt;&lt;D xsi:type="xsd:double"&gt;29.820442&lt;/D&gt;&lt;D xsi:type="xsd:double"&gt;5.602193&lt;/D&gt;&lt;D xsi:type="xsd:double"&gt;7.0670247&lt;/D&gt;&lt;D xsi:type="xsd:double"&gt;1.3777614&lt;/D&gt;&lt;D xsi:type="xsd:double"&gt;-13.51121&lt;/D&gt;&lt;D xsi:type="xsd:double"&gt;-13.5556755&lt;/D&gt;&lt;D xsi:type="xsd:double"&gt;-23.527224&lt;/D&gt;&lt;D xsi:type="xsd:double"&gt;-21.924717&lt;/D&gt;&lt;D xsi:type="xsd:double"&gt;-30.947208&lt;/D&gt;&lt;D xsi:type="xsd:double"&gt;-29.178165&lt;/D&gt;&lt;D xsi:type="xsd:double"&gt;-36.91226&lt;/D&gt;&lt;D xsi:type="xsd:double"&gt;-36.170135&lt;/D&gt;&lt;D xsi:type="xsd:double"&gt;-36.58418&lt;/D&gt;&lt;D xsi:type="xsd:double"&gt;-16.462332&lt;/D&gt;&lt;D xsi:type="xsd:double"&gt;-21.784204&lt;/D&gt;&lt;D xsi:type="xsd:double"&gt;-8.610535&lt;/D&gt;&lt;D xsi:type="xsd:double"&gt;5.312836&lt;/D&gt;&lt;D xsi:type="xsd:double"&gt;2.8383136&lt;/D&gt;&lt;D xsi:type="xsd:double"&gt;15.375435&lt;/D&gt;&lt;D xsi:type="xsd:double"&gt;6.553054&lt;/D&gt;&lt;D xsi:type="xsd:double"&gt;26.880014&lt;/D&gt;&lt;D xsi:type="xsd:double"&gt;22.535824&lt;/D&gt;&lt;D xsi:type="xsd:double"&gt;31.744062&lt;/D&gt;&lt;D xsi:type="xsd:double"&gt;29.568386&lt;/D&gt;&lt;D xsi:type="xsd:double"&gt;27.078379&lt;/D&gt;&lt;D xsi:type="xsd:double"&gt;15.437115&lt;/D&gt;&lt;D xsi:type="xsd:double"&gt;18.15374&lt;/D&gt;&lt;D xsi:type="xsd:double"&gt;4.0325284&lt;/D&gt;&lt;D xsi:type="xsd:double"&gt;15.048528&lt;/D&gt;&lt;D xsi:type="xsd:double"&gt;13.987982&lt;/D&gt;&lt;D xsi:type="xsd:double"&gt;8.909297&lt;/D&gt;&lt;D xsi:type="xsd:double"&gt;15.64455&lt;/D&gt;&lt;D xsi:type="xsd:double"&gt;11.663055&lt;/D&gt;&lt;D xsi:type="xsd:double"&gt;9.057367&lt;/D&gt;&lt;D xsi:type="xsd:double"&gt;19.39596&lt;/D&gt;&lt;D xsi:type="xsd:double"&gt;32.220566&lt;/D&gt;&lt;/FQL&gt;&lt;FQL&gt;&lt;Q&gt;EWC^P_PRICE_RETURNS_PR('52W',2,-10AY,0,AM)&lt;/Q&gt;&lt;R&gt;121&lt;/R&gt;&lt;C&gt;1&lt;/C&gt;&lt;D xsi:type="xsd:double"&gt;9.735859&lt;/D&gt;&lt;D xsi:type="xsd:double"&gt;2.7857661&lt;/D&gt;&lt;D xsi:type="xsd:double"&gt;6.8553925&lt;/D&gt;&lt;D xsi:type="xsd:double"&gt;1.180768&lt;/D&gt;&lt;D xsi:type="xsd:double"&gt;3.2443166&lt;/D&gt;&lt;D xsi:type="xsd:double"&gt;-2.2175968&lt;/D&gt;&lt;D xsi:type="xsd:double"&gt;-5.4311695&lt;/D&gt;&lt;D xsi:type="xsd:double"&gt;-2.3891568&lt;/D&gt;&lt;D xsi:type="xsd:double"&gt;-6.967658&lt;/D&gt;&lt;D xsi:type="xsd:double"&gt;-15.785461&lt;/D&gt;&lt;D xsi:type="xsd:double"&gt;-19.040716&lt;/D&gt;&lt;D xsi:type="xsd:double"&gt;-26.3942&lt;/D&gt;&lt;D xsi:type="xsd:double"&gt;-21.478992&lt;/D&gt;&lt;D xsi:type="xsd:double"&gt;-15.801817&lt;/D&gt;&lt;D xsi:type="xsd:double"&gt;-21.550411&lt;/D&gt;&lt;D xsi:type="xsd:double"&gt;-23.909348&lt;/D&gt;&lt;D xsi:type="xsd:double"&gt;-23.405344&lt;/D&gt;&lt;D xsi:type="xsd:double"&gt;-17.944765&lt;/D&gt;&lt;D xsi:type="xsd:double"&gt;-11.667085&lt;/D&gt;&lt;D xsi:type="xsd:double"&gt;-13.669544&lt;/D&gt;&lt;D xsi:type="xsd:double"&gt;-8.655209&lt;/D&gt;&lt;D xsi:type="xsd:double"&gt;-4.4914007&lt;/D&gt;&lt;D xsi:type="xsd:double"&gt;1.5963674&lt;/D&gt;&lt;D xsi:type="xsd:double"&gt;12.184143&lt;/D&gt;&lt;D xsi:type="xsd:double"&gt;12.18245&lt;/D&gt;&lt;D xsi:type="xsd:double"&gt;5.487132&lt;/D&gt;&lt;D xsi:type="xsd:double"&gt;15.108955&lt;/D&gt;&lt;D xsi:type="xsd:double"&gt;24.528921&lt;/D&gt;&lt;D xsi:type="xsd:double"&gt;32.828667&lt;/D&gt;&lt;D xsi:type="xsd:double"&gt;22.034157&lt;/D&gt;&lt;D xsi:type="xsd:double"&gt;15.469575&lt;/D&gt;&lt;D xsi:type="xsd:double"&gt;8.001041&lt;/D&gt;&lt;D xsi:type="xsd:double"&gt;8.957493&lt;/D&gt;&lt;D xsi:type="xsd:double"&gt;10.485638&lt;/D&gt;&lt;D xsi:type="xsd:double"&gt;12.664497&lt;/D&gt;&lt;D xsi:type="xsd:double"&gt;12.299013&lt;/D&gt;&lt;D xsi:type="xsd:double"&gt;15.4945135&lt;/D&gt;&lt;D xsi:type="xsd:double"&gt;18.242287&lt;/D&gt;&lt;D xsi:type="xsd:double"&gt;14.546561&lt;/D&gt;&lt;D xsi:type="xsd:double"&gt;16.55984&lt;/D&gt;&lt;D xsi:type="xsd:double"&gt;8.843601&lt;/D&gt;&lt;D xsi:type="xsd:double"&gt;5.1779985&lt;/D&gt;&lt;D xsi:type="xsd:double"&gt;4.2513967&lt;/D&gt;&lt;D xsi:type="xsd:double"&gt;9.853899&lt;/D&gt;&lt;D xsi:type="xsd:double"&gt;11.223173&lt;/D&gt;&lt;D xsi:type="xsd:double"&gt;7.7688813&lt;/D&gt;&lt;D xsi:type="xsd:double"&gt;7.4887037&lt;/D&gt;&lt;D xsi:type="xsd:double"&gt;5.491352&lt;/D&gt;&lt;D xsi:type="xsd:double"&gt;1.6285062&lt;/D&gt;&lt;D xsi:type="xsd:double"&gt;-5.7732344&lt;/D&gt;&lt;D xsi:type="xsd:double"&gt;-6.4656615&lt;/D&gt;&lt;D xsi:type="xsd:double"&gt;-17.966915&lt;/D&gt;&lt;D xsi:type="xsd:double"&gt;-6.637806&lt;/D&gt;&lt;D xsi:type="xsd:double"&gt;2.8898954&lt;/D&gt;&lt;D xsi:type="xsd:double"&gt;5.068028&lt;/D&gt;&lt;D xsi:type="xsd:double"&gt;3.4659624&lt;/D&gt;&lt;D xsi:type="xsd:double"&gt;-2.160412&lt;/D&gt;&lt;D xsi:type="xsd:double"&gt;4.6184063&lt;/D&gt;&lt;D xsi:type="xsd:double"&gt;-1.407367&lt;/D&gt;&lt;D xsi:type="xsd:double"&gt;-0.28738976&lt;/D&gt;&lt;D xsi:type="xsd:double"&gt;-0.48508644&lt;/D&gt;&lt;D xsi:type="xsd:double"&gt;11.176753&lt;/D&gt;&lt;D xsi:type="xsd:double"&gt;11.405384&lt;/D&gt;&lt;D xsi:type="xsd:double"&gt;26.936483&lt;/D&gt;&lt;D xsi:type="xsd:double"&gt;11.640633&lt;/D&gt;&lt;D xsi:type="xsd:double"&gt;2.6613593&lt;/D&gt;&lt;D xsi:type="xsd:double"&gt;-23.353922&lt;/D&gt;&lt;D xsi:type="xsd:double"&gt;-14.37223&lt;/D&gt;&lt;D xsi:type="xsd:double"&gt;-1.3644218&lt;/D&gt;&lt;D xsi:type="xsd:double"&gt;-7.2576103&lt;/D&gt;&lt;D xsi:type="xsd:double"&gt;-0.12560487&lt;/D&gt;&lt;D xsi:type="xsd:double"&gt;3.963852&lt;/D&gt;&lt;D xsi:type="xsd:double"&gt;0.38648844&lt;/D&gt;&lt;D xsi:type="xsd:double"&gt;-3.3569992&lt;/D&gt;&lt;D xsi:type="xsd:double"&gt;8.134651&lt;/D&gt;&lt;D xsi:type="xsd:double"&gt;5.5211782&lt;/D&gt;&lt;D xsi:type="xsd:double"&gt;9.107149&lt;/D&gt;&lt;D xsi:type="xsd:double"&gt;21.196102&lt;/D&gt;&lt;D xsi:type="xsd:double"&gt;70.401955&lt;/D&gt;&lt;D xsi:type="xsd:double"&gt;54.26763&lt;/D&gt;&lt;D xsi:type="xsd:double"&gt;46.885933&lt;/D&gt;&lt;D xsi:type="xsd:double"&gt;47.161137&lt;/D&gt;&lt;D xsi:type="xsd:double"&gt;38.67321&lt;/D&gt;&lt;D xsi:type="xsd:double"&gt;36.525787&lt;/D&gt;&lt;D xsi:type="xsd:double"&gt;35.35266&lt;/D&gt;&lt;D xsi:type="xsd:double"&gt;47.218513&lt;/D&gt;&lt;D xsi:type="xsd:double"&gt;22.632526&lt;/D&gt;&lt;D xsi:type="xsd:double"&gt;27.463472&lt;/D&gt;&lt;D xsi:type="xsd:double"&gt;23.140038&lt;/D&gt;&lt;D xsi:type="xsd:double"&gt;18.790901&lt;/D&gt;&lt;D xsi:type="xsd:double"&gt;18.33539&lt;/D&gt;&lt;D xsi:type="xsd:double"&gt;6.613922&lt;/D&gt;&lt;D xsi:type="xsd:double"&gt;2.078998&lt;/D&gt;&lt;D xsi:type="xsd:double"&gt;-7.686311&lt;/D&gt;&lt;D xsi:type="xsd:double"&gt;-4.248184&lt;/D&gt;&lt;D xsi:type="xsd:double"&gt;-9.653205&lt;/D&gt;&lt;D xsi:type="xsd:double"&gt;-11.072361&lt;/D&gt;&lt;D xsi:type="xsd:double"&gt;-16.680634&lt;/D&gt;&lt;D xsi:type="xsd:double"&gt;-4.2606235&lt;/D&gt;&lt;D xsi:type="xsd:double"&gt;-13.766521&lt;/D&gt;&lt;D xsi:type="xsd:double"&gt;-4.907775&lt;/D&gt;&lt;D xsi:type="xsd:double"&gt;-7.3590994&lt;/D&gt;&lt;D xsi:type="xsd:double"&gt;-11.560732&lt;/D&gt;&lt;D xsi:type="xsd:double"&gt;-6.0269475&lt;/D&gt;&lt;D xsi:type="xsd:double"&gt;-8.755046&lt;/D&gt;&lt;D xsi:type="xsd:double"&gt;5.9775352&lt;/D&gt;&lt;D xsi:type="xsd:double"&gt;1.7817378&lt;/D&gt;&lt;D xsi:type="xsd:double"&gt;7.3082805&lt;/D&gt;&lt;D xsi:type="xsd:double"&gt;3.7051558&lt;/D&gt;&lt;D xsi:type="xsd:double"&gt;7.1118116&lt;/D&gt;&lt;D xsi:type="xsd:double"&gt;2.7166486&lt;/D&gt;&lt;D xsi:type="xsd:double"&gt;13.843036&lt;/D&gt;&lt;D xsi:type="xsd:double"&gt;4.2808414&lt;/D&gt;&lt;D xsi:type="xsd:double"&gt;10.971808&lt;/D&gt;&lt;D xsi:type="xsd:double"&gt;12.393093&lt;/D&gt;&lt;D xsi:type="xsd:double"&gt;11.694956&lt;/D&gt;&lt;D xsi:type="xsd:double"&gt;12.79496&lt;/D&gt;&lt;D xsi:type="xsd:double"&gt;9.967351&lt;/D&gt;&lt;D xsi:type="xsd:double"&gt;9.034311&lt;/D&gt;&lt;D xsi:type="xsd:double"&gt;16.558897&lt;/D&gt;&lt;D xsi:type="xsd:double"&gt;31.213236&lt;/D&gt;&lt;/FQL&gt;&lt;FQL&gt;&lt;Q&gt;EWA^P_PRICE_RETURNS_PR('52W',2,-10AY,0,AM)&lt;/Q&gt;&lt;R&gt;121&lt;/R&gt;&lt;C&gt;1&lt;/C&gt;&lt;D xsi:type="xsd:double"&gt;-1.6106427&lt;/D&gt;&lt;D xsi:type="xsd:double"&gt;-2.5962412&lt;/D&gt;&lt;D xsi:type="xsd:double"&gt;-2.266699&lt;/D&gt;&lt;D xsi:type="xsd:double"&gt;-4.2111754&lt;/D&gt;&lt;D xsi:type="xsd:double"&gt;5.5432916&lt;/D&gt;&lt;D xsi:type="xsd:double"&gt;0.35979748&lt;/D&gt;&lt;D xsi:type="xsd:double"&gt;-7.1191072&lt;/D&gt;&lt;D xsi:type="xsd:double"&gt;-6.2319813&lt;/D&gt;&lt;D xsi:type="xsd:double"&gt;-11.478329&lt;/D&gt;&lt;D xsi:type="xsd:double"&gt;-14.640504&lt;/D&gt;&lt;D xsi:type="xsd:double"&gt;-16.983795&lt;/D&gt;&lt;D xsi:type="xsd:double"&gt;-30.607765&lt;/D&gt;&lt;D xsi:type="xsd:double"&gt;-19.851887&lt;/D&gt;&lt;D xsi:type="xsd:double"&gt;-18.512314&lt;/D&gt;&lt;D xsi:type="xsd:double"&gt;-13.056207&lt;/D&gt;&lt;D xsi:type="xsd:double"&gt;-9.960371&lt;/D&gt;&lt;D xsi:type="xsd:double"&gt;-20.058119&lt;/D&gt;&lt;D xsi:type="xsd:double"&gt;-16.874283&lt;/D&gt;&lt;D xsi:type="xsd:double"&gt;-11.727208&lt;/D&gt;&lt;D xsi:type="xsd:double"&gt;-10.969061&lt;/D&gt;&lt;D xsi:type="xsd:double"&gt;-7.23322&lt;/D&gt;&lt;D xsi:type="xsd:double"&gt;-4.1840973&lt;/D&gt;&lt;D xsi:type="xsd:double"&gt;3.345275&lt;/D&gt;&lt;D xsi:type="xsd:double"&gt;16.572071&lt;/D&gt;&lt;D xsi:type="xsd:double"&gt;19.616222&lt;/D&gt;&lt;D xsi:type="xsd:double"&gt;8.862888&lt;/D&gt;&lt;D xsi:type="xsd:double"&gt;11.01048&lt;/D&gt;&lt;D xsi:type="xsd:double"&gt;13.081741&lt;/D&gt;&lt;D xsi:type="xsd:double"&gt;29.576897&lt;/D&gt;&lt;D xsi:type="xsd:double"&gt;22.263348&lt;/D&gt;&lt;D xsi:type="xsd:double"&gt;22.243881&lt;/D&gt;&lt;D xsi:type="xsd:double"&gt;16.364754&lt;/D&gt;&lt;D xsi:type="xsd:double"&gt;17.368757&lt;/D&gt;&lt;D xsi:type="xsd:double"&gt;15.886378&lt;/D&gt;&lt;D xsi:type="xsd:double"&gt;14.985645&lt;/D&gt;&lt;D xsi:type="xsd:double"&gt;17.78332&lt;/D&gt;&lt;D xsi:type="xsd:double"&gt;12.4479885&lt;/D&gt;&lt;D xsi:type="xsd:double"&gt;19.525564&lt;/D&gt;&lt;D xsi:type="xsd:double"&gt;16.054344&lt;/D&gt;&lt;D xsi:type="xsd:double"&gt;19.362045&lt;/D&gt;&lt;D xsi:type="xsd:double"&gt;14.181746&lt;/D&gt;&lt;D xsi:type="xsd:double"&gt;8.483934&lt;/D&gt;&lt;D xsi:type="xsd:double"&gt;1.6954184&lt;/D&gt;&lt;D xsi:type="xsd:double"&gt;7.266879&lt;/D&gt;&lt;D xsi:type="xsd:double"&gt;10.915065&lt;/D&gt;&lt;D xsi:type="xsd:double"&gt;8.581138&lt;/D&gt;&lt;D xsi:type="xsd:double"&gt;5.347359&lt;/D&gt;&lt;D xsi:type="xsd:double"&gt;3.7284255&lt;/D&gt;&lt;D xsi:type="xsd:double"&gt;1.021409&lt;/D&gt;&lt;D xsi:type="xsd:double"&gt;-5.0801573&lt;/D&gt;&lt;D xsi:type="xsd:double"&gt;-3.2600164&lt;/D&gt;&lt;D xsi:type="xsd:double"&gt;-14.45719&lt;/D&gt;&lt;D xsi:type="xsd:double"&gt;-8.83103&lt;/D&gt;&lt;D xsi:type="xsd:double"&gt;0.09881258&lt;/D&gt;&lt;D xsi:type="xsd:double"&gt;5.6005716&lt;/D&gt;&lt;D xsi:type="xsd:double"&gt;1.8324375&lt;/D&gt;&lt;D xsi:type="xsd:double"&gt;1.1835098&lt;/D&gt;&lt;D xsi:type="xsd:double"&gt;7.58754&lt;/D&gt;&lt;D xsi:type="xsd:double"&gt;3.8296342&lt;/D&gt;&lt;D xsi:type="xsd:double"&gt;1.6456842&lt;/D&gt;&lt;D xsi:type="xsd:double"&gt;5.4438233&lt;/D&gt;&lt;D xsi:type="xsd:double"&gt;15.24744&lt;/D&gt;&lt;D xsi:type="xsd:double"&gt;11.84107&lt;/D&gt;&lt;D xsi:type="xsd:double"&gt;23.516106&lt;/D&gt;&lt;D xsi:type="xsd:double"&gt;12.942087&lt;/D&gt;&lt;D xsi:type="xsd:double"&gt;-1.793927&lt;/D&gt;&lt;D xsi:type="xsd:double"&gt;-29.292292&lt;/D&gt;&lt;D xsi:type="xsd:double"&gt;-22.309727&lt;/D&gt;&lt;D xsi:type="xsd:double"&gt;-5.0261555&lt;/D&gt;&lt;D xsi:type="xsd:double"&gt;-8.731431&lt;/D&gt;&lt;D xsi:type="xsd:double"&gt;-5.8606267&lt;/D&gt;&lt;D xsi:type="xsd:double"&gt;-1.3834894&lt;/D&gt;&lt;D xsi:type="xsd:double"&gt;-4.2097807&lt;/D&gt;&lt;D xsi:type="xsd:double"&gt;-6.676066&lt;/D&gt;&lt;D xsi:type="xsd:double"&gt;8.3323&lt;/D&gt;&lt;D xsi:type="xsd:double"&gt;8.265495&lt;/D&gt;&lt;D xsi:type="xsd:double"&gt;12.665188&lt;/D&gt;&lt;D xsi:type="xsd:double"&gt;27.398132&lt;/D&gt;&lt;D xsi:type="xsd:double"&gt;71.34552&lt;/D&gt;&lt;D xsi:type="xsd:double"&gt;65.74744&lt;/D&gt;&lt;D xsi:type="xsd:double"&gt;39.179134&lt;/D&gt;&lt;D xsi:type="xsd:double"&gt;34.843563&lt;/D&gt;&lt;D xsi:type="xsd:double"&gt;32.540512&lt;/D&gt;&lt;D xsi:type="xsd:double"&gt;32.059715&lt;/D&gt;&lt;D xsi:type="xsd:double"&gt;28.280699&lt;/D&gt;&lt;D xsi:type="xsd:double"&gt;31.40564&lt;/D&gt;&lt;D xsi:type="xsd:double"&gt;6.367135&lt;/D&gt;&lt;D xsi:type="xsd:double"&gt;9.125876&lt;/D&gt;&lt;D xsi:type="xsd:double"&gt;-1.5004039&lt;/D&gt;&lt;D xsi:type="xsd:double"&gt;1.7906666&lt;/D&gt;&lt;D xsi:type="xsd:double"&gt;11.61269&lt;/D&gt;&lt;D xsi:type="xsd:double"&gt;-0.64234734&lt;/D&gt;&lt;D xsi:type="xsd:double"&gt;-2.556628&lt;/D&gt;&lt;D xsi:type="xsd:double"&gt;-12.843555&lt;/D&gt;&lt;D xsi:type="xsd:double"&gt;-7.8070345&lt;/D&gt;&lt;D xsi:type="xsd:double"&gt;-11.771387&lt;/D&gt;&lt;D xsi:type="xsd:double"&gt;-13.427562&lt;/D&gt;&lt;D xsi:type="xsd:double"&gt;-17.554205&lt;/D&gt;&lt;D xsi:type="xsd:double"&gt;2.5674105&lt;/D&gt;&lt;D xsi:type="xsd:double"&gt;-7.1085095&lt;/D&gt;&lt;D xsi:type="xsd:double"&gt;12.050533&lt;/D&gt;&lt;D xsi:type="xsd:double"&gt;1.271224&lt;/D&gt;&lt;D xsi:type="xsd:double"&gt;-8.084697&lt;/D&gt;&lt;D xsi:type="xsd:double"&gt;-3.79709&lt;/D&gt;&lt;D xsi:type="xsd:double"&gt;-5.7606754&lt;/D&gt;&lt;D xsi:type="xsd:double"&gt;11.562956&lt;/D&gt;&lt;D xsi:type="xsd:double"&gt;2.8209925&lt;/D&gt;&lt;D xsi:type="xsd:double"&gt;6.2711596&lt;/D&gt;&lt;D xsi:type="xsd:double"&gt;6.924796&lt;/D&gt;&lt;D xsi:type="xsd:double"&gt;11.39791&lt;/D&gt;&lt;D xsi:type="xsd:double"&gt;0.28856993&lt;/D&gt;&lt;D xsi:type="xsd:double"&gt;13.124645&lt;/D&gt;&lt;D xsi:type="xsd:double"&gt;-1.597786&lt;/D&gt;&lt;D xsi:type="xsd:double"&gt;8.943474&lt;/D&gt;&lt;D xsi:type="xsd:double"&gt;9.516549&lt;/D&gt;&lt;D xsi:type="xsd:double"&gt;10.775364&lt;/D&gt;&lt;D xsi:type="xsd:double"&gt;13.605392&lt;/D&gt;&lt;D xsi:type="xsd:double"&gt;13.779306&lt;/D&gt;&lt;D xsi:type="xsd:double"&gt;11.873722&lt;/D&gt;&lt;D xsi:type="xsd:double"&gt;19.247269&lt;/D&gt;&lt;D xsi:type="xsd:double"&gt;33.276917&lt;/D&gt;&lt;/FQL&gt;&lt;FQL&gt;&lt;Q&gt;ENZL^P_PRICE_RETURNS_PR('52W',2,-10AY,0,AM)&lt;/Q&gt;&lt;R&gt;121&lt;/R&gt;&lt;C&gt;1&lt;/C&gt;&lt;D xsi:type="xsd:double"&gt;3.2989383&lt;/D&gt;&lt;D xsi:type="xsd:double"&gt;4.3521404&lt;/D&gt;&lt;D xsi:type="xsd:double"&gt;9.629381&lt;/D&gt;&lt;D xsi:type="xsd:double"&gt;12.037039&lt;/D&gt;&lt;D xsi:type="xsd:double"&gt;11.962223&lt;/D&gt;&lt;D xsi:type="xsd:double"&gt;7.5782537&lt;/D&gt;&lt;D xsi:type="xsd:double"&gt;0.28384924&lt;/D&gt;&lt;D xsi:type="xsd:double"&gt;-1.970154&lt;/D&gt;&lt;D xsi:type="xsd:double"&gt;-2.6933253&lt;/D&gt;&lt;D xsi:type="xsd:double"&gt;-12.836796&lt;/D&gt;&lt;D xsi:type="xsd:double"&gt;-8.172732&lt;/D&gt;&lt;D xsi:type="xsd:double"&gt;-17.3356&lt;/D&gt;&lt;D xsi:type="xsd:double"&gt;-12.216579&lt;/D&gt;&lt;D xsi:type="xsd:double"&gt;-3.1965494&lt;/D&gt;&lt;D xsi:type="xsd:double"&gt;-4.743618&lt;/D&gt;&lt;D xsi:type="xsd:double"&gt;-1.9886672&lt;/D&gt;&lt;D xsi:type="xsd:double"&gt;-5.5347443&lt;/D&gt;&lt;D xsi:type="xsd:double"&gt;-4.1359067&lt;/D&gt;&lt;D xsi:type="xsd:double"&gt;6.6857576&lt;/D&gt;&lt;D xsi:type="xsd:double"&gt;7.552302&lt;/D&gt;&lt;D xsi:type="xsd:double"&gt;16.923582&lt;/D&gt;&lt;D xsi:type="xsd:double"&gt;28.644062&lt;/D&gt;&lt;D xsi:type="xsd:double"&gt;34.575294&lt;/D&gt;&lt;D xsi:type="xsd:double"&gt;54.73617&lt;/D&gt;&lt;D xsi:type="xsd:double"&gt;49.236332&lt;/D&gt;&lt;D xsi:type="xsd:double"&gt;22.337591&lt;/D&gt;&lt;D xsi:type="xsd:double"&gt;21.443928&lt;/D&gt;&lt;D xsi:type="xsd:double"&gt;11.455107&lt;/D&gt;&lt;D xsi:type="xsd:double"&gt;27.463282&lt;/D&gt;&lt;D xsi:type="xsd:double"&gt;17.188692&lt;/D&gt;&lt;D xsi:type="xsd:double"&gt;8.510387&lt;/D&gt;&lt;D xsi:type="xsd:double"&gt;7.9015136&lt;/D&gt;&lt;D xsi:type="xsd:double"&gt;12.160254&lt;/D&gt;&lt;D xsi:type="xsd:double"&gt;11.530256&lt;/D&gt;&lt;D xsi:type="xsd:double"&gt;9.810484&lt;/D&gt;&lt;D xsi:type="xsd:double"&gt;3.5515904&lt;/D&gt;&lt;D xsi:type="xsd:double"&gt;5.5674314&lt;/D&gt;&lt;D xsi:type="xsd:double"&gt;11.770832&lt;/D&gt;&lt;D xsi:type="xsd:double"&gt;14.648211&lt;/D&gt;&lt;D xsi:type="xsd:double"&gt;24.709011&lt;/D&gt;&lt;D xsi:type="xsd:double"&gt;17.842329&lt;/D&gt;&lt;D xsi:type="xsd:double"&gt;19.512165&lt;/D&gt;&lt;D xsi:type="xsd:double"&gt;20.132614&lt;/D&gt;&lt;D xsi:type="xsd:double"&gt;17.463743&lt;/D&gt;&lt;D xsi:type="xsd:double"&gt;13.438582&lt;/D&gt;&lt;D xsi:type="xsd:double"&gt;9.683716&lt;/D&gt;&lt;D xsi:type="xsd:double"&gt;3.1799197&lt;/D&gt;&lt;D xsi:type="xsd:double"&gt;9.108675&lt;/D&gt;&lt;D xsi:type="xsd:double"&gt;6.319487&lt;/D&gt;&lt;D xsi:type="xsd:double"&gt;4.338491&lt;/D&gt;&lt;D xsi:type="xsd:double"&gt;9.938013&lt;/D&gt;&lt;D xsi:type="xsd:double"&gt;-1.5888453&lt;/D&gt;&lt;D xsi:type="xsd:double"&gt;0.8842349&lt;/D&gt;&lt;D xsi:type="xsd:double"&gt;6.7422867&lt;/D&gt;&lt;D xsi:type="xsd:double"&gt;10.390509&lt;/D&gt;&lt;D xsi:type="xsd:double"&gt;11.211443&lt;/D&gt;&lt;D xsi:type="xsd:double"&gt;9.035122&lt;/D&gt;&lt;D xsi:type="xsd:double"&gt;14.625942&lt;/D&gt;&lt;D xsi:type="xsd:double"&gt;17.511045&lt;/D&gt;&lt;D xsi:type="xsd:double"&gt;10.837817&lt;/D&gt;&lt;D xsi:type="xsd:double"&gt;11.893463&lt;/D&gt;&lt;D xsi:type="xsd:double"&gt;16.605938&lt;/D&gt;&lt;D xsi:type="xsd:double"&gt;18.103218&lt;/D&gt;&lt;D xsi:type="xsd:double"&gt;30.63575&lt;/D&gt;&lt;D xsi:type="xsd:double"&gt;19.793392&lt;/D&gt;&lt;D xsi:type="xsd:double"&gt;10.573017&lt;/D&gt;&lt;D xsi:type="xsd:double"&gt;-12.056404&lt;/D&gt;&lt;D xsi:type="xsd:double"&gt;-3.4128487&lt;/D&gt;&lt;D xsi:type="xsd:double"&gt;11.06757&lt;/D&gt;&lt;D xsi:type="xsd:double"&gt;10.6545925&lt;/D&gt;&lt;D xsi:type="xsd:double"&gt;12.984764&lt;/D&gt;&lt;D xsi:type="xsd:double"&gt;15.5083065&lt;/D&gt;&lt;D xsi:type="xsd:double"&gt;16.166342&lt;/D&gt;&lt;D xsi:type="xsd:double"&gt;17.556213&lt;/D&gt;&lt;D xsi:type="xsd:double"&gt;21.99633&lt;/D&gt;&lt;D xsi:type="xsd:double"&gt;20.04013&lt;/D&gt;&lt;D xsi:type="xsd:double"&gt;23.798143&lt;/D&gt;&lt;D xsi:type="xsd:double"&gt;21.531796&lt;/D&gt;&lt;D xsi:type="xsd:double"&gt;42.820213&lt;/D&gt;&lt;D xsi:type="xsd:double"&gt;39.421906&lt;/D&gt;&lt;D xsi:type="xsd:double"&gt;13.971556&lt;/D&gt;&lt;D xsi:type="xsd:double"&gt;9.935581&lt;/D&gt;&lt;D xsi:type="xsd:double"&gt;5.8106422&lt;/D&gt;&lt;D xsi:type="xsd:double"&gt;11.862826&lt;/D&gt;&lt;D xsi:type="xsd:double"&gt;9.703684&lt;/D&gt;&lt;D xsi:type="xsd:double"&gt;7.716894&lt;/D&gt;&lt;D xsi:type="xsd:double"&gt;-10.549808&lt;/D&gt;&lt;D xsi:type="xsd:double"&gt;-12.660456&lt;/D&gt;&lt;D xsi:type="xsd:double"&gt;-18.32912&lt;/D&gt;&lt;D xsi:type="xsd:double"&gt;-11.34184&lt;/D&gt;&lt;D xsi:type="xsd:double"&gt;-9.100848&lt;/D&gt;&lt;D xsi:type="xsd:double"&gt;-22.817904&lt;/D&gt;&lt;D xsi:type="xsd:double"&gt;-18.559015&lt;/D&gt;&lt;D xsi:type="xsd:double"&gt;-25.094341&lt;/D&gt;&lt;D xsi:type="xsd:double"&gt;-18.497913&lt;/D&gt;&lt;D xsi:type="xsd:double"&gt;-25.261963&lt;/D&gt;&lt;D xsi:type="xsd:double"&gt;-31.343174&lt;/D&gt;&lt;D xsi:type="xsd:double"&gt;-30.877573&lt;/D&gt;&lt;D xsi:type="xsd:double"&gt;-13.168865&lt;/D&gt;&lt;D xsi:type="xsd:double"&gt;-16.15314&lt;/D&gt;&lt;D xsi:type="xsd:double"&gt;-2.5783718&lt;/D&gt;&lt;D xsi:type="xsd:double"&gt;-7.9734683&lt;/D&gt;&lt;D xsi:type="xsd:double"&gt;-8.22317&lt;/D&gt;&lt;D xsi:type="xsd:double"&gt;2.4676323&lt;/D&gt;&lt;D xsi:type="xsd:double"&gt;0.87914467&lt;/D&gt;&lt;D xsi:type="xsd:double"&gt;12.314892&lt;/D&gt;&lt;D xsi:type="xsd:double"&gt;0.4328966&lt;/D&gt;&lt;D xsi:type="xsd:double"&gt;-0.37047267&lt;/D&gt;&lt;D xsi:type="xsd:double"&gt;5.246961&lt;/D&gt;&lt;D xsi:type="xsd:double"&gt;5.0468206&lt;/D&gt;&lt;D xsi:type="xsd:double"&gt;-3.458041&lt;/D&gt;&lt;D xsi:type="xsd:double"&gt;1.7241359&lt;/D&gt;&lt;D xsi:type="xsd:double"&gt;-10.102999&lt;/D&gt;&lt;D xsi:type="xsd:double"&gt;-5.140364&lt;/D&gt;&lt;D xsi:type="xsd:double"&gt;-6.166893&lt;/D&gt;&lt;D xsi:type="xsd:double"&gt;-5.1296053&lt;/D&gt;&lt;D xsi:type="xsd:double"&gt;-2.0469964&lt;/D&gt;&lt;D xsi:type="xsd:double"&gt;-4.535055&lt;/D&gt;&lt;D xsi:type="xsd:double"&gt;-2.0269215&lt;/D&gt;&lt;D xsi:type="xsd:double"&gt;10.187996&lt;/D&gt;&lt;D xsi:type="xsd:double"&gt;15.889883&lt;/D&gt;&lt;/FQL&gt;&lt;FQL&gt;&lt;Q&gt;ENZL^JULIAN(P_PRICE_RETURNS_PR('52W',2,-10AY,0,AM).DATES)&lt;/Q&gt;&lt;R&gt;121&lt;/R&gt;&lt;C&gt;1&lt;/C&gt;&lt;D xsi:type="xsd:long"&gt;41915&lt;/D&gt;&lt;D xsi:type="xsd:long"&gt;41946&lt;/D&gt;&lt;D xsi:type="xsd:long"&gt;41976&lt;/D&gt;&lt;D xsi:type="xsd:long"&gt;42006&lt;/D&gt;&lt;D xsi:type="xsd:long"&gt;42038&lt;/D&gt;&lt;D xsi:type="xsd:long"&gt;42066&lt;/D&gt;&lt;D xsi:type="xsd:long"&gt;42096&lt;/D&gt;&lt;D xsi:type="xsd:long"&gt;42125&lt;/D&gt;&lt;D xsi:type="xsd:long"&gt;42158&lt;/D&gt;&lt;D xsi:type="xsd:long"&gt;42187&lt;/D&gt;&lt;D xsi:type="xsd:long"&gt;42219&lt;/D&gt;&lt;D xsi:type="xsd:long"&gt;42250&lt;/D&gt;&lt;D xsi:type="xsd:long"&gt;42279&lt;/D&gt;&lt;D xsi:type="xsd:long"&gt;42311&lt;/D&gt;&lt;D xsi:type="xsd:long"&gt;42341&lt;/D&gt;&lt;D xsi:type="xsd:long"&gt;42369&lt;/D&gt;&lt;D xsi:type="xsd:long"&gt;42403&lt;/D&gt;&lt;D xsi:type="xsd:long"&gt;42432&lt;/D&gt;&lt;D xsi:type="xsd:long"&gt;42461&lt;/D&gt;&lt;D xsi:type="xsd:long"&gt;42493&lt;/D&gt;&lt;D xsi:type="xsd:long"&gt;42524&lt;/D&gt;&lt;D xsi:type="xsd:long"&gt;42552&lt;/D&gt;&lt;D xsi:type="xsd:long"&gt;42585&lt;/D&gt;&lt;D xsi:type="xsd:long"&gt;42615&lt;/D&gt;&lt;D xsi:type="xsd:long"&gt;42646&lt;/D&gt;&lt;D xsi:type="xsd:long"&gt;42677&lt;/D&gt;&lt;D xsi:type="xsd:long"&gt;42706&lt;/D&gt;&lt;D xsi:type="xsd:long"&gt;42738&lt;/D&gt;&lt;D xsi:type="xsd:long"&gt;42769&lt;/D&gt;&lt;D xsi:type="xsd:long"&gt;42797&lt;/D&gt;&lt;D xsi:type="xsd:long"&gt;42828&lt;/D&gt;&lt;D xsi:type="xsd:long"&gt;42858&lt;/D&gt;&lt;D xsi:type="xsd:long"&gt;42888&lt;/D&gt;&lt;D xsi:type="xsd:long"&gt;42919&lt;/D&gt;&lt;D xsi:type="xsd:long"&gt;42950&lt;/D&gt;&lt;D xsi:type="xsd:long"&gt;42979&lt;/D&gt;&lt;D xsi:type="xsd:long"&gt;43011&lt;/D&gt;&lt;D xsi:type="xsd:long"&gt;43042&lt;/D&gt;&lt;D xsi:type="xsd:long"&gt;43070&lt;/D&gt;&lt;D xsi:type="xsd:long"&gt;43103&lt;/D&gt;&lt;D xsi:type="xsd:long"&gt;43133&lt;/D&gt;&lt;D xsi:type="xsd:long"&gt;43161&lt;/D&gt;&lt;D xsi:type="xsd:long"&gt;43193&lt;/D&gt;&lt;D xsi:type="xsd:long"&gt;43223&lt;/D&gt;&lt;D xsi:type="xsd:long"&gt;43252&lt;/D&gt;&lt;D xsi:type="xsd:long"&gt;43284&lt;/D&gt;&lt;D xsi:type="xsd:long"&gt;43315&lt;/D&gt;&lt;D xsi:type="xsd:long"&gt;43343&lt;/D&gt;&lt;D xsi:type="xsd:long"&gt;43376&lt;/D&gt;&lt;D xsi:type="xsd:long"&gt;43406&lt;/D&gt;&lt;D xsi:type="xsd:long"&gt;43437&lt;/D&gt;&lt;D xsi:type="xsd:long"&gt;43468&lt;/D&gt;&lt;D xsi:type="xsd:long"&gt;43497&lt;/D&gt;&lt;D xsi:type="xsd:long"&gt;43525&lt;/D&gt;&lt;D xsi:type="xsd:long"&gt;43558&lt;/D&gt;&lt;D xsi:type="xsd:long"&gt;43588&lt;/D&gt;&lt;D xsi:type="xsd:long"&gt;43619&lt;/D&gt;&lt;D xsi:type="xsd:long"&gt;43649&lt;/D&gt;&lt;D xsi:type="xsd:long"&gt;43679&lt;/D&gt;&lt;D xsi:type="xsd:long"&gt;43711&lt;/D&gt;&lt;D xsi:type="xsd:long"&gt;43741&lt;/D&gt;&lt;D xsi:type="xsd:long"&gt;43770&lt;/D&gt;&lt;D xsi:type="xsd:long"&gt;43802&lt;/D&gt;&lt;D xsi:type="xsd:long"&gt;43833&lt;/D&gt;&lt;D xsi:type="xsd:long"&gt;43864&lt;/D&gt;&lt;D xsi:type="xsd:long"&gt;43893&lt;/D&gt;&lt;D xsi:type="xsd:long"&gt;43924&lt;/D&gt;&lt;D xsi:type="xsd:long"&gt;43952&lt;/D&gt;&lt;D xsi:type="xsd:long"&gt;43985&lt;/D&gt;&lt;D xsi:type="xsd:long"&gt;44014&lt;/D&gt;&lt;D xsi:type="xsd:long"&gt;44046&lt;/D&gt;&lt;D xsi:type="xsd:long"&gt;44077&lt;/D&gt;&lt;D xsi:type="xsd:long"&gt;44106&lt;/D&gt;&lt;D xsi:type="xsd:long"&gt;44138&lt;/D&gt;&lt;D xsi:type="xsd:long"&gt;44168&lt;/D&gt;&lt;D xsi:type="xsd:long"&gt;44196&lt;/D&gt;&lt;D xsi:type="xsd:long"&gt;44230&lt;/D&gt;&lt;D xsi:type="xsd:long"&gt;44258&lt;/D&gt;&lt;D xsi:type="xsd:long"&gt;44287&lt;/D&gt;&lt;D xsi:type="xsd:long"&gt;44319&lt;/D&gt;&lt;D xsi:type="xsd:long"&gt;44350&lt;/D&gt;&lt;D xsi:type="xsd:long"&gt;44379&lt;/D&gt;&lt;D xsi:type="xsd:long"&gt;44411&lt;/D&gt;&lt;D xsi:type="xsd:long"&gt;44442&lt;/D&gt;&lt;D xsi:type="xsd:long"&gt;44470&lt;/D&gt;&lt;D xsi:type="xsd:long"&gt;44503&lt;/D&gt;&lt;D xsi:type="xsd:long"&gt;44533&lt;/D&gt;&lt;D xsi:type="xsd:long"&gt;44564&lt;/D&gt;&lt;D xsi:type="xsd:long"&gt;44595&lt;/D&gt;&lt;D xsi:type="xsd:long"&gt;44623&lt;/D&gt;&lt;D xsi:type="xsd:long"&gt;44652&lt;/D&gt;&lt;D xsi:type="xsd:long"&gt;44684&lt;/D&gt;&lt;D xsi:type="xsd:long"&gt;44715&lt;/D&gt;&lt;D xsi:type="xsd:long"&gt;44743&lt;/D&gt;&lt;D xsi:type="xsd:long"&gt;44776&lt;/D&gt;&lt;D xsi:type="xsd:long"&gt;44806&lt;/D&gt;&lt;D xsi:type="xsd:long"&gt;44837&lt;/D&gt;&lt;D xsi:type="xsd:long"&gt;44868&lt;/D&gt;&lt;D xsi:type="xsd:long"&gt;44897&lt;/D&gt;&lt;D xsi:type="xsd:long"&gt;44929&lt;/D&gt;&lt;D xsi:type="xsd:long"&gt;44960&lt;/D&gt;&lt;D xsi:type="xsd:long"&gt;44988&lt;/D&gt;&lt;D xsi:type="xsd:long"&gt;45019&lt;/D&gt;&lt;D xsi:type="xsd:long"&gt;45049&lt;/D&gt;&lt;D xsi:type="xsd:long"&gt;45079&lt;/D&gt;&lt;D xsi:type="xsd:long"&gt;45110&lt;/D&gt;&lt;D xsi:type="xsd:long"&gt;45141&lt;/D&gt;&lt;D xsi:type="xsd:long"&gt;45170&lt;/D&gt;&lt;D xsi:type="xsd:long"&gt;45202&lt;/D&gt;&lt;D xsi:type="xsd:long"&gt;45233&lt;/D&gt;&lt;D xsi:type="xsd:long"&gt;45261&lt;/D&gt;&lt;D xsi:type="xsd:long"&gt;45294&lt;/D&gt;&lt;D xsi:type="xsd:long"&gt;45324&lt;/D&gt;&lt;D xsi:type="xsd:long"&gt;45352&lt;/D&gt;&lt;D xsi:type="xsd:long"&gt;45385&lt;/D&gt;&lt;D xsi:type="xsd:long"&gt;45415&lt;/D&gt;&lt;D xsi:type="xsd:long"&gt;45446&lt;/D&gt;&lt;D xsi:type="xsd:long"&gt;45476&lt;/D&gt;&lt;D xsi:type="xsd:long"&gt;45506&lt;/D&gt;&lt;D xsi:type="xsd:long"&gt;45538&lt;/D&gt;&lt;D xsi:type="xsd:long"&gt;45568&lt;/D&gt;&lt;/FQL&gt;&lt;FQL&gt;&lt;Q&gt;EWI^FG_TOTAL_RETURNC(-10AY,0,AM)&lt;/Q&gt;&lt;R&gt;121&lt;/R&gt;&lt;C&gt;1&lt;/C&gt;&lt;D xsi:type="xsd:double"&gt;-6.9050493&lt;/D&gt;&lt;D xsi:type="xsd:double"&gt;-3.8410604&lt;/D&gt;&lt;D xsi:type="xsd:double"&gt;1.7217636&lt;/D&gt;&lt;D xsi:type="xsd:double"&gt;-7.0770025&lt;/D&gt;&lt;D xsi:type="xsd:double"&gt;5.4291964&lt;/D&gt;&lt;D xsi:type="xsd:double"&gt;2.4356365&lt;/D&gt;&lt;D xsi:type="xsd:double"&gt;2.5815248&lt;/D&gt;&lt;D xsi:type="xsd:double"&gt;2.6490092&lt;/D&gt;&lt;D xsi:type="xsd:double"&gt;2.967739&lt;/D&gt;&lt;D xsi:type="xsd:double"&gt;-4.4867573&lt;/D&gt;&lt;D xsi:type="xsd:double"&gt;3.3377886&lt;/D&gt;&lt;D xsi:type="xsd:double"&gt;-5.1679554&lt;/D&gt;&lt;D xsi:type="xsd:double"&gt;-0.06812215&lt;/D&gt;&lt;D xsi:type="xsd:double"&gt;1.2951612&lt;/D&gt;&lt;D xsi:type="xsd:double"&gt;-3.701204&lt;/D&gt;&lt;D xsi:type="xsd:double"&gt;-3.6930919&lt;/D&gt;&lt;D xsi:type="xsd:double"&gt;-15.429401&lt;/D&gt;&lt;D xsi:type="xsd:double"&gt;3.442347&lt;/D&gt;&lt;D xsi:type="xsd:double"&gt;0.1663804&lt;/D&gt;&lt;D xsi:type="xsd:double"&gt;2.1594763&lt;/D&gt;&lt;D xsi:type="xsd:double"&gt;-2.0325184&lt;/D&gt;&lt;D xsi:type="xsd:double"&gt;-7.64913&lt;/D&gt;&lt;D xsi:type="xsd:double"&gt;-0.6469488&lt;/D&gt;&lt;D xsi:type="xsd:double"&gt;6.6976786&lt;/D&gt;&lt;D xsi:type="xsd:double"&gt;-4.6207547&lt;/D&gt;&lt;D xsi:type="xsd:double"&gt;0.09140968&lt;/D&gt;&lt;D xsi:type="xsd:double"&gt;1.0502219&lt;/D&gt;&lt;D xsi:type="xsd:double"&gt;11.685383&lt;/D&gt;&lt;D xsi:type="xsd:double"&gt;-0.77583194&lt;/D&gt;&lt;D xsi:type="xsd:double"&gt;0.94650984&lt;/D&gt;&lt;D xsi:type="xsd:double"&gt;3.9951086&lt;/D&gt;&lt;D xsi:type="xsd:double"&gt;4.5080304&lt;/D&gt;&lt;D xsi:type="xsd:double"&gt;6.339085&lt;/D&gt;&lt;D xsi:type="xsd:double"&gt;0.74261427&lt;/D&gt;&lt;D xsi:type="xsd:double"&gt;7.807493&lt;/D&gt;&lt;D xsi:type="xsd:double"&gt;0.6283045&lt;/D&gt;&lt;D xsi:type="xsd:double"&gt;2.8261662&lt;/D&gt;&lt;D xsi:type="xsd:double"&gt;-0.22372007&lt;/D&gt;&lt;D xsi:type="xsd:double"&gt;-1.1531055&lt;/D&gt;&lt;D xsi:type="xsd:double"&gt;-0.16512275&lt;/D&gt;&lt;D xsi:type="xsd:double"&gt;8.355093&lt;/D&gt;&lt;D xsi:type="xsd:double"&gt;-5.0903616&lt;/D&gt;&lt;D xsi:type="xsd:double"&gt;2.1263123&lt;/D&gt;&lt;D xsi:type="xsd:double"&gt;4.9720287&lt;/D&gt;&lt;D xsi:type="xsd:double"&gt;-10.124331&lt;/D&gt;&lt;D xsi:type="xsd:double"&gt;-1.9045174&lt;/D&gt;&lt;D xsi:type="xsd:double"&gt;-0.37969947&lt;/D&gt;&lt;D xsi:type="xsd:double"&gt;-6.0984077&lt;/D&gt;&lt;D xsi:type="xsd:double"&gt;1.6236186&lt;/D&gt;&lt;D xsi:type="xsd:double"&gt;-6.463331&lt;/D&gt;&lt;D xsi:type="xsd:double"&gt;0.89285374&lt;/D&gt;&lt;D xsi:type="xsd:double"&gt;-6.3988447&lt;/D&gt;&lt;D xsi:type="xsd:double"&gt;8.076596&lt;/D&gt;&lt;D xsi:type="xsd:double"&gt;5.238831&lt;/D&gt;&lt;D xsi:type="xsd:double"&gt;3.5139084&lt;/D&gt;&lt;D xsi:type="xsd:double"&gt;-0.49505234&lt;/D&gt;&lt;D xsi:type="xsd:double"&gt;-6.9651723&lt;/D&gt;&lt;D xsi:type="xsd:double"&gt;11.780441&lt;/D&gt;&lt;D xsi:type="xsd:double"&gt;-5.127299&lt;/D&gt;&lt;D xsi:type="xsd:double"&gt;0.7454395&lt;/D&gt;&lt;D xsi:type="xsd:double"&gt;-0.77691674&lt;/D&gt;&lt;D xsi:type="xsd:double"&gt;8.948541&lt;/D&gt;&lt;D xsi:type="xsd:double"&gt;-2.156055&lt;/D&gt;&lt;D xsi:type="xsd:double"&gt;3.8661122&lt;/D&gt;&lt;D xsi:type="xsd:double"&gt;-1.9328594&lt;/D&gt;&lt;D xsi:type="xsd:double"&gt;-7.641774&lt;/D&gt;&lt;D xsi:type="xsd:double"&gt;-26.656681&lt;/D&gt;&lt;D xsi:type="xsd:double"&gt;5.7682395&lt;/D&gt;&lt;D xsi:type="xsd:double"&gt;18.918919&lt;/D&gt;&lt;D xsi:type="xsd:double"&gt;0.80013275&lt;/D&gt;&lt;D xsi:type="xsd:double"&gt;2.4003267&lt;/D&gt;&lt;D xsi:type="xsd:double"&gt;0.87405443&lt;/D&gt;&lt;D xsi:type="xsd:double"&gt;-3.6234736&lt;/D&gt;&lt;D xsi:type="xsd:double"&gt;-0.9807944&lt;/D&gt;&lt;D xsi:type="xsd:double"&gt;19.603802&lt;/D&gt;&lt;D xsi:type="xsd:double"&gt;2.426374&lt;/D&gt;&lt;D xsi:type="xsd:double"&gt;0.47553778&lt;/D&gt;&lt;D xsi:type="xsd:double"&gt;1.5889049&lt;/D&gt;&lt;D xsi:type="xsd:double"&gt;5.8901906&lt;/D&gt;&lt;D xsi:type="xsd:double"&gt;1.2256384&lt;/D&gt;&lt;D xsi:type="xsd:double"&gt;4.6879888&lt;/D&gt;&lt;D xsi:type="xsd:double"&gt;-2.3528337&lt;/D&gt;&lt;D xsi:type="xsd:double"&gt;0.18445253&lt;/D&gt;&lt;D xsi:type="xsd:double"&gt;1.5955806&lt;/D&gt;&lt;D xsi:type="xsd:double"&gt;-3.654486&lt;/D&gt;&lt;D xsi:type="xsd:double"&gt;7.084644&lt;/D&gt;&lt;D xsi:type="xsd:double"&gt;-7.5234175&lt;/D&gt;&lt;D xsi:type="xsd:double"&gt;7.0425034&lt;/D&gt;&lt;D xsi:type="xsd:double"&gt;-1.1397779&lt;/D&gt;&lt;D xsi:type="xsd:double"&gt;-13.652915&lt;/D&gt;&lt;D xsi:type="xsd:double"&gt;5.3056955&lt;/D&gt;&lt;D xsi:type="xsd:double"&gt;-7.407403&lt;/D&gt;&lt;D xsi:type="xsd:double"&gt;2.1621585&lt;/D&gt;&lt;D xsi:type="xsd:double"&gt;-11.981976&lt;/D&gt;&lt;D xsi:type="xsd:double"&gt;1.2391567&lt;/D&gt;&lt;D xsi:type="xsd:double"&gt;-6.9359484&lt;/D&gt;&lt;D xsi:type="xsd:double"&gt;-3.0249834&lt;/D&gt;&lt;D xsi:type="xsd:double"&gt;7.4141026&lt;/D&gt;&lt;D xsi:type="xsd:double"&gt;17.676758&lt;/D&gt;&lt;D xsi:type="xsd:double"&gt;-0.4929781&lt;/D&gt;&lt;D xsi:type="xsd:double"&gt;9.631515&lt;/D&gt;&lt;D xsi:type="xsd:double"&gt;2.5291204&lt;/D&gt;&lt;D xsi:type="xsd:double"&gt;-0.1622796&lt;/D&gt;&lt;D xsi:type="xsd:double"&gt;1.9505858&lt;/D&gt;&lt;D xsi:type="xsd:double"&gt;-1.8494904&lt;/D&gt;&lt;D xsi:type="xsd:double"&gt;6.3148737&lt;/D&gt;&lt;D xsi:type="xsd:double"&gt;1.1584282&lt;/D&gt;&lt;D xsi:type="xsd:double"&gt;-1.4546633&lt;/D&gt;&lt;D xsi:type="xsd:double"&gt;-7.726133&lt;/D&gt;&lt;D xsi:type="xsd:double"&gt;6.671214&lt;/D&gt;&lt;D xsi:type="xsd:double"&gt;5.775368&lt;/D&gt;&lt;D xsi:type="xsd:double"&gt;1.35324&lt;/D&gt;&lt;D xsi:type="xsd:double"&gt;1.3562441&lt;/D&gt;&lt;D xsi:type="xsd:double"&gt;6.779659&lt;/D&gt;&lt;D xsi:type="xsd:double"&gt;4.511273&lt;/D&gt;&lt;D xsi:type="xsd:double"&gt;-1.518786&lt;/D&gt;&lt;D xsi:type="xsd:double"&gt;5.492437&lt;/D&gt;&lt;D xsi:type="xsd:double"&gt;-3.4370959&lt;/D&gt;&lt;D xsi:type="xsd:double"&gt;-2.3679972&lt;/D&gt;&lt;D xsi:type="xsd:double"&gt;6.049633&lt;/D&gt;&lt;D xsi:type="xsd:double"&gt;-1.4721394&lt;/D&gt;&lt;/FQL&gt;&lt;FQL&gt;&lt;Q&gt;EWD^FG_TOTAL_RETURNC(-10AY,0,AM)&lt;/Q&gt;&lt;R&gt;121&lt;/R&gt;&lt;C&gt;1&lt;/C&gt;&lt;D xsi:type="xsd:double"&gt;-5.627191&lt;/D&gt;&lt;D xsi:type="xsd:double"&gt;0.5590081&lt;/D&gt;&lt;D xsi:type="xsd:double"&gt;3.0883312&lt;/D&gt;&lt;D xsi:type="xsd:double"&gt;-5.059868&lt;/D&gt;&lt;D xsi:type="xsd:double"&gt;5.8169127&lt;/D&gt;&lt;D xsi:type="xsd:double"&gt;3.7248373&lt;/D&gt;&lt;D xsi:type="xsd:double"&gt;-2.2589028&lt;/D&gt;&lt;D xsi:type="xsd:double"&gt;1.2740731&lt;/D&gt;&lt;D xsi:type="xsd:double"&gt;2.3113012&lt;/D&gt;&lt;D xsi:type="xsd:double"&gt;-6.191051&lt;/D&gt;&lt;D xsi:type="xsd:double"&gt;0.6626725&lt;/D&gt;&lt;D xsi:type="xsd:double"&gt;-4.8589287&lt;/D&gt;&lt;D xsi:type="xsd:double"&gt;-3.064251&lt;/D&gt;&lt;D xsi:type="xsd:double"&gt;3.3990502&lt;/D&gt;&lt;D xsi:type="xsd:double"&gt;-0.4930973&lt;/D&gt;&lt;D xsi:type="xsd:double"&gt;-3.5153747&lt;/D&gt;&lt;D xsi:type="xsd:double"&gt;-8.019191&lt;/D&gt;&lt;D xsi:type="xsd:double"&gt;5.14158&lt;/D&gt;&lt;D xsi:type="xsd:double"&gt;4.5003532999999996&lt;/D&gt;&lt;D xsi:type="xsd:double"&gt;0.37300587&lt;/D&gt;&lt;D xsi:type="xsd:double"&gt;0.7432461&lt;/D&gt;&lt;D xsi:type="xsd:double"&gt;-4.233551&lt;/D&gt;&lt;D xsi:type="xsd:double"&gt;0.2548337&lt;/D&gt;&lt;D xsi:type="xsd:double"&gt;5.0835133&lt;/D&gt;&lt;D xsi:type="xsd:double"&gt;0.86386204&lt;/D&gt;&lt;D xsi:type="xsd:double"&gt;-6.988698&lt;/D&gt;&lt;D xsi:type="xsd:double"&gt;1.0681391&lt;/D&gt;&lt;D xsi:type="xsd:double"&gt;5.4479957&lt;/D&gt;&lt;D xsi:type="xsd:double"&gt;6.878674&lt;/D&gt;&lt;D xsi:type="xsd:double"&gt;-0.64683557&lt;/D&gt;&lt;D xsi:type="xsd:double"&gt;1.953125&lt;/D&gt;&lt;D xsi:type="xsd:double"&gt;6.9284916&lt;/D&gt;&lt;D xsi:type="xsd:double"&gt;3.4935713&lt;/D&gt;&lt;D xsi:type="xsd:double"&gt;0.2646923&lt;/D&gt;&lt;D xsi:type="xsd:double"&gt;0.8828759&lt;/D&gt;&lt;D xsi:type="xsd:double"&gt;1.5460968&lt;/D&gt;&lt;D xsi:type="xsd:double"&gt;3.7345529&lt;/D&gt;&lt;D xsi:type="xsd:double"&gt;-1.5508235&lt;/D&gt;&lt;D xsi:type="xsd:double"&gt;-3.9943695&lt;/D&gt;&lt;D xsi:type="xsd:double"&gt;1.4448643&lt;/D&gt;&lt;D xsi:type="xsd:double"&gt;3.4130692&lt;/D&gt;&lt;D xsi:type="xsd:double"&gt;-6.234127&lt;/D&gt;&lt;D xsi:type="xsd:double"&gt;-1.534301&lt;/D&gt;&lt;D xsi:type="xsd:double"&gt;0&lt;/D&gt;&lt;D xsi:type="xsd:double"&gt;0.18332005&lt;/D&gt;&lt;D xsi:type="xsd:double"&gt;-2.138847&lt;/D&gt;&lt;D xsi:type="xsd:double"&gt;4.0769696&lt;/D&gt;&lt;D xsi:type="xsd:double"&gt;-0.12534857&lt;/D&gt;&lt;D xsi:type="xsd:double"&gt;1.8826485&lt;/D&gt;&lt;D xsi:type="xsd:double"&gt;-7.791811&lt;/D&gt;&lt;D xsi:type="xsd:double"&gt;-0.66800714&lt;/D&gt;&lt;D xsi:type="xsd:double"&gt;-7.9140844&lt;/D&gt;&lt;D xsi:type="xsd:double"&gt;9.13409&lt;/D&gt;&lt;D xsi:type="xsd:double"&gt;1.6069651&lt;/D&gt;&lt;D xsi:type="xsd:double"&gt;4.019761&lt;/D&gt;&lt;D xsi:type="xsd:double"&gt;1.4254093&lt;/D&gt;&lt;D xsi:type="xsd:double"&gt;-8.806992&lt;/D&gt;&lt;D xsi:type="xsd:double"&gt;10.906326&lt;/D&gt;&lt;D xsi:type="xsd:double"&gt;-8.381134&lt;/D&gt;&lt;D xsi:type="xsd:double"&gt;-2.1912992&lt;/D&gt;&lt;D xsi:type="xsd:double"&gt;0.99573135&lt;/D&gt;&lt;D xsi:type="xsd:double"&gt;12.5&lt;/D&gt;&lt;D xsi:type="xsd:double"&gt;-1.7527401&lt;/D&gt;&lt;D xsi:type="xsd:double"&gt;6.188786&lt;/D&gt;&lt;D xsi:type="xsd:double"&gt;-2.8250277&lt;/D&gt;&lt;D xsi:type="xsd:double"&gt;-3.5948694&lt;/D&gt;&lt;D xsi:type="xsd:double"&gt;-22.730219&lt;/D&gt;&lt;D xsi:type="xsd:double"&gt;11.917746&lt;/D&gt;&lt;D xsi:type="xsd:double"&gt;20.584929&lt;</t>
        </r>
      </text>
    </comment>
    <comment ref="A5" authorId="0" shapeId="0" xr:uid="{5F0F65D5-A08E-408E-B291-E7CA2804D68F}">
      <text>
        <r>
          <rPr>
            <b/>
            <sz val="9"/>
            <color indexed="81"/>
            <rFont val="Tahoma"/>
            <charset val="1"/>
          </rPr>
          <t>/D&gt;&lt;D xsi:type="xsd:double"&gt;-1.5883148&lt;/D&gt;&lt;D xsi:type="xsd:double"&gt;10.301113&lt;/D&gt;&lt;D xsi:type="xsd:double"&gt;0.4022956&lt;/D&gt;&lt;D xsi:type="xsd:double"&gt;1.1734366&lt;/D&gt;&lt;D xsi:type="xsd:double"&gt;-0.59405565&lt;/D&gt;&lt;D xsi:type="xsd:double"&gt;12.720549&lt;/D&gt;&lt;D xsi:type="xsd:double"&gt;1.2316704&lt;/D&gt;&lt;D xsi:type="xsd:double"&gt;5.3266287&lt;/D&gt;&lt;D xsi:type="xsd:double"&gt;3.125&lt;/D&gt;&lt;D xsi:type="xsd:double"&gt;4.6726823&lt;/D&gt;&lt;D xsi:type="xsd:double"&gt;4.198897&lt;/D&gt;&lt;D xsi:type="xsd:double"&gt;3.5630941&lt;/D&gt;&lt;D xsi:type="xsd:double"&gt;-1.443398&lt;/D&gt;&lt;D xsi:type="xsd:double"&gt;3.5721898&lt;/D&gt;&lt;D xsi:type="xsd:double"&gt;-0.06158352&lt;/D&gt;&lt;D xsi:type="xsd:double"&gt;-6.943303&lt;/D&gt;&lt;D xsi:type="xsd:double"&gt;7.8587174&lt;/D&gt;&lt;D xsi:type="xsd:double"&gt;-9.087193&lt;/D&gt;&lt;D xsi:type="xsd:double"&gt;8.577657&lt;/D&gt;&lt;D xsi:type="xsd:double"&gt;-9.281439&lt;/D&gt;&lt;D xsi:type="xsd:double"&gt;-16.053741&lt;/D&gt;&lt;D xsi:type="xsd:double"&gt;11.597872&lt;/D&gt;&lt;D xsi:type="xsd:double"&gt;-10.14092&lt;/D&gt;&lt;D xsi:type="xsd:double"&gt;3.2483935&lt;/D&gt;&lt;D xsi:type="xsd:double"&gt;-14.77083&lt;/D&gt;&lt;D xsi:type="xsd:double"&gt;8.939099&lt;/D&gt;&lt;D xsi:type="xsd:double"&gt;-12.293357&lt;/D&gt;&lt;D xsi:type="xsd:double"&gt;-4.3522954&lt;/D&gt;&lt;D xsi:type="xsd:double"&gt;3.1529903&lt;/D&gt;&lt;D xsi:type="xsd:double"&gt;19.10386&lt;/D&gt;&lt;D xsi:type="xsd:double"&gt;-4.0917215&lt;/D&gt;&lt;D xsi:type="xsd:double"&gt;10.183477&lt;/D&gt;&lt;D xsi:type="xsd:double"&gt;0.055515766&lt;/D&gt;&lt;D xsi:type="xsd:double"&gt;-1.5533924&lt;/D&gt;&lt;D xsi:type="xsd:double"&gt;2.8458714&lt;/D&gt;&lt;D xsi:type="xsd:double"&gt;-3.397262&lt;/D&gt;&lt;D xsi:type="xsd:double"&gt;-0.14179945&lt;/D&gt;&lt;D xsi:type="xsd:double"&gt;-2.442491&lt;/D&gt;&lt;D xsi:type="xsd:double"&gt;-3.4934402&lt;/D&gt;&lt;D xsi:type="xsd:double"&gt;-3.076923&lt;/D&gt;&lt;D xsi:type="xsd:double"&gt;2.956736&lt;/D&gt;&lt;D xsi:type="xsd:double"&gt;11.215234&lt;/D&gt;&lt;D xsi:type="xsd:double"&gt;5.4496408&lt;/D&gt;&lt;D xsi:type="xsd:double"&gt;-0.9772837&lt;/D&gt;&lt;D xsi:type="xsd:double"&gt;6.6684484&lt;/D&gt;&lt;D xsi:type="xsd:double"&gt;0.15003681&lt;/D&gt;&lt;D xsi:type="xsd:double"&gt;-1.498121&lt;/D&gt;&lt;D xsi:type="xsd:double"&gt;7.122934&lt;/D&gt;&lt;D xsi:type="xsd:double"&gt;-1.9472182&lt;/D&gt;&lt;D xsi:type="xsd:double"&gt;-4.855323&lt;/D&gt;&lt;D xsi:type="xsd:double"&gt;6.2628865&lt;/D&gt;&lt;D xsi:type="xsd:double"&gt;1.9888401&lt;/D&gt;&lt;/FQL&gt;&lt;FQL&gt;&lt;Q&gt;EWN^FG_TOTAL_RETURNC(-10AY,0,AM)&lt;/Q&gt;&lt;R&gt;121&lt;/R&gt;&lt;C&gt;1&lt;/C&gt;&lt;D xsi:type="xsd:double"&gt;-5.307603&lt;/D&gt;&lt;D xsi:type="xsd:double"&gt;0.04246235&lt;/D&gt;&lt;D xsi:type="xsd:double"&gt;5.390489&lt;/D&gt;&lt;D xsi:type="xsd:double"&gt;-3.820324&lt;/D&gt;&lt;D xsi:type="xsd:double"&gt;3.1512618&lt;/D&gt;&lt;D xsi:type="xsd:double"&gt;4.3177247&lt;/D&gt;&lt;D xsi:type="xsd:double"&gt;1.1714101&lt;/D&gt;&lt;D xsi:type="xsd:double"&gt;1.813972&lt;/D&gt;&lt;D xsi:type="xsd:double"&gt;1.8574715&lt;/D&gt;&lt;D xsi:type="xsd:double"&gt;-3.1523407&lt;/D&gt;&lt;D xsi:type="xsd:double"&gt;3.6547422&lt;/D&gt;&lt;D xsi:type="xsd:double"&gt;-9.227305&lt;/D&gt;&lt;D xsi:type="xsd:double"&gt;-1.9008279&lt;/D&gt;&lt;D xsi:type="xsd:double"&gt;6.1499596&lt;/D&gt;&lt;D xsi:type="xsd:double"&gt;-3.6904752&lt;/D&gt;&lt;D xsi:type="xsd:double"&gt;-1.1676431&lt;/D&gt;&lt;D xsi:type="xsd:double"&gt;-2.8104007&lt;/D&gt;&lt;D xsi:type="xsd:double"&gt;1.424253&lt;/D&gt;&lt;D xsi:type="xsd:double"&gt;4.212761&lt;/D&gt;&lt;D xsi:type="xsd:double"&gt;0.26541948&lt;/D&gt;&lt;D xsi:type="xsd:double"&gt;2.7081966&lt;/D&gt;&lt;D xsi:type="xsd:double"&gt;-7.0414543&lt;/D&gt;&lt;D xsi:type="xsd:double"&gt;2.769363&lt;/D&gt;&lt;D xsi:type="xsd:double"&gt;6.7789555&lt;/D&gt;&lt;D xsi:type="xsd:double"&gt;-1.3406932&lt;/D&gt;&lt;D xsi:type="xsd:double"&gt;-3.8369358&lt;/D&gt;&lt;D xsi:type="xsd:double"&gt;-3.6990821&lt;/D&gt;&lt;D xsi:type="xsd:double"&gt;5.6163907&lt;/D&gt;&lt;D xsi:type="xsd:double"&gt;4.0148973&lt;/D&gt;&lt;D xsi:type="xsd:double"&gt;3.5415888&lt;/D&gt;&lt;D xsi:type="xsd:double"&gt;2.9976845&lt;/D&gt;&lt;D xsi:type="xsd:double"&gt;6.2313437&lt;/D&gt;&lt;D xsi:type="xsd:double"&gt;4.9174666&lt;/D&gt;&lt;D xsi:type="xsd:double"&gt;-2.1290183&lt;/D&gt;&lt;D xsi:type="xsd:double"&gt;6.994462&lt;/D&gt;&lt;D xsi:type="xsd:double"&gt;-0.7119715&lt;/D&gt;&lt;D xsi:type="xsd:double"&gt;2.5749683&lt;/D&gt;&lt;D xsi:type="xsd:double"&gt;0.5084157&lt;/D&gt;&lt;D xsi:type="xsd:double"&gt;-0.853616&lt;/D&gt;&lt;D xsi:type="xsd:double"&gt;2.5541663&lt;/D&gt;&lt;D xsi:type="xsd:double"&gt;3.1582355&lt;/D&gt;&lt;D xsi:type="xsd:double"&gt;-4.1830897&lt;/D&gt;&lt;D xsi:type="xsd:double"&gt;0.66434145&lt;/D&gt;&lt;D xsi:type="xsd:double"&gt;-0.21998882&lt;/D&gt;&lt;D xsi:type="xsd:double"&gt;-0.31496286&lt;/D&gt;&lt;D xsi:type="xsd:double"&gt;-2.4836838&lt;/D&gt;&lt;D xsi:type="xsd:double"&gt;4.21468&lt;/D&gt;&lt;D xsi:type="xsd:double"&gt;-1.9273281&lt;/D&gt;&lt;D xsi:type="xsd:double"&gt;-2.8672695&lt;/D&gt;&lt;D xsi:type="xsd:double"&gt;-5.14096&lt;/D&gt;&lt;D xsi:type="xsd:double"&gt;0.17482042&lt;/D&gt;&lt;D xsi:type="xsd:double"&gt;-9.549034&lt;/D&gt;&lt;D xsi:type="xsd:double"&gt;10.275305&lt;/D&gt;&lt;D xsi:type="xsd:double"&gt;4.781997&lt;/D&gt;&lt;D xsi:type="xsd:double"&gt;2.6677847&lt;/D&gt;&lt;D xsi:type="xsd:double"&gt;3.2848597&lt;/D&gt;&lt;D xsi:type="xsd:double"&gt;-5.854434&lt;/D&gt;&lt;D xsi:type="xsd:double"&gt;7.9714656&lt;/D&gt;&lt;D xsi:type="xsd:double"&gt;-2.8070211&lt;/D&gt;&lt;D xsi:type="xsd:double"&gt;-0.13127327&lt;/D&gt;&lt;D xsi:type="xsd:double"&gt;0.8379817&lt;/D&gt;&lt;D xsi:type="xsd:double"&gt;5.360937&lt;/D&gt;&lt;D xsi:type="xsd:double"&gt;-0.24745464&lt;/D&gt;&lt;D xsi:type="xsd:double"&gt;5.267906&lt;/D&gt;&lt;D xsi:type="xsd:double"&gt;-2.425319&lt;/D&gt;&lt;D xsi:type="xsd:double"&gt;-6.24432&lt;/D&gt;&lt;D xsi:type="xsd:double"&gt;-19.786621&lt;/D&gt;&lt;D xsi:type="xsd:double"&gt;12.051594&lt;/D&gt;&lt;D xsi:type="xsd:double"&gt;16.47483&lt;/D&gt;&lt;D xsi:type="xsd:double"&gt;3.1171322&lt;/D&gt;&lt;D xsi:type="xsd:double"&gt;4.730344&lt;/D&gt;&lt;D xsi:type="xsd:double"&gt;0.7767558&lt;/D&gt;&lt;D xsi:type="xsd:double"&gt;0.99915266&lt;/D&gt;&lt;D xsi:type="xsd:double"&gt;-0.33918023&lt;/D&gt;&lt;D xsi:type="xsd:double"&gt;13.669896&lt;/D&gt;&lt;D xsi:type="xsd:double"&gt;3.4809232&lt;/D&gt;&lt;D xsi:type="xsd:double"&gt;5.17658&lt;/D&gt;&lt;D xsi:type="xsd:double"&gt;1.0349631&lt;/D&gt;&lt;D xsi:type="xsd:double"&gt;7.8306317&lt;/D&gt;&lt;D xsi:type="xsd:double"&gt;2.596581&lt;/D&gt;&lt;D xsi:type="xsd:double"&gt;1.6872406&lt;/D&gt;&lt;D xsi:type="xsd:double"&gt;-1.3746262&lt;/D&gt;&lt;D xsi:type="xsd:double"&gt;3.8207412&lt;/D&gt;&lt;D xsi:type="xsd:double"&gt;6.76347&lt;/D&gt;&lt;D xsi:type="xsd:double"&gt;-7.9560223&lt;/D&gt;&lt;D xsi:type="xsd:double"&gt;7.4493885&lt;/D&gt;&lt;D xsi:type="xsd:double"&gt;-9.080637&lt;/D&gt;&lt;D xsi:type="xsd:double"&gt;5.093479&lt;/D&gt;&lt;D xsi:type="xsd:double"&gt;-9.3014&lt;/D&gt;&lt;D xsi:type="xsd:double"&gt;-10.931706&lt;/D&gt;&lt;D xsi:type="xsd:double"&gt;4.7035813&lt;/D&gt;&lt;D xsi:type="xsd:double"&gt;-9.452504&lt;/D&gt;&lt;D xsi:type="xsd:double"&gt;0.64599514&lt;/D&gt;&lt;D xsi:type="xsd:double"&gt;-9.641087&lt;/D&gt;&lt;D xsi:type="xsd:double"&gt;9.4127655&lt;/D&gt;&lt;D xsi:type="xsd:double"&gt;-12.865037&lt;/D&gt;&lt;D xsi:type="xsd:double"&gt;-5.2838087&lt;/D&gt;&lt;D xsi:type="xsd:double"&gt;0.7331848&lt;/D&gt;&lt;D xsi:type="xsd:double"&gt;24.685753&lt;/D&gt;&lt;D xsi:type="xsd:double"&gt;-3.0326962&lt;/D&gt;&lt;D xsi:type="xsd:double"&gt;12.773239&lt;/D&gt;&lt;D xsi:type="xsd:double"&gt;-2.428776&lt;/D&gt;&lt;D xsi:type="xsd:double"&gt;1.4839649&lt;/D&gt;&lt;D xsi:type="xsd:double"&gt;-1.2971759&lt;/D&gt;&lt;D xsi:type="xsd:double"&gt;1.983273&lt;/D&gt;&lt;D xsi:type="xsd:double"&gt;2.7551532&lt;/D&gt;&lt;D xsi:type="xsd:double"&gt;0.011527538&lt;/D&gt;&lt;D xsi:type="xsd:double"&gt;-5.2219033&lt;/D&gt;&lt;D xsi:type="xsd:double"&gt;-10.216493&lt;/D&gt;&lt;D xsi:type="xsd:double"&gt;7.017064&lt;/D&gt;&lt;D xsi:type="xsd:double"&gt;7.493663&lt;/D&gt;&lt;D xsi:type="xsd:double"&gt;1.8460155&lt;/D&gt;&lt;D xsi:type="xsd:double"&gt;6.7567587&lt;/D&gt;&lt;D xsi:type="xsd:double"&gt;5.477965&lt;/D&gt;&lt;D xsi:type="xsd:double"&gt;2.89675&lt;/D&gt;&lt;D xsi:type="xsd:double"&gt;-0.9652138&lt;/D&gt;&lt;D xsi:type="xsd:double"&gt;4.1421294&lt;/D&gt;&lt;D xsi:type="xsd:double"&gt;1.7590523&lt;/D&gt;&lt;D xsi:type="xsd:double"&gt;-9.571791&lt;/D&gt;&lt;D xsi:type="xsd:double"&gt;5.656743&lt;/D&gt;&lt;D xsi:type="xsd:double"&gt;1.3993025&lt;/D&gt;&lt;/FQL&gt;&lt;FQL&gt;&lt;Q&gt;EWQ^FG_TOTAL_RETURNC(-10AY,0,AM)&lt;/Q&gt;&lt;R&gt;121&lt;/R&gt;&lt;C&gt;1&lt;/C&gt;&lt;D xsi:type="xsd:double"&gt;-7.6231537&lt;/D&gt;&lt;D xsi:type="xsd:double"&gt;-1.7516553&lt;/D&gt;&lt;D xsi:type="xsd:double"&gt;3.5261512&lt;/D&gt;&lt;D xsi:type="xsd:double"&gt;-5.327922&lt;/D&gt;&lt;D xsi:type="xsd:double"&gt;5.7911873&lt;/D&gt;&lt;D xsi:type="xsd:double"&gt;1.2721658&lt;/D&gt;&lt;D xsi:type="xsd:double"&gt;1.1039138&lt;/D&gt;&lt;D xsi:type="xsd:double"&gt;3.5768151&lt;/D&gt;&lt;D xsi:type="xsd:double"&gt;0.3635049&lt;/D&gt;&lt;D xsi:type="xsd:double"&gt;-5.011499&lt;/D&gt;&lt;D xsi:type="xsd:double"&gt;4.1101217&lt;/D&gt;&lt;D xsi:type="xsd:double"&gt;-7.89572&lt;/D&gt;&lt;D xsi:type="xsd:double"&gt;-0.9704828&lt;/D&gt;&lt;D xsi:type="xsd:double"&gt;6.3699484&lt;/D&gt;&lt;D xsi:type="xsd:double"&gt;-4.9520135&lt;/D&gt;&lt;D xsi:type="xsd:double"&gt;-1.8661618&lt;/D&gt;&lt;D xsi:type="xsd:double"&gt;-4.997933&lt;/D&gt;&lt;D xsi:type="xsd:double"&gt;2.1739125&lt;/D&gt;&lt;D xsi:type="xsd:double"&gt;1.9999981&lt;/D&gt;&lt;D xsi:type="xsd:double"&gt;2.5031328&lt;/D&gt;&lt;D xsi:type="xsd:double"&gt;1.1803031&lt;/D&gt;&lt;D xsi:type="xsd:double"&gt;-5.5503902&lt;/D&gt;&lt;D xsi:type="xsd:double"&gt;2.0533085&lt;/D&gt;&lt;D xsi:type="xsd:double"&gt;4.751706&lt;/D&gt;&lt;D xsi:type="xsd:double"&gt;-1.5529215&lt;/D&gt;&lt;D xsi:type="xsd:double"&gt;-1.2038231&lt;/D&gt;&lt;D xsi:type="xsd:double"&gt;-1.7226875&lt;/D&gt;&lt;D xsi:type="xsd:double"&gt;5.808604&lt;/D&gt;&lt;D xsi:type="xsd:double"&gt;2.2708774&lt;/D&gt;&lt;D xsi:type="xsd:double"&gt;1.5860438&lt;/D&gt;&lt;D xsi:type="xsd:double"&gt;3.2396555&lt;/D&gt;&lt;D xsi:type="xsd:double"&gt;6.9187164&lt;/D&gt;&lt;D xsi:type="xsd:double"&gt;5.7284236&lt;/D&gt;&lt;D xsi:type="xsd:double"&gt;-2.1837354&lt;/D&gt;&lt;D xsi:type="xsd:double"&gt;3.5826087&lt;/D&gt;&lt;D xsi:type="xsd:double"&gt;0.06715059&lt;/D&gt;&lt;D xsi:type="xsd:double"&gt;3.859067&lt;/D&gt;&lt;D xsi:type="xsd:double"&gt;1.2924075&lt;/D&gt;&lt;D xsi:type="xsd:double"&gt;-0.5741656&lt;/D&gt;&lt;D xsi:type="xsd:double"&gt;1.2050033&lt;/D&gt;&lt;D xsi:type="xsd:double"&gt;3.5612106&lt;/D&gt;&lt;D xsi:type="xsd:double"&gt;-3.6843657&lt;/D&gt;&lt;D xsi:type="xsd:double"&gt;-0.4144132&lt;/D&gt;&lt;D xsi:type="xsd:double"&gt;4.73752&lt;/D&gt;&lt;D xsi:type="xsd:double"&gt;-1.9254327&lt;/D&gt;&lt;D xsi:type="xsd:double"&gt;-3.0329347&lt;/D&gt;&lt;D xsi:type="xsd:double"&gt;2.985561&lt;/D&gt;&lt;D xsi:type="xsd:double"&gt;-1.1787176&lt;/D&gt;&lt;D xsi:type="xsd:double"&gt;0.51579475&lt;/D&gt;&lt;D xsi:type="xsd:double"&gt;-7.6651692&lt;/D&gt;&lt;D xsi:type="xsd:double"&gt;-1.59778&lt;/D&gt;&lt;D xsi:type="xsd:double"&gt;-8.12158&lt;/D&gt;&lt;D xsi:type="xsd:double"&gt;9.03126&lt;/D&gt;&lt;D xsi:type="xsd:double"&gt;4.707968&lt;/D&gt;&lt;D xsi:type="xsd:double"&gt;1.9607782&lt;/D&gt;&lt;D xsi:type="xsd:double"&gt;1.8567562&lt;/D&gt;&lt;D xsi:type="xsd:double"&gt;-4.8828125&lt;/D&gt;&lt;D xsi:type="xsd:double"&gt;8.617115&lt;/D&gt;&lt;D xsi:type="xsd:double"&gt;-5.779785&lt;/D&gt;&lt;D xsi:type="xsd:double"&gt;0.44550896&lt;/D&gt;&lt;D xsi:type="xsd:double"&gt;-0.20470619&lt;/D&gt;&lt;D xsi:type="xsd:double"&gt;7.4529886&lt;/D&gt;&lt;D xsi:type="xsd:double"&gt;-0.827235&lt;/D&gt;&lt;D xsi:type="xsd:double"&gt;4.8104763&lt;/D&gt;&lt;D xsi:type="xsd:double"&gt;-3.3128798&lt;/D&gt;&lt;D xsi:type="xsd:double"&gt;-7.2969556&lt;/D&gt;&lt;D xsi:type="xsd:double"&gt;-25.222445&lt;/D&gt;&lt;D xsi:type="xsd:double"&gt;9.885586&lt;/D&gt;&lt;D xsi:type="xsd:double"&gt;16.743029&lt;/D&gt;&lt;D xsi:type="xsd:double"&gt;-0.028920174&lt;/D&gt;&lt;D xsi:type="xsd:double"&gt;2.262926&lt;/D&gt;&lt;D xsi:type="xsd:double"&gt;2.7397275&lt;/D&gt;&lt;D xsi:type="xsd:double"&gt;-3.9316237&lt;/D&gt;&lt;D xsi:type="xsd:double"&gt;-0.32028556&lt;/D&gt;&lt;D xsi:type="xsd:double"&gt;19.136024&lt;/D&gt;&lt;D xsi:type="xsd:double"&gt;0.16372204&lt;/D&gt;&lt;D xsi:type="xsd:double"&gt;-0.15032887&lt;/D&gt;&lt;D xsi:type="xsd:double"&gt;3.4929276&lt;/D&gt;&lt;D xsi:type="xsd:double"&gt;2.9677033&lt;/D&gt;&lt;D xsi:type="xsd:double"&gt;5.707824&lt;/D&gt;&lt;D xsi:type="xsd:double"&gt;4.0898085&lt;/D&gt;&lt;D xsi:type="xsd:double"&gt;-1.1421263&lt;/D&gt;&lt;D xsi:type="xsd:double"&gt;2.3115396&lt;/D&gt;&lt;D xsi:type="xsd:double"&gt;0.20538568&lt;/D&gt;&lt;D xsi:type="xsd:double"&gt;-3.689468&lt;/D&gt;&lt;D xsi:type="xsd:double"&gt;6.9167256&lt;/D&gt;&lt;D xsi:type="xsd:double"&gt;-5.9218645&lt;/D&gt;&lt;D xsi:type="xsd:double"&gt;6.598699&lt;/D&gt;&lt;D xsi:type="xsd:double"&gt;-2.8046966&lt;/D&gt;&lt;D xsi:type="xsd:double"&gt;-11.594957&lt;/D&gt;&lt;D xsi:type="xsd:double"&gt;5.756676&lt;/D&gt;&lt;D xsi:type="xsd:double"&gt;-7.0707083&lt;/D&gt;&lt;D xsi:type="xsd:double"&gt;3.7137628&lt;/D&gt;&lt;D xsi:type="xsd:double"&gt;-9.757966&lt;/D&gt;&lt;D xsi:type="xsd:double"&gt;5.380273&lt;/D&gt;&lt;D xsi:type="xsd:double"&gt;-8.761417&lt;/D&gt;&lt;D xsi:type="xsd:double"&gt;-5.354065&lt;/D&gt;&lt;D xsi:type="xsd:double"&gt;6.2043786&lt;/D&gt;&lt;D xsi:type="xsd:double"&gt;17.11341&lt;/D&gt;&lt;D xsi:type="xsd:double"&gt;-1.5240252&lt;/D&gt;&lt;D xsi:type="xsd:double"&gt;11.094511&lt;/D&gt;&lt;D xsi:type="xsd:double"&gt;0.43069124&lt;/D&gt;&lt;D xsi:type="xsd:double"&gt;2.4926305&lt;/D&gt;&lt;D xsi:type="xsd:double"&gt;2.4842977999999998&lt;/D&gt;&lt;D xsi:type="xsd:double"&gt;-3.546822&lt;/D&gt;&lt;D xsi:type="xsd:double"&gt;3.8854837&lt;/D&gt;&lt;D xsi:type="xsd:double"&gt;-1.6141593&lt;/D&gt;&lt;D xsi:type="xsd:double"&gt;-0.9526372&lt;/D&gt;&lt;D xsi:type="xsd:double"&gt;-7.480627&lt;/D&gt;&lt;D xsi:type="xsd:double"&gt;2.9454231&lt;/D&gt;&lt;D xsi:type="xsd:double"&gt;5.890596&lt;/D&gt;&lt;D xsi:type="xsd:double"&gt;1.3711929&lt;/D&gt;&lt;D xsi:type="xsd:double"&gt;1.5255094&lt;/D&gt;&lt;D xsi:type="xsd:double"&gt;4.2487144&lt;/D&gt;&lt;D xsi:type="xsd:double"&gt;2.534783&lt;/D&gt;&lt;D xsi:type="xsd:double"&gt;-1.5026629&lt;/D&gt;&lt;D xsi:type="xsd:double"&gt;2.6820898&lt;/D&gt;&lt;D xsi:type="xsd:double"&gt;-4.6651897&lt;/D&gt;&lt;D xsi:type="xsd:double"&gt;-3.3950627&lt;/D&gt;&lt;D xsi:type="xsd:double"&gt;4.7923326&lt;/D&gt;&lt;D xsi:type="xsd:double"&gt;-0.7367909&lt;/D&gt;&lt;/FQL&gt;&lt;FQL&gt;&lt;Q&gt;SPY^FG_TOTAL_RETURNC(-10AY,0,AM)&lt;/Q&gt;&lt;R&gt;121&lt;/R&gt;&lt;C&gt;1&lt;/C&gt;&lt;D xsi:type="xsd:double"&gt;-1.5263617&lt;/D&gt;&lt;D xsi:type="xsd:double"&gt;2.6714802&lt;/D&gt;&lt;D xsi:type="xsd:double"&gt;3.0331492&lt;/D&gt;&lt;D xsi:type="xsd:double"&gt;-0.64027905&lt;/D&gt;&lt;D xsi:type="xsd:double"&gt;-0.28719902&lt;/D&gt;&lt;D xsi:type="xsd:double"&gt;3.0658126&lt;/D&gt;&lt;D xsi:type="xsd:double"&gt;-1.7865479&lt;/D&gt;&lt;D xsi:type="xsd:double"&gt;2.0757198&lt;/D&gt;&lt;D xsi:type="xsd:double"&gt;0.5694747&lt;/D&gt;&lt;D xsi:type="xsd:double"&gt;-1.6973555&lt;/D&gt;&lt;D xsi:type="xsd:double"&gt;1.1962771&lt;/D&gt;&lt;D xsi:type="xsd:double"&gt;-6.787735&lt;/D&gt;&lt;D xsi:type="xsd:double"&gt;0.24600029&lt;/D&gt;&lt;D xsi:type="xsd:double"&gt;8.205128&lt;/D&gt;&lt;D xsi:type="xsd:double"&gt;-2.5545&lt;/D&gt;&lt;D xsi:type="xsd:double"&gt;-0.24568439&lt;/D&gt;&lt;D xsi:type="xsd:double"&gt;-6.1656895&lt;/D&gt;&lt;D xsi:type="xsd:double"&gt;4.4302106&lt;/D&gt;&lt;D xsi:type="xsd:double"&gt;4.108453&lt;/D&gt;&lt;D xsi:type="xsd:double"&gt;-0.3676772&lt;/D&gt;&lt;D xsi:type="xsd:double"&gt;1.9988418&lt;/D&gt;&lt;D xsi:type="xsd:double"&gt;0.35048723&lt;/D&gt;&lt;D xsi:type="xsd:double"&gt;2.9816866&lt;/D&gt;&lt;D xsi:type="xsd:double"&gt;1.0130405&lt;/D&gt;&lt;D xsi:type="xsd:double"&gt;-0.6849408&lt;/D&gt;&lt;D xsi:type="xsd:double"&gt;-3.2440424&lt;/D&gt;&lt;D xsi:type="xsd:double"&gt;5.2208066&lt;/D&gt;&lt;D xsi:type="xsd:double"&gt;3.136444&lt;/D&gt;&lt;D xsi:type="xsd:double"&gt;1.8202782&lt;/D&gt;&lt;D xsi:type="xsd:double"&gt;3.9591908&lt;/D&gt;&lt;D xsi:type="xsd:double"&gt;-0.86581707&lt;/D&gt;&lt;D xsi:type="xsd:double"&gt;1.3385415&lt;/D&gt;&lt;D xsi:type="xsd:double"&gt;2.38595&lt;/D&gt;&lt;D xsi:type="xsd:double"&gt;-0.31903386&lt;/D&gt;&lt;D xsi:type="xsd:double"&gt;1.961112&lt;/D&gt;&lt;D xsi:type="xsd:double"&gt;0.3563285&lt;/D&gt;&lt;D xsi:type="xsd:double"&gt;2.5309682&lt;/D&gt;&lt;D xsi:type="xsd:double"&gt;2.2107124&lt;/D&gt;&lt;D xsi:type="xsd:double"&gt;2.3253918&lt;/D&gt;&lt;D xsi:type="xsd:double"&gt;2.7911305&lt;/D&gt;&lt;D xsi:type="xsd:double"&gt;1.8412471&lt;/D&gt;&lt;D xsi:type="xsd:double"&gt;-2.3125887&lt;/D&gt;&lt;D xsi:type="xsd:double"&gt;-2.7006567&lt;/D&gt;&lt;D xsi:type="xsd:double"&gt;0.7094383&lt;/D&gt;&lt;D xsi:type="xsd:double"&gt;4.180956&lt;/D&gt;&lt;D xsi:type="xsd:double"&gt;-0.541836&lt;/D&gt;&lt;D xsi:type="xsd:double"&gt;4.688084&lt;/D&gt;&lt;D xsi:type="xsd:double"&gt;2.3660064&lt;/D&gt;&lt;D xsi:type="xsd:double"&gt;0.9408593&lt;/D&gt;&lt;D xsi:type="xsd:double"&gt;-6.7976117&lt;/D&gt;&lt;D xsi:type="xsd:double"&gt;2.7253628&lt;/D&gt;&lt;D xsi:type="xsd:double"&gt;-12.042111&lt;/D&gt;&lt;D xsi:type="xsd:double"&gt;10.585154&lt;/D&gt;&lt;D xsi:type="xsd:double"&gt;3.8361907&lt;/D&gt;&lt;D xsi:type="xsd:double"&gt;2.587378&lt;/D&gt;&lt;D xsi:type="xsd:double"&gt;2.6569366&lt;/D&gt;&lt;D xsi:type="xsd:double"&gt;-6.6183686&lt;/D&gt;&lt;D xsi:type="xsd:double"&gt;9.354628&lt;/D&gt;&lt;D xsi:type="xsd:double"&gt;-2.0682693&lt;/D&gt;&lt;D xsi:type="xsd:double"&gt;-0.6424725&lt;/D&gt;&lt;D xsi:type="xsd:double"&gt;0.35330057&lt;/D&gt;&lt;D xsi:type="xsd:double"&gt;5.412853&lt;/D&gt;&lt;D xsi:type="xsd:double"&gt;1.1138558&lt;/D&gt;&lt;D xsi:type="xsd:double"&gt;4.664278&lt;/D&gt;&lt;D xsi:type="xsd:double"&gt;0.53037405&lt;/D&gt;&lt;D xsi:type="xsd:double"&gt;-7.3676405&lt;/D&gt;&lt;D xsi:type="xsd:double"&gt;-16.82831&lt;/D&gt;&lt;D xsi:type="xsd:double"&gt;13.94093&lt;/D&gt;&lt;D xsi:type="xsd:double"&gt;10.392868&lt;/D&gt;&lt;D xsi:type="xsd:double"&gt;0.4587531&lt;/D&gt;&lt;D xsi:type="xsd:double"&gt;5.3037763&lt;/D&gt;&lt;D xsi:type="xsd:double"&gt;5.0488114&lt;/D&gt;&lt;D xsi:type="xsd:double"&gt;-2.9525638&lt;/D&gt;&lt;D xsi:type="xsd:double"&gt;0.6560087&lt;/D&gt;&lt;D xsi:type="xsd:double"&gt;9.124184&lt;/D&gt;&lt;D xsi:type="xsd:double"&gt;2.3971438&lt;/D&gt;&lt;D xsi:type="xsd:double"&gt;2.1317005&lt;/D&gt;&lt;D xsi:type="xsd:double"&gt;-0.112605095&lt;/D&gt;&lt;D xsi:type="xsd:double"&gt;5.3757668&lt;/D&gt;&lt;D xsi:type="xsd:double"&gt;4.390812&lt;/D&gt;&lt;D xsi:type="xsd:double"&gt;0.13629198&lt;/D&gt;&lt;D xsi:type="xsd:double"&gt;3.9134145&lt;/D&gt;&lt;D xsi:type="xsd:double"&gt;1.7130852&lt;/D&gt;&lt;D xsi:type="xsd:double"&gt;2.7042985&lt;/D&gt;&lt;D xsi:type="xsd:double"&gt;-3.8481116&lt;/D&gt;&lt;D xsi:type="xsd:double"&gt;7.019162&lt;/D&gt;&lt;D xsi:type="xsd:double"&gt;-2.4315715&lt;/D&gt;&lt;D xsi:type="xsd:double"&gt;5.731964&lt;/D&gt;&lt;D xsi:type="xsd:double"&gt;-6.512314&lt;/D&gt;&lt;D xsi:type="xsd:double"&gt;-2.438426&lt;/D&gt;&lt;D xsi:type="xsd:double"&gt;4.2693257&lt;/D&gt;&lt;D xsi:type="xsd:double"&gt;-8.06765&lt;/D&gt;&lt;D xsi:type="xsd:double"&gt;-1.4025629&lt;/D&gt;&lt;D xsi:type="xsd:double"&gt;-6.736702&lt;/D&gt;&lt;D xsi:type="xsd:double"&gt;8.711052&lt;/D&gt;&lt;D xsi:type="xsd:double"&gt;-5.3589163&lt;/D&gt;&lt;D xsi:type="xsd:double"&gt;-6.1472774&lt;/D&gt;&lt;D xsi:type="xsd:double"&gt;1.2001872&lt;/D&gt;&lt;D xsi:type="xsd:double"&gt;9.67629&lt;/D&gt;&lt;D xsi:type="xsd:double"&gt;-5.9767427&lt;/D&gt;&lt;D xsi:type="xsd:double"&gt;8.279503&lt;/D&gt;&lt;D xsi:type="xsd:double"&gt;-1.978904&lt;/D&gt;&lt;D xsi:type="xsd:double"&gt;2.065158&lt;/D&gt;&lt;D xsi:type="xsd:double"&gt;-0.7129848&lt;/D&gt;&lt;D xsi:type="xsd:double"&gt;4.8772216&lt;/D&gt;&lt;D xsi:type="xsd:double"&gt;4.09528&lt;/D&gt;&lt;D xsi:type="xsd:double"&gt;1.1379242&lt;/D&gt;&lt;D xsi:type="xsd:double"&gt;0.5235791&lt;/D&gt;&lt;D xsi:type="xsd:double"&gt;-6.226778&lt;/D&gt;&lt;D xsi:type="xsd:double"&gt;3.1072855&lt;/D&gt;&lt;D xsi:type="xsd:double"&gt;5.6154966&lt;/D&gt;&lt;D xsi:type="xsd:double"&gt;2.5253534&lt;/D&gt;&lt;D xsi:type="xsd:double"&gt;5.452335&lt;/D&gt;&lt;D xsi:type="xsd:double"&gt;3.7422776&lt;/D&gt;&lt;D xsi:type="xsd:double"&gt;1.595974&lt;/D&gt;&lt;D xsi:type="xsd:double"&gt;-1.5633047&lt;/D&gt;&lt;D xsi:type="xsd:double"&gt;3.2290816&lt;/D&gt;&lt;D xsi:type="xsd:double"&gt;4.820287&lt;/D&gt;&lt;D xsi:type="xsd:double"&gt;-3.365612&lt;/D&gt;&lt;D xsi:type="xsd:double"&gt;3.5991669&lt;/D&gt;&lt;D xsi:type="xsd:double"&gt;3.1669736&lt;/D&gt;&lt;/FQL&gt;&lt;FQL&gt;&lt;Q&gt;QQQ^FG_TOTAL_RETURNC(-10AY,0,AM)&lt;/Q&gt;&lt;R&gt;121&lt;/R&gt;&lt;C&gt;1&lt;/C&gt;&lt;D xsi:type="xsd:double"&gt;-1.0821402&lt;/D&gt;&lt;D xsi:type="xsd:double"&gt;3.5958052&lt;/D&gt;&lt;D xsi:type="xsd:double"&gt;3.6578178&lt;/D&gt;&lt;D xsi:type="xsd:double"&gt;-1.9904196&lt;/D&gt;&lt;D xsi:type="xsd:double"&gt;0.019431114&lt;/D&gt;&lt;D xsi:type="xsd:double"&gt;5.740094&lt;/D&gt;&lt;D xsi:type="xsd:double"&gt;-3.2237887&lt;/D&gt;&lt;D xsi:type="xsd:double"&gt;3.7385821&lt;/D&gt;&lt;D xsi:type="xsd:double"&gt;1.2379646&lt;/D&gt;&lt;D xsi:type="xsd:double"&gt;-1.9930601&lt;/D&gt;&lt;D xsi:type="xsd:double"&gt;3.3811927&lt;/D&gt;&lt;D xsi:type="xsd:double"&gt;-7.3566318&lt;/D&gt;&lt;D xsi:type="xsd:double"&gt;0.84797144&lt;/D&gt;&lt;D xsi:type="xsd:double"&gt;10.575903&lt;/D&gt;&lt;D xsi:type="xsd:double"&gt;-2.1737218&lt;/D&gt;&lt;D xsi:type="xsd:double"&gt;-0.2678454&lt;/D&gt;&lt;D xsi:type="xsd:double"&gt;-9.118539&lt;/D&gt;&lt;D xsi:type="xsd:double"&gt;3.9051652&lt;/D&gt;&lt;D xsi:type="xsd:double"&gt;4.787147&lt;/D&gt;&lt;D xsi:type="xsd:double"&gt;-4.1953564&lt;/D&gt;&lt;D xsi:type="xsd:double"&gt;4.095328&lt;/D&gt;&lt;D xsi:type="xsd:double"&gt;-1.5346825&lt;/D&gt;&lt;D xsi:type="xsd:double"&gt;6.717241&lt;/D&gt;&lt;D xsi:type="xsd:double"&gt;1.5432715&lt;/D&gt;&lt;D xsi:type="xsd:double"&gt;1.4745831&lt;/D&gt;&lt;D xsi:type="xsd:double"&gt;-3.7958682&lt;/D&gt;&lt;D xsi:type="xsd:double"&gt;1.4467239&lt;/D&gt;&lt;D xsi:type="xsd:double"&gt;3.625548&lt;/D&gt;&lt;D xsi:type="xsd:double"&gt;5.1363587&lt;/D&gt;&lt;D xsi:type="xsd:double"&gt;4.2488933&lt;/D&gt;&lt;D xsi:type="xsd:double"&gt;1.1871696&lt;/D&gt;&lt;D xsi:type="xsd:double"&gt;3.5449743&lt;/D&gt;&lt;D xsi:type="xsd:double"&gt;4.7229767&lt;/D&gt;&lt;D xsi:type="xsd:double"&gt;-4.8075795&lt;/D&gt;&lt;D xsi:type="xsd:double"&gt;5.2867293&lt;/D&gt;&lt;D xsi:type="xsd:double"&gt;1.8202066&lt;/D&gt;&lt;D xsi:type="xsd:double"&gt;0.14392138&lt;/D&gt;&lt;D xsi:type="xsd:double"&gt;5.0586104&lt;/D&gt;&lt;D xsi:type="xsd:double"&gt;0.79598427&lt;/D&gt;&lt;D xsi:type="xsd:double"&gt;3.8010836&lt;/D&gt;&lt;D xsi:type="xsd:double"&gt;2.8619647&lt;/D&gt;&lt;D xsi:type="xsd:double"&gt;0.83835125&lt;/D&gt;&lt;D xsi:type="xsd:double"&gt;-5.102563&lt;/D&gt;&lt;D xsi:type="xsd:double"&gt;2.886939&lt;/D&gt;&lt;D xsi:type="xsd:double"&gt;6.7614317&lt;/D&gt;&lt;D xsi:type="xsd:double"&gt;-0.9111047&lt;/D&gt;&lt;D xsi:type="xsd:double"&gt;5.4332495&lt;/D&gt;&lt;D xsi:type="xsd:double"&gt;3.6483765&lt;/D&gt;&lt;D xsi:type="xsd:double"&gt;-0.19638538&lt;/D&gt;&lt;D xsi:type="xsd:double"&gt;-8.9109955&lt;/D&gt;&lt;D xsi:type="xsd:double"&gt;1.7416477&lt;/D&gt;&lt;D xsi:type="xsd:double"&gt;-12.807327&lt;/D&gt;&lt;D xsi:type="xsd:double"&gt;11.7674465&lt;/D&gt;&lt;D xsi:type="xsd:double"&gt;4.1445255&lt;/D&gt;&lt;D xsi:type="xsd:double"&gt;5.575943&lt;/D&gt;&lt;D xsi:type="xsd:double"&gt;3.9884686&lt;/D&gt;&lt;D xsi:type="xsd:double"&gt;-10.983205&lt;/D&gt;&lt;D xsi:type="xsd:double"&gt;12.780881&lt;/D&gt;&lt;D xsi:type="xsd:double"&gt;-2.136439&lt;/D&gt;&lt;D xsi:type="xsd:double"&gt;-0.9073973&lt;/D&gt;&lt;D xsi:type="xsd:double"&gt;0.42835474&lt;/D&gt;&lt;D xsi:type="xsd:double"&gt;6.879127&lt;/D&gt;&lt;D xsi:type="xsd:double"&gt;1.2772202&lt;/D&gt;&lt;D xsi:type="xsd:double"&gt;6.570065&lt;/D&gt;&lt;D xsi:type="xsd:double"&gt;3.8285613&lt;/D&gt;&lt;D xsi:type="xsd:double"&gt;-5.800885&lt;/D&gt;&lt;D xsi:type="xsd:double"&gt;-12.277948&lt;/D&gt;&lt;D xsi:type="xsd:double"&gt;16.016806&lt;/D&gt;&lt;D xsi:type="xsd:double"&gt;11.257875&lt;/D&gt;&lt;D xsi:type="xsd:double"&gt;6.731856&lt;/D&gt;&lt;D xsi:type="xsd:double"&gt;6.816292&lt;/D&gt;&lt;D xsi:type="xsd:double"&gt;6.6931486&lt;/D&gt;&lt;D xsi:type="xsd:double"&gt;-4.419428&lt;/D&gt;&lt;D xsi:type="xsd:double"&gt;0.1239419&lt;/D&gt;&lt;D xsi:type="xsd:double"&gt;10.788274&lt;/D&gt;&lt;D xsi:type="xsd:double"&gt;3.2963276&lt;/D&gt;&lt;D xsi:type="xsd:double"&gt;4.028821&lt;/D&gt;&lt;D xsi:type="xsd:double"&gt;-5.27606&lt;/D&gt;&lt;D xsi:type="xsd:double"&gt;5.1145315&lt;/D&gt;&lt;D xsi:type="xsd:double"&gt;3.5801172&lt;/D&gt;&lt;D xsi:type="xsd:double"&gt;-1.8412232&lt;/D&gt;&lt;D xsi:type="xsd:double"&gt;8.804011&lt;/D&gt;&lt;D xsi:type="xsd:double"&gt;2.2780418&lt;/D&gt;&lt;D xsi:type="xsd:double"&gt;4.0238857&lt;/D&gt;&lt;D xsi:type="xsd:double"&gt;-5.498952&lt;/D&gt;&lt;D xsi:type="xsd:double"&gt;9.162081&lt;/D&gt;&lt;D xsi:type="xsd:double"&gt;-2.5560796&lt;/D&gt;&lt;D xsi:type="xsd:double"&gt;4.9770355&lt;/D&gt;&lt;D xsi:type="xsd:double"&gt;-11.982179&lt;/D&gt;&lt;D xsi:type="xsd:double"&gt;-3.1933188&lt;/D&gt;&lt;D xsi:type="xsd:double"&gt;5.85469&lt;/D&gt;&lt;D xsi:type="xsd:double"&gt;-11.891669&lt;/D&gt;&lt;D xsi:type="xsd:double"&gt;-3.9583445&lt;/D&gt;&lt;D xsi:type="xsd:double"&gt;-7.687998&lt;/D&gt;&lt;D xsi:type="xsd:double"&gt;14.447248&lt;/D&gt;&lt;D xsi:type="xsd:double"&gt;-8.584965&lt;/D&gt;&lt;D xsi:type="xsd:double"&gt;-7.1662664&lt;/D&gt;&lt;D xsi:type="xsd:double"&gt;-4.7673044&lt;/D&gt;&lt;D xsi:type="xsd:double"&gt;12.307572&lt;/D&gt;&lt;D xsi:type="xsd:double"&gt;-9.375275&lt;/D&gt;&lt;D xsi:type="xsd:double"&gt;15.766775&lt;/D&gt;&lt;D xsi:type="xsd:double"&gt;-2.1229327&lt;/D&gt;&lt;D xsi:type="xsd:double"&gt;6.995499&lt;/D&gt;&lt;D xsi:type="xsd:double"&gt;-0.8933246&lt;/D&gt;&lt;D xsi:type="xsd:double"&gt;11.774707&lt;/D&gt;&lt;D xsi:type="xsd:double"&gt;4.5534015&lt;/D&gt;&lt;D xsi:type="xsd:double"&gt;0.94521046&lt;/D&gt;&lt;D xsi:type="xsd:double"&gt;1.0166049&lt;/D&gt;&lt;D xsi:type="xsd:double"&gt;-5.8680534&lt;/D&gt;&lt;D xsi:type="xsd:double"&gt;3.6036253&lt;/D&gt;&lt;D xsi:type="xsd:double"&gt;6.045532&lt;/D&gt;&lt;D xsi:type="xsd:double"&gt;2.408111&lt;/D&gt;&lt;D xsi:type="xsd:double"&gt;7.70216&lt;/D&gt;&lt;D xsi:type="xsd:double"&gt;3.8693666&lt;/D&gt;&lt;D xsi:type="xsd:double"&gt;-0.65762997&lt;/D&gt;&lt;D xsi:type="xsd:double"&gt;-1.4973998&lt;/D&gt;&lt;D xsi:type="xsd:double"&gt;4.0529966&lt;/D&gt;&lt;D xsi:type="xsd:double"&gt;8.540368&lt;/D&gt;&lt;D xsi:type="xsd:double"&gt;-8.612335&lt;/D&gt;&lt;D xsi:type="xsd:double"&gt;2.910304&lt;/D&gt;&lt;D xsi:type="xsd:double"&gt;4.429269&lt;/D&gt;&lt;/FQL&gt;&lt;FQL&gt;&lt;Q&gt;EWU^FG_TOTAL_RETURNC(-10AY,0,AM)&lt;/Q&gt;&lt;R&gt;121&lt;/R&gt;&lt;C&gt;1&lt;/C&gt;&lt;D xsi:type="xsd:double"&gt;-8.118618&lt;/D&gt;&lt;D xsi:type="xsd:double"&gt;-0.7407367&lt;/D&gt;&lt;D xsi:type="xsd:double"&gt;2.2654533&lt;/D&gt;&lt;D xsi:type="xsd:double"&gt;-5.068988&lt;/D&gt;&lt;D xsi:type="xsd:double"&gt;4.4232845&lt;/D&gt;&lt;D xsi:type="xsd:double"&gt;1.6085863&lt;/D&gt;&lt;D xsi:type="xsd:double"&gt;-3.8522482&lt;/D&gt;&lt;D xsi:type="xsd:double"&gt;5.488479&lt;/D&gt;&lt;D xsi:type="xsd:double"&gt;0&lt;/D&gt;&lt;D xsi:type="xsd:double"&gt;-2.6275814&lt;/D&gt;&lt;D xsi:type="xsd:double"&gt;0.2720356&lt;/D&gt;&lt;D xsi:type="xsd:double"&gt;-9.169835&lt;/D&gt;&lt;D xsi:type="xsd:double"&gt;0.89606047&lt;/D&gt;&lt;D xsi:type="xsd:double"&gt;4.4404984&lt;/D&gt;&lt;D xsi:type="xsd:double"&gt;-4.2517004&lt;/D&gt;&lt;D xsi:type="xsd:double"&gt;-2.5323749&lt;/D&gt;&lt;D xsi:type="xsd:double"&gt;-6.257743&lt;/D&gt;&lt;D xsi:type="xsd:double"&gt;2.2471905&lt;/D&gt;&lt;D xsi:type="xsd:double"&gt;0.38784742&lt;/D&gt;&lt;D xsi:type="xsd:double"&gt;3.3483505&lt;/D&gt;&lt;D xsi:type="xsd:double"&gt;1.370728&lt;/D&gt;&lt;D xsi:type="xsd:double"&gt;-3.200543&lt;/D&gt;&lt;D xsi:type="xsd:double"&gt;0.91086626&lt;/D&gt;&lt;D xsi:type="xsd:double"&gt;4.4487476&lt;/D&gt;&lt;D xsi:type="xsd:double"&gt;-2.2839546&lt;/D&gt;&lt;D xsi:type="xsd:double"&gt;-6.0012636&lt;/D&gt;&lt;D xsi:type="xsd:double"&gt;1.982522&lt;/D&gt;&lt;D xsi:type="xsd:double"&gt;2.9213905&lt;/D&gt;&lt;D xsi:type="xsd:double"&gt;2.2395372&lt;/D&gt;&lt;D xsi:type="xsd:double"&gt;1.6825318&lt;/D&gt;&lt;D xsi:type="xsd:double"&gt;0.9990573&lt;/D&gt;&lt;D xsi:type="xsd:double"&gt;2.442038&lt;/D&gt;&lt;D xsi:type="xsd:double"&gt;5.009055&lt;/D&gt;&lt;D xsi:type="xsd:double"&gt;-2.075845&lt;/D&gt;&lt;D xsi:type="xsd:double"&gt;3.180313&lt;/D&gt;&lt;D xsi:type="xsd:double"&gt;-1.163125&lt;/D&gt;&lt;D xsi:type="xsd:double"&gt;2.5301456&lt;/D&gt;&lt;D xsi:type="xsd:double"&gt;0&lt;/D&gt;&lt;D xsi:type="xsd:double"&gt;0.22956133&lt;/D&gt;&lt;D xsi:type="xsd:double"&gt;5.273211&lt;/D&gt;&lt;D xsi:type="xsd:double"&gt;0.49875975&lt;/D&gt;&lt;D xsi:type="xsd:double"&gt;-5.238491&lt;/D&gt;&lt;D xsi:type="xsd:double"&gt;0.84376335&lt;/D&gt;&lt;D xsi:type="xsd:double"&gt;3.8084269&lt;/D&gt;&lt;D xsi:type="xsd:double"&gt;0.80600977&lt;/D&gt;&lt;D xsi:type="xsd:double"&gt;-2.6740134&lt;/D&gt;&lt;D xsi:type="xsd:double"&gt;0.02900362&lt;/D&gt;&lt;D xsi:type="xsd:double"&gt;-2.667445&lt;/D&gt;&lt;D xsi:type="xsd:double"&gt;1.4298439&lt;/D&gt;&lt;D xsi:type="xsd:double"&gt;-5.256981&lt;/D&gt;&lt;D xsi:type="xsd:double"&gt;-1.6429007&lt;/D&gt;&lt;D xsi:type="xsd:double"&gt;-6.122768&lt;/D&gt;&lt;D xsi:type="xsd:double"&gt;8.404803&lt;/D&gt;&lt;D xsi:type="xsd:double"&gt;3.259492&lt;/D&gt;&lt;D xsi:type="xsd:double"&gt;3.7082434&lt;/D&gt;&lt;D xsi:type="xsd:double"&gt;0.08864403&lt;/D&gt;&lt;D xsi:type="xsd:double"&gt;-6.2296987&lt;/D&gt;&lt;D xsi:type="xsd:double"&gt;5.860257&lt;/D&gt;&lt;D xsi:type="xsd:double"&gt;-6.314826&lt;/D&gt;&lt;D xsi:type="xsd:double"&gt;-1.2699425&lt;/D&gt;&lt;D xsi:type="xsd:double"&gt;0.13192892&lt;/D&gt;&lt;D xsi:type="xsd:double"&gt;7.6416373&lt;/D&gt;&lt;D xsi:type="xsd:double"&gt;-1.1321902&lt;/D&gt;&lt;D xsi:type="xsd:double"&gt;6.5690637&lt;/D&gt;&lt;D xsi:type="xsd:double"&gt;-4.2848706&lt;/D&gt;&lt;D xsi:type="xsd:double"&gt;-9.972215&lt;/D&gt;&lt;D xsi:type="xsd:double"&gt;-22.66804&lt;/D&gt;&lt;D xsi:type="xsd:double"&gt;9.046566&lt;/D&gt;&lt;D xsi:type="xsd:double"&gt;11.63075&lt;/D&gt;&lt;D xsi:type="xsd:double"&gt;-3.328836&lt;/D&gt;&lt;D xsi:type="xsd:double"&gt;0.99464655&lt;/D&gt;&lt;D xsi:type="xsd:double"&gt;-1.2499988&lt;/D&gt;&lt;D xsi:type="xsd:double"&gt;-1.2658238&lt;/D&gt;&lt;D xsi:type="xsd:double"&gt;-1.6705513&lt;/D&gt;&lt;D xsi:type="xsd:double"&gt;16.712772&lt;/D&gt;&lt;D xsi:type="xsd:double"&gt;0.28973818&lt;/D&gt;&lt;D xsi:type="xsd:double"&gt;1.4680743&lt;/D&gt;&lt;D xsi:type="xsd:double"&gt;4.643345&lt;/D&gt;&lt;D xsi:type="xsd:double"&gt;1.8327951&lt;/D&gt;&lt;D xsi:type="xsd:double"&gt;4.1995525&lt;/D&gt;&lt;D xsi:type="xsd:double"&gt;2.7575731&lt;/D&gt;&lt;D xsi:type="xsd:double"&gt;-0.91928244&lt;/D&gt;&lt;D xsi:type="xsd:double"&gt;0.7566571&lt;/D&gt;&lt;D xsi:type="xsd:double"&gt;0.5407095&lt;/D&gt;&lt;D xsi:type="xsd:double"&gt;-3.226775&lt;/D&gt;&lt;D xsi:type="xsd:double"&gt;4.322326&lt;/D&gt;&lt;D xsi:type="xsd:double"&gt;-4.557562&lt;/D&gt;&lt;D xsi:type="xsd:double"&gt;6.831157&lt;/D&gt;&lt;D xsi:type="xsd:double"&gt;2.1175146&lt;/D&gt;&lt;D xsi:type="xsd:double"&gt;-4.2348146&lt;/D&gt;&lt;D xsi:type="xsd:double"&gt;3.4766674&lt;/D&gt;&lt;D xsi:type="xsd:double"&gt;-3.9493084&lt;/D&gt;&lt;D xsi:type="xsd:double"&gt;0.88984966&lt;/D&gt;&lt;D xsi:type="xsd:double"&gt;-7.4246764&lt;/D&gt;&lt;D xsi:type="xsd:double"&gt;3.077948&lt;/D&gt;&lt;D xsi:type="xsd:double"&gt;-7.7896776&lt;/D&gt;&lt;D xsi:type="xsd:double"&gt;-5.420625&lt;/D&gt;&lt;D xsi:type="xsd:double"&gt;2.8656483&lt;/D&gt;&lt;D xsi:type="xsd:double"&gt;15.41245&lt;/D&gt;&lt;D xsi:type="xsd:double"&gt;-2.0990372&lt;/D&gt;&lt;D xsi:type="xsd:double"&gt;4.712379&lt;/D&gt;&lt;D xsi:type="xsd:double"&gt;1.5518308&lt;/D&gt;&lt;D xsi:type="xsd:double"&gt;0.03055334&lt;/D&gt;&lt;D xsi:type="xsd:double"&gt;2.13871&lt;/D&gt;&lt;D xsi:type="xsd:double"&gt;-2.393055&lt;/D&gt;&lt;D xsi:type="xsd:double"&gt;0.6303668&lt;/D&gt;&lt;D xsi:type="xsd:double"&gt;0.4967451&lt;/D&gt;&lt;D xsi:type="xsd:double"&gt;-0.9576678&lt;/D&gt;&lt;D xsi:type="xsd:double"&gt;-3.7117898&lt;/D&gt;&lt;D xsi:type="xsd:double"&gt;1.4901161&lt;/D&gt;&lt;D xsi:type="xsd:double"&gt;4.9473405&lt;/D&gt;&lt;D xsi:type="xsd:double"&gt;1.8665671&lt;/D&gt;&lt;D xsi:type="xsd:double"&gt;-0.8552313&lt;/D&gt;&lt;D xsi:type="xsd:double"&gt;1.4171243&lt;/D&gt;&lt;D xsi:type="xsd:double"&gt;3.8274646&lt;/D&gt;&lt;D xsi:type="xsd:double"&gt;3.393793&lt;/D&gt;&lt;D xsi:type="xsd:double"&gt;2.4901032&lt;/D&gt;&lt;D xsi:type="xsd:double"&gt;-0.85662603&lt;/D&gt;&lt;D xsi:type="xsd:double"&gt;0.7098198&lt;/D&gt;&lt;D xsi:type="xsd:double"&gt;3.7778378&lt;/D&gt;&lt;D xsi:type="xsd:double"&gt;0.054335594&lt;/D&gt;&lt;/FQL&gt;&lt;FQL&gt;&lt;Q&gt;EWL^FG_TOTAL_RETURNC(-10AY,0,AM)&lt;/Q&gt;&lt;R&gt;121&lt;/R&gt;&lt;C&gt;1&lt;/C&gt;&lt;D xsi:type="xsd:double"&gt;-7.075751&lt;/D&gt;&lt;D xsi:type="xsd:double"&gt;0.7898927&lt;/D&gt;&lt;D xsi:type="xsd:double"&gt;3.3855796&lt;/D&gt;&lt;D xsi:type="xsd:double"&gt;-4.3966&lt;/D&gt;&lt;D xsi:type="xsd:double"&gt;2.4104&lt;/D&gt;&lt;D xsi:type="xsd:double"&gt;2.3536682&lt;/D&gt;&lt;D xsi:type="xsd:double"&gt;2.2995472&lt;/D&gt;&lt;D xsi:type="xsd:double"&gt;3.6379695&lt;/D&gt;&lt;D xsi:type="xsd:double"&gt;1.1415482&lt;/D&gt;&lt;D xsi:type="xsd:double"&gt;-4.1986647&lt;/D&gt;&lt;D xsi:type="xsd:double"&gt;2.7442694&lt;/D&gt;&lt;D xsi:type="xsd:double"&gt;-7.7487526&lt;/D&gt;&lt;D xsi:type="xsd:double"&gt;-1.3999403&lt;/D&gt;&lt;D xsi:type="xsd:double"&gt;3.2913804&lt;/D&gt;&lt;D xsi:type="xsd:double"&gt;-2.4054945&lt;/D&gt;&lt;D xsi:type="xsd:double"&gt;-0.64020157&lt;/D&gt;&lt;D xsi:type="xsd:double"&gt;-6.1855674&lt;/D&gt;&lt;D xsi:type="xsd:double"&gt;0.89285374&lt;/D&gt;&lt;D xsi:type="xsd:double"&gt;0.6466985&lt;/D&gt;&lt;D xsi:type="xsd:double"&gt;3.0436277&lt;/D&gt;&lt;D xsi:type="xsd:double"&gt;1.5096903&lt;/D&gt;&lt;D xsi:type="xsd:double"&gt;-1.0553479&lt;/D&gt;&lt;D xsi:type="xsd:double"&gt;-0.06708503&lt;/D&gt;&lt;D xsi:type="xsd:double"&gt;2.7861714&lt;/D&gt;&lt;D xsi:type="xsd:double"&gt;-0.45722127&lt;/D&gt;&lt;D xsi:type="xsd:double"&gt;-5.80709&lt;/D&gt;&lt;D xsi:type="xsd:double"&gt;-1.3932407&lt;/D&gt;&lt;D xsi:type="xsd:double"&gt;4.515898&lt;/D&gt;&lt;D xsi:type="xsd:double"&gt;4.1596174&lt;/D&gt;&lt;D xsi:type="xsd:double"&gt;2.1753192&lt;/D&gt;&lt;D xsi:type="xsd:double"&gt;1.5888095&lt;/D&gt;&lt;D xsi:type="xsd:double"&gt;5.1610827&lt;/D&gt;&lt;D xsi:type="xsd:double"&gt;5.2349806&lt;/D&gt;&lt;D xsi:type="xsd:double"&gt;-0.8931458&lt;/D&gt;&lt;D xsi:type="xsd:double"&gt;1.1360288&lt;/D&gt;&lt;D xsi:type="xsd:double"&gt;-1.324892&lt;/D&gt;&lt;D xsi:type="xsd:double"&gt;2.8604865&lt;/D&gt;&lt;D xsi:type="xsd:double"&gt;-1.7309904&lt;/D&gt;&lt;D xsi:type="xsd:double"&gt;1.4438391&lt;/D&gt;&lt;D xsi:type="xsd:double"&gt;2.1918654&lt;/D&gt;&lt;D xsi:type="xsd:double"&gt;1.8105745&lt;/D&gt;&lt;D xsi:type="xsd:double"&gt;-5.991787&lt;/D&gt;&lt;D xsi:type="xsd:double"&gt;-1.4260828&lt;/D&gt;&lt;D xsi:type="xsd:double"&gt;0.47239065&lt;/D&gt;&lt;D xsi:type="xsd:double"&gt;-0.9403467&lt;/D&gt;&lt;D xsi:type="xsd:double"&gt;-0.62446&lt;/D&gt;&lt;D xsi:type="xsd:double"&gt;5.9057593&lt;/D&gt;&lt;D xsi:type="xsd:double"&gt;0.46229362&lt;/D&gt;&lt;D xsi:type="xsd:double"&gt;-0.37388802&lt;/D&gt;&lt;D xsi:type="xsd:double"&gt;-4.1281757&lt;/D&gt;&lt;D xsi:type="xsd:double"&gt;1.0237932&lt;/D&gt;&lt;D xsi:type="xsd:double"&gt;-6.825632&lt;/D&gt;&lt;D xsi:type="xsd:double"&gt;6.174016&lt;/D&gt;&lt;D xsi:type="xsd:double"&gt;4.9111247&lt;/D&gt;&lt;D xsi:type="xsd:double"&gt;2.6421666&lt;/D&gt;&lt;D xsi:type="xsd:double"&gt;1.5388846&lt;/D&gt;&lt;D xsi:type="xsd:double"&gt;0.55111647&lt;/D&gt;&lt;D xsi:type="xsd:double"&gt;5.858612&lt;/D&gt;&lt;D xsi:type="xsd:double"&gt;-1.5852034&lt;/D&gt;&lt;D xsi:type="xsd:double"&gt;-0.080531836&lt;/D&gt;&lt;D xsi:type="xsd:double"&gt;-1.6926408&lt;/D&gt;&lt;D xsi:type="xsd:double"&gt;5.793929&lt;/D&gt;&lt;D xsi:type="xsd:double"&gt;-0.25832653&lt;/D&gt;&lt;D xsi:type="xsd:double"&gt;5.387199&lt;/D&gt;&lt;D xsi:type="xsd:double"&gt;0.22118092&lt;/D&gt;&lt;D xsi:type="xsd:double"&gt;-4.855323&lt;/D&gt;&lt;D xsi:type="xsd:double"&gt;-10.463911&lt;/D&gt;&lt;D xsi:type="xsd:double"&gt;4.7495604&lt;/D&gt;&lt;D xsi:type="xsd:double"&gt;8.876061&lt;/D&gt;&lt;D xsi:type="xsd:double"&gt;1.3182402&lt;/D&gt;&lt;D xsi:type="xsd:double"&gt;4.227841&lt;/D&gt;&lt;D xsi:type="xsd:double"&gt;0.7043958&lt;/D&gt;&lt;D xsi:type="xsd:double"&gt;0.048244&lt;/D&gt;&lt;D xsi:type="xsd:double"&gt;-1.6875625&lt;/D&gt;&lt;D xsi:type="xsd:double"&gt;5.4683685&lt;/D&gt;&lt;D xsi:type="xsd:double"&gt;3.9371014&lt;/D&gt;&lt;D xsi:type="xsd:double"&gt;-0.11190772&lt;/D&gt;&lt;D xsi:type="xsd:double"&gt;-2.5095284&lt;/D&gt;&lt;D xsi:type="xsd:double"&gt;3.3095956&lt;/D&gt;&lt;D xsi:type="xsd:double"&gt;4.0044427&lt;/D&gt;&lt;D xsi:type="xsd:double"&gt;4.663098&lt;/D&gt;&lt;D xsi:type="xsd:double"&gt;1.9069195&lt;/D&gt;&lt;D xsi:type="xsd:double"&gt;3.513074&lt;/D&gt;&lt;D xsi:type="xsd:double"&gt;0.118386745&lt;/D&gt;&lt;D xsi:type="xsd:double"&gt;-7.41033&lt;/D&gt;&lt;D xsi:type="xsd:double"&gt;8.833551&lt;/D&gt;&lt;D xsi:type="xsd:double"&gt;-2.9532611&lt;/D&gt;&lt;D xsi:type="xsd:double"&gt;6.6102386&lt;/D&gt;&lt;D xsi:type="xsd:double"&gt;-7.4102106&lt;/D&gt;&lt;D xsi:type="xsd:double"&gt;-3.919965&lt;/D&gt;&lt;D xsi:type="xsd:double"&gt;5.206108&lt;/D&gt;&lt;D xsi:type="xsd:double"&gt;-7.109666&lt;/D&gt;&lt;D xsi:type="xsd:double"&gt;-2.2613645&lt;/D&gt;&lt;D xsi:type="xsd:double"&gt;-5.6098995&lt;/D&gt;&lt;D xsi:type="xsd:double"&gt;3.4872413&lt;/D&gt;&lt;D xsi:type="xsd:double"&gt;-7.0183635&lt;/D&gt;&lt;D xsi:type="xsd:double"&gt;-6.073475&lt;/D&gt;&lt;D xsi:type="xsd:double"&gt;1.1974335&lt;/D&gt;&lt;D xsi:type="xsd:double"&gt;14.120436&lt;/D&gt;&lt;D xsi:type="xsd:double"&gt;-1.8894017&lt;/D&gt;&lt;D xsi:type="xsd:double"&gt;5.8243275&lt;/D&gt;&lt;D xsi:type="xsd:double"&gt;-2.0195305&lt;/D&gt;&lt;D xsi:type="xsd:double"&gt;2.9898047&lt;/D&gt;&lt;D xsi:type="xsd:double"&gt;6.751704&lt;/D&gt;&lt;D xsi:type="xsd:double"&gt;-2.7812183&lt;/D&gt;&lt;D xsi:type="xsd:double"&gt;-0.50671697&lt;/D&gt;&lt;D xsi:type="xsd:double"&gt;1.3066292&lt;/D&gt;&lt;D xsi:type="xsd:double"&gt;-1.2682736&lt;/D&gt;&lt;D xsi:type="xsd:double"&gt;-7.206619&lt;/D&gt;&lt;D xsi:type="xsd:double"&gt;1.3373971&lt;/D&gt;&lt;D xsi:type="xsd:double"&gt;6.112528&lt;/D&gt;&lt;D xsi:type="xsd:double"&gt;4.2984843&lt;/D&gt;&lt;D xsi:type="xsd:double"&gt;-0.9832561&lt;/D&gt;&lt;D xsi:type="xsd:double"&gt;-0.50708055&lt;/D&gt;&lt;D xsi:type="xsd:double"&gt;-0.297302&lt;/D&gt;&lt;D xsi:type="xsd:double"&gt;-1.53355&lt;/D&gt;&lt;D xsi:type="xsd:double"&gt;6.705606&lt;/D&gt;&lt;D xsi:type="xsd:double"&gt;0.028049946&lt;/D&gt;&lt;D xsi:type="xsd:double"&gt;3.4760952&lt;/D&gt;&lt;D xsi:type="xsd:double"&gt;4.2191625&lt;/D&gt;&lt;D xsi:type="xsd:double"&gt;-2.2256315&lt;/D&gt;&lt;/FQL&gt;&lt;FQL&gt;&lt;Q&gt;EWJ^FG_TOTAL_RETURNC(-10AY,0,AM)&lt;/Q&gt;&lt;R&gt;121&lt;/R&gt;&lt;C&gt;1&lt;/C&gt;&lt;D xsi:type="xsd:double"&gt;-3.6043584&lt;/D&gt;&lt;D xsi:type="xsd:double"&gt;5.565226&lt;/D&gt;&lt;D xsi:type="xsd:double"&gt;-3.088963&lt;/D&gt;&lt;D xsi:type="xsd:double"&gt;-3.7291825&lt;/D&gt;&lt;D xsi:type="xsd:double"&gt;2.9307246&lt;/D&gt;&lt;D xsi:type="xsd:double"&gt;6.29853&lt;/D&gt;&lt;D xsi:type="xsd:double"&gt;3.0032516&lt;/D&gt;&lt;D xsi:type="xsd:double"&gt;2.6004791&lt;/D&gt;&lt;D xsi:type="xsd:double"&gt;0.84484816&lt;/D&gt;&lt;D xsi:type="xsd:double"&gt;-1.2560308&lt;/D&gt;&lt;D xsi:type="xsd:double"&gt;-0.15503764&lt;/D&gt;&lt;D xsi:type="xsd:double"&gt;-7.8416166&lt;/D&gt;&lt;D xsi:type="xsd:double"&gt;-1.8534124&lt;/D&gt;&lt;D xsi:type="xsd:double"&gt;6.4377666&lt;/D&gt;&lt;D xsi:type="xsd:double"&gt;-0.40321946&lt;/D&gt;&lt;D xsi:type="xsd:double"&gt;-1.1479139&lt;/D&gt;&lt;D xsi:type="xsd:double"&gt;-7.838285&lt;/D&gt;&lt;D xsi:type="xsd:double"&gt;2.0590782&lt;/D&gt;&lt;D xsi:type="xsd:double"&gt;-2.3684144&lt;/D&gt;&lt;D xsi:type="xsd:double"&gt;3.5040498&lt;/D&gt;&lt;D xsi:type="xsd:double"&gt;1.8229127&lt;/D&gt;&lt;D xsi:type="xsd:double"&gt;-1.3546884&lt;/D&gt;&lt;D xsi:type="xsd:double"&gt;3.5714388&lt;/D&gt;&lt;D xsi:type="xsd:double"&gt;4.793942&lt;/D&gt;&lt;D xsi:type="xsd:double"&gt;0.32103062&lt;/D&gt;&lt;D xsi:type="xsd:double"&gt;0.23999214&lt;/D&gt;&lt;D xsi:type="xsd:double"&gt;-0.99760294&lt;/D&gt;&lt;D xsi:type="xsd:double"&gt;0.43884516&lt;/D&gt;&lt;D xsi:type="xsd:double"&gt;3.6337852&lt;/D&gt;&lt;D xsi:type="xsd:double"&gt;0.6268382&lt;/D&gt;&lt;D xsi:type="xsd:double"&gt;0.7591963&lt;/D&gt;&lt;D xsi:type="xsd:double"&gt;1.1398792&lt;/D&gt;&lt;D xsi:type="xsd:double"&gt;4.8710704&lt;/D&gt;&lt;D xsi:type="xsd:double"&gt;-2.1239758&lt;/D&gt;&lt;D xsi:type="xsd:double"&gt;3.3714175&lt;/D&gt;&lt;D xsi:type="xsd:double"&gt;-1.2683392&lt;/D&gt;&lt;D xsi:type="xsd:double"&gt;2.8445601&lt;/D&gt;&lt;D xsi:type="xsd:double"&gt;5.6209803&lt;/D&gt;&lt;D xsi:type="xsd:double"&gt;0.76026917&lt;/D&gt;&lt;D xsi:type="xsd:double"&gt;3.1682134&lt;/D&gt;&lt;D xsi:type="xsd:double"&gt;1.9633532&lt;/D&gt;&lt;D xsi:type="xsd:double"&gt;-3.770858&lt;/D&gt;&lt;D xsi:type="xsd:double"&gt;0.4001975&lt;/D&gt;&lt;D xsi:type="xsd:double"&gt;0.13287067&lt;/D&gt;&lt;D xsi:type="xsd:double"&gt;-0.23220778&lt;/D&gt;&lt;D xsi:type="xsd:double"&gt;-4.628807&lt;/D&gt;&lt;D xsi:type="xsd:double"&gt;2.8988123&lt;/D&gt;&lt;D xsi:type="xsd:double"&gt;-0.5975723&lt;/D&gt;&lt;D xsi:type="xsd:double"&gt;3.0058384&lt;/D&gt;&lt;D xsi:type="xsd:double"&gt;-8.254128&lt;/D&gt;&lt;D xsi:type="xsd:double"&gt;1.9447446&lt;/D&gt;&lt;D xsi:type="xsd:double"&gt;-8.818674&lt;/D&gt;&lt;D xsi:type="xsd:double"&gt;6.5221667&lt;/D&gt;&lt;D xsi:type="xsd:double"&gt;0.850904&lt;/D&gt;&lt;D xsi:type="xsd:double"&gt;1.5407205&lt;/D&gt;&lt;D xsi:type="xsd:double"&gt;1.0838151&lt;/D&gt;&lt;D xsi:type="xsd:double"&gt;-5.235881&lt;/D&gt;&lt;D xsi:type="xsd:double"&gt;5.9695125&lt;/D&gt;&lt;D xsi:type="xsd:double"&gt;-2.92691&lt;/D&gt;&lt;D xsi:type="xsd:double"&gt;-0.20347834&lt;/D&gt;&lt;D xsi:type="xsd:double"&gt;3.9295673&lt;/D&gt;&lt;D xsi:type="xsd:double"&gt;5.689311&lt;/D&gt;&lt;D xsi:type="xsd:double"&gt;0.47249794&lt;/D&gt;&lt;D xsi:type="xsd:double"&gt;0.6097555&lt;/D&gt;&lt;D xsi:type="xsd:double"&gt;-1.7060876&lt;/D&gt;&lt;D xsi:type="xsd:double"&gt;-9.02217&lt;/D&gt;&lt;D xsi:type="xsd:double"&gt;-12.032485&lt;/D&gt;&lt;D xsi:type="xsd:double"&gt;9.1</t>
        </r>
      </text>
    </comment>
    <comment ref="A6" authorId="0" shapeId="0" xr:uid="{FECE33DF-1C78-48D2-A753-75F7483BEE24}">
      <text>
        <r>
          <rPr>
            <b/>
            <sz val="9"/>
            <color indexed="81"/>
            <rFont val="Tahoma"/>
            <charset val="1"/>
          </rPr>
          <t>90464&lt;/D&gt;&lt;D xsi:type="xsd:double"&gt;11.878073&lt;/D&gt;&lt;D xsi:type="xsd:double"&gt;-2.245897&lt;/D&gt;&lt;D xsi:type="xsd:double"&gt;0.48940182&lt;/D&gt;&lt;D xsi:type="xsd:double"&gt;4.13059&lt;/D&gt;&lt;D xsi:type="xsd:double"&gt;1.836133&lt;/D&gt;&lt;D xsi:type="xsd:double"&gt;2.2112608&lt;/D&gt;&lt;D xsi:type="xsd:double"&gt;9.435844&lt;/D&gt;&lt;D xsi:type="xsd:double"&gt;3.1398058&lt;/D&gt;&lt;D xsi:type="xsd:double"&gt;1.5837789&lt;/D&gt;&lt;D xsi:type="xsd:double"&gt;-0.53911805&lt;/D&gt;&lt;D xsi:type="xsd:double"&gt;1.2891889&lt;/D&gt;&lt;D xsi:type="xsd:double"&gt;-1.330632&lt;/D&gt;&lt;D xsi:type="xsd:double"&gt;0.85018873&lt;/D&gt;&lt;D xsi:type="xsd:double"&gt;-0.5690813&lt;/D&gt;&lt;D xsi:type="xsd:double"&gt;0.51538944&lt;/D&gt;&lt;D xsi:type="xsd:double"&gt;5.200696&lt;/D&gt;&lt;D xsi:type="xsd:double"&gt;-2.6180148&lt;/D&gt;&lt;D xsi:type="xsd:double"&gt;-0.22880435&lt;/D&gt;&lt;D xsi:type="xsd:double"&gt;-3.4542024&lt;/D&gt;&lt;D xsi:type="xsd:double"&gt;0.83134174&lt;/D&gt;&lt;D xsi:type="xsd:double"&gt;-4.9380836&lt;/D&gt;&lt;D xsi:type="xsd:double"&gt;-2.7306974&lt;/D&gt;&lt;D xsi:type="xsd:double"&gt;-0.080668926&lt;/D&gt;&lt;D xsi:type="xsd:double"&gt;-7.879865&lt;/D&gt;&lt;D xsi:type="xsd:double"&gt;-0.07011294&lt;/D&gt;&lt;D xsi:type="xsd:double"&gt;-6.0357866&lt;/D&gt;&lt;D xsi:type="xsd:double"&gt;4.9387336&lt;/D&gt;&lt;D xsi:type="xsd:double"&gt;-5.927789&lt;/D&gt;&lt;D xsi:type="xsd:double"&gt;-5.041051&lt;/D&gt;&lt;D xsi:type="xsd:double"&gt;0.34184456&lt;/D&gt;&lt;D xsi:type="xsd:double"&gt;12.084162&lt;/D&gt;&lt;D xsi:type="xsd:double"&gt;-1.9818187&lt;/D&gt;&lt;D xsi:type="xsd:double"&gt;6.1425924&lt;/D&gt;&lt;D xsi:type="xsd:double"&gt;-1.1712015&lt;/D&gt;&lt;D xsi:type="xsd:double"&gt;2.7535677&lt;/D&gt;&lt;D xsi:type="xsd:double"&gt;-0.55969954&lt;/D&gt;&lt;D xsi:type="xsd:double"&gt;5.7479143&lt;/D&gt;&lt;D xsi:type="xsd:double"&gt;0.8521676&lt;/D&gt;&lt;D xsi:type="xsd:double"&gt;-1.4495134&lt;/D&gt;&lt;D xsi:type="xsd:double"&gt;1.389122&lt;/D&gt;&lt;D xsi:type="xsd:double"&gt;-5.3352714&lt;/D&gt;&lt;D xsi:type="xsd:double"&gt;5.5678487&lt;/D&gt;&lt;D xsi:type="xsd:double"&gt;1.951611&lt;/D&gt;&lt;D xsi:type="xsd:double"&gt;1.4095068&lt;/D&gt;&lt;D xsi:type="xsd:double"&gt;5.2206993&lt;/D&gt;&lt;D xsi:type="xsd:double"&gt;5.7434916&lt;/D&gt;&lt;D xsi:type="xsd:double"&gt;0.099527836&lt;/D&gt;&lt;D xsi:type="xsd:double"&gt;-1.6193151&lt;/D&gt;&lt;D xsi:type="xsd:double"&gt;0.20213127&lt;/D&gt;&lt;D xsi:type="xsd:double"&gt;0.87800026&lt;/D&gt;&lt;D xsi:type="xsd:double"&gt;-6.965023&lt;/D&gt;&lt;D xsi:type="xsd:double"&gt;9.651971&lt;/D&gt;&lt;D xsi:type="xsd:double"&gt;0.084638596&lt;/D&gt;&lt;/FQL&gt;&lt;FQL&gt;&lt;Q&gt;EWG^FG_TOTAL_RETURNC(-10AY,0,AM)&lt;/Q&gt;&lt;R&gt;121&lt;/R&gt;&lt;C&gt;1&lt;/C&gt;&lt;D xsi:type="xsd:double"&gt;-7.935965&lt;/D&gt;&lt;D xsi:type="xsd:double"&gt;-0.33296347&lt;/D&gt;&lt;D xsi:type="xsd:double"&gt;6.0504794&lt;/D&gt;&lt;D xsi:type="xsd:double"&gt;-4.5152245&lt;/D&gt;&lt;D xsi:type="xsd:double"&gt;7.11143&lt;/D&gt;&lt;D xsi:type="xsd:double"&gt;0.92402697&lt;/D&gt;&lt;D xsi:type="xsd:double"&gt;2.8484225&lt;/D&gt;&lt;D xsi:type="xsd:double"&gt;-1.0880291&lt;/D&gt;&lt;D xsi:type="xsd:double"&gt;-0.8666694&lt;/D&gt;&lt;D xsi:type="xsd:double"&gt;-4.1141567&lt;/D&gt;&lt;D xsi:type="xsd:double"&gt;1.7838001&lt;/D&gt;&lt;D xsi:type="xsd:double"&gt;-8.4122&lt;/D&gt;&lt;D xsi:type="xsd:double"&gt;-4.860306&lt;/D&gt;&lt;D xsi:type="xsd:double"&gt;9.935641&lt;/D&gt;&lt;D xsi:type="xsd:double"&gt;-2.4149299&lt;/D&gt;&lt;D xsi:type="xsd:double"&gt;-1.7997742&lt;/D&gt;&lt;D xsi:type="xsd:double"&gt;-7.789236&lt;/D&gt;&lt;D xsi:type="xsd:double"&gt;1.2836456&lt;/D&gt;&lt;D xsi:type="xsd:double"&gt;4.3336153&lt;/D&gt;&lt;D xsi:type="xsd:double"&gt;2.0376205&lt;/D&gt;&lt;D xsi:type="xsd:double"&gt;0.30721426&lt;/D&gt;&lt;D xsi:type="xsd:double"&gt;-5.413061&lt;/D&gt;&lt;D xsi:type="xsd:double"&gt;4.850745&lt;/D&gt;&lt;D xsi:type="xsd:double"&gt;4.9426675&lt;/D&gt;&lt;D xsi:type="xsd:double"&gt;-1.4318049&lt;/D&gt;&lt;D xsi:type="xsd:double"&gt;-3.0198753&lt;/D&gt;&lt;D xsi:type="xsd:double"&gt;-2.4832547&lt;/D&gt;&lt;D xsi:type="xsd:double"&gt;7.150793&lt;/D&gt;&lt;D xsi:type="xsd:double"&gt;4.3396235&lt;/D&gt;&lt;D xsi:type="xsd:double"&gt;1.2296557&lt;/D&gt;&lt;D xsi:type="xsd:double"&gt;2.5723457&lt;/D&gt;&lt;D xsi:type="xsd:double"&gt;4.179728&lt;/D&gt;&lt;D xsi:type="xsd:double"&gt;5.95119&lt;/D&gt;&lt;D xsi:type="xsd:double"&gt;-2.55633&lt;/D&gt;&lt;D xsi:type="xsd:double"&gt;2.0138621&lt;/D&gt;&lt;D xsi:type="xsd:double"&gt;-0.16180873&lt;/D&gt;&lt;D xsi:type="xsd:double"&gt;5.251217&lt;/D&gt;&lt;D xsi:type="xsd:double"&gt;2.8333783&lt;/D&gt;&lt;D xsi:type="xsd:double"&gt;-1.3177574&lt;/D&gt;&lt;D xsi:type="xsd:double"&gt;1.7128348&lt;/D&gt;&lt;D xsi:type="xsd:double"&gt;1.2862682&lt;/D&gt;&lt;D xsi:type="xsd:double"&gt;-6.054342&lt;/D&gt;&lt;D xsi:type="xsd:double"&gt;-0.15718341&lt;/D&gt;&lt;D xsi:type="xsd:double"&gt;2.865231&lt;/D&gt;&lt;D xsi:type="xsd:double"&gt;-2.6323795&lt;/D&gt;&lt;D xsi:type="xsd:double"&gt;-3.638333&lt;/D&gt;&lt;D xsi:type="xsd:double"&gt;2.5392532&lt;/D&gt;&lt;D xsi:type="xsd:double"&gt;-1.4988601&lt;/D&gt;&lt;D xsi:type="xsd:double"&gt;-1.3562679&lt;/D&gt;&lt;D xsi:type="xsd:double"&gt;-6.8410454&lt;/D&gt;&lt;D xsi:type="xsd:double"&gt;-1.7998576&lt;/D&gt;&lt;D xsi:type="xsd:double"&gt;-8.980942&lt;/D&gt;&lt;D xsi:type="xsd:double"&gt;7.9742193&lt;/D&gt;&lt;D xsi:type="xsd:double"&gt;2.946663&lt;/D&gt;&lt;D xsi:type="xsd:double"&gt;1.0869503&lt;/D&gt;&lt;D xsi:type="xsd:double"&gt;3.7634492&lt;/D&gt;&lt;D xsi:type="xsd:double"&gt;-6.2867045&lt;/D&gt;&lt;D xsi:type="xsd:double"&gt;7.4365854&lt;/D&gt;&lt;D xsi:type="xsd:double"&gt;-6.5209746&lt;/D&gt;&lt;D xsi:type="xsd:double"&gt;-1.4328837&lt;/D&gt;&lt;D xsi:type="xsd:double"&gt;0.15302896&lt;/D&gt;&lt;D xsi:type="xsd:double"&gt;9.931242&lt;/D&gt;&lt;D xsi:type="xsd:double"&gt;0&lt;/D&gt;&lt;D xsi:type="xsd:double"&gt;1.841557&lt;/D&gt;&lt;D xsi:type="xsd:double"&gt;-2.4564981&lt;/D&gt;&lt;D xsi:type="xsd:double"&gt;-8.044767&lt;/D&gt;&lt;D xsi:type="xsd:double"&gt;-22.289848&lt;/D&gt;&lt;D xsi:type="xsd:double"&gt;12.922168&lt;/D&gt;&lt;D xsi:type="xsd:double"&gt;21.022976&lt;/D&gt;&lt;D xsi:type="xsd:double"&gt;-0.2237916&lt;/D&gt;&lt;D xsi:type="xsd:double"&gt;5.1142573&lt;/D&gt;&lt;D xsi:type="xsd:double"&gt;3.209114&lt;/D&gt;&lt;D xsi:type="xsd:double"&gt;-2.4740875&lt;/D&gt;&lt;D xsi:type="xsd:double"&gt;-5.6907773&lt;/D&gt;&lt;D xsi:type="xsd:double"&gt;12.795353&lt;/D&gt;&lt;D xsi:type="xsd:double"&gt;3.6746979&lt;/D&gt;&lt;D xsi:type="xsd:double"&gt;2.1403909&lt;/D&gt;&lt;D xsi:type="xsd:double"&gt;0&lt;/D&gt;&lt;D xsi:type="xsd:double"&gt;4.622495&lt;/D&gt;&lt;D xsi:type="xsd:double"&gt;3.1222343&lt;/D&gt;&lt;D xsi:type="xsd:double"&gt;2.7135134&lt;/D&gt;&lt;D xsi:type="xsd:double"&gt;-1.581496&lt;/D&gt;&lt;D xsi:type="xsd:double"&gt;-0.3448248&lt;/D&gt;&lt;D xsi:type="xsd:double"&gt;1.2687445&lt;/D&gt;&lt;D xsi:type="xsd:double"&gt;-6.2072935&lt;/D&gt;&lt;D xsi:type="xsd:double"&gt;5.2823424&lt;/D&gt;&lt;D xsi:type="xsd:double"&gt;-8.246827&lt;/D&gt;&lt;D xsi:type="xsd:double"&gt;5.112803&lt;/D&gt;&lt;D xsi:type="xsd:double"&gt;-3.2870948&lt;/D&gt;&lt;D xsi:type="xsd:double"&gt;-14.686621&lt;/D&gt;&lt;D xsi:type="xsd:double"&gt;4.568708&lt;/D&gt;&lt;D xsi:type="xsd:double"&gt;-8.773154&lt;/D&gt;&lt;D xsi:type="xsd:double"&gt;4.8658967&lt;/D&gt;&lt;D xsi:type="xsd:double"&gt;-13.255042&lt;/D&gt;&lt;D xsi:type="xsd:double"&gt;2.5618792&lt;/D&gt;&lt;D xsi:type="xsd:double"&gt;-9.610504&lt;/D&gt;&lt;D xsi:type="xsd:double"&gt;-5.2927437&lt;/D&gt;&lt;D xsi:type="xsd:double"&gt;4.5994043&lt;/D&gt;&lt;D xsi:type="xsd:double"&gt;21.702135&lt;/D&gt;&lt;D xsi:type="xsd:double"&gt;-2.25932&lt;/D&gt;&lt;D xsi:type="xsd:double"&gt;13.00199&lt;/D&gt;&lt;D xsi:type="xsd:double"&gt;-1.6889513&lt;/D&gt;&lt;D xsi:type="xsd:double"&gt;2.1116734&lt;/D&gt;&lt;D xsi:type="xsd:double"&gt;2.348411&lt;/D&gt;&lt;D xsi:type="xsd:double"&gt;-2.0205498&lt;/D&gt;&lt;D xsi:type="xsd:double"&gt;2.0994544&lt;/D&gt;&lt;D xsi:type="xsd:double"&gt;-0.94970465&lt;/D&gt;&lt;D xsi:type="xsd:double"&gt;-1.953125&lt;/D&gt;&lt;D xsi:type="xsd:double"&gt;-7.6783776&lt;/D&gt;&lt;D xsi:type="xsd:double"&gt;2.5892496&lt;/D&gt;&lt;D xsi:type="xsd:double"&gt;9.866154&lt;/D&gt;&lt;D xsi:type="xsd:double"&gt;0.6666064&lt;/D&gt;&lt;D xsi:type="xsd:double"&gt;1.071918&lt;/D&gt;&lt;D xsi:type="xsd:double"&gt;5.302775&lt;/D&gt;&lt;D xsi:type="xsd:double"&gt;2.8265119&lt;/D&gt;&lt;D xsi:type="xsd:double"&gt;-2.211684&lt;/D&gt;&lt;D xsi:type="xsd:double"&gt;4.038775&lt;/D&gt;&lt;D xsi:type="xsd:double"&gt;-1.4156878&lt;/D&gt;&lt;D xsi:type="xsd:double"&gt;-2.7114272&lt;/D&gt;&lt;D xsi:type="xsd:double"&gt;6.7352295&lt;/D&gt;&lt;D xsi:type="xsd:double"&gt;2.2381186&lt;/D&gt;&lt;/FQL&gt;&lt;FQL&gt;&lt;Q&gt;EWC^FG_TOTAL_RETURNC(-10AY,0,AM)&lt;/Q&gt;&lt;R&gt;121&lt;/R&gt;&lt;C&gt;1&lt;/C&gt;&lt;D xsi:type="xsd:double"&gt;-8.133536&lt;/D&gt;&lt;D xsi:type="xsd:double"&gt;-2.6759207&lt;/D&gt;&lt;D xsi:type="xsd:double"&gt;1.9348383&lt;/D&gt;&lt;D xsi:type="xsd:double"&gt;-3.1429052&lt;/D&gt;&lt;D xsi:type="xsd:double"&gt;-2.858138&lt;/D&gt;&lt;D xsi:type="xsd:double"&gt;0&lt;/D&gt;&lt;D xsi:type="xsd:double"&gt;-0.86114407&lt;/D&gt;&lt;D xsi:type="xsd:double"&gt;5.4650784&lt;/D&gt;&lt;D xsi:type="xsd:double"&gt;-3.8778305&lt;/D&gt;&lt;D xsi:type="xsd:double"&gt;-3.9430797&lt;/D&gt;&lt;D xsi:type="xsd:double"&gt;-5.468166&lt;/D&gt;&lt;D xsi:type="xsd:double"&gt;-5.9429464&lt;/D&gt;&lt;D xsi:type="xsd:double"&gt;-1.6427934&lt;/D&gt;&lt;D xsi:type="xsd:double"&gt;3.9828658&lt;/D&gt;&lt;D xsi:type="xsd:double"&gt;-5.024719&lt;/D&gt;&lt;D xsi:type="xsd:double"&gt;-5.4986954&lt;/D&gt;&lt;D xsi:type="xsd:double"&gt;-2.7907014&lt;/D&gt;&lt;D xsi:type="xsd:double"&gt;7.1291804&lt;/D&gt;&lt;D xsi:type="xsd:double"&gt;5.448866&lt;/D&gt;&lt;D xsi:type="xsd:double"&gt;4.3201923&lt;/D&gt;&lt;D xsi:type="xsd:double"&gt;1.7052412&lt;/D&gt;&lt;D xsi:type="xsd:double"&gt;-0.09109974&lt;/D&gt;&lt;D xsi:type="xsd:double"&gt;1.0873914&lt;/D&gt;&lt;D xsi:type="xsd:double"&gt;3.027892&lt;/D&gt;&lt;D xsi:type="xsd:double"&gt;-0.8507371&lt;/D&gt;&lt;D xsi:type="xsd:double"&gt;-2.2230864&lt;/D&gt;&lt;D xsi:type="xsd:double"&gt;4.627049&lt;/D&gt;&lt;D xsi:type="xsd:double"&gt;1.2687087&lt;/D&gt;&lt;D xsi:type="xsd:double"&gt;3.6882162&lt;/D&gt;&lt;D xsi:type="xsd:double"&gt;-1.576823&lt;/D&gt;&lt;D xsi:type="xsd:double"&gt;-0.22354722&lt;/D&gt;&lt;D xsi:type="xsd:double"&gt;-2.4271905&lt;/D&gt;&lt;D xsi:type="xsd:double"&gt;0.80367327&lt;/D&gt;&lt;D xsi:type="xsd:double"&gt;3.1214356&lt;/D&gt;&lt;D xsi:type="xsd:double"&gt;3.0809164&lt;/D&gt;&lt;D xsi:type="xsd:double"&gt;1.224339&lt;/D&gt;&lt;D xsi:type="xsd:double"&gt;3.4507275&lt;/D&gt;&lt;D xsi:type="xsd:double"&gt;0.10316372&lt;/D&gt;&lt;D xsi:type="xsd:double"&gt;0.8931637&lt;/D&gt;&lt;D xsi:type="xsd:double"&gt;3.5222292&lt;/D&gt;&lt;D xsi:type="xsd:double"&gt;-3.530985&lt;/D&gt;&lt;D xsi:type="xsd:double"&gt;-5.1104965&lt;/D&gt;&lt;D xsi:type="xsd:double"&gt;-0.5094588&lt;/D&gt;&lt;D xsi:type="xsd:double"&gt;2.816391&lt;/D&gt;&lt;D xsi:type="xsd:double"&gt;2.0988941&lt;/D&gt;&lt;D xsi:type="xsd:double"&gt;-0.119155645&lt;/D&gt;&lt;D xsi:type="xsd:double"&gt;2.812934&lt;/D&gt;&lt;D xsi:type="xsd:double"&gt;-1.5047908&lt;/D&gt;&lt;D xsi:type="xsd:double"&gt;0.5208373&lt;/D&gt;&lt;D xsi:type="xsd:double"&gt;-7.633853&lt;/D&gt;&lt;D xsi:type="xsd:double"&gt;0.63575506&lt;/D&gt;&lt;D xsi:type="xsd:double"&gt;-9.207177&lt;/D&gt;&lt;D xsi:type="xsd:double"&gt;12.900532&lt;/D&gt;&lt;D xsi:type="xsd:double"&gt;2.1747112&lt;/D&gt;&lt;D xsi:type="xsd:double"&gt;1.1183262&lt;/D&gt;&lt;D xsi:type="xsd:double"&gt;1.2486577&lt;/D&gt;&lt;D xsi:type="xsd:double"&gt;-3.4531355&lt;/D&gt;&lt;D xsi:type="xsd:double"&gt;6.8010807&lt;/D&gt;&lt;D xsi:type="xsd:double"&gt;-3.241384&lt;/D&gt;&lt;D xsi:type="xsd:double"&gt;-0.24946332&lt;/D&gt;&lt;D xsi:type="xsd:double"&gt;0.32154322&lt;/D&gt;&lt;D xsi:type="xsd:double"&gt;3.3831954&lt;/D&gt;&lt;D xsi:type="xsd:double"&gt;0.65449476&lt;/D&gt;&lt;D xsi:type="xsd:double"&gt;3.4503222&lt;/D&gt;&lt;D xsi:type="xsd:double"&gt;-0.7039845&lt;/D&gt;&lt;D xsi:type="xsd:double"&gt;-6.0432196&lt;/D&gt;&lt;D xsi:type="xsd:double"&gt;-24.505924&lt;/D&gt;&lt;D xsi:type="xsd:double"&gt;12.993813&lt;/D&gt;&lt;D xsi:type="xsd:double"&gt;11.331093&lt;/D&gt;&lt;D xsi:type="xsd:double"&gt;-0.44567585&lt;/D&gt;&lt;D xsi:type="xsd:double"&gt;5.105567&lt;/D&gt;&lt;D xsi:type="xsd:double"&gt;3.8349152&lt;/D&gt;&lt;D xsi:type="xsd:double"&gt;-3.1304955&lt;/D&gt;&lt;D xsi:type="xsd:double"&gt;-0.47204494&lt;/D&gt;&lt;D xsi:type="xsd:double"&gt;12.623131&lt;/D&gt;&lt;D xsi:type="xsd:double"&gt;1.1531353&lt;/D&gt;&lt;D xsi:type="xsd:double"&gt;2.4643302&lt;/D&gt;&lt;D xsi:type="xsd:double"&gt;4.3670893&lt;/D&gt;&lt;D xsi:type="xsd:double"&gt;5.03335&lt;/D&gt;&lt;D xsi:type="xsd:double"&gt;3.3776045&lt;/D&gt;&lt;D xsi:type="xsd:double"&gt;6.0039043&lt;/D&gt;&lt;D xsi:type="xsd:double"&gt;-0.25914907&lt;/D&gt;&lt;D xsi:type="xsd:double"&gt;-0.95668435&lt;/D&gt;&lt;D xsi:type="xsd:double"&gt;2.2269845&lt;/D&gt;&lt;D xsi:type="xsd:double"&gt;-3.8582623&lt;/D&gt;&lt;D xsi:type="xsd:double"&gt;8.135403&lt;/D&gt;&lt;D xsi:type="xsd:double"&gt;-6.1853113&lt;/D&gt;&lt;D xsi:type="xsd:double"&gt;5.1379204&lt;/D&gt;&lt;D xsi:type="xsd:double"&gt;-1.0111451&lt;/D&gt;&lt;D xsi:type="xsd:double"&gt;0.68098307&lt;/D&gt;&lt;D xsi:type="xsd:double"&gt;4.6306014&lt;/D&gt;&lt;D xsi:type="xsd:double"&gt;-6.8622646&lt;/D&gt;&lt;D xsi:type="xsd:double"&gt;1.4949322&lt;/D&gt;&lt;D xsi:type="xsd:double"&gt;-9.800774&lt;/D&gt;&lt;D xsi:type="xsd:double"&gt;2.7320862&lt;/D&gt;&lt;D xsi:type="xsd:double"&gt;-3.7460744&lt;/D&gt;&lt;D xsi:type="xsd:double"&gt;-5.169338&lt;/D&gt;&lt;D xsi:type="xsd:double"&gt;1.3157845&lt;/D&gt;&lt;D xsi:type="xsd:double"&gt;8.843541&lt;/D&gt;&lt;D xsi:type="xsd:double"&gt;-6.2097907&lt;/D&gt;&lt;D xsi:type="xsd:double"&gt;9.157955&lt;/D&gt;&lt;D xsi:type="xsd:double"&gt;-1.9144177&lt;/D&gt;&lt;D xsi:type="xsd:double"&gt;-0.11481047&lt;/D&gt;&lt;D xsi:type="xsd:double"&gt;-1.0344863&lt;/D&gt;&lt;D xsi:type="xsd:double"&gt;0&lt;/D&gt;&lt;D xsi:type="xsd:double"&gt;3.242302&lt;/D&gt;&lt;D xsi:type="xsd:double"&gt;-1.3352334&lt;/D&gt;&lt;D xsi:type="xsd:double"&gt;0.57587624&lt;/D&gt;&lt;D xsi:type="xsd:double"&gt;-7.5293484&lt;/D&gt;&lt;D xsi:type="xsd:double"&gt;4.643965&lt;/D&gt;&lt;D xsi:type="xsd:double"&gt;5.000007&lt;/D&gt;&lt;D xsi:type="xsd:double"&gt;3.333211&lt;/D&gt;&lt;D xsi:type="xsd:double"&gt;0.58043003&lt;/D&gt;&lt;D xsi:type="xsd:double"&gt;1.9785643&lt;/D&gt;&lt;D xsi:type="xsd:double"&gt;2.9372096&lt;/D&gt;&lt;D xsi:type="xsd:double"&gt;-1.6492188&lt;/D&gt;&lt;D xsi:type="xsd:double"&gt;0.9848237&lt;/D&gt;&lt;D xsi:type="xsd:double"&gt;0.654161&lt;/D&gt;&lt;D xsi:type="xsd:double"&gt;-1.6653478&lt;/D&gt;&lt;D xsi:type="xsd:double"&gt;6.962371&lt;/D&gt;&lt;D xsi:type="xsd:double"&gt;4.096496&lt;/D&gt;&lt;/FQL&gt;&lt;FQL&gt;&lt;Q&gt;EWA^FG_TOTAL_RETURNC(-10AY,0,AM)&lt;/Q&gt;&lt;R&gt;121&lt;/R&gt;&lt;C&gt;1&lt;/C&gt;&lt;D xsi:type="xsd:double"&gt;-12.143379&lt;/D&gt;&lt;D xsi:type="xsd:double"&gt;3.788507&lt;/D&gt;&lt;D xsi:type="xsd:double"&gt;-5.836344&lt;/D&gt;&lt;D xsi:type="xsd:double"&gt;-2.7981818&lt;/D&gt;&lt;D xsi:type="xsd:double"&gt;3.393662&lt;/D&gt;&lt;D xsi:type="xsd:double"&gt;3.7636757&lt;/D&gt;&lt;D xsi:type="xsd:double"&gt;-3.078866&lt;/D&gt;&lt;D xsi:type="xsd:double"&gt;2.0452619&lt;/D&gt;&lt;D xsi:type="xsd:double"&gt;-4.9466968&lt;/D&gt;&lt;D xsi:type="xsd:double"&gt;-1.7121434&lt;/D&gt;&lt;D xsi:type="xsd:double"&gt;-3.0387998&lt;/D&gt;&lt;D xsi:type="xsd:double"&gt;-13.500476&lt;/D&gt;&lt;D xsi:type="xsd:double"&gt;1.7279744&lt;/D&gt;&lt;D xsi:type="xsd:double"&gt;5.260265&lt;/D&gt;&lt;D xsi:type="xsd:double"&gt;0.46850443&lt;/D&gt;&lt;D xsi:type="xsd:double"&gt;0.98176&lt;/D&gt;&lt;D xsi:type="xsd:double"&gt;-8.491552&lt;/D&gt;&lt;D xsi:type="xsd:double"&gt;7.8962445&lt;/D&gt;&lt;D xsi:type="xsd:double"&gt;2.5641084&lt;/D&gt;&lt;D xsi:type="xsd:double"&gt;3.2812476&lt;/D&gt;&lt;D xsi:type="xsd:double"&gt;-0.95814466&lt;/D&gt;&lt;D xsi:type="xsd:double"&gt;0.90146065&lt;/D&gt;&lt;D xsi:type="xsd:double"&gt;5.2200556&lt;/D&gt;&lt;D xsi:type="xsd:double"&gt;-1.0700345&lt;/D&gt;&lt;D xsi:type="xsd:double"&gt;2.9498577&lt;/D&gt;&lt;D xsi:type="xsd:double"&gt;-4.202491&lt;/D&gt;&lt;D xsi:type="xsd:double"&gt;3.1405807&lt;/D&gt;&lt;D xsi:type="xsd:double"&gt;2.1776557&lt;/D&gt;&lt;D xsi:type="xsd:double"&gt;4.8567295&lt;/D&gt;&lt;D xsi:type="xsd:double"&gt;1.8063903&lt;/D&gt;&lt;D xsi:type="xsd:double"&gt;2.5477767&lt;/D&gt;&lt;D xsi:type="xsd:double"&gt;-1.6858935&lt;/D&gt;&lt;D xsi:type="xsd:double"&gt;-1.9855618&lt;/D&gt;&lt;D xsi:type="xsd:double"&gt;1.5399814&lt;/D&gt;&lt;D xsi:type="xsd:double"&gt;4.402232&lt;/D&gt;&lt;D xsi:type="xsd:double"&gt;1.2871623&lt;/D&gt;&lt;D xsi:type="xsd:double"&gt;-1.6652048&lt;/D&gt;&lt;D xsi:type="xsd:double"&gt;1.8270969&lt;/D&gt;&lt;D xsi:type="xsd:double"&gt;0&lt;/D&gt;&lt;D xsi:type="xsd:double"&gt;5.242443&lt;/D&gt;&lt;D xsi:type="xsd:double"&gt;0.21303892&lt;/D&gt;&lt;D xsi:type="xsd:double"&gt;-3.316331&lt;/D&gt;&lt;D xsi:type="xsd:double"&gt;-3.7379086&lt;/D&gt;&lt;D xsi:type="xsd:double"&gt;3.7003279&lt;/D&gt;&lt;D xsi:type="xsd:double"&gt;0.088095665&lt;/D&gt;&lt;D xsi:type="xsd:double"&gt;0.65455437&lt;/D&gt;&lt;D xsi:type="xsd:double"&gt;1.2929082&lt;/D&gt;&lt;D xsi:type="xsd:double"&gt;-1.0123193&lt;/D&gt;&lt;D xsi:type="xsd:double"&gt;-3.5126686&lt;/D&gt;&lt;D xsi:type="xsd:double"&gt;-3.7788093&lt;/D&gt;&lt;D xsi:type="xsd:double"&gt;1.3409972&lt;/D&gt;&lt;D xsi:type="xsd:double"&gt;-6.9388447&lt;/D&gt;&lt;D xsi:type="xsd:double"&gt;8.438826&lt;/D&gt;&lt;D xsi:type="xsd:double"&gt;4.2315245&lt;/D&gt;&lt;D xsi:type="xsd:double"&gt;1.8665433&lt;/D&gt;&lt;D xsi:type="xsd:double"&gt;0&lt;/D&gt;&lt;D xsi:type="xsd:double"&gt;-0.54970384&lt;/D&gt;&lt;D xsi:type="xsd:double"&gt;7.0251107&lt;/D&gt;&lt;D xsi:type="xsd:double"&gt;-2.5032938&lt;/D&gt;&lt;D xsi:type="xsd:double"&gt;-2.8378427&lt;/D&gt;&lt;D xsi:type="xsd:double"&gt;0.092720985&lt;/D&gt;&lt;D xsi:type="xsd:double"&gt;5.419171&lt;/D&gt;&lt;D xsi:type="xsd:double"&gt;-1.8892825&lt;/D&gt;&lt;D xsi:type="xsd:double"&gt;2.7757645&lt;/D&gt;&lt;D xsi:type="xsd:double"&gt;-0.8444488&lt;/D&gt;&lt;D xsi:type="xsd:double"&gt;-9.367996&lt;/D&gt;&lt;D xsi:type="xsd:double"&gt;-26.65677&lt;/D&gt;&lt;D xsi:type="xsd:double"&gt;9.170604&lt;/D&gt;&lt;D xsi:type="xsd:double"&gt;22.359478&lt;/D&gt;&lt;D xsi:type="xsd:double"&gt;1.5849352&lt;/D&gt;&lt;D xsi:type="xsd:double"&gt;1.8154383&lt;/D&gt;&lt;D xsi:type="xsd:double"&gt;1.7830491&lt;/D&gt;&lt;D xsi:type="xsd:double"&gt;-3.406322&lt;/D&gt;&lt;D xsi:type="xsd:double"&gt;3.3753157&lt;/D&gt;&lt;D xsi:type="xsd:double"&gt;13.888895&lt;/D&gt;&lt;D xsi:type="xsd:double"&gt;3.3514857&lt;/D&gt;&lt;D xsi:type="xsd:double"&gt;2.546966&lt;/D&gt;&lt;D xsi:type="xsd:double"&gt;2.4837136&lt;/D&gt;&lt;D xsi:type="xsd:double"&gt;-0.15892386&lt;/D&gt;&lt;D xsi:type="xsd:double"&gt;4.337442&lt;/D&gt;&lt;D xsi:type="xsd:double"&gt;2.745998&lt;/D&gt;&lt;D xsi:type="xsd:double"&gt;-1.5795231&lt;/D&gt;&lt;D xsi:type="xsd:double"&gt;0.07648468&lt;/D&gt;&lt;D xsi:type="xsd:double"&gt;1.4138341&lt;/D&gt;&lt;D xsi:type="xsd:double"&gt;-6.028634&lt;/D&gt;&lt;D xsi:type="xsd:double"&gt;5.733764&lt;/D&gt;&lt;D xsi:type="xsd:double"&gt;-7.8119097&lt;/D&gt;&lt;D xsi:type="xsd:double"&gt;6.032002&lt;/D&gt;&lt;D xsi:type="xsd:double"&gt;-7.4386835&lt;/D&gt;&lt;D xsi:type="xsd:double"&gt;5.907905&lt;/D&gt;&lt;D xsi:type="xsd:double"&gt;9.474981&lt;/D&gt;&lt;D xsi:type="xsd:double"&gt;-7.1187677&lt;/D&gt;&lt;D xsi:type="xsd:double"&gt;0.7664323&lt;/D&gt;&lt;D xsi:type="xsd:double"&gt;-12.84486&lt;/D&gt;&lt;D xsi:type="xsd:double"&gt;6.92271&lt;/D&gt;&lt;D xsi:type="xsd:double"&gt;-3.4589767&lt;/D&gt;&lt;D xsi:type="xsd:double"&gt;-7.3036313&lt;/D&gt;&lt;D xsi:type="xsd:double"&gt;0.6937504&lt;/D&gt;&lt;D xsi:type="xsd:double"&gt;16.338587&lt;/D&gt;&lt;D xsi:type="xsd:double"&gt;-5.333698&lt;/D&gt;&lt;D xsi:type="xsd:double"&gt;11.652255&lt;/D&gt;&lt;D xsi:type="xsd:double"&gt;-4.2804775&lt;/D&gt;&lt;D xsi:type="xsd:double"&gt;-0.6388426&lt;/D&gt;&lt;D xsi:type="xsd:double"&gt;-2.7861118&lt;/D&gt;&lt;D xsi:type="xsd:double"&gt;0.13227463&lt;/D&gt;&lt;D xsi:type="xsd:double"&gt;1.710701&lt;/D&gt;&lt;D xsi:type="xsd:double"&gt;-1.4556706&lt;/D&gt;&lt;D xsi:type="xsd:double"&gt;-0.4028678&lt;/D&gt;&lt;D xsi:type="xsd:double"&gt;-6.561792&lt;/D&gt;&lt;D xsi:type="xsd:double"&gt;4.9062014&lt;/D&gt;&lt;D xsi:type="xsd:double"&gt;5.135262&lt;/D&gt;&lt;D xsi:type="xsd:double"&gt;6.3777566&lt;/D&gt;&lt;D xsi:type="xsd:double"&gt;-1.2552261&lt;/D&gt;&lt;D xsi:type="xsd:double"&gt;2.4999976&lt;/D&gt;&lt;D xsi:type="xsd:double"&gt;1.5708923&lt;/D&gt;&lt;D xsi:type="xsd:double"&gt;-1.6687036&lt;/D&gt;&lt;D xsi:type="xsd:double"&gt;2.6903987&lt;/D&gt;&lt;D xsi:type="xsd:double"&gt;1.8664241&lt;/D&gt;&lt;D xsi:type="xsd:double"&gt;-3.1060934&lt;/D&gt;&lt;D xsi:type="xsd:double"&gt;6.161535&lt;/D&gt;&lt;D xsi:type="xsd:double"&gt;4.431367&lt;/D&gt;&lt;/FQL&gt;&lt;FQL&gt;&lt;Q&gt;ENZL^FG_TOTAL_RETURNC(-10AY,0,AM)&lt;/Q&gt;&lt;R&gt;121&lt;/R&gt;&lt;C&gt;1&lt;/C&gt;&lt;D xsi:type="xsd:double"&gt;-5.7708797&lt;/D&gt;&lt;D xsi:type="xsd:double"&gt;3.0295134&lt;/D&gt;&lt;D xsi:type="xsd:double"&gt;2.1292806&lt;/D&gt;&lt;D xsi:type="xsd:double"&gt;1.1211872&lt;/D&gt;&lt;D xsi:type="xsd:double"&gt;0.20185709&lt;/D&gt;&lt;D xsi:type="xsd:double"&gt;3.3744693&lt;/D&gt;&lt;D xsi:type="xsd:double"&gt;-1.9488394&lt;/D&gt;&lt;D xsi:type="xsd:double"&gt;0.32298565&lt;/D&gt;&lt;D xsi:type="xsd:double"&gt;-4.449731&lt;/D&gt;&lt;D xsi:type="xsd:double"&gt;-7.1525393&lt;/D&gt;&lt;D xsi:type="xsd:double"&gt;0.45820475&lt;/D&gt;&lt;D xsi:type="xsd:double"&gt;-9.207529&lt;/D&gt;&lt;D xsi:type="xsd:double"&gt;1.3186812&lt;/D&gt;&lt;D xsi:type="xsd:double"&gt;12.209475&lt;/D&gt;&lt;D xsi:type="xsd:double"&gt;0.49710274&lt;/D&gt;&lt;D xsi:type="xsd:double"&gt;4.9646497&lt;/D&gt;&lt;D xsi:type="xsd:double"&gt;-4.268938&lt;/D&gt;&lt;D xsi:type="xsd:double"&gt;4.905236&lt;/D&gt;&lt;D xsi:type="xsd:double"&gt;8.767271&lt;/D&gt;&lt;D xsi:type="xsd:double"&gt;1.4655709&lt;/D&gt;&lt;D xsi:type="xsd:double"&gt;3.87578&lt;/D&gt;&lt;D xsi:type="xsd:double"&gt;1.8619895&lt;/D&gt;&lt;D xsi:type="xsd:double"&gt;5.391705&lt;/D&gt;&lt;D xsi:type="xsd:double"&gt;4.0008664&lt;/D&gt;&lt;D xsi:type="xsd:double"&gt;-1.9129694&lt;/D&gt;&lt;D xsi:type="xsd:double"&gt;-8.015436&lt;/D&gt;&lt;D xsi:type="xsd:double"&gt;-0.67566633&lt;/D&gt;&lt;D xsi:type="xsd:double"&gt;-3.2433271&lt;/D&gt;&lt;D xsi:type="xsd:double"&gt;9.480822&lt;/D&gt;&lt;D xsi:type="xsd:double"&gt;-3.5509825&lt;/D&gt;&lt;D xsi:type="xsd:double"&gt;0.71259737&lt;/D&gt;&lt;D xsi:type="xsd:double"&gt;0.89621544&lt;/D&gt;&lt;D xsi:type="xsd:double"&gt;5.598414&lt;/D&gt;&lt;D xsi:type="xsd:double"&gt;3.570068&lt;/D&gt;&lt;D xsi:type="xsd:double"&gt;3.7665963&lt;/D&gt;&lt;D xsi:type="xsd:double"&gt;-2.916491&lt;/D&gt;&lt;D xsi:type="xsd:double"&gt;1.0157824&lt;/D&gt;&lt;D xsi:type="xsd:double"&gt;-2.6101887&lt;/D&gt;&lt;D xsi:type="xsd:double"&gt;1.1643171&lt;/D&gt;&lt;D xsi:type="xsd:double"&gt;5.9933305&lt;/D&gt;&lt;D xsi:type="xsd:double"&gt;2.3386955&lt;/D&gt;&lt;D xsi:type="xsd:double"&gt;-0.67332983&lt;/D&gt;&lt;D xsi:type="xsd:double"&gt;0.78060627&lt;/D&gt;&lt;D xsi:type="xsd:double"&gt;-1.3452888&lt;/D&gt;&lt;D xsi:type="xsd:double"&gt;0.68181753&lt;/D&gt;&lt;D xsi:type="xsd:double"&gt;1.4329076&lt;/D&gt;&lt;D xsi:type="xsd:double"&gt;-2.3863375&lt;/D&gt;&lt;D xsi:type="xsd:double"&gt;3.371966&lt;/D&gt;&lt;D xsi:type="xsd:double"&gt;-2.2426069&lt;/D&gt;&lt;D xsi:type="xsd:double"&gt;-3.8998961&lt;/D&gt;&lt;D xsi:type="xsd:double"&gt;6.0112715&lt;/D&gt;&lt;D xsi:type="xsd:double"&gt;-5.119938&lt;/D&gt;&lt;D xsi:type="xsd:double"&gt;6.23765&lt;/D&gt;&lt;D xsi:type="xsd:double"&gt;3.1631231&lt;/D&gt;&lt;D xsi:type="xsd:double"&gt;4.849696&lt;/D&gt;&lt;D xsi:type="xsd:double"&gt;-0.61162114&lt;/D&gt;&lt;D xsi:type="xsd:double"&gt;-1.2884557&lt;/D&gt;&lt;D xsi:type="xsd:double"&gt;6.6339135&lt;/D&gt;&lt;D xsi:type="xsd:double"&gt;0.40801764&lt;/D&gt;&lt;D xsi:type="xsd:double"&gt;-2.8260052&lt;/D&gt;&lt;D xsi:type="xsd:double"&gt;-1.3115406&lt;/D&gt;&lt;D xsi:type="xsd:double"&gt;1.560092&lt;/D&gt;&lt;D xsi:type="xsd:double"&gt;5.879009&lt;/D&gt;&lt;D xsi:type="xsd:double"&gt;4.9482703&lt;/D&gt;&lt;D xsi:type="xsd:double"&gt;-2.5797427&lt;/D&gt;&lt;D xsi:type="xsd:double"&gt;-4.7772408&lt;/D&gt;&lt;D xsi:type="xsd:double"&gt;-16.608418&lt;/D&gt;&lt;D xsi:type="xsd:double"&gt;7.771349&lt;/D&gt;&lt;D xsi:type="xsd:double"&gt;14.969683&lt;/D&gt;&lt;D xsi:type="xsd:double"&gt;4.7794223&lt;/D&gt;&lt;D xsi:type="xsd:double"&gt;3.9489865&lt;/D&gt;&lt;D xsi:type="xsd:double"&gt;-0.65557957&lt;/D&gt;&lt;D xsi:type="xsd:double"&gt;-1.2463629&lt;/D&gt;&lt;D xsi:type="xsd:double"&gt;3.2924771&lt;/D&gt;&lt;D xsi:type="xsd:double"&gt;9.878075&lt;/D&gt;&lt;D xsi:type="xsd:double"&gt;3.9494395&lt;/D&gt;&lt;D xsi:type="xsd:double"&gt;-0.19097328&lt;/D&gt;&lt;D xsi:type="xsd:double"&gt;-6.5204678&lt;/D&gt;&lt;D xsi:type="xsd:double"&gt;-1.826483&lt;/D&gt;&lt;D xsi:type="xsd:double"&gt;5.020058&lt;/D&gt;&lt;D xsi:type="xsd:double"&gt;-6.017107&lt;/D&gt;&lt;D xsi:type="xsd:double"&gt;1.0689616&lt;/D&gt;&lt;D xsi:type="xsd:double"&gt;0.048673153&lt;/D&gt;&lt;D xsi:type="xsd:double"&gt;5.0267577&lt;/D&gt;&lt;D xsi:type="xsd:double"&gt;-3.257674&lt;/D&gt;&lt;D xsi:type="xsd:double"&gt;1.5320778&lt;/D&gt;&lt;D xsi:type="xsd:double"&gt;-8.755106&lt;/D&gt;&lt;D xsi:type="xsd:double"&gt;1.4966607&lt;/D&gt;&lt;D xsi:type="xsd:double"&gt;-6.668961&lt;/D&gt;&lt;D xsi:type="xsd:double"&gt;1.4770985&lt;/D&gt;&lt;D xsi:type="xsd:double"&gt;0.6550193&lt;/D&gt;&lt;D xsi:type="xsd:double"&gt;-10.827905&lt;/D&gt;&lt;D xsi:type="xsd:double"&gt;-0.83114505&lt;/D&gt;&lt;D xsi:type="xsd:double"&gt;-8.27806&lt;/D&gt;&lt;D xsi:type="xsd:double"&gt;10.326946&lt;/D&gt;&lt;D xsi:type="xsd:double"&gt;-4.2100964&lt;/D&gt;&lt;D xsi:type="xsd:double"&gt;-10.646462&lt;/D&gt;&lt;D xsi:type="xsd:double"&gt;2.2206306&lt;/D&gt;&lt;D xsi:type="xsd:double"&gt;16.65498&lt;/D&gt;&lt;D xsi:type="xsd:double"&gt;-3.700322&lt;/D&gt;&lt;D xsi:type="xsd:double"&gt;8.441294&lt;/D&gt;&lt;D xsi:type="xsd:double"&gt;-4.1425824&lt;/D&gt;&lt;D xsi:type="xsd:double"&gt;0.3819108&lt;/D&gt;&lt;D xsi:type="xsd:double"&gt;-0.440526&lt;/D&gt;&lt;D xsi:type="xsd:double"&gt;-1.7498016&lt;/D&gt;&lt;D xsi:type="xsd:double"&gt;1.476562&lt;/D&gt;&lt;D xsi:type="xsd:double"&gt;-1.3447523&lt;/D&gt;&lt;D xsi:type="xsd:double"&gt;-6.0305595&lt;/D&gt;&lt;D xsi:type="xsd:double"&gt;-4.54945&lt;/D&gt;&lt;D xsi:type="xsd:double"&gt;2.026248&lt;/D&gt;&lt;D xsi:type="xsd:double"&gt;6.5447927&lt;/D&gt;&lt;D xsi:type="xsd:double"&gt;2.1026373&lt;/D&gt;&lt;D xsi:type="xsd:double"&gt;-1.9695044&lt;/D&gt;&lt;D xsi:type="xsd:double"&gt;-1.555413&lt;/D&gt;&lt;D xsi:type="xsd:double"&gt;-0.26332736&lt;/D&gt;&lt;D xsi:type="xsd:double"&gt;0.66006184&lt;/D&gt;&lt;D xsi:type="xsd:double"&gt;1.4426231&lt;/D&gt;&lt;D xsi:type="xsd:double"&gt;-1.1009872&lt;/D&gt;&lt;D xsi:type="xsd:double"&gt;1.1635661&lt;/D&gt;&lt;D xsi:type="xsd:double"&gt;5.772567&lt;/D&gt;&lt;D xsi:type="xsd:double"&gt;0.3898263&lt;/D&gt;&lt;/FQL&gt;&lt;FQL&gt;&lt;Q&gt;ENZL^JULIAN(FG_TOTAL_RETURNC(-10AY,0,AM).DATES)&lt;/Q&gt;&lt;R&gt;121&lt;/R&gt;&lt;C&gt;1&lt;/C&gt;&lt;D xsi:type="xsd:long"&gt;41915&lt;/D&gt;&lt;D xsi:type="xsd:long"&gt;41946&lt;/D&gt;&lt;D xsi:type="xsd:long"&gt;41976&lt;/D&gt;&lt;D xsi:type="xsd:long"&gt;42006&lt;/D&gt;&lt;D xsi:type="xsd:long"&gt;42038&lt;/D&gt;&lt;D xsi:type="xsd:long"&gt;42066&lt;/D&gt;&lt;D xsi:type="xsd:long"&gt;42096&lt;/D&gt;&lt;D xsi:type="xsd:long"&gt;42125&lt;/D&gt;&lt;D xsi:type="xsd:long"&gt;42158&lt;/D&gt;&lt;D xsi:type="xsd:long"&gt;42187&lt;/D&gt;&lt;D xsi:type="xsd:long"&gt;42219&lt;/D&gt;&lt;D xsi:type="xsd:long"&gt;42250&lt;/D&gt;&lt;D xsi:type="xsd:long"&gt;42279&lt;/D&gt;&lt;D xsi:type="xsd:long"&gt;42311&lt;/D&gt;&lt;D xsi:type="xsd:long"&gt;42341&lt;/D&gt;&lt;D xsi:type="xsd:long"&gt;42369&lt;/D&gt;&lt;D xsi:type="xsd:long"&gt;42403&lt;/D&gt;&lt;D xsi:type="xsd:long"&gt;42432&lt;/D&gt;&lt;D xsi:type="xsd:long"&gt;42461&lt;/D&gt;&lt;D xsi:type="xsd:long"&gt;42493&lt;/D&gt;&lt;D xsi:type="xsd:long"&gt;42524&lt;/D&gt;&lt;D xsi:type="xsd:long"&gt;42552&lt;/D&gt;&lt;D xsi:type="xsd:long"&gt;42585&lt;/D&gt;&lt;D xsi:type="xsd:long"&gt;42615&lt;/D&gt;&lt;D xsi:type="xsd:long"&gt;42646&lt;/D&gt;&lt;D xsi:type="xsd:long"&gt;42677&lt;/D&gt;&lt;D xsi:type="xsd:long"&gt;42706&lt;/D&gt;&lt;D xsi:type="xsd:long"&gt;42738&lt;/D&gt;&lt;D xsi:type="xsd:long"&gt;42769&lt;/D&gt;&lt;D xsi:type="xsd:long"&gt;42797&lt;/D&gt;&lt;D xsi:type="xsd:long"&gt;42828&lt;/D&gt;&lt;D xsi:type="xsd:long"&gt;42858&lt;/D&gt;&lt;D xsi:type="xsd:long"&gt;42888&lt;/D&gt;&lt;D xsi:type="xsd:long"&gt;42919&lt;/D&gt;&lt;D xsi:type="xsd:long"&gt;42950&lt;/D&gt;&lt;D xsi:type="xsd:long"&gt;42979&lt;/D&gt;&lt;D xsi:type="xsd:long"&gt;43011&lt;/D&gt;&lt;D xsi:type="xsd:long"&gt;43042&lt;/D&gt;&lt;D xsi:type="xsd:long"&gt;43070&lt;/D&gt;&lt;D xsi:type="xsd:long"&gt;43103&lt;/D&gt;&lt;D xsi:type="xsd:long"&gt;43133&lt;/D&gt;&lt;D xsi:type="xsd:long"&gt;43161&lt;/D&gt;&lt;D xsi:type="xsd:long"&gt;43193&lt;/D&gt;&lt;D xsi:type="xsd:long"&gt;43223&lt;/D&gt;&lt;D xsi:type="xsd:long"&gt;43252&lt;/D&gt;&lt;D xsi:type="xsd:long"&gt;43284&lt;/D&gt;&lt;D xsi:type="xsd:long"&gt;43315&lt;/D&gt;&lt;D xsi:type="xsd:long"&gt;43343&lt;/D&gt;&lt;D xsi:type="xsd:long"&gt;43376&lt;/D&gt;&lt;D xsi:type="xsd:long"&gt;43406&lt;/D&gt;&lt;D xsi:type="xsd:long"&gt;43437&lt;/D&gt;&lt;D xsi:type="xsd:long"&gt;43468&lt;/D&gt;&lt;D xsi:type="xsd:long"&gt;43497&lt;/D&gt;&lt;D xsi:type="xsd:long"&gt;43525&lt;/D&gt;&lt;D xsi:type="xsd:long"&gt;43558&lt;/D&gt;&lt;D xsi:type="xsd:long"&gt;43588&lt;/D&gt;&lt;D xsi:type="xsd:long"&gt;43619&lt;/D&gt;&lt;D xsi:type="xsd:long"&gt;43649&lt;/D&gt;&lt;D xsi:type="xsd:long"&gt;43679&lt;/D&gt;&lt;D xsi:type="xsd:long"&gt;43711&lt;/D&gt;&lt;D xsi:type="xsd:long"&gt;43741&lt;/D&gt;&lt;D xsi:type="xsd:long"&gt;43770&lt;/D&gt;&lt;D xsi:type="xsd:long"&gt;43802&lt;/D&gt;&lt;D xsi:type="xsd:long"&gt;43833&lt;/D&gt;&lt;D xsi:type="xsd:long"&gt;43864&lt;/D&gt;&lt;D xsi:type="xsd:long"&gt;43893&lt;/D&gt;&lt;D xsi:type="xsd:long"&gt;43924&lt;/D&gt;&lt;D xsi:type="xsd:long"&gt;43952&lt;/D&gt;&lt;D xsi:type="xsd:long"&gt;43985&lt;/D&gt;&lt;D xsi:type="xsd:long"&gt;44014&lt;/D&gt;&lt;D xsi:type="xsd:long"&gt;44046&lt;/D&gt;&lt;D xsi:type="xsd:long"&gt;44077&lt;/D&gt;&lt;D xsi:type="xsd:long"&gt;44106&lt;/D&gt;&lt;D xsi:type="xsd:long"&gt;44138&lt;/D&gt;&lt;D xsi:type="xsd:long"&gt;44168&lt;/D&gt;&lt;D xsi:type="xsd:long"&gt;44196&lt;/D&gt;&lt;D xsi:type="xsd:long"&gt;44230&lt;/D&gt;&lt;D xsi:type="xsd:long"&gt;44258&lt;/D&gt;&lt;D xsi:type="xsd:long"&gt;44287&lt;/D&gt;&lt;D xsi:type="xsd:long"&gt;44319&lt;/D&gt;&lt;D xsi:type="xsd:long"&gt;44350&lt;/D&gt;&lt;D xsi:type="xsd:long"&gt;44379&lt;/D&gt;&lt;D xsi:type="xsd:long"&gt;44411&lt;/D&gt;&lt;D xsi:type="xsd:long"&gt;44442&lt;/D&gt;&lt;D xsi:type="xsd:long"&gt;44470&lt;/D&gt;&lt;D xsi:type="xsd:long"&gt;44503&lt;/D&gt;&lt;D xsi:type="xsd:long"&gt;44533&lt;/D&gt;&lt;D xsi:type="xsd:long"&gt;44564&lt;/D&gt;&lt;D xsi:type="xsd:long"&gt;44595&lt;/D&gt;&lt;D xsi:type="xsd:long"&gt;44623&lt;/D&gt;&lt;D xsi:type="xsd:long"&gt;44652&lt;/D&gt;&lt;D xsi:type="xsd:long"&gt;44684&lt;/D&gt;&lt;D xsi:type="xsd:long"&gt;44715&lt;/D&gt;&lt;D xsi:type="xsd:long"&gt;44743&lt;/D&gt;&lt;D xsi:type="xsd:long"&gt;44776&lt;/D&gt;&lt;D xsi:type="xsd:long"&gt;44806&lt;/D&gt;&lt;D xsi:type="xsd:long"&gt;44837&lt;/D&gt;&lt;D xsi:type="xsd:long"&gt;44868&lt;/D&gt;&lt;D xsi:type="xsd:long"&gt;44897&lt;/D&gt;&lt;D xsi:type="xsd:long"&gt;44929&lt;/D&gt;&lt;D xsi:type="xsd:long"&gt;44960&lt;/D&gt;&lt;D xsi:type="xsd:long"&gt;44988&lt;/D&gt;&lt;D xsi:type="xsd:long"&gt;45019&lt;/D&gt;&lt;D xsi:type="xsd:long"&gt;45049&lt;/D&gt;&lt;D xsi:type="xsd:long"&gt;45079&lt;/D&gt;&lt;D xsi:type="xsd:long"&gt;45110&lt;/D&gt;&lt;D xsi:type="xsd:long"&gt;45141&lt;/D&gt;&lt;D xsi:type="xsd:long"&gt;45170&lt;/D&gt;&lt;D xsi:type="xsd:long"&gt;45202&lt;/D&gt;&lt;D xsi:type="xsd:long"&gt;45233&lt;/D&gt;&lt;D xsi:type="xsd:long"&gt;45261&lt;/D&gt;&lt;D xsi:type="xsd:long"&gt;45294&lt;/D&gt;&lt;D xsi:type="xsd:long"&gt;45324&lt;/D&gt;&lt;D xsi:type="xsd:long"&gt;45352&lt;/D&gt;&lt;D xsi:type="xsd:long"&gt;45385&lt;/D&gt;&lt;D xsi:type="xsd:long"&gt;45415&lt;/D&gt;&lt;D xsi:type="xsd:long"&gt;45446&lt;/D&gt;&lt;D xsi:type="xsd:long"&gt;45476&lt;/D&gt;&lt;D xsi:type="xsd:long"&gt;45506&lt;/D&gt;&lt;D xsi:type="xsd:long"&gt;45538&lt;/D&gt;&lt;D xsi:type="xsd:long"&gt;45568&lt;/D&gt;&lt;/FQL&gt;&lt;FQL&gt;&lt;Q&gt;EWI^FMA_DIV_YLD(NTMA,-10AY,0,AM,"PORTAGG","MEANR")&lt;/Q&gt;&lt;R&gt;121&lt;/R&gt;&lt;C&gt;1&lt;/C&gt;&lt;D xsi:type="xsd:double"&gt;3.77215895485406&lt;/D&gt;&lt;D xsi:type="xsd:double"&gt;3.9553050686675&lt;/D&gt;&lt;D xsi:type="xsd:double"&gt;3.82416317342507&lt;/D&gt;&lt;D xsi:type="xsd:double"&gt;4.06134587663002&lt;/D&gt;&lt;D xsi:type="xsd:double"&gt;3.68790629550577&lt;/D&gt;&lt;D xsi:type="xsd:double"&gt;3.4927146655092&lt;/D&gt;&lt;D xsi:type="xsd:double"&gt;3.13160358072627&lt;/D&gt;&lt;D xsi:type="xsd:double"&gt;3.19624753464953&lt;/D&gt;&lt;D xsi:type="xsd:double"&gt;3.19670019162985&lt;/D&gt;&lt;D xsi:type="xsd:double"&gt;3.32377782990653&lt;/D&gt;&lt;D xsi:type="xsd:double"&gt;3.1010379440181&lt;/D&gt;&lt;D xsi:type="xsd:double"&gt;3.33569063817576&lt;/D&gt;&lt;D xsi:type="xsd:double"&gt;3.69527891923271&lt;/D&gt;&lt;D xsi:type="xsd:double"&gt;3.55925630285151&lt;/D&gt;&lt;D xsi:type="xsd:double"&gt;3.65414109983908&lt;/D&gt;&lt;D xsi:type="xsd:double"&gt;3.83180955229543&lt;/D&gt;&lt;D xsi:type="xsd:double"&gt;4.65426600803373&lt;/D&gt;&lt;D xsi:type="xsd:double"&gt;4.31088273824712&lt;/D&gt;&lt;D xsi:type="xsd:double"&gt;4.50181223588659&lt;/D&gt;&lt;D xsi:type="xsd:double"&gt;4.47098959327093&lt;/D&gt;&lt;D xsi:type="xsd:double"&gt;4.68068410809657&lt;/D&gt;&lt;D xsi:type="xsd:double"&gt;4.95911206174502&lt;/D&gt;&lt;D xsi:type="xsd:double"&gt;4.93750748703275&lt;/D&gt;&lt;D xsi:type="xsd:double"&gt;4.71141530882967&lt;/D&gt;&lt;D xsi:type="xsd:double"&gt;5.01697167923278&lt;/D&gt;&lt;D xsi:type="xsd:double"&gt;4.98233898074449&lt;/D&gt;&lt;D xsi:type="xsd:double"&gt;4.82374329909708&lt;/D&gt;&lt;D xsi:type="xsd:double"&gt;4.23894995867216&lt;/D&gt;&lt;D xsi:type="xsd:double"&gt;4.35626800212647&lt;/D&gt;&lt;D xsi:type="xsd:double"&gt;4.05990350477389&lt;/D&gt;&lt;D xsi:type="xsd:double"&gt;3.95461413530568&lt;/D&gt;&lt;D xsi:type="xsd:double"&gt;3.89495811841641&lt;/D&gt;&lt;D xsi:type="xsd:double"&gt;3.79358750966842&lt;/D&gt;&lt;D xsi:type="xsd:double"&gt;3.8099664237188&lt;/D&gt;&lt;D xsi:type="xsd:double"&gt;3.72052299252876&lt;/D&gt;&lt;D xsi:type="xsd:double"&gt;3.76365208942429&lt;/D&gt;&lt;D xsi:type="xsd:double"&gt;3.75256729353277&lt;/D&gt;&lt;D xsi:type="xsd:double"&gt;3.73841304676083&lt;/D&gt;&lt;D xsi:type="xsd:double"&gt;3.93219223576159&lt;/D&gt;&lt;D xsi:type="xsd:double"&gt;3.9902612257787&lt;/D&gt;&lt;D xsi:type="xsd:double"&gt;3.82342077337038&lt;/D&gt;&lt;D xsi:type="xsd:double"&gt;4.14334489179592&lt;/D&gt;&lt;D xsi:type="xsd:double"&gt;4.10621892357625&lt;/D&gt;&lt;D xsi:type="xsd:double"&gt;3.88157815673556&lt;/D&gt;&lt;D xsi:type="xsd:double"&gt;4.29618304948368&lt;/D&gt;&lt;D xsi:type="xsd:double"&gt;4.47343043111058&lt;/D&gt;&lt;D xsi:type="xsd:double"&gt;4.44232084193975&lt;/D&gt;&lt;D xsi:type="xsd:double"&gt;4.76770665054115&lt;/D&gt;&lt;D xsi:type="xsd:double"&gt;4.7059351859546&lt;/D&gt;&lt;D xsi:type="xsd:double"&gt;5.02846733666882&lt;/D&gt;&lt;D xsi:type="xsd:double"&gt;5.12855201386566&lt;/D&gt;&lt;D xsi:type="xsd:double"&gt;5.47503021706496&lt;/D&gt;&lt;D xsi:type="xsd:double"&gt;5.1230138199694&lt;/D&gt;&lt;D xsi:type="xsd:double"&gt;4.77612647624272&lt;/D&gt;&lt;D xsi:type="xsd:double"&gt;4.60071739131162&lt;/D&gt;&lt;D xsi:type="xsd:double"&gt;4.63412917957235&lt;/D&gt;&lt;D xsi:type="xsd:double"&gt;5.13730534135522&lt;/D&gt;&lt;D xsi:type="xsd:double"&gt;4.69711184705548&lt;/D&gt;&lt;D xsi:type="xsd:double"&gt;4.91040692672873&lt;/D&gt;&lt;D xsi:type="xsd:double"&gt;4.87525427739201&lt;/D&gt;&lt;D xsi:type="xsd:double"&gt;4.91487122134504&lt;/D&gt;&lt;D xsi:type="xsd:double"&gt;4.59891067856975&lt;/D&gt;&lt;D xsi:type="xsd:double"&gt;4.67397416902807&lt;/D&gt;&lt;D xsi:type="xsd:double"&gt;4.48424327475321&lt;/D&gt;&lt;D xsi:type="xsd:double"&gt;4.55996557596334&lt;/D&gt;&lt;D xsi:type="xsd:double"&gt;5.02830936460709&lt;/D&gt;&lt;D xsi:type="xsd:double"&gt;6.36779775197604&lt;/D&gt;&lt;D xsi:type="xsd:double"&gt;5.25468343349546&lt;/D&gt;&lt;D xsi:type="xsd:double"&gt;4.22465111285346&lt;/D&gt;&lt;D xsi:type="xsd:double"&gt;4.26315896223712&lt;/D&gt;&lt;D xsi:type="xsd:double"&gt;3.99706299452383&lt;/D&gt;&lt;D xsi:type="xsd:double"&gt;4.06932248293851&lt;/D&gt;&lt;D xsi:type="xsd:double"&gt;4.21280879446129&lt;/D&gt;&lt;D xsi:type="xsd:double"&gt;4.32651781774448&lt;/D&gt;&lt;D xsi:type="xsd:double"&gt;3.96277722498776&lt;/D&gt;&lt;D xsi:type="xsd:double"&gt;3.94464053531275&lt;/D&gt;&lt;D xsi:type="xsd:double"&gt;4.0080923120802&lt;/D&gt;&lt;D xsi:type="xsd:double"&gt;4.19051356262307&lt;/D&gt;&lt;D xsi:type="xsd:double"&gt;3.99637371635555&lt;/D&gt;&lt;D xsi:type="xsd:double"&gt;4.15484615186176&lt;/D&gt;&lt;D xsi:type="xsd:double"&gt;4.07504850755197&lt;/D&gt;&lt;D xsi:type="xsd:double"&gt;4.1376130952578&lt;/D&gt;&lt;D xsi:type="xsd:double"&gt;4.34245271312962&lt;/D&gt;&lt;D xsi:type="xsd:double"&gt;4.4217926580871&lt;/D&gt;&lt;D xsi:type="xsd:double"&gt;4.55865571078303&lt;/D&gt;&lt;D xsi:type="xsd:double"&gt;4.3298046184208&lt;/D&gt;&lt;D xsi:type="xsd:double"&gt;4.75235358825797&lt;/D&gt;&lt;D xsi:type="xsd:double"&gt;4.53718705981403&lt;/D&gt;&lt;D xsi:type="xsd:double"&gt;4.72214660401035&lt;/D&gt;&lt;D xsi:type="xsd:double"&gt;5.32226206792956&lt;/D&gt;&lt;D xsi:type="xsd:double"&gt;5.00794335850543&lt;/D&gt;&lt;D xsi:type="xsd:double"&gt;5.11659120925527&lt;/D&gt;&lt;D xsi:type="xsd:double"&gt;5.26220557604744&lt;/D&gt;&lt;D xsi:type="xsd:double"&gt;5.92881946620004&lt;/D&gt;&lt;D xsi:type="xsd:double"&gt;5.79601174271768&lt;/D&gt;&lt;D xsi:type="xsd:double"&gt;5.64469696857694&lt;/D&gt;&lt;D xsi:type="xsd:double"&gt;6.10438909771264&lt;/D&gt;&lt;D xsi:type="xsd:double"&gt;5.68975191172902&lt;/D&gt;&lt;D xsi:type="xsd:double"&gt;5.67755563875915&lt;/D&gt;&lt;D xsi:type="xsd:double"&gt;5.752368631855&lt;/D&gt;&lt;D xsi:type="xsd:double"&gt;5.43386967367618&lt;/D&gt;&lt;D xsi:type="xsd:double"&gt;5.21946125726169&lt;/D&gt;&lt;D xsi:type="xsd:double"&gt;5.42125419843271&lt;/D&gt;&lt;D xsi:type="xsd:double"&gt;5.47003895362488&lt;/D&gt;&lt;D xsi:type="xsd:double"&gt;5.43936078668085&lt;/D&gt;&lt;D xsi:type="xsd:double"&gt;5.26263674027405&lt;/D&gt;&lt;D xsi:type="xsd:double"&gt;5.4375690993146&lt;/D&gt;&lt;D xsi:type="xsd:double"&gt;5.38738414368684&lt;/D&gt;&lt;D xsi:type="xsd:double"&gt;5.68360937752271&lt;/D&gt;&lt;D xsi:type="xsd:double"&gt;5.57528462825803&lt;/D&gt;&lt;D xsi:type="xsd:double"&gt;5.45355488219512&lt;/D&gt;&lt;D xsi:type="xsd:double"&gt;5.52838484208633&lt;/D&gt;&lt;D xsi:type="xsd:double"&gt;5.37966330971021&lt;/D&gt;&lt;D xsi:type="xsd:double"&gt;5.27441524854175&lt;/D&gt;&lt;D xsi:type="xsd:double"&gt;5.13155595639786&lt;/D&gt;&lt;D xsi:type="xsd:double"&gt;5.32676989966069&lt;/D&gt;&lt;D xsi:type="xsd:double"&gt;5.22042597467436&lt;/D&gt;&lt;D xsi:type="xsd:double"&gt;5.390621484742&lt;/D&gt;&lt;D xsi:type="xsd:double"&gt;5.61301277050221&lt;/D&gt;&lt;D xsi:type="xsd:double"&gt;5.34896683135376&lt;/D&gt;&lt;D xsi:type="xsd:double"&gt;5.24589914131862&lt;/D&gt;&lt;/FQL&gt;&lt;FQL&gt;&lt;Q&gt;EWD^FMA_DIV_YLD(NTMA,-10AY,0,AM,"PORTAGG","MEANR")&lt;/Q&gt;&lt;R&gt;121&lt;/R&gt;&lt;C&gt;1&lt;/C&gt;&lt;D xsi:type="xsd:double"&gt;4.30738999542707&lt;/D&gt;&lt;D xsi:type="xsd:double"&gt;4.21319905031306&lt;/D&gt;&lt;D xsi:type="xsd:double"&gt;4.06799302785047&lt;/D&gt;&lt;D xsi:type="xsd:double"&gt;4.09745096649795&lt;/D&gt;&lt;D xsi:type="xsd:double"&gt;3.79927392107423&lt;/D&gt;&lt;D xsi:type="xsd:double"&gt;3.6687469386581&lt;/D&gt;&lt;D xsi:type="xsd:double"&gt;3.65937690689615&lt;/D&gt;&lt;D xsi:type="xsd:double"&gt;3.79829888810221&lt;/D&gt;&lt;D xsi:type="xsd:double"&gt;3.80136872414316&lt;/D&gt;&lt;D xsi:type="xsd:double"&gt;4.02620848817658&lt;/D&gt;&lt;D xsi:type="xsd:double"&gt;3.95573343339766&lt;/D&gt;&lt;D xsi:type="xsd:double"&gt;4.29254993155621&lt;/D&gt;&lt;D xsi:type="xsd:double"&gt;4.57136566651824&lt;/D&gt;&lt;D xsi:type="xsd:double"&gt;4.18473447570094&lt;/D&gt;&lt;D xsi:type="xsd:double"&gt;4.16408975027585&lt;/D&gt;&lt;D xsi:type="xsd:double"&gt;4.31327587806828&lt;/D&gt;&lt;D xsi:type="xsd:double"&gt;4.62706296142609&lt;/D&gt;&lt;D xsi:type="xsd:double"&gt;4.31596190047124&lt;/D&gt;&lt;D xsi:type="xsd:double"&gt;4.40734178071996&lt;/D&gt;&lt;D xsi:type="xsd:double"&gt;4.45927772968265&lt;/D&gt;&lt;D xsi:type="xsd:double"&gt;4.44920851553594&lt;/D&gt;&lt;D xsi:type="xsd:double"&gt;4.45984828805178&lt;/D&gt;&lt;D xsi:type="xsd:double"&gt;4.41613410733203&lt;/D&gt;&lt;D xsi:type="xsd:double"&gt;4.18540209469836&lt;/D&gt;&lt;D xsi:type="xsd:double"&gt;4.17667890374862&lt;/D&gt;&lt;D xsi:type="xsd:double"&gt;4.19958859956613&lt;/D&gt;&lt;D xsi:type="xsd:double"&gt;4.03949567137985&lt;/D&gt;&lt;D xsi:type="xsd:double"&gt;3.85646974265457&lt;/D&gt;&lt;D xsi:type="xsd:double"&gt;3.67984413142987&lt;/D&gt;&lt;D xsi:type="xsd:double"&gt;3.63830664450521&lt;/D&gt;&lt;D xsi:type="xsd:double"&gt;3.6685909311425&lt;/D&gt;&lt;D xsi:type="xsd:double"&gt;3.52101791562066&lt;/D&gt;&lt;D xsi:type="xsd:double"&gt;3.36604315801769&lt;/D&gt;&lt;D xsi:type="xsd:double"&gt;3.56050769275156&lt;/D&gt;&lt;D xsi:type="xsd:double"&gt;3.71653025058835&lt;/D&gt;&lt;D xsi:type="xsd:double"&gt;3.74100517530846&lt;/D&gt;&lt;D xsi:type="xsd:double"&gt;3.53025046147456&lt;/D&gt;&lt;D xsi:type="xsd:double"&gt;3.51379707662705&lt;/D&gt;&lt;D xsi:type="xsd:double"&gt;3.71480855788289&lt;/D&gt;&lt;D xsi:type="xsd:double"&gt;3.74181409062143&lt;/D&gt;&lt;D xsi:type="xsd:double"&gt;3.81273090284385&lt;/D&gt;&lt;D xsi:type="xsd:double"&gt;3.98582247509225&lt;/D&gt;&lt;D xsi:type="xsd:double"&gt;4.11661390701418&lt;/D&gt;&lt;D xsi:type="xsd:double"&gt;4.05590177020334&lt;/D&gt;&lt;D xsi:type="xsd:double"&gt;4.08219953725919&lt;/D&gt;&lt;D xsi:type="xsd:double"&gt;4.17906637120055&lt;/D&gt;&lt;D xsi:type="xsd:double"&gt;4.09562349798691&lt;/D&gt;&lt;D xsi:type="xsd:double"&gt;4.01946392634289&lt;/D&gt;&lt;D xsi:type="xsd:double"&gt;4.01376506285446&lt;/D&gt;&lt;D xsi:type="xsd:double"&gt;4.30719388408219&lt;/D&gt;&lt;D xsi:type="xsd:double"&gt;4.3977170466652&lt;/D&gt;&lt;D xsi:type="xsd:double"&gt;4.8034920910934&lt;/D&gt;&lt;D xsi:type="xsd:double"&gt;4.31460243160613&lt;/D&gt;&lt;D xsi:type="xsd:double"&gt;4.14542734539885&lt;/D&gt;&lt;D x</t>
        </r>
      </text>
    </comment>
    <comment ref="A7" authorId="0" shapeId="0" xr:uid="{DD6D1738-C942-447C-B4E8-5C9F9B4F2E00}">
      <text>
        <r>
          <rPr>
            <b/>
            <sz val="9"/>
            <color indexed="81"/>
            <rFont val="Tahoma"/>
            <charset val="1"/>
          </rPr>
          <t>si:type="xsd:double"&gt;4.04798088027722&lt;/D&gt;&lt;D xsi:type="xsd:double"&gt;4.02507737635489&lt;/D&gt;&lt;D xsi:type="xsd:double"&gt;4.42125269178346&lt;/D&gt;&lt;D xsi:type="xsd:double"&gt;4.09494153782596&lt;/D&gt;&lt;D xsi:type="xsd:double"&gt;4.15208592794377&lt;/D&gt;&lt;D xsi:type="xsd:double"&gt;4.19762516862354&lt;/D&gt;&lt;D xsi:type="xsd:double"&gt;4.05403559133954&lt;/D&gt;&lt;D xsi:type="xsd:double"&gt;3.72747315673289&lt;/D&gt;&lt;D xsi:type="xsd:double"&gt;3.79246096846995&lt;/D&gt;&lt;D xsi:type="xsd:double"&gt;3.59455175737922&lt;/D&gt;&lt;D xsi:type="xsd:double"&gt;3.63254233053869&lt;/D&gt;&lt;D xsi:type="xsd:double"&gt;3.76766334167478&lt;/D&gt;&lt;D xsi:type="xsd:double"&gt;3.99197055999929&lt;/D&gt;&lt;D xsi:type="xsd:double"&gt;3.29514658547268&lt;/D&gt;&lt;D xsi:type="xsd:double"&gt;2.92702187333507&lt;/D&gt;&lt;D xsi:type="xsd:double"&gt;3.00406054867347&lt;/D&gt;&lt;D xsi:type="xsd:double"&gt;3.00785593016833&lt;/D&gt;&lt;D xsi:type="xsd:double"&gt;3.04395026818329&lt;/D&gt;&lt;D xsi:type="xsd:double"&gt;3.03184647760103&lt;/D&gt;&lt;D xsi:type="xsd:double"&gt;3.21942470993476&lt;/D&gt;&lt;D xsi:type="xsd:double"&gt;3.01558546349081&lt;/D&gt;&lt;D xsi:type="xsd:double"&gt;3.10729782337201&lt;/D&gt;&lt;D xsi:type="xsd:double"&gt;2.96469258100929&lt;/D&gt;&lt;D xsi:type="xsd:double"&gt;2.89591560962486&lt;/D&gt;&lt;D xsi:type="xsd:double"&gt;2.75477930334971&lt;/D&gt;&lt;D xsi:type="xsd:double"&gt;2.82559488460142&lt;/D&gt;&lt;D xsi:type="xsd:double"&gt;2.67351102252135&lt;/D&gt;&lt;D xsi:type="xsd:double"&gt;2.69545486892775&lt;/D&gt;&lt;D xsi:type="xsd:double"&gt;2.72588688099804&lt;/D&gt;&lt;D xsi:type="xsd:double"&gt;2.72957627047542&lt;/D&gt;&lt;D xsi:type="xsd:double"&gt;2.90119716333823&lt;/D&gt;&lt;D xsi:type="xsd:double"&gt;3.00614616331883&lt;/D&gt;&lt;D xsi:type="xsd:double"&gt;3.0255724295658&lt;/D&gt;&lt;D xsi:type="xsd:double"&gt;2.83243607321917&lt;/D&gt;&lt;D xsi:type="xsd:double"&gt;2.90837359672215&lt;/D&gt;&lt;D xsi:type="xsd:double"&gt;3.2846552393404&lt;/D&gt;&lt;D xsi:type="xsd:double"&gt;3.09699512884962&lt;/D&gt;&lt;D xsi:type="xsd:double"&gt;3.34568758513399&lt;/D&gt;&lt;D xsi:type="xsd:double"&gt;3.23859299265796&lt;/D&gt;&lt;D xsi:type="xsd:double"&gt;3.63852903670848&lt;/D&gt;&lt;D xsi:type="xsd:double"&gt;3.49086470778631&lt;/D&gt;&lt;D xsi:type="xsd:double"&gt;3.7112199859302&lt;/D&gt;&lt;D xsi:type="xsd:double"&gt;3.76419206873863&lt;/D&gt;&lt;D xsi:type="xsd:double"&gt;3.79755111255842&lt;/D&gt;&lt;D xsi:type="xsd:double"&gt;3.55931360579662&lt;/D&gt;&lt;D xsi:type="xsd:double"&gt;3.68893084966023&lt;/D&gt;&lt;D xsi:type="xsd:double"&gt;3.42718086908169&lt;/D&gt;&lt;D xsi:type="xsd:double"&gt;3.49742819121744&lt;/D&gt;&lt;D xsi:type="xsd:double"&gt;3.65512291544251&lt;/D&gt;&lt;D xsi:type="xsd:double"&gt;3.68653001145171&lt;/D&gt;&lt;D xsi:type="xsd:double"&gt;3.70942843381164&lt;/D&gt;&lt;D xsi:type="xsd:double"&gt;3.72742142034935&lt;/D&gt;&lt;D xsi:type="xsd:double"&gt;3.89074550807829&lt;/D&gt;&lt;D xsi:type="xsd:double"&gt;3.95389923996707&lt;/D&gt;&lt;D xsi:type="xsd:double"&gt;4.0812166939763&lt;/D&gt;&lt;D xsi:type="xsd:double"&gt;3.85284520662915&lt;/D&gt;&lt;D xsi:type="xsd:double"&gt;3.14355201516501&lt;/D&gt;&lt;D xsi:type="xsd:double"&gt;2.9859678446246&lt;/D&gt;&lt;D xsi:type="xsd:double"&gt;3.32829763951551&lt;/D&gt;&lt;D xsi:type="xsd:double"&gt;3.28045791199652&lt;/D&gt;&lt;D xsi:type="xsd:double"&gt;3.2341541991053&lt;/D&gt;&lt;D xsi:type="xsd:double"&gt;3.29115634974395&lt;/D&gt;&lt;D xsi:type="xsd:double"&gt;3.181433434678&lt;/D&gt;&lt;D xsi:type="xsd:double"&gt;3.2149976231373&lt;/D&gt;&lt;D xsi:type="xsd:double"&gt;3.37486816063141&lt;/D&gt;&lt;D xsi:type="xsd:double"&gt;3.22147575220658&lt;/D&gt;&lt;D xsi:type="xsd:double"&gt;3.12328948102815&lt;/D&gt;&lt;/FQL&gt;&lt;FQL&gt;&lt;Q&gt;EWN^FMA_DIV_YLD(NTMA,-10AY,0,AM,"PORTAGG","MEANR")&lt;/Q&gt;&lt;R&gt;121&lt;/R&gt;&lt;C&gt;1&lt;/C&gt;&lt;D xsi:type="xsd:double"&gt;3.06632105731315&lt;/D&gt;&lt;D xsi:type="xsd:double"&gt;3.11843191248987&lt;/D&gt;&lt;D xsi:type="xsd:double"&gt;2.98775181626055&lt;/D&gt;&lt;D xsi:type="xsd:double"&gt;3.08146154647867&lt;/D&gt;&lt;D xsi:type="xsd:double"&gt;2.89451887553058&lt;/D&gt;&lt;D xsi:type="xsd:double"&gt;2.72683204259672&lt;/D&gt;&lt;D xsi:type="xsd:double"&gt;2.65446860563694&lt;/D&gt;&lt;D xsi:type="xsd:double"&gt;2.7461343999879&lt;/D&gt;&lt;D xsi:type="xsd:double"&gt;2.85573044865426&lt;/D&gt;&lt;D xsi:type="xsd:double"&gt;2.95031048369196&lt;/D&gt;&lt;D xsi:type="xsd:double"&gt;2.85776456473631&lt;/D&gt;&lt;D xsi:type="xsd:double"&gt;3.39314995471695&lt;/D&gt;&lt;D xsi:type="xsd:double"&gt;3.59274484905921&lt;/D&gt;&lt;D xsi:type="xsd:double"&gt;3.21173002625891&lt;/D&gt;&lt;D xsi:type="xsd:double"&gt;3.24206195515243&lt;/D&gt;&lt;D xsi:type="xsd:double"&gt;3.15784476268672&lt;/D&gt;&lt;D xsi:type="xsd:double"&gt;3.44253804798224&lt;/D&gt;&lt;D xsi:type="xsd:double"&gt;3.3384564413399&lt;/D&gt;&lt;D xsi:type="xsd:double"&gt;3.33589768325509&lt;/D&gt;&lt;D xsi:type="xsd:double"&gt;3.41851989300593&lt;/D&gt;&lt;D xsi:type="xsd:double"&gt;3.15820379646118&lt;/D&gt;&lt;D xsi:type="xsd:double"&gt;3.32961459433652&lt;/D&gt;&lt;D xsi:type="xsd:double"&gt;3.24603666037402&lt;/D&gt;&lt;D xsi:type="xsd:double"&gt;3.06719574638024&lt;/D&gt;&lt;D xsi:type="xsd:double"&gt;3.11397926349474&lt;/D&gt;&lt;D xsi:type="xsd:double"&gt;3.22163469285607&lt;/D&gt;&lt;D xsi:type="xsd:double"&gt;3.17431436302957&lt;/D&gt;&lt;D xsi:type="xsd:double"&gt;2.93601632929679&lt;/D&gt;&lt;D xsi:type="xsd:double"&gt;2.9453471749988&lt;/D&gt;&lt;D xsi:type="xsd:double"&gt;2.81676394391233&lt;/D&gt;&lt;D xsi:type="xsd:double"&gt;2.77256897480202&lt;/D&gt;&lt;D xsi:type="xsd:double"&gt;2.71490317953811&lt;/D&gt;&lt;D xsi:type="xsd:double"&gt;2.69270382525859&lt;/D&gt;&lt;D xsi:type="xsd:double"&gt;2.80029212195414&lt;/D&gt;&lt;D xsi:type="xsd:double"&gt;2.77032091041325&lt;/D&gt;&lt;D xsi:type="xsd:double"&gt;2.86919605885253&lt;/D&gt;&lt;D xsi:type="xsd:double"&gt;2.76984213447611&lt;/D&gt;&lt;D xsi:type="xsd:double"&gt;2.74329851679338&lt;/D&gt;&lt;D xsi:type="xsd:double"&gt;2.87240875502282&lt;/D&gt;&lt;D xsi:type="xsd:double"&gt;2.84269707646851&lt;/D&gt;&lt;D xsi:type="xsd:double"&gt;2.85162940046749&lt;/D&gt;&lt;D xsi:type="xsd:double"&gt;3.01713124475304&lt;/D&gt;&lt;D xsi:type="xsd:double"&gt;2.99935419497406&lt;/D&gt;&lt;D xsi:type="xsd:double"&gt;2.96077630900196&lt;/D&gt;&lt;D xsi:type="xsd:double"&gt;2.88192081467549&lt;/D&gt;&lt;D xsi:type="xsd:double"&gt;2.96667622010222&lt;/D&gt;&lt;D xsi:type="xsd:double"&gt;2.8361045196147&lt;/D&gt;&lt;D xsi:type="xsd:double"&gt;2.9031838112027&lt;/D&gt;&lt;D xsi:type="xsd:double"&gt;3.00988638937534&lt;/D&gt;&lt;D xsi:type="xsd:double"&gt;3.19994166073887&lt;/D&gt;&lt;D xsi:type="xsd:double"&gt;3.20356565830321&lt;/D&gt;&lt;D xsi:type="xsd:double"&gt;3.5286508179305&lt;/D&gt;&lt;D xsi:type="xsd:double"&gt;3.26422453828259&lt;/D&gt;&lt;D xsi:type="xsd:double"&gt;3.10551316904025&lt;/D&gt;&lt;D xsi:type="xsd:double"&gt;3.00870200705356&lt;/D&gt;&lt;D xsi:type="xsd:double"&gt;2.95313298217354&lt;/D&gt;&lt;D xsi:type="xsd:double"&gt;3.17467228098796&lt;/D&gt;&lt;D xsi:type="xsd:double"&gt;2.94241712006661&lt;/D&gt;&lt;D xsi:type="xsd:double"&gt;2.96913778293588&lt;/D&gt;&lt;D xsi:type="xsd:double"&gt;2.95075067982008&lt;/D&gt;&lt;D xsi:type="xsd:double"&gt;2.84317461974498&lt;/D&gt;&lt;D xsi:type="xsd:double"&gt;2.72748033360936&lt;/D&gt;&lt;D xsi:type="xsd:double"&gt;2.71203434097683&lt;/D&gt;&lt;D xsi:type="xsd:double"&gt;2.57692311266818&lt;/D&gt;&lt;D xsi:type="xsd:double"&gt;2.65961641033031&lt;/D&gt;&lt;D xsi:type="xsd:double"&gt;2.82710096227577&lt;/D&gt;&lt;D xsi:type="xsd:double"&gt;3.2048560582471&lt;/D&gt;&lt;D xsi:type="xsd:double"&gt;2.70522584837752&lt;/D&gt;&lt;D xsi:type="xsd:double"&gt;2.38030127294679&lt;/D&gt;&lt;D xsi:type="xsd:double"&gt;2.34370972399241&lt;/D&gt;&lt;D xsi:type="xsd:double"&gt;2.36281981784351&lt;/D&gt;&lt;D xsi:type="xsd:double"&gt;2.30787850815647&lt;/D&gt;&lt;D xsi:type="xsd:double"&gt;2.32667071874397&lt;/D&gt;&lt;D xsi:type="xsd:double"&gt;2.33845748150586&lt;/D&gt;&lt;D xsi:type="xsd:double"&gt;2.07511249060778&lt;/D&gt;&lt;D xsi:type="xsd:double"&gt;1.96818147987341&lt;/D&gt;&lt;D xsi:type="xsd:double"&gt;1.95416446954984&lt;/D&gt;&lt;D xsi:type="xsd:double"&gt;2.06304227062061&lt;/D&gt;&lt;D xsi:type="xsd:double"&gt;1.91768257939403&lt;/D&gt;&lt;D xsi:type="xsd:double"&gt;1.96121173304953&lt;/D&gt;&lt;D xsi:type="xsd:double"&gt;2.01112140273061&lt;/D&gt;&lt;D xsi:type="xsd:double"&gt;2.00869469453035&lt;/D&gt;&lt;D xsi:type="xsd:double"&gt;1.94587120580075&lt;/D&gt;&lt;D xsi:type="xsd:double"&gt;1.83825568935758&lt;/D&gt;&lt;D xsi:type="xsd:double"&gt;1.97422166671737&lt;/D&gt;&lt;D xsi:type="xsd:double"&gt;1.88680384817743&lt;/D&gt;&lt;D xsi:type="xsd:double"&gt;2.00595870564382&lt;/D&gt;&lt;D xsi:type="xsd:double"&gt;1.92309868762391&lt;/D&gt;&lt;D xsi:type="xsd:double"&gt;2.21442033362267&lt;/D&gt;&lt;D xsi:type="xsd:double"&gt;2.37196990995199&lt;/D&gt;&lt;D xsi:type="xsd:double"&gt;2.23773474627326&lt;/D&gt;&lt;D xsi:type="xsd:double"&gt;2.41187906213631&lt;/D&gt;&lt;D xsi:type="xsd:double"&gt;2.56107238147737&lt;/D&gt;&lt;D xsi:type="xsd:double"&gt;3.48420352083584&lt;/D&gt;&lt;D xsi:type="xsd:double"&gt;3.03181498558376&lt;/D&gt;&lt;D xsi:type="xsd:double"&gt;3.79304013172156&lt;/D&gt;&lt;D xsi:type="xsd:double"&gt;3.04754749271325&lt;/D&gt;&lt;D xsi:type="xsd:double"&gt;3.02047548741934&lt;/D&gt;&lt;D xsi:type="xsd:double"&gt;2.63424290174967&lt;/D&gt;&lt;D xsi:type="xsd:double"&gt;2.73928390499722&lt;/D&gt;&lt;D xsi:type="xsd:double"&gt;2.50476079928558&lt;/D&gt;&lt;D xsi:type="xsd:double"&gt;2.62721852044839&lt;/D&gt;&lt;D xsi:type="xsd:double"&gt;2.65128824708107&lt;/D&gt;&lt;D xsi:type="xsd:double"&gt;2.70985017430602&lt;/D&gt;&lt;D xsi:type="xsd:double"&gt;2.68790282519785&lt;/D&gt;&lt;D xsi:type="xsd:double"&gt;2.68692931881404&lt;/D&gt;&lt;D xsi:type="xsd:double"&gt;2.73551733580183&lt;/D&gt;&lt;D xsi:type="xsd:double"&gt;2.88342966685643&lt;/D&gt;&lt;D xsi:type="xsd:double"&gt;3.1074988960776&lt;/D&gt;&lt;D xsi:type="xsd:double"&gt;2.97389703622563&lt;/D&gt;&lt;D xsi:type="xsd:double"&gt;2.80176725768945&lt;/D&gt;&lt;D xsi:type="xsd:double"&gt;2.75228265601913&lt;/D&gt;&lt;D xsi:type="xsd:double"&gt;2.55304738078806&lt;/D&gt;&lt;D xsi:type="xsd:double"&gt;2.58267407287806&lt;/D&gt;&lt;D xsi:type="xsd:double"&gt;2.52230670945531&lt;/D&gt;&lt;D xsi:type="xsd:double"&gt;2.56068016391766&lt;/D&gt;&lt;D xsi:type="xsd:double"&gt;2.46586225687219&lt;/D&gt;&lt;D xsi:type="xsd:double"&gt;2.46495676279258&lt;/D&gt;&lt;D xsi:type="xsd:double"&gt;2.7368425098974&lt;/D&gt;&lt;D xsi:type="xsd:double"&gt;2.6301195726218&lt;/D&gt;&lt;D xsi:type="xsd:double"&gt;2.61911768183999&lt;/D&gt;&lt;/FQL&gt;&lt;FQL&gt;&lt;Q&gt;EWQ^FMA_DIV_YLD(NTMA,-10AY,0,AM,"PORTAGG","MEANR")&lt;/Q&gt;&lt;R&gt;121&lt;/R&gt;&lt;C&gt;1&lt;/C&gt;&lt;D xsi:type="xsd:double"&gt;3.66366166176064&lt;/D&gt;&lt;D xsi:type="xsd:double"&gt;3.73175600592118&lt;/D&gt;&lt;D xsi:type="xsd:double"&gt;3.55626549348805&lt;/D&gt;&lt;D xsi:type="xsd:double"&gt;3.64916230848045&lt;/D&gt;&lt;D xsi:type="xsd:double"&gt;3.31327970843936&lt;/D&gt;&lt;D xsi:type="xsd:double"&gt;3.20328431521053&lt;/D&gt;&lt;D xsi:type="xsd:double"&gt;3.16908348705545&lt;/D&gt;&lt;D xsi:type="xsd:double"&gt;3.25032792451333&lt;/D&gt;&lt;D xsi:type="xsd:double"&gt;3.27054802215561&lt;/D&gt;&lt;D xsi:type="xsd:double"&gt;3.42910900812975&lt;/D&gt;&lt;D xsi:type="xsd:double"&gt;3.27197071230645&lt;/D&gt;&lt;D xsi:type="xsd:double"&gt;3.61602943698635&lt;/D&gt;&lt;D xsi:type="xsd:double"&gt;3.75713712725147&lt;/D&gt;&lt;D xsi:type="xsd:double"&gt;3.41247382929496&lt;/D&gt;&lt;D xsi:type="xsd:double"&gt;3.52499360859415&lt;/D&gt;&lt;D xsi:type="xsd:double"&gt;3.60193863288813&lt;/D&gt;&lt;D xsi:type="xsd:double"&gt;3.92411006559962&lt;/D&gt;&lt;D xsi:type="xsd:double"&gt;3.76910282211486&lt;/D&gt;&lt;D xsi:type="xsd:double"&gt;3.81704597364603&lt;/D&gt;&lt;D xsi:type="xsd:double"&gt;3.76794540316446&lt;/D&gt;&lt;D xsi:type="xsd:double"&gt;3.74099399348952&lt;/D&gt;&lt;D xsi:type="xsd:double"&gt;3.87498928857858&lt;/D&gt;&lt;D xsi:type="xsd:double"&gt;3.83046523987379&lt;/D&gt;&lt;D xsi:type="xsd:double"&gt;3.65727704865518&lt;/D&gt;&lt;D xsi:type="xsd:double"&gt;3.7308925254311&lt;/D&gt;&lt;D xsi:type="xsd:double"&gt;3.81050802139729&lt;/D&gt;&lt;D xsi:type="xsd:double"&gt;3.69359323027504&lt;/D&gt;&lt;D xsi:type="xsd:double"&gt;3.44636758061764&lt;/D&gt;&lt;D xsi:type="xsd:double"&gt;3.48467204640201&lt;/D&gt;&lt;D xsi:type="xsd:double"&gt;3.43312872630518&lt;/D&gt;&lt;D xsi:type="xsd:double"&gt;3.37461516447417&lt;/D&gt;&lt;D xsi:type="xsd:double"&gt;3.24812811949443&lt;/D&gt;&lt;D xsi:type="xsd:double"&gt;3.22577455836148&lt;/D&gt;&lt;D xsi:type="xsd:double"&gt;3.35209483649732&lt;/D&gt;&lt;D xsi:type="xsd:double"&gt;3.38695958904275&lt;/D&gt;&lt;D xsi:type="xsd:double"&gt;3.40480123197067&lt;/D&gt;&lt;D xsi:type="xsd:double"&gt;3.27828773184498&lt;/D&gt;&lt;D xsi:type="xsd:double"&gt;3.22881272844645&lt;/D&gt;&lt;D xsi:type="xsd:double"&gt;3.3108365060302&lt;/D&gt;&lt;D xsi:type="xsd:double"&gt;3.31353197436119&lt;/D&gt;&lt;D xsi:type="xsd:double"&gt;3.28798644955116&lt;/D&gt;&lt;D xsi:type="xsd:double"&gt;3.4729556178549&lt;/D&gt;&lt;D xsi:type="xsd:double"&gt;3.4819873621686&lt;/D&gt;&lt;D xsi:type="xsd:double"&gt;3.31309466896049&lt;/D&gt;&lt;D xsi:type="xsd:double"&gt;3.36118442045111&lt;/D&gt;&lt;D xsi:type="xsd:double"&gt;3.4665935651196&lt;/D&gt;&lt;D xsi:type="xsd:double"&gt;3.39473735393995&lt;/D&gt;&lt;D xsi:type="xsd:double"&gt;3.45504612316079&lt;/D&gt;&lt;D xsi:type="xsd:double"&gt;3.43955030777749&lt;/D&gt;&lt;D xsi:type="xsd:double"&gt;3.70183322733909&lt;/D&gt;&lt;D xsi:type="xsd:double"&gt;3.74032481645029&lt;/D&gt;&lt;D xsi:type="xsd:double"&gt;4.11040699447312&lt;/D&gt;&lt;D xsi:type="xsd:double"&gt;3.77589250735133&lt;/D&gt;&lt;D xsi:type="xsd:double"&gt;3.62006056995402&lt;/D&gt;&lt;D xsi:type="xsd:double"&gt;3.52617244129402&lt;/D&gt;&lt;D xsi:type="xsd:double"&gt;3.48983441390456&lt;/D&gt;&lt;D xsi:type="xsd:double"&gt;3.70591402344882&lt;/D&gt;&lt;D xsi:type="xsd:double"&gt;3.48307835795131&lt;/D&gt;&lt;D xsi:type="xsd:double"&gt;3.65992110181949&lt;/D&gt;&lt;D xsi:type="xsd:double"&gt;3.61720760541756&lt;/D&gt;&lt;D xsi:type="xsd:double"&gt;3.63470766821379&lt;/D&gt;&lt;D xsi:type="xsd:double"&gt;3.43179236264564&lt;/D&gt;&lt;D xsi:type="xsd:double"&gt;3.47876572136871&lt;/D&gt;&lt;D xsi:type="xsd:double"&gt;3.32107568916215&lt;/D&gt;&lt;D xsi:type="xsd:double"&gt;3.41722674401293&lt;/D&gt;&lt;D xsi:type="xsd:double"&gt;3.66371648884262&lt;/D&gt;&lt;D xsi:type="xsd:double"&gt;4.48843952327881&lt;/D&gt;&lt;D xsi:type="xsd:double"&gt;3.51706365099569&lt;/D&gt;&lt;D xsi:type="xsd:double"&gt;3.10239914281055&lt;/D&gt;&lt;D xsi:type="xsd:double"&gt;3.0826010369631&lt;/D&gt;&lt;D xsi:type="xsd:double"&gt;3.18047991504309&lt;/D&gt;&lt;D xsi:type="xsd:double"&gt;3.12081622524359&lt;/D&gt;&lt;D xsi:type="xsd:double"&gt;3.27590211721152&lt;/D&gt;&lt;D xsi:type="xsd:double"&gt;3.29660852253238&lt;/D&gt;&lt;D xsi:type="xsd:double"&gt;2.87880047333373&lt;/D&gt;&lt;D xsi:type="xsd:double"&gt;2.93955434766353&lt;/D&gt;&lt;D xsi:type="xsd:double"&gt;2.95630808410143&lt;/D&gt;&lt;D xsi:type="xsd:double"&gt;2.82070202714915&lt;/D&gt;&lt;D xsi:type="xsd:double"&gt;2.74011410693292&lt;/D&gt;&lt;D xsi:type="xsd:double"&gt;2.69826998503452&lt;/D&gt;&lt;D xsi:type="xsd:double"&gt;2.67059455919365&lt;/D&gt;&lt;D xsi:type="xsd:double"&gt;2.693180384744&lt;/D&gt;&lt;D xsi:type="xsd:double"&gt;2.69594024516496&lt;/D&gt;&lt;D xsi:type="xsd:double"&gt;2.75631013332157&lt;/D&gt;&lt;D xsi:type="xsd:double"&gt;2.86615409968608&lt;/D&gt;&lt;D xsi:type="xsd:double"&gt;2.74699319545773&lt;/D&gt;&lt;D xsi:type="xsd:double"&gt;2.87627629346692&lt;/D&gt;&lt;D xsi:type="xsd:double"&gt;2.7212788103135&lt;/D&gt;&lt;D xsi:type="xsd:double"&gt;2.86480110453517&lt;/D&gt;&lt;D xsi:type="xsd:double"&gt;3.22918330031806&lt;/D&gt;&lt;D xsi:type="xsd:double"&gt;3.08139101129037&lt;/D&gt;&lt;D xsi:type="xsd:double"&gt;3.19225121509229&lt;/D&gt;&lt;D xsi:type="xsd:double"&gt;3.20814683637919&lt;/D&gt;&lt;D xsi:type="xsd:double"&gt;3.53733272125416&lt;/D&gt;&lt;D xsi:type="xsd:double"&gt;3.27500529023888&lt;/D&gt;&lt;D xsi:type="xsd:double"&gt;3.49763065023889&lt;/D&gt;&lt;D xsi:type="xsd:double"&gt;3.75298915686468&lt;/D&gt;&lt;D xsi:type="xsd:double"&gt;3.52762605368299&lt;/D&gt;&lt;D xsi:type="xsd:double"&gt;3.26087956868997&lt;/D&gt;&lt;D xsi:type="xsd:double"&gt;3.3213320055559&lt;/D&gt;&lt;D xsi:type="xsd:double"&gt;3.05821087434466&lt;/D&gt;&lt;D xsi:type="xsd:double"&gt;3.13610251859614&lt;/D&gt;&lt;D xsi:type="xsd:double"&gt;3.16887869528533&lt;/D&gt;&lt;D xsi:type="xsd:double"&gt;3.16658516086448&lt;/D&gt;&lt;D xsi:type="xsd:double"&gt;3.26043456834492&lt;/D&gt;&lt;D xsi:type="xsd:double"&gt;3.24105305642881&lt;/D&gt;&lt;D xsi:type="xsd:double"&gt;3.33552779515852&lt;/D&gt;&lt;D xsi:type="xsd:double"&gt;3.32497479969173&lt;/D&gt;&lt;D xsi:type="xsd:double"&gt;3.49620147215057&lt;/D&gt;&lt;D xsi:type="xsd:double"&gt;3.45444609561291&lt;/D&gt;&lt;D xsi:type="xsd:double"&gt;3.32226507245985&lt;/D&gt;&lt;D xsi:type="xsd:double"&gt;3.2888291574304&lt;/D&gt;&lt;D xsi:type="xsd:double"&gt;3.20815071313048&lt;/D&gt;&lt;D xsi:type="xsd:double"&gt;3.12888408484978&lt;/D&gt;&lt;D xsi:type="xsd:double"&gt;3.07163760011359&lt;/D&gt;&lt;D xsi:type="xsd:double"&gt;3.14832944380594&lt;/D&gt;&lt;D xsi:type="xsd:double"&gt;3.16038619523957&lt;/D&gt;&lt;D xsi:type="xsd:double"&gt;3.32554585449578&lt;/D&gt;&lt;D xsi:type="xsd:double"&gt;3.48445760320834&lt;/D&gt;&lt;D xsi:type="xsd:double"&gt;3.36969061658377&lt;/D&gt;&lt;D xsi:type="xsd:double"&gt;3.33313857682194&lt;/D&gt;&lt;/FQL&gt;&lt;FQL&gt;&lt;Q&gt;SPY^FMA_DIV_YLD(NTMA,-10AY,0,AM,"PORTAGG","MEANR")&lt;/Q&gt;&lt;R&gt;121&lt;/R&gt;&lt;C&gt;1&lt;/C&gt;&lt;D xsi:type="xsd:double"&gt;2.13837907315852&lt;/D&gt;&lt;D xsi:type="xsd:double"&gt;2.10902388039136&lt;/D&gt;&lt;D xsi:type="xsd:double"&gt;2.07019945853303&lt;/D&gt;&lt;D xsi:type="xsd:double"&gt;2.10229323424265&lt;/D&gt;&lt;D xsi:type="xsd:double"&gt;2.13299561237452&lt;/D&gt;&lt;D xsi:type="xsd:double"&gt;2.12574093142075&lt;/D&gt;&lt;D xsi:type="xsd:double"&gt;2.18037388974949&lt;/D&gt;&lt;D xsi:type="xsd:double"&gt;2.14931031730696&lt;/D&gt;&lt;D xsi:type="xsd:double"&gt;2.15493385036624&lt;/D&gt;&lt;D xsi:type="xsd:double"&gt;2.19149921343609&lt;/D&gt;&lt;D xsi:type="xsd:double"&gt;2.19522722870663&lt;/D&gt;&lt;D xsi:type="xsd:double"&gt;2.37794765570554&lt;/D&gt;&lt;D xsi:type="xsd:double"&gt;2.38199274009803&lt;/D&gt;&lt;D xsi:type="xsd:double"&gt;2.21759331456005&lt;/D&gt;&lt;D xsi:type="xsd:double"&gt;2.31038034566258&lt;/D&gt;&lt;D xsi:type="xsd:double"&gt;2.31468341119618&lt;/D&gt;&lt;D xsi:type="xsd:double"&gt;2.45182025901469&lt;/D&gt;&lt;D xsi:type="xsd:double"&gt;2.47519773454617&lt;/D&gt;&lt;D xsi:type="xsd:double"&gt;2.29179874134034&lt;/D&gt;&lt;D xsi:type="xsd:double"&gt;2.29270141173246&lt;/D&gt;&lt;D xsi:type="xsd:double"&gt;2.27208474723715&lt;/D&gt;&lt;D xsi:type="xsd:double"&gt;2.27675912156177&lt;/D&gt;&lt;D xsi:type="xsd:double"&gt;2.22053303408092&lt;/D&gt;&lt;D xsi:type="xsd:double"&gt;2.21341278146833&lt;/D&gt;&lt;D xsi:type="xsd:double"&gt;2.22851500199598&lt;/D&gt;&lt;D xsi:type="xsd:double"&gt;2.31888150701755&lt;/D&gt;&lt;D xsi:type="xsd:double"&gt;2.22327630646496&lt;/D&gt;&lt;D xsi:type="xsd:double"&gt;2.17123639152028&lt;/D&gt;&lt;D xsi:type="xsd:double"&gt;2.15382596381122&lt;/D&gt;&lt;D xsi:type="xsd:double"&gt;2.08878190762007&lt;/D&gt;&lt;D xsi:type="xsd:double"&gt;2.12128920463657&lt;/D&gt;&lt;D xsi:type="xsd:double"&gt;2.10756243966117&lt;/D&gt;&lt;D xsi:type="xsd:double"&gt;2.07494532252397&lt;/D&gt;&lt;D xsi:type="xsd:double"&gt;2.10129944099141&lt;/D&gt;&lt;D xsi:type="xsd:double"&gt;2.08541275156381&lt;/D&gt;&lt;D xsi:type="xsd:double"&gt;2.09267262525336&lt;/D&gt;&lt;D xsi:type="xsd:double"&gt;2.04962292150315&lt;/D&gt;&lt;D xsi:type="xsd:double"&gt;2.02482466402925&lt;/D&gt;&lt;D xsi:type="xsd:double"&gt;1.97452527147198&lt;/D&gt;&lt;D xsi:type="xsd:double"&gt;1.936775235659&lt;/D&gt;&lt;D xsi:type="xsd:double"&gt;1.92807790157411&lt;/D&gt;&lt;D xsi:type="xsd:double"&gt;2.00588531378872&lt;/D&gt;&lt;D xsi:type="xsd:double"&gt;2.0802317558753&lt;/D&gt;&lt;D xsi:type="xsd:double"&gt;2.09197843077927&lt;/D&gt;&lt;D xsi:type="xsd:double"&gt;2.02241372702905&lt;/D&gt;&lt;D xsi:type="xsd:double"&gt;2.05879959204646&lt;/D&gt;&lt;D xsi:type="xsd:double"&gt;1.98851052453935&lt;/D&gt;&lt;D xsi:type="xsd:double"&gt;1.95551789133049&lt;/D&gt;&lt;D xsi:type="xsd:double"&gt;1.95151189650942&lt;/D&gt;&lt;D xsi:type="xsd:double"&gt;2.10136678168294&lt;/D&gt;&lt;D xsi:type="xsd:double"&gt;2.06545387156079&lt;/D&gt;&lt;D xsi:type="xsd:double"&gt;2.37770513288763&lt;/D&gt;&lt;D xsi:type="xsd:double"&gt;2.16110422856803&lt;/D&gt;&lt;D xsi:type="xsd:double"&gt;2.09436131892643&lt;/D&gt;&lt;D xsi:type="xsd:double"&gt;2.06411562757654&lt;/D&gt;&lt;D xsi:type="xsd:double"&gt;2.0238384183685&lt;/D&gt;&lt;D xsi:type="xsd:double"&gt;2.18479931237061&lt;/D&gt;&lt;D xsi:type="xsd:double"&gt;2.01162769205833&lt;/D&gt;&lt;D xsi:type="xsd:double"&gt;2.06527222206653&lt;/D&gt;&lt;D xsi:type="xsd:double"&gt;2.09575906006616&lt;/D&gt;&lt;D xsi:type="xsd:double"&gt;2.10246060478503&lt;/D&gt;&lt;D xsi:type="xsd:double"&gt;2.01070301397953&lt;/D&gt;&lt;D xsi:type="xsd:double"&gt;2.00738294315501&lt;/D&gt;&lt;D xsi:type="xsd:double"&gt;1.93167259149295&lt;/D&gt;&lt;D xsi:type="xsd:double"&gt;1.9398485350721&lt;/D&gt;&lt;D xsi:type="xsd:double"&gt;2.11209514549615&lt;/D&gt;&lt;D xsi:type="xsd:double"&gt;2.517429845675&lt;/D&gt;&lt;D xsi:type="xsd:double"&gt;2.15226426466775&lt;/D&gt;&lt;D xsi:type="xsd:double"&gt;1.9337151976176&lt;/D&gt;&lt;D xsi:type="xsd:double"&gt;1.91411503611448&lt;/D&gt;&lt;D xsi:type="xsd:double"&gt;1.80608099687472&lt;/D&gt;&lt;D xsi:type="xsd:double"&gt;1.72706036700873&lt;/D&gt;&lt;D xsi:type="xsd:double"&gt;1.78152900874096&lt;/D&gt;&lt;D xsi:type="xsd:double"&gt;1.77954255317905&lt;/D&gt;&lt;D xsi:type="xsd:double"&gt;1.63616554561525&lt;/D&gt;&lt;D xsi:type="xsd:double"&gt;1.57770775561851&lt;/D&gt;&lt;D xsi:type="xsd:double"&gt;1.55979240959466&lt;/D&gt;&lt;D xsi:type="xsd:double"&gt;1.57730305250284&lt;/D&gt;&lt;D xsi:type="xsd:double"&gt;1.50646577862943&lt;/D&gt;&lt;D xsi:type="xsd:double"&gt;1.45702453092437&lt;/D&gt;&lt;D xsi:type="xsd:double"&gt;1.46530000139719&lt;/D&gt;&lt;D xsi:type="xsd:double"&gt;1.42593222076986&lt;/D&gt;&lt;D xsi:type="xsd:double"&gt;1.42137204336307&lt;/D&gt;&lt;D xsi:type="xsd:double"&gt;1.39709800196697&lt;/D&gt;&lt;D xsi:type="xsd:double"&gt;1.45917066588853&lt;/D&gt;&lt;D xsi:type="xsd:double"&gt;1.37996050852671&lt;/D&gt;&lt;D xsi:type="xsd:double"&gt;1.41997315034029&lt;/D&gt;&lt;D xsi:type="xsd:double"&gt;1.34694121768054&lt;/D&gt;&lt;D xsi:type="xsd:double"&gt;1.46219893966951&lt;/D&gt;&lt;D xsi:type="xsd:double"&gt;1.51514599574523&lt;/D&gt;&lt;D xsi:type="xsd:double"&gt;1.45055025681169&lt;/D&gt;&lt;D xsi:type="xsd:double"&gt;1.58401105084784&lt;/D&gt;&lt;D xsi:type="xsd:double"&gt;1.61780052606074&lt;/D&gt;&lt;D xsi:type="xsd:double"&gt;1.75495807526175&lt;/D&gt;&lt;D xsi:type="xsd:double"&gt;1.62368765899506&lt;/D&gt;&lt;D xsi:type="xsd:double"&gt;1.74086662512774&lt;/D&gt;&lt;D xsi:type="xsd:double"&gt;1.86386673208624&lt;/D&gt;&lt;D xsi:type="xsd:double"&gt;1.85722389872387&lt;/D&gt;&lt;D xsi:type="xsd:double"&gt;1.6991976163308&lt;/D&gt;&lt;D xsi:type="xsd:double"&gt;1.81687164768108&lt;/D&gt;&lt;D xsi:type="xsd:double"&gt;1.69152585789581&lt;/D&gt;&lt;D xsi:type="xsd:double"&gt;1.73637962368359&lt;/D&gt;&lt;D xsi:type="xsd:double"&gt;1.71063522457656&lt;/D&gt;&lt;D xsi:type="xsd:double"&gt;1.72606906572751&lt;/D&gt;&lt;D xsi:type="xsd:double"&gt;1.65609088871319&lt;/D&gt;&lt;D xsi:type="xsd:double"&gt;1.5950899116787&lt;/D&gt;&lt;D xsi:type="xsd:double"&gt;1.58709318031744&lt;/D&gt;&lt;D xsi:type="xsd:double"&gt;1.59260646099435&lt;/D&gt;&lt;D xsi:type="xsd:double"&gt;1.71390543450744&lt;/D&gt;&lt;D xsi:type="xsd:double"&gt;1.66928426176443&lt;/D&gt;&lt;D xsi:type="xsd:double"&gt;1.5870780482383&lt;/D&gt;&lt;D xsi:type="xsd:double"&gt;1.56594663762354&lt;/D&gt;&lt;D xsi:type="xsd:double"&gt;1.50262785051875&lt;/D&gt;&lt;D xsi:type="xsd:double"&gt;1.46163800085581&lt;/D&gt;&lt;D xsi:type="xsd:double"&gt;1.44096403204886&lt;/D&gt;&lt;D xsi:type="xsd:double"&gt;1.48862546074229&lt;/D&gt;&lt;D xsi:type="xsd:double"&gt;1.45336616277175&lt;/D&gt;&lt;D xsi:type="xsd:double"&gt;1.38983275861046&lt;/D&gt;&lt;D xsi:type="xsd:double"&gt;1.44533568251682&lt;/D&gt;&lt;D xsi:type="xsd:double"&gt;1.40436102691124&lt;/D&gt;&lt;D xsi:type="xsd:double"&gt;1.35902446481307&lt;/D&gt;&lt;/FQL&gt;&lt;FQL&gt;&lt;Q&gt;QQQ^FMA_DIV_YLD(NTMA,-10AY,0,AM,"PORTAGG","MEANR")&lt;/Q&gt;&lt;R&gt;121&lt;/R&gt;&lt;C&gt;1&lt;/C&gt;&lt;D xsi:type="xsd:double"&gt;1.24654883397084&lt;/D&gt;&lt;D xsi:type="xsd:double"&gt;1.22421724965822&lt;/D&gt;&lt;D xsi:type="xsd:double"&gt;1.19727591837308&lt;/D&gt;&lt;D xsi:type="xsd:double"&gt;1.20789072103969&lt;/D&gt;&lt;D xsi:type="xsd:double"&gt;1.21901237000279&lt;/D&gt;&lt;D xsi:type="xsd:double"&gt;1.20622884804028&lt;/D&gt;&lt;D xsi:type="xsd:double"&gt;1.28225423001148&lt;/D&gt;&lt;D xsi:type="xsd:double"&gt;1.2376520692411&lt;/D&gt;&lt;D xsi:type="xsd:double"&gt;1.23625695353002&lt;/D&gt;&lt;D xsi:type="xsd:double"&gt;1.26122092774196&lt;/D&gt;&lt;D xsi:type="xsd:double"&gt;1.26511761066486&lt;/D&gt;&lt;D xsi:type="xsd:double"&gt;1.37565929345392&lt;/D&gt;&lt;D xsi:type="xsd:double"&gt;1.36720016176551&lt;/D&gt;&lt;D xsi:type="xsd:double"&gt;1.24977922506572&lt;/D&gt;&lt;D xsi:type="xsd:double"&gt;1.28922215009072&lt;/D&gt;&lt;D xsi:type="xsd:double"&gt;1.25997804336583&lt;/D&gt;&lt;D xsi:type="xsd:double"&gt;1.39675483135398&lt;/D&gt;&lt;D xsi:type="xsd:double"&gt;1.37433763887308&lt;/D&gt;&lt;D xsi:type="xsd:double"&gt;1.31866278442854&lt;/D&gt;&lt;D xsi:type="xsd:double"&gt;1.39047842273711&lt;/D&gt;&lt;D xsi:type="xsd:double"&gt;1.34556864664874&lt;/D&gt;&lt;D xsi:type="xsd:double"&gt;1.35862473258535&lt;/D&gt;&lt;D xsi:type="xsd:double"&gt;1.28967827763806&lt;/D&gt;&lt;D xsi:type="xsd:double"&gt;1.28338731892531&lt;/D&gt;&lt;D xsi:type="xsd:double"&gt;1.26303933969636&lt;/D&gt;&lt;D xsi:type="xsd:double"&gt;1.32615764431913&lt;/D&gt;&lt;D xsi:type="xsd:double"&gt;1.31592340023061&lt;/D&gt;&lt;D xsi:type="xsd:double"&gt;1.28957877123463&lt;/D&gt;&lt;D xsi:type="xsd:double"&gt;1.23899425993883&lt;/D&gt;&lt;D xsi:type="xsd:double"&gt;1.21595978537277&lt;/D&gt;&lt;D xsi:type="xsd:double"&gt;1.20844145400015&lt;/D&gt;&lt;D xsi:type="xsd:double"&gt;1.18270189374547&lt;/D&gt;&lt;D xsi:type="xsd:double"&gt;1.14103212413917&lt;/D&gt;&lt;D xsi:type="xsd:double"&gt;1.21065328104709&lt;/D&gt;&lt;D xsi:type="xsd:double"&gt;1.17418625352971&lt;/D&gt;&lt;D xsi:type="xsd:double"&gt;1.16027732463639&lt;/D&gt;&lt;D xsi:type="xsd:double"&gt;1.16069592661258&lt;/D&gt;&lt;D xsi:type="xsd:double"&gt;1.11336772703611&lt;/D&gt;&lt;D xsi:type="xsd:double"&gt;1.10938838728236&lt;/D&gt;&lt;D xsi:type="xsd:double"&gt;1.07251608328371&lt;/D&gt;&lt;D xsi:type="xsd:double"&gt;1.0631498940693&lt;/D&gt;&lt;D xsi:type="xsd:double"&gt;1.07210358135772&lt;/D&gt;&lt;D xsi:type="xsd:double"&gt;1.14413087752383&lt;/D&gt;&lt;D xsi:type="xsd:double"&gt;1.12984161971372&lt;/D&gt;&lt;D xsi:type="xsd:double"&gt;1.06473200386643&lt;/D&gt;&lt;D xsi:type="xsd:double"&gt;1.08105015398593&lt;/D&gt;&lt;D xsi:type="xsd:double"&gt;1.07950353871957&lt;/D&gt;&lt;D xsi:type="xsd:double"&gt;1.05046082475478&lt;/D&gt;&lt;D xsi:type="xsd:double"&gt;1.0614799270575&lt;/D&gt;&lt;D xsi:type="xsd:double"&gt;1.18219257849352&lt;/D&gt;&lt;D xsi:type="xsd:double"&gt;1.17200926712339&lt;/D&gt;&lt;D xsi:type="xsd:double"&gt;1.36159909445826&lt;/D&gt;&lt;D xsi:type="xsd:double"&gt;1.22445201957326&lt;/D&gt;&lt;D xsi:type="xsd:double"&gt;1.1693555171644&lt;/D&gt;&lt;D xsi:type="xsd:double"&gt;1.11431883447169&lt;/D&gt;&lt;D xsi:type="xsd:double"&gt;1.08025528401419&lt;/D&gt;&lt;D xsi:type="xsd:double"&gt;1.22664851020956&lt;/D&gt;&lt;D xsi:type="xsd:double"&gt;1.08864064799322&lt;/D&gt;&lt;D xsi:type="xsd:double"&gt;1.11621918769169&lt;/D&gt;&lt;D xsi:type="xsd:double"&gt;1.11766359722321&lt;/D&gt;&lt;D xsi:type="xsd:double"&gt;1.13299845334909&lt;/D&gt;&lt;D xsi:type="xsd:double"&gt;1.0738404175979&lt;/D&gt;&lt;D xsi:type="xsd:double"&gt;1.09182641529687&lt;/D&gt;&lt;D xsi:type="xsd:double"&gt;1.04111648466804&lt;/D&gt;&lt;D xsi:type="xsd:double"&gt;1.00878023139285&lt;/D&gt;&lt;D xsi:type="xsd:double"&gt;1.07826383645397&lt;/D&gt;&lt;D xsi:type="xsd:double"&gt;1.23145700254171&lt;/D&gt;&lt;D xsi:type="xsd:double"&gt;1.04478205789157&lt;/D&gt;&lt;D xsi:type="xsd:double"&gt;0.936437578633701&lt;/D&gt;&lt;D xsi:type="xsd:double"&gt;0.879624689923442&lt;/D&gt;&lt;D xsi:type="xsd:double"&gt;0.824390880655632&lt;/D&gt;&lt;D xsi:type="xsd:double"&gt;0.775853296109381&lt;/D&gt;&lt;D xsi:type="xsd:double"&gt;0.812639707256137&lt;/D&gt;&lt;D xsi:type="xsd:double"&gt;0.821565436961404&lt;/D&gt;&lt;D xsi:type="xsd:double"&gt;0.745082998521364&lt;/D&gt;&lt;D xsi:type="xsd:double"&gt;0.763066798695191&lt;/D&gt;&lt;D xsi:type="xsd:double"&gt;0.740341364686658&lt;/D&gt;&lt;D xsi:type="xsd:double"&gt;0.789430192399872&lt;/D&gt;&lt;D xsi:type="xsd:double"&gt;0.754172587177616&lt;/D&gt;&lt;D xsi:type="xsd:double"&gt;0.734137687151852&lt;/D&gt;&lt;D xsi:type="xsd:double"&gt;0.751809387272577&lt;/D&gt;&lt;D xsi:type="xsd:double"&gt;0.696209339031744&lt;/D&gt;&lt;D xsi:type="xsd:double"&gt;0.700127825051279&lt;/D&gt;&lt;D xsi:type="xsd:double"&gt;0.677079340779165&lt;/D&gt;&lt;D xsi:type="xsd:double"&gt;0.723255601001135&lt;/D&gt;&lt;D xsi:type="xsd:double"&gt;0.66673539315555&lt;/D&gt;&lt;D xsi:type="xsd:double"&gt;0.690278904369432&lt;/D&gt;&lt;D xsi:type="xsd:double"&gt;0.661232407305658&lt;/D&gt;&lt;D xsi:type="xsd:double"&gt;0.761055192178424&lt;/D&gt;&lt;D xsi:type="xsd:double"&gt;0.799193104866416&lt;/D&gt;&lt;D xsi:type="xsd:double"&gt;0.757604898425325&lt;/D&gt;&lt;D xsi:type="xsd:double"&gt;0.863622126647409&lt;/D&gt;&lt;D xsi:type="xsd:double"&gt;0.908893485074966&lt;/D&gt;&lt;D xsi:type="xsd:double"&gt;0.992342141143262&lt;/D&gt;&lt;D xsi:type="xsd:double"&gt;0.873573804138427&lt;/D&gt;&lt;D xsi:type="xsd:double"&gt;0.962519183356525&lt;/D&gt;&lt;D xsi:type="xsd:double"&gt;1.04604012721065&lt;/D&gt;&lt;D xsi:type="xsd:double"&gt;1.10813380703866&lt;/D&gt;&lt;D xsi:type="xsd:double"&gt;0.987037691099067&lt;/D&gt;&lt;D xsi:type="xsd:double"&gt;1.04667853761406&lt;/D&gt;&lt;D xsi:type="xsd:double"&gt;0.914676861026531&lt;/D&gt;&lt;D xsi:type="xsd:double"&gt;0.942468659225222&lt;/D&gt;&lt;D xsi:type="xsd:double"&gt;0.88584481589786&lt;/D&gt;&lt;D xsi:type="xsd:double"&gt;0.878689582787578&lt;/D&gt;&lt;D xsi:type="xsd:double"&gt;0.791640313239775&lt;/D&gt;&lt;D xsi:type="xsd:double"&gt;0.76142570361568&lt;/D&gt;&lt;D xsi:type="xsd:double"&gt;0.877792408046294&lt;/D&gt;&lt;D xsi:type="xsd:double"&gt;0.874202943994887&lt;/D&gt;&lt;D xsi:type="xsd:double"&gt;0.956189208598552&lt;/D&gt;&lt;D xsi:type="xsd:double"&gt;0.928321953459184&lt;/D&gt;&lt;D xsi:type="xsd:double"&gt;0.884761727654068&lt;/D&gt;&lt;D xsi:type="xsd:double"&gt;0.945427938301342&lt;/D&gt;&lt;D xsi:type="xsd:double"&gt;0.894795972624875&lt;/D&gt;&lt;D xsi:type="xsd:double"&gt;0.87017085963777&lt;/D&gt;&lt;D xsi:type="xsd:double"&gt;0.888802157545119&lt;/D&gt;&lt;D xsi:type="xsd:double"&gt;0.92657336670763&lt;/D&gt;&lt;D xsi:type="xsd:double"&gt;0.894321277993522&lt;/D&gt;&lt;D xsi:type="xsd:double"&gt;0.82290882486242&lt;/D&gt;&lt;D xsi:type="xsd:double"&gt;0.884670735515334&lt;/D&gt;&lt;D xsi:type="xsd:double"&gt;0.863170335285204&lt;/D&gt;&lt;D xsi:type="xsd:double"&gt;0.829608853991719&lt;/D&gt;&lt;/FQL&gt;&lt;FQL&gt;&lt;Q&gt;EWU^FMA_DIV_YLD(NTMA,-10AY,0,AM,"PORTAGG","MEANR")&lt;/Q&gt;&lt;R&gt;121&lt;/R&gt;&lt;C&gt;1&lt;/C&gt;&lt;D xsi:type="xsd:double"&gt;4.13435088218619&lt;/D&gt;&lt;D xsi:type="xsd:double"&gt;4.13398701124162&lt;/D&gt;&lt;D xsi:type="xsd:double"&gt;4.02628431483449&lt;/D&gt;&lt;D xsi:type="xsd:double"&gt;4.17006326625388&lt;/D&gt;&lt;D xsi:type="xsd:double"&gt;4.00188552890118&lt;/D&gt;&lt;D xsi:type="xsd:double"&gt;3.91761422305888&lt;/D&gt;&lt;D xsi:type="xsd:double"&gt;4.0204209325582&lt;/D&gt;&lt;D xsi:type="xsd:double"&gt;3.90727354923853&lt;/D&gt;&lt;D xsi:type="xsd:double"&gt;3.94210652073723&lt;/D&gt;&lt;D xsi:type="xsd:double"&gt;4.14420467296905&lt;/D&gt;&lt;D xsi:type="xsd:double"&gt;4.09999413659817&lt;/D&gt;&lt;D xsi:type="xsd:double"&gt;4.45310278778329&lt;/D&gt;&lt;D xsi:type="xsd:double"&gt;4.42968318466133&lt;/D&gt;&lt;D xsi:type="xsd:double"&gt;4.22904736212352&lt;/D&gt;&lt;D xsi:type="xsd:double"&gt;4.26585098206561&lt;/D&gt;&lt;D xsi:type="xsd:double"&gt;4.30856301942377&lt;/D&gt;&lt;D xsi:type="xsd:double"&gt;4.57350851976247&lt;/D&gt;&lt;D xsi:type="xsd:double"&gt;4.43500691191784&lt;/D&gt;&lt;D xsi:type="xsd:double"&gt;4.3902824733655&lt;/D&gt;&lt;D xsi:type="xsd:double"&gt;4.32427507674589&lt;/D&gt;&lt;D xsi:type="xsd:double"&gt;4.29394929485512&lt;/D&gt;&lt;D xsi:type="xsd:double"&gt;4.18327853364226&lt;/D&gt;&lt;D xsi:type="xsd:double"&gt;4.17188381459929&lt;/D&gt;&lt;D xsi:type="xsd:double"&gt;4.0356491162387&lt;/D&gt;&lt;D xsi:type="xsd:double"&gt;4.13161948385436&lt;/D&gt;&lt;D xsi:type="xsd:double"&gt;4.41842741900204&lt;/D&gt;&lt;D xsi:type="xsd:double"&gt;4.43792867253151&lt;/D&gt;&lt;D xsi:type="xsd:double"&gt;4.26508370505551&lt;/D&gt;&lt;D xsi:type="xsd:double"&gt;4.29250413560299&lt;/D&gt;&lt;D xsi:type="xsd:double"&gt;4.28452968118164&lt;/D&gt;&lt;D xsi:type="xsd:double"&gt;4.35633225932581&lt;/D&gt;&lt;D xsi:type="xsd:double"&gt;4.37436758028783&lt;/D&gt;&lt;D xsi:type="xsd:double"&gt;4.22036612470311&lt;/D&gt;&lt;D xsi:type="xsd:double"&gt;4.32356898553152&lt;/D&gt;&lt;D xsi:type="xsd:double"&gt;4.23453766965518&lt;/D&gt;&lt;D xsi:type="xsd:double"&gt;4.31442701168876&lt;/D&gt;&lt;D xsi:type="xsd:double"&gt;4.2691707747382&lt;/D&gt;&lt;D xsi:type="xsd:double"&gt;4.28615202258082&lt;/D&gt;&lt;D xsi:type="xsd:double"&gt;4.4051747101624&lt;/D&gt;&lt;D xsi:type="xsd:double"&gt;4.20452665864256&lt;/D&gt;&lt;D xsi:type="xsd:double"&gt;4.2797272394745&lt;/D&gt;&lt;D xsi:type="xsd:double"&gt;4.72587456316156&lt;/D&gt;&lt;D xsi:type="xsd:double"&gt;4.5820252186516&lt;/D&gt;&lt;D xsi:type="xsd:double"&gt;4.38627064705038&lt;/D&gt;&lt;D xsi:type="xsd:double"&gt;4.32964674886198&lt;/D&gt;&lt;D xsi:type="xsd:double"&gt;4.43552806190112&lt;/D&gt;&lt;D xsi:type="xsd:double"&gt;4.42349679681116&lt;/D&gt;&lt;D xsi:type="xsd:double"&gt;4.5766306421935&lt;/D&gt;&lt;D xsi:type="xsd:double"&gt;4.52278015082554&lt;/D&gt;&lt;D xsi:type="xsd:double"&gt;4.85250651158737&lt;/D&gt;&lt;D xsi:type="xsd:double"&gt;4.93499852428916&lt;/D&gt;&lt;D xsi:type="xsd:double"&gt;5.39199909960503&lt;/D&gt;&lt;D xsi:type="xsd:double"&gt;5.04855046991584&lt;/D&gt;&lt;D xsi:type="xsd:double"&gt;4.97145053687759&lt;/D&gt;&lt;D xsi:type="xsd:double"&gt;4.80122297370688&lt;/D&gt;&lt;D xsi:type="xsd:double"&gt;4.85246839573992&lt;/D&gt;&lt;D xsi:type="xsd:double"&gt;4.93942128617898&lt;/D&gt;&lt;D xsi:type="xsd:double"&gt;4.69962001497596&lt;/D&gt;&lt;D xsi:type="xsd:double"&gt;4.95549492712638&lt;/D&gt;&lt;D xsi:type="xsd:double"&gt;5.03906050988387&lt;/D&gt;&lt;D xsi:type="xsd:double"&gt;5.09265429306289&lt;/D&gt;&lt;D xsi:type="xsd:double"&gt;4.81327990527494&lt;/D&gt;&lt;D xsi:type="xsd:double"&gt;4.86095738664866&lt;/D&gt;&lt;D xsi:type="xsd:double"&gt;4.5539228173407&lt;/D&gt;&lt;D xsi:type="xsd:double"&gt;4.75177568437463&lt;/D&gt;&lt;D xsi:type="xsd:double"&gt;5.22148363535015&lt;/D&gt;&lt;D xsi:type="xsd:double"&gt;6.38088175237656&lt;/D&gt;&lt;D xsi:type="xsd:double"&gt;4.84039989593216&lt;/D&gt;&lt;D xsi:type="xsd:double"&gt;3.92567181312225&lt;/D&gt;&lt;D xsi:type="xsd:double"&gt;4.0845478487221&lt;/D&gt;&lt;D xsi:type="xsd:double"&gt;4.06937620747634&lt;/D&gt;&lt;D xsi:type="xsd:double"&gt;4.13525811272064&lt;/D&gt;&lt;D xsi:type="xsd:double"&gt;4.23485959643517&lt;/D&gt;&lt;D xsi:type="xsd:double"&gt;4.43208159722147&lt;/D&gt;&lt;D xsi:type="xsd:double"&gt;3.87892145013872&lt;/D&gt;&lt;D xsi:type="xsd:double"&gt;3.94854082888533&lt;/D&gt;&lt;D xsi:type="xsd:double"&gt;4.06643018607345&lt;/D&gt;&lt;D xsi:type="xsd:double"&gt;3.95021948956032&lt;/D&gt;&lt;D xsi:type="xsd:double"&gt;4.04961279973749&lt;/D&gt;&lt;D xsi:type="xsd:double"&gt;3.95974571561855&lt;/D&gt;&lt;D xsi:type="xsd:double"&gt;3.89122418127058&lt;/D&gt;&lt;D xsi:type="xsd:double"&gt;3.99465105912553&lt;/D&gt;&lt;D xsi:type="xsd:double"&gt;4.15442231924717&lt;/D&gt;&lt;D xsi:type="xsd:double"&gt;4.16520225902265&lt;/D&gt;&lt;D xsi:type="xsd:double"&gt;4.20973412385899&lt;/D&gt;&lt;D xsi:type="xsd:double"&gt;4.0441495932163&lt;/D&gt;&lt;D xsi:type="xsd:double"&gt;4.10837664648062&lt;/D&gt;&lt;D xsi:type="xsd:double"&gt;3.91770955459623&lt;/D&gt;&lt;D xsi:type="xsd:double"&gt;3.79719146301455&lt;/D&gt;&lt;D xsi:type="xsd:double"&gt;4.02359563334693&lt;/D&gt;&lt;D xsi:type="xsd:double"&gt;4.0030961252353&lt;/D&gt;&lt;D xsi:type="xsd:double"&gt;4.05938690401668&lt;/D&gt;&lt;D xsi:type="xsd:double"&gt;4.0706093420231&lt;/D&gt;&lt;D xsi:type="xsd:double"&gt;4.32396103570579&lt;/D&gt;&lt;D xsi:type="xsd:double"&gt;4.18993632877917&lt;/D&gt;&lt;D xsi:type="xsd:double"&gt;4.43917798176809&lt;/D&gt;&lt;D xsi:type="xsd:double"&gt;4.7266924823244&lt;/D&gt;&lt;D xsi:type="xsd:double"&gt;4.5493423887267&lt;/D&gt;&lt;D xsi:type="xsd:double"&gt;4.21267202738892&lt;/D&gt;&lt;D xsi:type="xsd:double"&gt;4.23063593239194&lt;/D&gt;&lt;D xsi:type="xsd:double"&gt;4.09508331338928&lt;/D&gt;&lt;D xsi:type="xsd:double"&gt;4.12631840798938&lt;/D&gt;&lt;D xsi:type="xsd:double"&gt;4.19701505436275&lt;/D&gt;&lt;D xsi:type="xsd:double"&gt;4.2054800942897&lt;/D&gt;&lt;D xsi:type="xsd:double"&gt;4.35347865733026&lt;/D&gt;&lt;D xsi:type="xsd:double"&gt;4.37537927606522&lt;/D&gt;&lt;D xsi:type="xsd:double"&gt;4.41738832859884&lt;/D&gt;&lt;D xsi:type="xsd:double"&gt;4.47500433134127&lt;/D&gt;&lt;D xsi:type="xsd:double"&gt;4.56791631050753&lt;/D&gt;&lt;D xsi:type="xsd:double"&gt;4.55661688180826&lt;/D&gt;&lt;D xsi:type="xsd:double"&gt;4.41201258392099&lt;/D&gt;&lt;D xsi:type="xsd:double"&gt;4.30936301807109&lt;/D&gt;&lt;D xsi:type="xsd:double"&gt;4.30280954846838&lt;/D&gt;&lt;D xsi:type="xsd:double"&gt;4.15967773201777&lt;/D&gt;&lt;D xsi:type="xsd:double"&gt;4.0317197244322&lt;/D&gt;&lt;D xsi:type="xsd:double"&gt;3.90755875459421&lt;/D&gt;&lt;D xsi:type="xsd:double"&gt;3.89746893290681&lt;/D&gt;&lt;D xsi:type="xsd:double"&gt;3.9549379255041&lt;/D&gt;&lt;D xsi:type="xsd:double"&gt;3.93809971205031&lt;/D&gt;&lt;D xsi:type="xsd:double"&gt;3.89301833830669&lt;/D&gt;&lt;D xsi:type="xsd:double"&gt;3.87281371347721&lt;/D&gt;&lt;/FQL&gt;&lt;FQL&gt;&lt;Q&gt;EWL^FMA_DIV_YLD(NTMA,-10AY,0,AM,"PORTAGG","MEANR")&lt;/Q&gt;&lt;R&gt;121&lt;/R&gt;&lt;C&gt;1&lt;/C&gt;&lt;D xsi:type="xsd:double"&gt;3.39975935487568&lt;/D&gt;&lt;D xsi:type="xsd:double"&gt;3.35726195481536&lt;/D&gt;&lt;D xsi:type="xsd:double"&gt;3.23575250119978&lt;/D&gt;&lt;D xsi:type="xsd:double"&gt;3.31217177074199&lt;/D&gt;&lt;D xsi:type="xsd:double"&gt;3.34670568364244&lt;/D&gt;&lt;D xsi:type="xsd:double"&gt;3.18807757666017&lt;/D&gt;&lt;D xsi:type="xsd:double"&gt;3.13109479757595&lt;/D&gt;&lt;D xsi:type="xsd:double"&gt;3.09952287960115&lt;/D&gt;&lt;D xsi:type="xsd:double"&gt;3.11510792742399&lt;/D&gt;&lt;D xsi:type="xsd:double"&gt;3.23806260266242&lt;/D&gt;&lt;D xsi:type="xsd:double"&gt;3.09512902667881&lt;/D&gt;&lt;D xsi:type="xsd:double"&gt;3.34531557890567&lt;/D&gt;&lt;D xsi:type="xsd:double"&gt;3.43939997398871&lt;/D&gt;&lt;D xsi:type="xsd:double"&gt;3.24761114728144&lt;/D&gt;&lt;D xsi:type="xsd:double"&gt;3.26843043959375&lt;/D&gt;&lt;D xsi:type="xsd:double"&gt;3.27040945041367&lt;/D&gt;&lt;D xsi:type="xsd:double"&gt;3.48544377818477&lt;/D&gt;&lt;D xsi:type="xsd:double"&gt;3.50360054526098&lt;/D&gt;&lt;D xsi:type="xsd:double"&gt;3.59224856747807&lt;/D&gt;&lt;D xsi:type="xsd:double"&gt;3.53213058495115&lt;/D&gt;&lt;D xsi:type="xsd:double"&gt;3.47111952779416&lt;/D&gt;&lt;D xsi:type="xsd:double"&gt;3.5203014955333&lt;/D&gt;&lt;D xsi:type="xsd:double"&gt;3.54204540466534&lt;/D&gt;&lt;D xsi:type="xsd:double"&gt;3.42822070948567&lt;/D&gt;&lt;D xsi:type="xsd:double"&gt;3.48724165591302&lt;/D&gt;&lt;D xsi:type="xsd:double"&gt;3.70229761944608&lt;/D&gt;&lt;D xsi:type="xsd:double"&gt;3.71630699819162&lt;/D&gt;&lt;D xsi:type="xsd:double"&gt;3.53354550423212&lt;/D&gt;&lt;D xsi:type="xsd:double"&gt;3.44727006785641&lt;/D&gt;&lt;D xsi:type="xsd:double"&gt;3.34966278776583&lt;/D&gt;&lt;D xsi:type="xsd:double"&gt;3.43095423759489&lt;/D&gt;&lt;D xsi:type="xsd:double"&gt;3.35337622841362&lt;/D&gt;&lt;D xsi:type="xsd:double"&gt;3.26916377488315&lt;/D&gt;&lt;D xsi:type="xsd:double"&gt;3.26305177639174&lt;/D&gt;&lt;D xsi:type="xsd:double"&gt;3.24878442449617&lt;/D&gt;&lt;D xsi:type="xsd:double"&gt;3.31966903233124&lt;/D&gt;&lt;D xsi:type="xsd:double"&gt;3.23548208205862&lt;/D&gt;&lt;D xsi:type="xsd:double"&gt;3.22632650051147&lt;/D&gt;&lt;D xsi:type="xsd:double"&gt;3.2504472447529&lt;/D&gt;&lt;D xsi:type="xsd:double"&gt;3.19637575153954&lt;/D&gt;&lt;D xsi:type="xsd:double"&gt;3.23399277619482&lt;/D&gt;&lt;D xsi:type="xsd:double"&gt;3.52843856823392&lt;/D&gt;&lt;D xsi:type="xsd:double"&gt;3.5392132005445&lt;/D&gt;&lt;D xsi:type="xsd:double"&gt;3.49351614256622&lt;/D&gt;&lt;D xsi:type="xsd:double"&gt;3.55352667181163&lt;/D&gt;&lt;D xsi:type=</t>
        </r>
      </text>
    </comment>
    <comment ref="A8" authorId="0" shapeId="0" xr:uid="{A9634CA0-B407-4E32-8408-F77BF4933350}">
      <text>
        <r>
          <rPr>
            <b/>
            <sz val="9"/>
            <color indexed="81"/>
            <rFont val="Tahoma"/>
            <charset val="1"/>
          </rPr>
          <t>"xsd:double"&gt;3.55226520638505&lt;/D&gt;&lt;D xsi:type="xsd:double"&gt;3.37459045442245&lt;/D&gt;&lt;D xsi:type="xsd:double"&gt;3.41830060980553&lt;/D&gt;&lt;D xsi:type="xsd:double"&gt;3.39325185844876&lt;/D&gt;&lt;D xsi:type="xsd:double"&gt;3.50453699075546&lt;/D&gt;&lt;D xsi:type="xsd:double"&gt;3.49633207941159&lt;/D&gt;&lt;D xsi:type="xsd:double"&gt;3.70933525091923&lt;/D&gt;&lt;D xsi:type="xsd:double"&gt;3.46170458346392&lt;/D&gt;&lt;D xsi:type="xsd:double"&gt;3.33694159663307&lt;/D&gt;&lt;D xsi:type="xsd:double"&gt;3.28797380080478&lt;/D&gt;&lt;D xsi:type="xsd:double"&gt;3.26136714678486&lt;/D&gt;&lt;D xsi:type="xsd:double"&gt;3.31235641932791&lt;/D&gt;&lt;D xsi:type="xsd:double"&gt;3.17912848944572&lt;/D&gt;&lt;D xsi:type="xsd:double"&gt;3.25367930914858&lt;/D&gt;&lt;D xsi:type="xsd:double"&gt;3.24343259386172&lt;/D&gt;&lt;D xsi:type="xsd:double"&gt;3.30375197385756&lt;/D&gt;&lt;D xsi:type="xsd:double"&gt;3.14559545770692&lt;/D&gt;&lt;D xsi:type="xsd:double"&gt;3.16067071364201&lt;/D&gt;&lt;D xsi:type="xsd:double"&gt;3.02261710479137&lt;/D&gt;&lt;D xsi:type="xsd:double"&gt;3.0219546406825&lt;/D&gt;&lt;D xsi:type="xsd:double"&gt;3.19661020604052&lt;/D&gt;&lt;D xsi:type="xsd:double"&gt;3.53400523961669&lt;/D&gt;&lt;D xsi:type="xsd:double"&gt;3.26156325188524&lt;/D&gt;&lt;D xsi:type="xsd:double"&gt;3.06173416733813&lt;/D&gt;&lt;D xsi:type="xsd:double"&gt;3.04301857241544&lt;/D&gt;&lt;D xsi:type="xsd:double"&gt;2.95329292676187&lt;/D&gt;&lt;D xsi:type="xsd:double"&gt;2.95087468766599&lt;/D&gt;&lt;D xsi:type="xsd:double"&gt;2.95441049163062&lt;/D&gt;&lt;D xsi:type="xsd:double"&gt;3.0201913570302&lt;/D&gt;&lt;D xsi:type="xsd:double"&gt;2.92792674378954&lt;/D&gt;&lt;D xsi:type="xsd:double"&gt;2.82077523850231&lt;/D&gt;&lt;D xsi:type="xsd:double"&gt;2.84167737252235&lt;/D&gt;&lt;D xsi:type="xsd:double"&gt;2.87714160065829&lt;/D&gt;&lt;D xsi:type="xsd:double"&gt;2.79350069710843&lt;/D&gt;&lt;D xsi:type="xsd:double"&gt;2.75377678056206&lt;/D&gt;&lt;D xsi:type="xsd:double"&gt;2.69317189825435&lt;/D&gt;&lt;D xsi:type="xsd:double"&gt;2.63100633268272&lt;/D&gt;&lt;D xsi:type="xsd:double"&gt;2.58097339907662&lt;/D&gt;&lt;D xsi:type="xsd:double"&gt;2.57558710693509&lt;/D&gt;&lt;D xsi:type="xsd:double"&gt;2.77919579426776&lt;/D&gt;&lt;D xsi:type="xsd:double"&gt;2.58752522528222&lt;/D&gt;&lt;D xsi:type="xsd:double"&gt;2.67077607476083&lt;/D&gt;&lt;D xsi:type="xsd:double"&gt;2.52766057359219&lt;/D&gt;&lt;D xsi:type="xsd:double"&gt;2.7459182838398&lt;/D&gt;&lt;D xsi:type="xsd:double"&gt;2.87547374600155&lt;/D&gt;&lt;D xsi:type="xsd:double"&gt;2.78158936299687&lt;/D&gt;&lt;D xsi:type="xsd:double"&gt;2.8834465249832&lt;/D&gt;&lt;D xsi:type="xsd:double"&gt;2.97445030051647&lt;/D&gt;&lt;D xsi:type="xsd:double"&gt;3.1965228346668&lt;/D&gt;&lt;D xsi:type="xsd:double"&gt;3.06961084841396&lt;/D&gt;&lt;D xsi:type="xsd:double"&gt;3.19651036025271&lt;/D&gt;&lt;D xsi:type="xsd:double"&gt;3.43273184564079&lt;/D&gt;&lt;D xsi:type="xsd:double"&gt;3.34072332044146&lt;/D&gt;&lt;D xsi:type="xsd:double"&gt;3.08467540106566&lt;/D&gt;&lt;D xsi:type="xsd:double"&gt;3.171271457296&lt;/D&gt;&lt;D xsi:type="xsd:double"&gt;3.02742752716638&lt;/D&gt;&lt;D xsi:type="xsd:double"&gt;3.13399285691957&lt;/D&gt;&lt;D xsi:type="xsd:double"&gt;3.1676380924024&lt;/D&gt;&lt;D xsi:type="xsd:double"&gt;3.05209715749871&lt;/D&gt;&lt;D xsi:type="xsd:double"&gt;3.12627979885354&lt;/D&gt;&lt;D xsi:type="xsd:double"&gt;3.18555114093357&lt;/D&gt;&lt;D xsi:type="xsd:double"&gt;3.21111504765614&lt;/D&gt;&lt;D xsi:type="xsd:double"&gt;3.245367403327&lt;/D&gt;&lt;D xsi:type="xsd:double"&gt;3.42408183278&lt;/D&gt;&lt;D xsi:type="xsd:double"&gt;3.46260057864335&lt;/D&gt;&lt;D xsi:type="xsd:double"&gt;3.3647868004724&lt;/D&gt;&lt;D xsi:type="xsd:double"&gt;3.28739273393361&lt;/D&gt;&lt;D xsi:type="xsd:double"&gt;3.31234120879826&lt;/D&gt;&lt;D xsi:type="xsd:double"&gt;3.29531729714116&lt;/D&gt;&lt;D xsi:type="xsd:double"&gt;3.30160598705897&lt;/D&gt;&lt;D xsi:type="xsd:double"&gt;3.39028473042879&lt;/D&gt;&lt;D xsi:type="xsd:double"&gt;3.21858205677596&lt;/D&gt;&lt;D xsi:type="xsd:double"&gt;3.23008863255899&lt;/D&gt;&lt;D xsi:type="xsd:double"&gt;3.21402876903289&lt;/D&gt;&lt;D xsi:type="xsd:double"&gt;3.1044966898678&lt;/D&gt;&lt;D xsi:type="xsd:double"&gt;3.13384844501219&lt;/D&gt;&lt;/FQL&gt;&lt;FQL&gt;&lt;Q&gt;EWJ^FMA_DIV_YLD(NTMA,-10AY,0,AM,"PORTAGG","MEANR")&lt;/Q&gt;&lt;R&gt;121&lt;/R&gt;&lt;C&gt;1&lt;/C&gt;&lt;D xsi:type="xsd:double"&gt;2.09508174668382&lt;/D&gt;&lt;D xsi:type="xsd:double"&gt;2.0241710661743&lt;/D&gt;&lt;D xsi:type="xsd:double"&gt;1.92595117454037&lt;/D&gt;&lt;D xsi:type="xsd:double"&gt;1.98232280512474&lt;/D&gt;&lt;D xsi:type="xsd:double"&gt;2.03957274813629&lt;/D&gt;&lt;D xsi:type="xsd:double"&gt;1.87572094066119&lt;/D&gt;&lt;D xsi:type="xsd:double"&gt;1.87306489716522&lt;/D&gt;&lt;D xsi:type="xsd:double"&gt;1.86203725739815&lt;/D&gt;&lt;D xsi:type="xsd:double"&gt;1.84804773331924&lt;/D&gt;&lt;D xsi:type="xsd:double"&gt;1.90159297065694&lt;/D&gt;&lt;D xsi:type="xsd:double"&gt;1.90053470849988&lt;/D&gt;&lt;D xsi:type="xsd:double"&gt;2.16228293062966&lt;/D&gt;&lt;D xsi:type="xsd:double"&gt;2.21331368535566&lt;/D&gt;&lt;D xsi:type="xsd:double"&gt;2.09844160882508&lt;/D&gt;&lt;D xsi:type="xsd:double"&gt;2.01397587667463&lt;/D&gt;&lt;D xsi:type="xsd:double"&gt;2.09547306420622&lt;/D&gt;&lt;D xsi:type="xsd:double"&gt;2.3246959055071&lt;/D&gt;&lt;D xsi:type="xsd:double"&gt;2.34435900558684&lt;/D&gt;&lt;D xsi:type="xsd:double"&gt;2.48429726034848&lt;/D&gt;&lt;D xsi:type="xsd:double"&gt;2.46872076711157&lt;/D&gt;&lt;D xsi:type="xsd:double"&gt;2.36457455130072&lt;/D&gt;&lt;D xsi:type="xsd:double"&gt;2.5223679725129&lt;/D&gt;&lt;D xsi:type="xsd:double"&gt;2.47785748991105&lt;/D&gt;&lt;D xsi:type="xsd:double"&gt;2.34100500255819&lt;/D&gt;&lt;D xsi:type="xsd:double"&gt;2.39636736824108&lt;/D&gt;&lt;D xsi:type="xsd:double"&gt;2.34980845933361&lt;/D&gt;&lt;D xsi:type="xsd:double"&gt;2.16760263994861&lt;/D&gt;&lt;D xsi:type="xsd:double"&gt;2.12608545916543&lt;/D&gt;&lt;D xsi:type="xsd:double"&gt;2.1650400585983&lt;/D&gt;&lt;D xsi:type="xsd:double"&gt;2.13338853949562&lt;/D&gt;&lt;D xsi:type="xsd:double"&gt;2.21820628105934&lt;/D&gt;&lt;D xsi:type="xsd:double"&gt;2.18951787308208&lt;/D&gt;&lt;D xsi:type="xsd:double"&gt;2.13768306048346&lt;/D&gt;&lt;D xsi:type="xsd:double"&gt;2.16770465963382&lt;/D&gt;&lt;D xsi:type="xsd:double"&gt;2.15808115342257&lt;/D&gt;&lt;D xsi:type="xsd:double"&gt;2.20887719488853&lt;/D&gt;&lt;D xsi:type="xsd:double"&gt;2.1538393832725&lt;/D&gt;&lt;D xsi:type="xsd:double"&gt;2.03622719983469&lt;/D&gt;&lt;D xsi:type="xsd:double"&gt;2.07112668125357&lt;/D&gt;&lt;D xsi:type="xsd:double"&gt;2.06107499225508&lt;/D&gt;&lt;D xsi:type="xsd:double"&gt;2.03511276396523&lt;/D&gt;&lt;D xsi:type="xsd:double"&gt;2.26918251959667&lt;/D&gt;&lt;D xsi:type="xsd:double"&gt;2.29034320308387&lt;/D&gt;&lt;D xsi:type="xsd:double"&gt;2.21430800276511&lt;/D&gt;&lt;D xsi:type="xsd:double"&gt;2.27187897061566&lt;/D&gt;&lt;D xsi:type="xsd:double"&gt;2.35153795733357&lt;/D&gt;&lt;D xsi:type="xsd:double"&gt;2.29282134765729&lt;/D&gt;&lt;D xsi:type="xsd:double"&gt;2.31702072981049&lt;/D&gt;&lt;D xsi:type="xsd:double"&gt;2.23883549040927&lt;/D&gt;&lt;D xsi:type="xsd:double"&gt;2.44503711950436&lt;/D&gt;&lt;D xsi:type="xsd:double"&gt;2.42706934465823&lt;/D&gt;&lt;D xsi:type="xsd:double"&gt;2.75286922807915&lt;/D&gt;&lt;D xsi:type="xsd:double"&gt;2.63492681885579&lt;/D&gt;&lt;D xsi:type="xsd:double"&gt;2.55430607502661&lt;/D&gt;&lt;D xsi:type="xsd:double"&gt;2.55503263588145&lt;/D&gt;&lt;D xsi:type="xsd:double"&gt;2.5679259861292&lt;/D&gt;&lt;D xsi:type="xsd:double"&gt;2.77545399443256&lt;/D&gt;&lt;D xsi:type="xsd:double"&gt;2.64058840198406&lt;/D&gt;&lt;D xsi:type="xsd:double"&gt;2.71605049992335&lt;/D&gt;&lt;D xsi:type="xsd:double"&gt;2.75369474515911&lt;/D&gt;&lt;D xsi:type="xsd:double"&gt;2.50679486234031&lt;/D&gt;&lt;D xsi:type="xsd:double"&gt;2.37294278981094&lt;/D&gt;&lt;D xsi:type="xsd:double"&gt;2.31357425031809&lt;/D&gt;&lt;D xsi:type="xsd:double"&gt;2.30636618356817&lt;/D&gt;&lt;D xsi:type="xsd:double"&gt;2.37027682277258&lt;/D&gt;&lt;D xsi:type="xsd:double"&gt;2.61550476347752&lt;/D&gt;&lt;D xsi:type="xsd:double"&gt;2.95797410686984&lt;/D&gt;&lt;D xsi:type="xsd:double"&gt;2.69591899383926&lt;/D&gt;&lt;D xsi:type="xsd:double"&gt;2.32892585954341&lt;/D&gt;&lt;D xsi:type="xsd:double"&gt;2.37576130824459&lt;/D&gt;&lt;D xsi:type="xsd:double"&gt;2.3995951016837&lt;/D&gt;&lt;D xsi:type="xsd:double"&gt;2.20579260780647&lt;/D&gt;&lt;D xsi:type="xsd:double"&gt;2.24312826132934&lt;/D&gt;&lt;D xsi:type="xsd:double"&gt;2.24403031884738&lt;/D&gt;&lt;D xsi:type="xsd:double"&gt;2.00091336775824&lt;/D&gt;&lt;D xsi:type="xsd:double"&gt;1.97858107415621&lt;/D&gt;&lt;D xsi:type="xsd:double"&gt;1.93217979153606&lt;/D&gt;&lt;D xsi:type="xsd:double"&gt;1.93206880456689&lt;/D&gt;&lt;D xsi:type="xsd:double"&gt;1.91179506431632&lt;/D&gt;&lt;D xsi:type="xsd:double"&gt;2.00359621107824&lt;/D&gt;&lt;D xsi:type="xsd:double"&gt;1.989107773361&lt;/D&gt;&lt;D xsi:type="xsd:double"&gt;2.02518582641094&lt;/D&gt;&lt;D xsi:type="xsd:double"&gt;2.08207823378959&lt;/D&gt;&lt;D xsi:type="xsd:double"&gt;2.03821227626546&lt;/D&gt;&lt;D xsi:type="xsd:double"&gt;2.0938231742154&lt;/D&gt;&lt;D xsi:type="xsd:double"&gt;2.06722594450013&lt;/D&gt;&lt;D xsi:type="xsd:double"&gt;2.1745109379609&lt;/D&gt;&lt;D xsi:type="xsd:double"&gt;2.1533378455701&lt;/D&gt;&lt;D xsi:type="xsd:double"&gt;2.28129434995478&lt;/D&gt;&lt;D xsi:type="xsd:double"&gt;2.39676889798896&lt;/D&gt;&lt;D xsi:type="xsd:double"&gt;2.34767074076518&lt;/D&gt;&lt;D xsi:type="xsd:double"&gt;2.41940644591337&lt;/D&gt;&lt;D xsi:type="xsd:double"&gt;2.40873871757479&lt;/D&gt;&lt;D xsi:type="xsd:double"&gt;2.55754306454177&lt;/D&gt;&lt;D xsi:type="xsd:double"&gt;2.44717251278241&lt;/D&gt;&lt;D xsi:type="xsd:double"&gt;2.46502863506893&lt;/D&gt;&lt;D xsi:type="xsd:double"&gt;2.60511998949283&lt;/D&gt;&lt;D xsi:type="xsd:double"&gt;2.49076220865513&lt;/D&gt;&lt;D xsi:type="xsd:double"&gt;2.46414427084341&lt;/D&gt;&lt;D xsi:type="xsd:double"&gt;2.57782924871047&lt;/D&gt;&lt;D xsi:type="xsd:double"&gt;2.45541498074377&lt;/D&gt;&lt;D xsi:type="xsd:double"&gt;2.40138816883336&lt;/D&gt;&lt;D xsi:type="xsd:double"&gt;2.43010157348662&lt;/D&gt;&lt;D xsi:type="xsd:double"&gt;2.36563743999097&lt;/D&gt;&lt;D xsi:type="xsd:double"&gt;2.25637332017967&lt;/D&gt;&lt;D xsi:type="xsd:double"&gt;2.14331094610245&lt;/D&gt;&lt;D xsi:type="xsd:double"&gt;2.22451986692044&lt;/D&gt;&lt;D xsi:type="xsd:double"&gt;2.17867111338536&lt;/D&gt;&lt;D xsi:type="xsd:double"&gt;2.27749890111739&lt;/D&gt;&lt;D xsi:type="xsd:double"&gt;2.2482210206715&lt;/D&gt;&lt;D xsi:type="xsd:double"&gt;2.22538887163287&lt;/D&gt;&lt;D xsi:type="xsd:double"&gt;2.27463435890944&lt;/D&gt;&lt;D xsi:type="xsd:double"&gt;2.12627372227955&lt;/D&gt;&lt;D xsi:type="xsd:double"&gt;2.00723238429024&lt;/D&gt;&lt;D xsi:type="xsd:double"&gt;2.0526795004372&lt;/D&gt;&lt;D xsi:type="xsd:double"&gt;2.06964432902435&lt;/D&gt;&lt;D xsi:type="xsd:double"&gt;2.05160345170869&lt;/D&gt;&lt;D xsi:type="xsd:double"&gt;2.03855926618471&lt;/D&gt;&lt;D xsi:type="xsd:double"&gt;2.35105072420895&lt;/D&gt;&lt;D xsi:type="xsd:double"&gt;2.19870677145369&lt;/D&gt;&lt;D xsi:type="xsd:double"&gt;2.46283559316199&lt;/D&gt;&lt;/FQL&gt;&lt;FQL&gt;&lt;Q&gt;EWG^FMA_DIV_YLD(NTMA,-10AY,0,AM,"PORTAGG","MEANR")&lt;/Q&gt;&lt;R&gt;121&lt;/R&gt;&lt;C&gt;1&lt;/C&gt;&lt;D xsi:type="xsd:double"&gt;3.29188127460621&lt;/D&gt;&lt;D xsi:type="xsd:double"&gt;3.29149232304021&lt;/D&gt;&lt;D xsi:type="xsd:double"&gt;3.13125217655171&lt;/D&gt;&lt;D xsi:type="xsd:double"&gt;3.20673972066176&lt;/D&gt;&lt;D xsi:type="xsd:double"&gt;2.90182042431732&lt;/D&gt;&lt;D xsi:type="xsd:double"&gt;2.8073884646224&lt;/D&gt;&lt;D xsi:type="xsd:double"&gt;2.68976864034982&lt;/D&gt;&lt;D xsi:type="xsd:double"&gt;2.85825084742977&lt;/D&gt;&lt;D xsi:type="xsd:double"&gt;2.94155716955829&lt;/D&gt;&lt;D xsi:type="xsd:double"&gt;3.05685616476568&lt;/D&gt;&lt;D xsi:type="xsd:double"&gt;2.98252985474319&lt;/D&gt;&lt;D xsi:type="xsd:double"&gt;3.31320623126091&lt;/D&gt;&lt;D xsi:type="xsd:double"&gt;3.51099814566017&lt;/D&gt;&lt;D xsi:type="xsd:double"&gt;2.96691579204998&lt;/D&gt;&lt;D xsi:type="xsd:double"&gt;3.01345977681513&lt;/D&gt;&lt;D xsi:type="xsd:double"&gt;3.02919339249765&lt;/D&gt;&lt;D xsi:type="xsd:double"&gt;3.46682556002658&lt;/D&gt;&lt;D xsi:type="xsd:double"&gt;3.37984793570013&lt;/D&gt;&lt;D xsi:type="xsd:double"&gt;3.34682933835506&lt;/D&gt;&lt;D xsi:type="xsd:double"&gt;3.34387713538835&lt;/D&gt;&lt;D xsi:type="xsd:double"&gt;3.32649893888525&lt;/D&gt;&lt;D xsi:type="xsd:double"&gt;3.45090564501753&lt;/D&gt;&lt;D xsi:type="xsd:double"&gt;3.31619870470981&lt;/D&gt;&lt;D xsi:type="xsd:double"&gt;3.15759180837066&lt;/D&gt;&lt;D xsi:type="xsd:double"&gt;3.17379810955025&lt;/D&gt;&lt;D xsi:type="xsd:double"&gt;3.25466501012214&lt;/D&gt;&lt;D xsi:type="xsd:double"&gt;3.22706974405052&lt;/D&gt;&lt;D xsi:type="xsd:double"&gt;2.95163241005929&lt;/D&gt;&lt;D xsi:type="xsd:double"&gt;2.96780169636894&lt;/D&gt;&lt;D xsi:type="xsd:double"&gt;2.91453132973445&lt;/D&gt;&lt;D xsi:type="xsd:double"&gt;2.92343803461662&lt;/D&gt;&lt;D xsi:type="xsd:double"&gt;2.89131693492007&lt;/D&gt;&lt;D xsi:type="xsd:double"&gt;2.89345814013456&lt;/D&gt;&lt;D xsi:type="xsd:double"&gt;3.00041456595016&lt;/D&gt;&lt;D xsi:type="xsd:double"&gt;3.08289786423354&lt;/D&gt;&lt;D xsi:type="xsd:double"&gt;3.12476873166622&lt;/D&gt;&lt;D xsi:type="xsd:double"&gt;2.97302899282491&lt;/D&gt;&lt;D xsi:type="xsd:double"&gt;2.85286242267193&lt;/D&gt;&lt;D xsi:type="xsd:double"&gt;2.95149356278972&lt;/D&gt;&lt;D xsi:type="xsd:double"&gt;2.9395260966212&lt;/D&gt;&lt;D xsi:type="xsd:double"&gt;3.03486414155075&lt;/D&gt;&lt;D xsi:type="xsd:double"&gt;3.26415442174342&lt;/D&gt;&lt;D xsi:type="xsd:double"&gt;3.27482753672234&lt;/D&gt;&lt;D xsi:type="xsd:double"&gt;3.1403838462567&lt;/D&gt;&lt;D xsi:type="xsd:double"&gt;3.15662323993141&lt;/D&gt;&lt;D xsi:type="xsd:double"&gt;3.26814988784593&lt;/D&gt;&lt;D xsi:type="xsd:double"&gt;3.20173208428678&lt;/D&gt;&lt;D xsi:type="xsd:double"&gt;3.25711693495655&lt;/D&gt;&lt;D xsi:type="xsd:double"&gt;3.30631554198623&lt;/D&gt;&lt;D xsi:type="xsd:double"&gt;3.58808191674732&lt;/D&gt;&lt;D xsi:type="xsd:double"&gt;3.61358083111044&lt;/D&gt;&lt;D xsi:type="xsd:double"&gt;4.01653082416572&lt;/D&gt;&lt;D xsi:type="xsd:double"&gt;3.71929133890379&lt;/D&gt;&lt;D xsi:type="xsd:double"&gt;3.58126323581273&lt;/D&gt;&lt;D xsi:type="xsd:double"&gt;3.49333645892765&lt;/D&gt;&lt;D xsi:type="xsd:double"&gt;3.37985280098915&lt;/D&gt;&lt;D xsi:type="xsd:double"&gt;3.63680608840298&lt;/D&gt;&lt;D xsi:type="xsd:double"&gt;3.42631044972663&lt;/D&gt;&lt;D xsi:type="xsd:double"&gt;3.53950872042247&lt;/D&gt;&lt;D xsi:type="xsd:double"&gt;3.52471724328991&lt;/D&gt;&lt;D xsi:type="xsd:double"&gt;3.52438281070039&lt;/D&gt;&lt;D xsi:type="xsd:double"&gt;3.25420404312015&lt;/D&gt;&lt;D xsi:type="xsd:double"&gt;3.15239174493499&lt;/D&gt;&lt;D xsi:type="xsd:double"&gt;3.09872815389408&lt;/D&gt;&lt;D xsi:type="xsd:double"&gt;3.15107499206845&lt;/D&gt;&lt;D xsi:type="xsd:double"&gt;3.41765068707865&lt;/D&gt;&lt;D xsi:type="xsd:double"&gt;4.00760950726393&lt;/D&gt;&lt;D xsi:type="xsd:double"&gt;3.34626637373&lt;/D&gt;&lt;D xsi:type="xsd:double"&gt;2.85229687599187&lt;/D&gt;&lt;D xsi:type="xsd:double"&gt;2.86559149083768&lt;/D&gt;&lt;D xsi:type="xsd:double"&gt;2.86149637328113&lt;/D&gt;&lt;D xsi:type="xsd:double"&gt;2.81062236628373&lt;/D&gt;&lt;D xsi:type="xsd:double"&gt;2.87796489297879&lt;/D&gt;&lt;D xsi:type="xsd:double"&gt;3.05775589495302&lt;/D&gt;&lt;D xsi:type="xsd:double"&gt;2.79572615952888&lt;/D&gt;&lt;D xsi:type="xsd:double"&gt;2.72025953204543&lt;/D&gt;&lt;D xsi:type="xsd:double"&gt;2.73430824656167&lt;/D&gt;&lt;D xsi:type="xsd:double"&gt;2.79636518082055&lt;/D&gt;&lt;D xsi:type="xsd:double"&gt;2.68998307807009&lt;/D&gt;&lt;D xsi:type="xsd:double"&gt;2.76651747495984&lt;/D&gt;&lt;D xsi:type="xsd:double"&gt;2.7886483228095&lt;/D&gt;&lt;D xsi:type="xsd:double"&gt;2.80251261657159&lt;/D&gt;&lt;D xsi:type="xsd:double"&gt;2.84943691524538&lt;/D&gt;&lt;D xsi:type="xsd:double"&gt;2.84332633997915&lt;/D&gt;&lt;D xsi:type="xsd:double"&gt;3.0078935552656&lt;/D&gt;&lt;D xsi:type="xsd:double"&gt;2.9154898002214&lt;/D&gt;&lt;D xsi:type="xsd:double"&gt;3.15436196248588&lt;/D&gt;&lt;D xsi:type="xsd:double"&gt;3.01997254027272&lt;/D&gt;&lt;D xsi:type="xsd:double"&gt;3.19752613735381&lt;/D&gt;&lt;D xsi:type="xsd:double"&gt;3.68360211398475&lt;/D&gt;&lt;D xsi:type="xsd:double"&gt;3.53484356274227&lt;/D&gt;&lt;D xsi:type="xsd:double"&gt;3.75644907410051&lt;/D&gt;&lt;D xsi:type="xsd:double"&gt;3.72655139752754&lt;/D&gt;&lt;D xsi:type="xsd:double"&gt;4.21178417068705&lt;/D&gt;&lt;D xsi:type="xsd:double"&gt;3.97780274975047&lt;/D&gt;&lt;D xsi:type="xsd:double"&gt;4.13837661745278&lt;/D&gt;&lt;D xsi:type="xsd:double"&gt;4.43756862934496&lt;/D&gt;&lt;D xsi:type="xsd:double"&gt;4.17887213851013&lt;/D&gt;&lt;D xsi:type="xsd:double"&gt;3.70961527771599&lt;/D&gt;&lt;D xsi:type="xsd:double"&gt;3.76526705565981&lt;/D&gt;&lt;D xsi:type="xsd:double"&gt;3.4258411305255&lt;/D&gt;&lt;D xsi:type="xsd:double"&gt;3.48240193507943&lt;/D&gt;&lt;D xsi:type="xsd:double"&gt;3.54007302020603&lt;/D&gt;&lt;D xsi:type="xsd:double"&gt;3.54043750667439&lt;/D&gt;&lt;D xsi:type="xsd:double"&gt;3.61814953391389&lt;/D&gt;&lt;D xsi:type="xsd:double"&gt;3.64063165485183&lt;/D&gt;&lt;D xsi:type="xsd:double"&gt;3.71536103582844&lt;/D&gt;&lt;D xsi:type="xsd:double"&gt;3.71753673276881&lt;/D&gt;&lt;D xsi:type="xsd:double"&gt;3.93588656658543&lt;/D&gt;&lt;D xsi:type="xsd:double"&gt;3.93031420690237&lt;/D&gt;&lt;D xsi:type="xsd:double"&gt;3.61815876891383&lt;/D&gt;&lt;D xsi:type="xsd:double"&gt;3.60588188660411&lt;/D&gt;&lt;D xsi:type="xsd:double"&gt;3.53326059972162&lt;/D&gt;&lt;D xsi:type="xsd:double"&gt;3.45238990658127&lt;/D&gt;&lt;D xsi:type="xsd:double"&gt;3.26841550109324&lt;/D&gt;&lt;D xsi:type="xsd:double"&gt;3.38204830887383&lt;/D&gt;&lt;D xsi:type="xsd:double"&gt;3.35075540276193&lt;/D&gt;&lt;D xsi:type="xsd:double"&gt;3.39731370129546&lt;/D&gt;&lt;D xsi:type="xsd:double"&gt;3.55854115593258&lt;/D&gt;&lt;D xsi:type="xsd:double"&gt;3.33308679087835&lt;/D&gt;&lt;D xsi:type="xsd:double"&gt;3.18327234619462&lt;/D&gt;&lt;/FQL&gt;&lt;FQL&gt;&lt;Q&gt;EWC^FMA_DIV_YLD(NTMA,-10AY,0,AM,"PORTAGG","MEANR")&lt;/Q&gt;&lt;R&gt;121&lt;/R&gt;&lt;C&gt;1&lt;/C&gt;&lt;D xsi:type="xsd:double"&gt;2.91369474506466&lt;/D&gt;&lt;D xsi:type="xsd:double"&gt;2.98521311091916&lt;/D&gt;&lt;D xsi:type="xsd:double"&gt;2.92314185546973&lt;/D&gt;&lt;D xsi:type="xsd:double"&gt;2.90627132915346&lt;/D&gt;&lt;D xsi:type="xsd:double"&gt;2.8779754773955&lt;/D&gt;&lt;D xsi:type="xsd:double"&gt;2.87051706452049&lt;/D&gt;&lt;D xsi:type="xsd:double"&gt;2.88985059263069&lt;/D&gt;&lt;D xsi:type="xsd:double"&gt;2.82023525804275&lt;/D&gt;&lt;D xsi:type="xsd:double"&gt;2.87427391901491&lt;/D&gt;&lt;D xsi:type="xsd:double"&gt;3.0015151753047&lt;/D&gt;&lt;D xsi:type="xsd:double"&gt;3.06493059669098&lt;/D&gt;&lt;D xsi:type="xsd:double"&gt;3.22514535762316&lt;/D&gt;&lt;D xsi:type="xsd:double"&gt;3.30547131549187&lt;/D&gt;&lt;D xsi:type="xsd:double"&gt;3.22197129197304&lt;/D&gt;&lt;D xsi:type="xsd:double"&gt;3.32222507493554&lt;/D&gt;&lt;D xsi:type="xsd:double"&gt;3.3535405693637&lt;/D&gt;&lt;D xsi:type="xsd:double"&gt;3.43173615195993&lt;/D&gt;&lt;D xsi:type="xsd:double"&gt;3.2773672473518&lt;/D&gt;&lt;D xsi:type="xsd:double"&gt;3.16722468171465&lt;/D&gt;&lt;D xsi:type="xsd:double"&gt;3.10738988839325&lt;/D&gt;&lt;D xsi:type="xsd:double"&gt;3.01468549032031&lt;/D&gt;&lt;D xsi:type="xsd:double"&gt;3.0768974137006&lt;/D&gt;&lt;D xsi:type="xsd:double"&gt;2.99145073288157&lt;/D&gt;&lt;D xsi:type="xsd:double"&gt;2.93570045645377&lt;/D&gt;&lt;D xsi:type="xsd:double"&gt;2.94526434357704&lt;/D&gt;&lt;D xsi:type="xsd:double"&gt;2.97757999255185&lt;/D&gt;&lt;D xsi:type="xsd:double"&gt;2.88509080898664&lt;/D&gt;&lt;D xsi:type="xsd:double"&gt;2.82956773852031&lt;/D&gt;&lt;D xsi:type="xsd:double"&gt;2.82487684845552&lt;/D&gt;&lt;D xsi:type="xsd:double"&gt;2.87954070619418&lt;/D&gt;&lt;D xsi:type="xsd:double"&gt;2.91256665928359&lt;/D&gt;&lt;D xsi:type="xsd:double"&gt;2.94411157135632&lt;/D&gt;&lt;D xsi:type="xsd:double"&gt;2.97949800928306&lt;/D&gt;&lt;D xsi:type="xsd:double"&gt;3.05134311316204&lt;/D&gt;&lt;D xsi:type="xsd:double"&gt;3.03412883337459&lt;/D&gt;&lt;D xsi:type="xsd:double"&gt;3.0708359150307&lt;/D&gt;&lt;D xsi:type="xsd:double"&gt;2.96444028609399&lt;/D&gt;&lt;D xsi:type="xsd:double"&gt;2.91559582201892&lt;/D&gt;&lt;D xsi:type="xsd:double"&gt;2.91855330962318&lt;/D&gt;&lt;D xsi:type="xsd:double"&gt;2.88819433146771&lt;/D&gt;&lt;D xsi:type="xsd:double"&gt;3.03444594585367&lt;/D&gt;&lt;D xsi:type="xsd:double"&gt;3.16644044857663&lt;/D&gt;&lt;D xsi:type="xsd:double"&gt;3.22921287399446&lt;/D&gt;&lt;D xsi:type="xsd:double"&gt;3.15527053159589&lt;/D&gt;&lt;D xsi:type="xsd:double"&gt;3.09338401957996&lt;/D&gt;&lt;D xsi:type="xsd:double"&gt;3.07534124195832&lt;/D&gt;&lt;D xsi:type="xsd:double"&gt;3.07070010637545&lt;/D&gt;&lt;D xsi:type="xsd:double"&gt;3.12182649824625&lt;/D&gt;&lt;D xsi:type="xsd:double"&gt;3.17395512489621&lt;/D&gt;&lt;D xsi:type="xsd:double"&gt;3.38607122550708&lt;/D&gt;&lt;D xsi:type="xsd:double"&gt;3.35780470115117&lt;/D&gt;&lt;D xsi:type="xsd:double"&gt;3.63299272237214&lt;/D&gt;&lt;D xsi:type="xsd:double"&gt;3.34214490413316&lt;/D&gt;&lt;D xsi:type="xsd:double"&gt;3.26225225955191&lt;/D&gt;&lt;D xsi:type="xsd:double"&gt;3.23924954980271&lt;/D&gt;&lt;D xsi:type="xsd:double"&gt;3.22124880660834&lt;/D&gt;&lt;D xsi:type="xsd:double"&gt;3.38733013416333&lt;/D&gt;&lt;D xsi:type="xsd:double"&gt;3.28350093395983&lt;/D&gt;&lt;D xsi:type="xsd:double"&gt;3.38638357961866&lt;/D&gt;&lt;D xsi:type="xsd:double"&gt;3.39600365418735&lt;/D&gt;&lt;D xsi:type="xsd:double"&gt;3.40338184920036&lt;/D&gt;&lt;D xsi:type="xsd:double"&gt;3.33781594235714&lt;/D&gt;&lt;D xsi:type="xsd:double"&gt;3.28168078505956&lt;/D&gt;&lt;D xsi:type="xsd:double"&gt;3.26432852170396&lt;/D&gt;&lt;D xsi:type="xsd:double"&gt;3.26703181960962&lt;/D&gt;&lt;D xsi:type="xsd:double"&gt;3.5016223121096&lt;/D&gt;&lt;D xsi:type="xsd:double"&gt;4.42740933450196&lt;/D&gt;&lt;D xsi:type="xsd:double"&gt;3.9094621829445&lt;/D&gt;&lt;D xsi:type="xsd:double"&gt;3.52802181569321&lt;/D&gt;&lt;D xsi:type="xsd:double"&gt;3.5263001010409&lt;/D&gt;&lt;D xsi:type="xsd:double"&gt;3.42539608115122&lt;/D&gt;&lt;D xsi:type="xsd:double"&gt;3.36348177175283&lt;/D&gt;&lt;D xsi:type="xsd:double"&gt;3.43666205396405&lt;/D&gt;&lt;D xsi:type="xsd:double"&gt;3.48193330936136&lt;/D&gt;&lt;D xsi:type="xsd:double"&gt;3.14979975868572&lt;/D&gt;&lt;D xsi:type="xsd:double"&gt;3.13893857768554&lt;/D&gt;&lt;D xsi:type="xsd:double"&gt;3.040834065617&lt;/D&gt;&lt;D xsi:type="xsd:double"&gt;2.92495988307472&lt;/D&gt;&lt;D xsi:type="xsd:double"&gt;2.80258135035122&lt;/D&gt;&lt;D xsi:type="xsd:double"&gt;2.74609395128552&lt;/D&gt;&lt;D xsi:type="xsd:double"&gt;2.61036094008019&lt;/D&gt;&lt;D xsi:type="xsd:double"&gt;2.70419184812494&lt;/D&gt;&lt;D xsi:type="xsd:double"&gt;2.70328017705064&lt;/D&gt;&lt;D xsi:type="xsd:double"&gt;2.71305785779172&lt;/D&gt;&lt;D xsi:type="xsd:double"&gt;2.82619890035865&lt;/D&gt;&lt;D xsi:type="xsd:double"&gt;2.71956790427315&lt;/D&gt;&lt;D xsi:type="xsd:double"&gt;2.87145110775974&lt;/D&gt;&lt;D xsi:type="xsd:double"&gt;2.7814183291077&lt;/D&gt;&lt;D xsi:type="xsd:double"&gt;2.82768437972632&lt;/D&gt;&lt;D xsi:type="xsd:double"&gt;2.85842945846337&lt;/D&gt;&lt;D xsi:type="xsd:double"&gt;2.8310748335118&lt;/D&gt;&lt;D xsi:type="xsd:double"&gt;3.04372440487315&lt;/D&gt;&lt;D xsi:type="xsd:double"&gt;3.10242999425018&lt;/D&gt;&lt;D xsi:type="xsd:double"&gt;3.42241268976922&lt;/D&gt;&lt;D xsi:type="xsd:double"&gt;3.34745116369132&lt;/D&gt;&lt;D xsi:type="xsd:double"&gt;3.47749931269678&lt;/D&gt;&lt;D xsi:type="xsd:double"&gt;3.55268104748089&lt;/D&gt;&lt;D xsi:type="xsd:double"&gt;3.50056130903149&lt;/D&gt;&lt;D xsi:type="xsd:double"&gt;3.28170113423955&lt;/D&gt;&lt;D xsi:type="xsd:double"&gt;3.45958113432034&lt;/D&gt;&lt;D xsi:type="xsd:double"&gt;3.2543708724161&lt;/D&gt;&lt;D xsi:type="xsd:double"&gt;3.28701411032518&lt;/D&gt;&lt;D xsi:type="xsd:double"&gt;3.3056776285401&lt;/D&gt;&lt;D xsi:type="xsd:double"&gt;3.27970051135695&lt;/D&gt;&lt;D xsi:type="xsd:double"&gt;3.31110259678328&lt;/D&gt;&lt;D xsi:type="xsd:double"&gt;3.2470151307481&lt;/D&gt;&lt;D xsi:type="xsd:double"&gt;3.22344963332513&lt;/D&gt;&lt;D xsi:type="xsd:double"&gt;3.44666746973776&lt;/D&gt;&lt;D xsi:type="xsd:double"&gt;3.73905557413443&lt;/D&gt;&lt;D xsi:type="xsd:double"&gt;3.6149891933657&lt;/D&gt;&lt;D xsi:type="xsd:double"&gt;3.440610777263&lt;/D&gt;&lt;D xsi:type="xsd:double"&gt;3.37844733452766&lt;/D&gt;&lt;D xsi:type="xsd:double"&gt;3.32612028208511&lt;/D&gt;&lt;D xsi:type="xsd:double"&gt;3.22415572385246&lt;/D&gt;&lt;D xsi:type="xsd:double"&gt;3.10686542675609&lt;/D&gt;&lt;D xsi:type="xsd:double"&gt;3.0957857152629&lt;/D&gt;&lt;D xsi:type="xsd:double"&gt;3.28069717624345&lt;/D&gt;&lt;D xsi:type="xsd:double"&gt;3.28489788059415&lt;/D&gt;&lt;D xsi:type="xsd:double"&gt;3.30139558560258&lt;/D&gt;&lt;D xsi:type="xsd:double"&gt;3.16315256472665&lt;/D&gt;&lt;D xsi:type="xsd:double"&gt;3.05452212579071&lt;/D&gt;&lt;/FQL&gt;&lt;FQL&gt;&lt;Q&gt;EWA^FMA_DIV_YLD(NTMA,-10AY,0,AM,"PORTAGG","MEANR")&lt;/Q&gt;&lt;R&gt;121&lt;/R&gt;&lt;C&gt;1&lt;/C&gt;&lt;D xsi:type="xsd:double"&gt;5.05057519231253&lt;/D&gt;&lt;D xsi:type="xsd:double"&gt;4.85422559416702&lt;/D&gt;&lt;D xsi:type="xsd:double"&gt;5.0333048638907&lt;/D&gt;&lt;D xsi:type="xsd:double"&gt;4.95610550061048&lt;/D&gt;&lt;D xsi:type="xsd:double"&gt;4.76448424015323&lt;/D&gt;&lt;D xsi:type="xsd:double"&gt;4.54467712624937&lt;/D&gt;&lt;D xsi:type="xsd:double"&gt;4.61054270870761&lt;/D&gt;&lt;D xsi:type="xsd:double"&gt;4.65774731007215&lt;/D&gt;&lt;D xsi:type="xsd:double"&gt;4.852626581022&lt;/D&gt;&lt;D xsi:type="xsd:double"&gt;4.85649458853878&lt;/D&gt;&lt;D xsi:type="xsd:double"&gt;4.83132937817374&lt;/D&gt;&lt;D xsi:type="xsd:double"&gt;5.50585349737648&lt;/D&gt;&lt;D xsi:type="xsd:double"&gt;5.45496103020028&lt;/D&gt;&lt;D xsi:type="xsd:double"&gt;5.2374718222577&lt;/D&gt;&lt;D xsi:type="xsd:double"&gt;5.20995801321906&lt;/D&gt;&lt;D xsi:type="xsd:double"&gt;5.09625601977213&lt;/D&gt;&lt;D xsi:type="xsd:double"&gt;5.27053611593646&lt;/D&gt;&lt;D xsi:type="xsd:double"&gt;4.81825582406001&lt;/D&gt;&lt;D xsi:type="xsd:double"&gt;4.92816711059488&lt;/D&gt;&lt;D xsi:type="xsd:double"&gt;4.5592305514669&lt;/D&gt;&lt;D xsi:type="xsd:double"&gt;4.60736851394045&lt;/D&gt;&lt;D xsi:type="xsd:double"&gt;4.67110150724477&lt;/D&gt;&lt;D xsi:type="xsd:double"&gt;4.51661542470782&lt;/D&gt;&lt;D xsi:type="xsd:double"&gt;4.58236082419872&lt;/D&gt;&lt;D xsi:type="xsd:double"&gt;4.51245224156447&lt;/D&gt;&lt;D xsi:type="xsd:double"&gt;4.73133095025647&lt;/D&gt;&lt;D xsi:type="xsd:double"&gt;4.59212589379812&lt;/D&gt;&lt;D xsi:type="xsd:double"&gt;4.48045848583636&lt;/D&gt;&lt;D xsi:type="xsd:double"&gt;4.58267927812281&lt;/D&gt;&lt;D xsi:type="xsd:double"&gt;4.56585486549954&lt;/D&gt;&lt;D xsi:type="xsd:double"&gt;4.50077314600783&lt;/D&gt;&lt;D xsi:type="xsd:double"&gt;4.49777741442596&lt;/D&gt;&lt;D xsi:type="xsd:double"&gt;4.61124187305626&lt;/D&gt;&lt;D xsi:type="xsd:double"&gt;4.65593019811276&lt;/D&gt;&lt;D xsi:type="xsd:double"&gt;4.58388444150709&lt;/D&gt;&lt;D xsi:type="xsd:double"&gt;4.57391715057525&lt;/D&gt;&lt;D xsi:type="xsd:double"&gt;4.60923937437827&lt;/D&gt;&lt;D xsi:type="xsd:double"&gt;4.46900978717414&lt;/D&gt;&lt;D xsi:type="xsd:double"&gt;4.49724618115489&lt;/D&gt;&lt;D xsi:type="xsd:double"&gt;4.44621282222671&lt;/D&gt;&lt;D xsi:type="xsd:double"&gt;4.47306088124523&lt;/D&gt;&lt;D xsi:type="xsd:double"&gt;4.66559465320391&lt;/D&gt;&lt;D xsi:type="xsd:double"&gt;4.8492360719703&lt;/D&gt;&lt;D xsi:type="xsd:double"&gt;4.63735652392982&lt;/D&gt;&lt;D xsi:type="xsd:double"&gt;4.7643423411268&lt;/D&gt;&lt;D xsi:type="xsd:double"&gt;4.59296362000577&lt;/D&gt;&lt;D xsi:type="xsd:double"&gt;4.63159948350894&lt;/D&gt;&lt;D xsi:type="xsd:double"&gt;4.61443164962547&lt;/D&gt;&lt;D xsi:type="xsd:double"&gt;4.81161015066486&lt;/D&gt;&lt;D xsi:type="xsd:double"&gt;5.07323443284335&lt;/D&gt;&lt;D xsi:type="xsd:double"&gt;5.21621563312121&lt;/D&gt;&lt;D xsi:type="xsd:double"&gt;5.38077247169709&lt;/D&gt;&lt;D xsi:type="xsd:double"&gt;5.12153635098732&lt;/D&gt;&lt;D xsi:type="xsd:double"&gt;4.93178777880528&lt;/D&gt;&lt;D xsi:type="xsd:double"&gt;4.85447474860872&lt;/D&gt;&lt;D xsi:type="xsd:double"&gt;4.87897621861783&lt;/D&gt;&lt;D xsi:type="xsd:double"&gt;4.89514376383217&lt;/D&gt;&lt;D xsi:type="xsd:double"&gt;4.61323053043652&lt;/D&gt;&lt;D xsi:type="xsd:double"&gt;4.56425079486326&lt;/D&gt;&lt;D xsi:type="xsd:double"&gt;4.60454810136453&lt;/D&gt;&lt;D xsi:type="xsd:double"&gt;4.57339072569573&lt;/D&gt;&lt;D xsi:type="xsd:double"&gt;4.40768446618338&lt;/D&gt;&lt;D xsi:type="xsd:double"&gt;4.34542875744207&lt;/D&gt;&lt;D xsi:type="xsd:double"&gt;4.29147325394443&lt;/D&gt;&lt;D xsi:type="xsd:double"&gt;4.21162658705937&lt;/D&gt;&lt;D xsi:type="xsd:double"&gt;4.47853205444788&lt;/D&gt;&lt;D xsi:type="xsd:double"&gt;5.13034388775953&lt;/D&gt;&lt;D xsi:type="xsd:double"&gt;4.07821543113563&lt;/D&gt;&lt;D xsi:type="xsd:double"&gt;3.38386780343537&lt;/D&gt;&lt;D xsi:type="xsd:double"&gt;3.38867077170893&lt;/D&gt;&lt;D xsi:type="xsd:double"&gt;3.44322848685761&lt;/D&gt;&lt;D xsi:type="xsd:double"&gt;3.39028913447094&lt;/D&gt;&lt;D xsi:type="xsd:double"&gt;3.72496845586372&lt;/D&gt;&lt;D xsi:type="xsd:double"&gt;3.68650891319588&lt;/D&gt;&lt;D xsi:type="xsd:double"&gt;3.42845315245375&lt;/D&gt;&lt;D xsi:type="xsd:double"&gt;3.58444483818843&lt;/D&gt;&lt;D xsi:type="xsd:double"&gt;3.58518383908559&lt;/D&gt;&lt;D xsi:type="xsd:double"&gt;3.8257151637492&lt;/D&gt;&lt;D xsi:type="xsd:double"&gt;3.97163701791149&lt;/D&gt;&lt;D xsi:type="xsd:double"&gt;3.92423929879495&lt;/D&gt;&lt;D xsi:type="xsd:double"&gt;3.84457163707472&lt;/D&gt;&lt;D xsi:type="xsd:double"&gt;4.05887339968994&lt;/D&gt;&lt;D xsi:type="xsd:double"&gt;4.07275383524452&lt;/D&gt;&lt;D xsi:type="xsd:double"&gt;4.01386602795329&lt;/D&gt;&lt;D xsi:type="xsd:double"&gt;4.15358137947733&lt;/D&gt;&lt;D xsi:type="xsd:double"&gt;3.94855819920437&lt;/D&gt;&lt;D xsi:type="xsd:double"&gt;4.03994299487509&lt;/D&gt;&lt;D xsi:type="xsd:double"&gt;3.89434288117164&lt;/D&gt;&lt;D xsi:type="xsd:double"&gt;4.31248007423237&lt;/D&gt;&lt;D xsi:type="xsd:double"&gt;4.30145858461887&lt;/D&gt;&lt;D xsi:type="xsd:double"&gt;4.24076049679413&lt;/D&gt;&lt;D xsi:type="xsd:double"&gt;4.55189946308023&lt;/D&gt;&lt;D xsi:type="xsd:double"&gt;4.67171506929082&lt;/D&gt;&lt;D xsi:type="xsd:double"&gt;5.31604037070342&lt;/D&gt;&lt;D xsi:type="xsd:double"&gt;4.83397292195135&lt;/D&gt;&lt;D xsi:type="xsd:double"&gt;4.87310864353945&lt;/D&gt;&lt;D xsi:type="xsd:double"&gt;5.2224115758118&lt;/D&gt;&lt;D xsi:type="xsd:double"&gt;4.98746058866272&lt;/D&gt;&lt;D xsi:type="xsd:double"&gt;4.43365853400106&lt;/D&gt;&lt;D xsi:type="xsd:double"&gt;4.61500686113672&lt;/D&gt;&lt;D xsi:type="xsd:double"&gt;4.24934450400746&lt;/D&gt;&lt;D xsi:type="xsd:double"&gt;4.45700276690121&lt;/D&gt;&lt;D xsi:type="xsd:double"&gt;4.49828695289786&lt;/D&gt;&lt;D xsi:type="xsd:double"&gt;4.47426605830882&lt;/D&gt;&lt;D xsi:type="xsd:double"&gt;4.47915140953114&lt;/D&gt;&lt;D xsi:type="xsd:double"&gt;4.27929142784067&lt;/D&gt;&lt;D xsi:type="xsd:double"&gt;4.18447470409149&lt;/D&gt;&lt;D xsi:type="xsd:double"&gt;4.15464262415454&lt;/D&gt;&lt;D xsi:type="xsd:double"&gt;4.38797273411286&lt;/D&gt;&lt;D xsi:type="xsd:double"&gt;4.36548090276511&lt;/D&gt;&lt;D xsi:type="xsd:double"&gt;4.29064807029694&lt;/D&gt;&lt;D xsi:type="xsd:double"&gt;4.03193220207915&lt;/D&gt;&lt;D xsi:type="xsd:double"&gt;3.95902174753598&lt;/D&gt;&lt;D xsi:type="xsd:double"&gt;3.95046016639566&lt;/D&gt;&lt;D xsi:type="xsd:double"&gt;3.94293995290826&lt;/D&gt;&lt;D xsi:type="xsd:double"&gt;4.00278767724344&lt;/D&gt;&lt;D xsi:type="xsd:double"&gt;3.93820495704615&lt;/D&gt;&lt;D xsi:type="xsd:double"&gt;3.94909396157225&lt;/D&gt;&lt;D xsi:type="xsd:double"&gt;3.85467996174603&lt;/D&gt;&lt;D xsi:type="xsd:double"&gt;3.70281983527258&lt;/D&gt;&lt;D xsi:type="xsd:double"&gt;3.60873212087288&lt;/D&gt;&lt;/FQL&gt;&lt;FQL&gt;&lt;Q&gt;ENZL^FMA_DIV_YLD(NTMA,-10AY,0,AM,"PORTAGG","MEANR")&lt;/Q&gt;&lt;R&gt;121&lt;/R&gt;&lt;C&gt;1&lt;/C&gt;&lt;D xsi:type="xsd:double"&gt;4.6018441958213&lt;/D&gt;&lt;D xsi:type="xsd:double"&gt;4.48079791873781&lt;/D&gt;&lt;D xsi:type="xsd:double"&gt;4.51945482183468&lt;/D&gt;&lt;D xsi:type="xsd:double"&gt;4.43586796347832&lt;/D&gt;&lt;D xsi:type="xsd:double"&gt;4.29047390710051&lt;/D&gt;&lt;D xsi:type="xsd:double"&gt;4.25712790508793&lt;/D&gt;&lt;D xsi:type="xsd:double"&gt;4.4138014957123&lt;/D&gt;&lt;D xsi:type="xsd:double"&gt;4.45989456357006&lt;/D&gt;&lt;D xsi:type="xsd:double"&gt;4.42861373092563&lt;/D&gt;&lt;D xsi:type="xsd:double"&gt;4.61186719416915&lt;/D&gt;&lt;D xsi:type="xsd:double"&gt;4.5207221465803&lt;/D&gt;&lt;D xsi:type="xsd:double"&gt;5.1912359789459&lt;/D&gt;&lt;D xsi:type="xsd:double"&gt;5.29837676602734&lt;/D&gt;&lt;D xsi:type="xsd:double"&gt;4.88798580648389&lt;/D&gt;&lt;D xsi:type="xsd:double"&gt;4.76738269230874&lt;/D&gt;&lt;D xsi:type="xsd:double"&gt;4.72515980905889&lt;/D&gt;&lt;D xsi:type="xsd:double"&gt;4.87211837114319&lt;/D&gt;&lt;D xsi:type="xsd:double"&gt;4.76221271193593&lt;/D&gt;&lt;D xsi:type="xsd:double"&gt;4.57794648713835&lt;/D&gt;&lt;D xsi:type="xsd:double"&gt;4.56374768777169&lt;/D&gt;&lt;D xsi:type="xsd:double"&gt;4.32438540893238&lt;/D&gt;&lt;D xsi:type="xsd:double"&gt;4.39813902459698&lt;/D&gt;&lt;D xsi:type="xsd:double"&gt;4.18798204207646&lt;/D&gt;&lt;D xsi:type="xsd:double"&gt;4.19990245517957&lt;/D&gt;&lt;D xsi:type="xsd:double"&gt;4.30069864165122&lt;/D&gt;&lt;D xsi:type="xsd:double"&gt;4.70215792021015&lt;/D&gt;&lt;D xsi:type="xsd:double"&gt;4.57716127993359&lt;/D&gt;&lt;D xsi:type="xsd:double"&gt;4.65334533607171&lt;/D&gt;&lt;D xsi:type="xsd:double"&gt;4.48771596543018&lt;/D&gt;&lt;D xsi:type="xsd:double"&gt;4.53853881969885&lt;/D&gt;&lt;D xsi:type="xsd:double"&gt;4.5582591150528&lt;/D&gt;&lt;D xsi:type="xsd:double"&gt;4.47422304865746&lt;/D&gt;&lt;D xsi:type="xsd:double"&gt;4.41186765273181&lt;/D&gt;&lt;D xsi:type="xsd:double"&gt;4.40722247995424&lt;/D&gt;&lt;D xsi:type="xsd:double"&gt;4.35804155090181&lt;/D&gt;&lt;D xsi:type="xsd:double"&gt;4.38776912924581&lt;/D&gt;&lt;D xsi:type="xsd:double"&gt;4.42060768778833&lt;/D&gt;&lt;D xsi:type="xsd:double"&gt;4.40757024033168&lt;/D&gt;&lt;D xsi:type="xsd:double"&gt;4.31485409915926&lt;/D&gt;&lt;D xsi:type="xsd:double"&gt;4.19928923352615&lt;/D&gt;&lt;D xsi:type="xsd:double"&gt;4.19229139119894&lt;/D&gt;&lt;D xsi:type="xsd:double"&gt;4.28903646170116&lt;/D&gt;&lt;D xsi:type="xsd:double"&gt;4.31676551095227&lt;/D&gt;&lt;D xsi:type="xsd:double"&gt;4.2147169828085&lt;/D&gt;&lt;D xsi:type="xsd:double"&gt;4.16799857437243&lt;/D&gt;&lt;D xsi:type="xsd:double"&gt;4.0145683088214&lt;/D&gt;&lt;D xsi:type="xsd:double"&gt;4.14032000134658&lt;/D&gt;&lt;D xsi:type="xsd:double"&gt;3.89557331235409&lt;/D&gt;&lt;D xsi:type="xsd:double"&gt;4.00620100865691&lt;/D&gt;&lt;D xsi:type="xsd:double"&gt;4.2119740238095&lt;/D&gt;&lt;D xsi:type="xsd:double"&gt;4.12178328972977&lt;/D&gt;&lt;D xsi:type="xsd:double"&gt;4.20189506410039&lt;/D&gt;&lt;D xsi:type="xsd:double"&gt;4.0989739418008&lt;/D&gt;&lt;D xsi:type="xsd:double"&gt;3.92348559420387&lt;/D&gt;&lt;D xsi:type="xsd:double"&gt;3.72202081911828&lt;/D&gt;&lt;D xsi:type="xsd:double"&gt;3.69334715459933&lt;/D&gt;&lt;D xsi:type="xsd:double"&gt;3.70409678438946&lt;/D&gt;&lt;D xsi:type="xsd:double"&gt;3.54877451256345&lt;/D&gt;&lt;D xsi:type="xsd:double"&gt;3.4045182177879&lt;/D&gt;&lt;D xsi:type="xsd:double"&gt;3.31365793978709&lt;/D&gt;&lt;D xsi:type="xsd:double"&gt;3.36802343766234&lt;/D&gt;&lt;D xsi:type="xsd:double"&gt;3.37994591537248&lt;/D&gt;&lt;D xsi:type="xsd:double"&gt;3.25672515768842&lt;/D&gt;&lt;D xsi:type="xsd:double"&gt;3.15398808168914&lt;/D&gt;&lt;D xsi:type="xsd:double"&gt;3.14420633699525&lt;/D&gt;&lt;D xsi:type="xsd:double"&gt;3.15234939802316&lt;/D&gt;&lt;D xsi:type="xsd:double"&gt;3.19033008901938&lt;/D&gt;&lt;D xsi:type="xsd:double"&gt;2.71491788736381&lt;/D&gt;&lt;D xsi:type="xsd:double"&gt;2.5600714281659&lt;/D&gt;&lt;D xsi:type="xsd:double"&gt;2.46940636216753&lt;/D&gt;&lt;D xsi:type="xsd:double"&gt;2.39195894068645&lt;/D&gt;&lt;D xsi:type="xsd:double"&gt;2.33698918497974&lt;/D&gt;&lt;D xsi:type="xsd:double"&gt;2.45015190111474&lt;/D&gt;&lt;D xsi:type="xsd:double"&gt;2.42833267685247&lt;/D&gt;&lt;D xsi:type="xsd:double"&gt;2.40215823220257&lt;/D&gt;&lt;D xsi:type="xsd:double"&gt;2.4053926222329&lt;/D&gt;&lt;D xsi:type="xsd:double"&gt;2.48677789788995&lt;/D&gt;&lt;D xsi:type="xsd:double"&gt;2.57766802319298&lt;/D&gt;&lt;D xsi:type="xsd:double"&gt;2.59513837593968&lt;/D&gt;&lt;D xsi:type="xsd:double"&gt;2.5864676378589&lt;/D&gt;&lt;D xsi:type="xsd:double"&gt;2.70445909419883&lt;/D&gt;&lt;D xsi:type="xsd:double"&gt;2.62515176449993&lt;/D&gt;&lt;D xsi:type="xsd:double"&gt;2.62936612248742&lt;/D&gt;&lt;D xsi:type="xsd:double"&gt;2.56437170995465&lt;/D&gt;&lt;D xsi:type="xsd:double"&gt;2.61871250572142&lt;/D&gt;&lt;D xsi:type="xsd:double"&gt;2.67746634680615&lt;/D&gt;&lt;D xsi:type="xsd:double"&gt;2.79726862480778&lt;/D&gt;&lt;D xsi:type="xsd:double"&gt;2.76710281410754&lt;/D&gt;&lt;D xsi:type="xsd:double"&gt;2.93028974689589&lt;/D&gt;&lt;D xsi:type="xsd:double"&gt;2.99049338216445&lt;/D&gt;&lt;D xsi:type="xsd:double"&gt;3.06349188101699&lt;/D&gt;&lt;D xsi:type="xsd:double"&gt;3.11442558036135&lt;/D&gt;&lt;D xsi:type="xsd:double"&gt;3.20060229740517&lt;/D&gt;&lt;D xsi:type="xsd:double"&gt;3.40633922082389&lt;/D&gt;&lt;D xsi:type="xsd:double"&gt;3.19088892061988&lt;/D&gt;&lt;D xsi:type="xsd:double"&gt;3.19455866958716&lt;/D&gt;&lt;D xsi:type="xsd:double"&gt;3.45503061432492&lt;/D&gt;&lt;D xsi:type="xsd:double"&gt;3.41085028276121&lt;/D&gt;&lt;D xsi:type="xsd:double"&gt;3.3856709241706&lt;/D&gt;&lt;D xsi:type="xsd:double"&gt;3.48485233430836&lt;/D&gt;&lt;D xsi:type="xsd:double"&gt;3.27615153414347&lt;/D&gt;&lt;D xsi:type="xsd:double"&gt;3.3888399996977&lt;/D&gt;&lt;D xsi:type="xsd:double"&gt;3.40964215227727&lt;/D&gt;&lt;D xsi:type="xsd:double"&gt;3.41993660000044&lt;/D&gt;&lt;D xsi:type="xsd:double"&gt;3.41498055072975&lt;/D&gt;&lt;D xsi:type="xsd:double"&gt;3.41179852724799&lt;/D&gt;&lt;D xsi:type="xsd:double"&gt;3.42269302699826&lt;/D&gt;&lt;D xsi:type="xsd:double"&gt;3.30573005842523&lt;/D&gt;&lt;D xsi:type="xsd:double"&gt;3.44228233336214&lt;/D&gt;&lt;D xsi:type="xsd:double"&gt;3.47128414208079&lt;/D&gt;&lt;D xsi:type="xsd:double"&gt;3.105679102701&lt;/D&gt;&lt;D xsi:type="xsd:double"&gt;2.99294458930023&lt;/D&gt;&lt;D xsi:type="xsd:double"&gt;2.98016778926963&lt;/D&gt;&lt;D xsi:type="xsd:double"&gt;2.76217458458242&lt;/D&gt;&lt;D xsi:type="xsd:double"&gt;2.7638895733828&lt;/D&gt;&lt;D xsi:type="xsd:double"&gt;2.74782679618678&lt;/D&gt;&lt;D xsi:type="xsd:double"&gt;2.72580831064263&lt;/D&gt;&lt;D xsi:type="xsd:double"&gt;2.7641277073443&lt;/D&gt;&lt;D xsi:type="xsd:double"&gt;2.60571153340891&lt;/D&gt;&lt;D xsi:type="xsd:double"&gt;2.91794323357977&lt;/D&gt;&lt;D xsi:type="xsd:double"&gt;3.09194717445289&lt;/D&gt;&lt;/FQL&gt;&lt;FQL&gt;&lt;Q&gt;ENZL^JULIAN(FMA_DIV_YLD(NTMA,-10AY,0,AM,"PORTAGG","MEANR").DATES)&lt;/Q&gt;&lt;R&gt;121&lt;/R&gt;&lt;C&gt;1&lt;/C&gt;&lt;D xsi:type="xsd:long"&gt;41915&lt;/D&gt;&lt;D xsi:type="xsd:long"&gt;41946&lt;/D&gt;&lt;D xsi:type="xsd:long"&gt;41976&lt;/D&gt;&lt;D xsi:type="xsd:long"&gt;42006&lt;/D&gt;&lt;D xsi:type="xsd:long"&gt;42038&lt;/D&gt;&lt;D xsi:type="xsd:long"&gt;42066&lt;/D&gt;&lt;D xsi:type="xsd:long"&gt;42096&lt;/D&gt;&lt;D xsi:type="xsd:long"&gt;42125&lt;/D&gt;&lt;D xsi:type="xsd:long"&gt;42158&lt;/D&gt;&lt;D xsi:type="xsd:long"&gt;42187&lt;/D&gt;&lt;D xsi:type="xsd:long"&gt;42219&lt;/D&gt;&lt;D xsi:type="xsd:long"&gt;42250&lt;/D&gt;&lt;D xsi:type="xsd:long"&gt;42279&lt;/D&gt;&lt;D xsi:type="xsd:long"&gt;42311&lt;/D&gt;&lt;D xsi:type="xsd:long"&gt;42341&lt;/D&gt;&lt;D xsi:type="xsd:long"&gt;42369&lt;/D&gt;&lt;D xsi:type="xsd:long"&gt;42403&lt;/D&gt;&lt;D xsi:type="xsd:long"&gt;42432&lt;/D&gt;&lt;D xsi:type="xsd:long"&gt;42461&lt;/D&gt;&lt;D xsi:type="xsd:long"&gt;42493&lt;/D&gt;&lt;D xsi:type="xsd:long"&gt;42524&lt;/D&gt;&lt;D xsi:type="xsd:long"&gt;42552&lt;/D&gt;&lt;D xsi:type="xsd:long"&gt;42585&lt;/D&gt;&lt;D xsi:type="xsd:long"&gt;42615&lt;/D&gt;&lt;D xsi:type="xsd:long"&gt;42646&lt;/D&gt;&lt;D xsi:type="xsd:long"&gt;42677&lt;/D&gt;&lt;D xsi:type="xsd:long"&gt;42706&lt;/D&gt;&lt;D xsi:type="xsd:long"&gt;42738&lt;/D&gt;&lt;D xsi:type="xsd:long"&gt;42769&lt;/D&gt;&lt;D xsi:type="xsd:long"&gt;42797&lt;/D&gt;&lt;D xsi:type="xsd:long"&gt;42828&lt;/D&gt;&lt;D xsi:type="xsd:long"&gt;42858&lt;/D&gt;&lt;D xsi:type="xsd:long"&gt;42888&lt;/D&gt;&lt;D xsi:type="xsd:long"&gt;42919&lt;/D&gt;&lt;D xsi:type="xsd:long"&gt;42950&lt;/D&gt;&lt;D xsi:type="xsd:long"&gt;42979&lt;/D&gt;&lt;D xsi:type="xsd:long"&gt;43011&lt;/D&gt;&lt;D xsi:type="xsd:long"&gt;43042&lt;/D&gt;&lt;D xsi:type="xsd:long"&gt;43070&lt;/D&gt;&lt;D xsi:type="xsd:long"&gt;43103&lt;/D&gt;&lt;D xsi:type="xsd:long"&gt;43133&lt;/D&gt;&lt;D xsi:type="xsd:long"&gt;43161&lt;/D&gt;&lt;D xsi:type="xsd:long"&gt;43193&lt;/D&gt;&lt;D xsi:type="xsd:long"&gt;43223&lt;/D&gt;&lt;D xsi:type="xsd:long"&gt;43252&lt;/D&gt;&lt;D xsi:type="xsd:long"&gt;43284&lt;/D&gt;&lt;D xsi:type="xsd:long"&gt;43315&lt;/D&gt;&lt;D xsi:type="xsd:long"&gt;43343&lt;/D&gt;&lt;D xsi:type="xsd:long"&gt;43376&lt;/D&gt;&lt;D xsi:type="xsd:long"&gt;43406&lt;/D&gt;&lt;D xsi:type="xsd:long"&gt;43437&lt;/D&gt;&lt;D xsi:type="xsd:long"&gt;43468&lt;/D&gt;&lt;D xsi:type="xsd:long"&gt;4</t>
        </r>
      </text>
    </comment>
    <comment ref="A9" authorId="0" shapeId="0" xr:uid="{750D2B2B-7E07-4B05-AAC1-1005776E56E9}">
      <text>
        <r>
          <rPr>
            <b/>
            <sz val="9"/>
            <color indexed="81"/>
            <rFont val="Tahoma"/>
            <charset val="1"/>
          </rPr>
          <t>3497&lt;/D&gt;&lt;D xsi:type="xsd:long"&gt;43525&lt;/D&gt;&lt;D xsi:type="xsd:long"&gt;43558&lt;/D&gt;&lt;D xsi:type="xsd:long"&gt;43588&lt;/D&gt;&lt;D xsi:type="xsd:long"&gt;43619&lt;/D&gt;&lt;D xsi:type="xsd:long"&gt;43649&lt;/D&gt;&lt;D xsi:type="xsd:long"&gt;43679&lt;/D&gt;&lt;D xsi:type="xsd:long"&gt;43711&lt;/D&gt;&lt;D xsi:type="xsd:long"&gt;43741&lt;/D&gt;&lt;D xsi:type="xsd:long"&gt;43770&lt;/D&gt;&lt;D xsi:type="xsd:long"&gt;43802&lt;/D&gt;&lt;D xsi:type="xsd:long"&gt;43833&lt;/D&gt;&lt;D xsi:type="xsd:long"&gt;43864&lt;/D&gt;&lt;D xsi:type="xsd:long"&gt;43893&lt;/D&gt;&lt;D xsi:type="xsd:long"&gt;43924&lt;/D&gt;&lt;D xsi:type="xsd:long"&gt;43952&lt;/D&gt;&lt;D xsi:type="xsd:long"&gt;43985&lt;/D&gt;&lt;D xsi:type="xsd:long"&gt;44014&lt;/D&gt;&lt;D xsi:type="xsd:long"&gt;44046&lt;/D&gt;&lt;D xsi:type="xsd:long"&gt;44077&lt;/D&gt;&lt;D xsi:type="xsd:long"&gt;44106&lt;/D&gt;&lt;D xsi:type="xsd:long"&gt;44138&lt;/D&gt;&lt;D xsi:type="xsd:long"&gt;44168&lt;/D&gt;&lt;D xsi:type="xsd:long"&gt;44196&lt;/D&gt;&lt;D xsi:type="xsd:long"&gt;44230&lt;/D&gt;&lt;D xsi:type="xsd:long"&gt;44258&lt;/D&gt;&lt;D xsi:type="xsd:long"&gt;44287&lt;/D&gt;&lt;D xsi:type="xsd:long"&gt;44319&lt;/D&gt;&lt;D xsi:type="xsd:long"&gt;44350&lt;/D&gt;&lt;D xsi:type="xsd:long"&gt;44379&lt;/D&gt;&lt;D xsi:type="xsd:long"&gt;44411&lt;/D&gt;&lt;D xsi:type="xsd:long"&gt;44442&lt;/D&gt;&lt;D xsi:type="xsd:long"&gt;44470&lt;/D&gt;&lt;D xsi:type="xsd:long"&gt;44503&lt;/D&gt;&lt;D xsi:type="xsd:long"&gt;44533&lt;/D&gt;&lt;D xsi:type="xsd:long"&gt;44564&lt;/D&gt;&lt;D xsi:type="xsd:long"&gt;44595&lt;/D&gt;&lt;D xsi:type="xsd:long"&gt;44623&lt;/D&gt;&lt;D xsi:type="xsd:long"&gt;44652&lt;/D&gt;&lt;D xsi:type="xsd:long"&gt;44684&lt;/D&gt;&lt;D xsi:type="xsd:long"&gt;44715&lt;/D&gt;&lt;D xsi:type="xsd:long"&gt;44743&lt;/D&gt;&lt;D xsi:type="xsd:long"&gt;44776&lt;/D&gt;&lt;D xsi:type="xsd:long"&gt;44806&lt;/D&gt;&lt;D xsi:type="xsd:long"&gt;44837&lt;/D&gt;&lt;D xsi:type="xsd:long"&gt;44868&lt;/D&gt;&lt;D xsi:type="xsd:long"&gt;44897&lt;/D&gt;&lt;D xsi:type="xsd:long"&gt;44929&lt;/D&gt;&lt;D xsi:type="xsd:long"&gt;44960&lt;/D&gt;&lt;D xsi:type="xsd:long"&gt;44988&lt;/D&gt;&lt;D xsi:type="xsd:long"&gt;45019&lt;/D&gt;&lt;D xsi:type="xsd:long"&gt;45049&lt;/D&gt;&lt;D xsi:type="xsd:long"&gt;45079&lt;/D&gt;&lt;D xsi:type="xsd:long"&gt;45110&lt;/D&gt;&lt;D xsi:type="xsd:long"&gt;45141&lt;/D&gt;&lt;D xsi:type="xsd:long"&gt;45170&lt;/D&gt;&lt;D xsi:type="xsd:long"&gt;45202&lt;/D&gt;&lt;D xsi:type="xsd:long"&gt;45233&lt;/D&gt;&lt;D xsi:type="xsd:long"&gt;45261&lt;/D&gt;&lt;D xsi:type="xsd:long"&gt;45294&lt;/D&gt;&lt;D xsi:type="xsd:long"&gt;45324&lt;/D&gt;&lt;D xsi:type="xsd:long"&gt;45352&lt;/D&gt;&lt;D xsi:type="xsd:long"&gt;45385&lt;/D&gt;&lt;D xsi:type="xsd:long"&gt;45415&lt;/D&gt;&lt;D xsi:type="xsd:long"&gt;45446&lt;/D&gt;&lt;D xsi:type="xsd:long"&gt;45476&lt;/D&gt;&lt;D xsi:type="xsd:long"&gt;45506&lt;/D&gt;&lt;D xsi:type="xsd:long"&gt;45538&lt;/D&gt;&lt;D xsi:type="xsd:long"&gt;45566&lt;/D&gt;&lt;/FQL&gt;&lt;FQL&gt;&lt;Q&gt;EWI^FMA_PE(NTMA,-10AY,0,AM,"PORTAGG","MEANR")&lt;/Q&gt;&lt;R&gt;121&lt;/R&gt;&lt;C&gt;1&lt;/C&gt;&lt;D xsi:type="xsd:double"&gt;13.2073275393212&lt;/D&gt;&lt;D xsi:type="xsd:double"&gt;12.5576179173147&lt;/D&gt;&lt;D xsi:type="xsd:double"&gt;13.1623858149017&lt;/D&gt;&lt;D xsi:type="xsd:double"&gt;12.3465411669524&lt;/D&gt;&lt;D xsi:type="xsd:double"&gt;14.3198801467284&lt;/D&gt;&lt;D xsi:type="xsd:double"&gt;15.1834296962757&lt;/D&gt;&lt;D xsi:type="xsd:double"&gt;15.9388310177707&lt;/D&gt;&lt;D xsi:type="xsd:double"&gt;15.78845062378&lt;/D&gt;&lt;D xsi:type="xsd:double"&gt;15.7027571351323&lt;/D&gt;&lt;D xsi:type="xsd:double"&gt;14.8304003267738&lt;/D&gt;&lt;D xsi:type="xsd:double"&gt;15.5405522755939&lt;/D&gt;&lt;D xsi:type="xsd:double"&gt;14.5534786358858&lt;/D&gt;&lt;D xsi:type="xsd:double"&gt;13.9538705482463&lt;/D&gt;&lt;D xsi:type="xsd:double"&gt;14.7683071520887&lt;/D&gt;&lt;D xsi:type="xsd:double"&gt;14.5431793561257&lt;/D&gt;&lt;D xsi:type="xsd:double"&gt;14.0570435212574&lt;/D&gt;&lt;D xsi:type="xsd:double"&gt;12.3172480392494&lt;/D&gt;&lt;D xsi:type="xsd:double"&gt;13.2634982986881&lt;/D&gt;&lt;D xsi:type="xsd:double"&gt;12.8388132228063&lt;/D&gt;&lt;D xsi:type="xsd:double"&gt;12.9381933619816&lt;/D&gt;&lt;D xsi:type="xsd:double"&gt;12.7778702479836&lt;/D&gt;&lt;D xsi:type="xsd:double"&gt;11.8557083830139&lt;/D&gt;&lt;D xsi:type="xsd:double"&gt;11.9860567623468&lt;/D&gt;&lt;D xsi:type="xsd:double"&gt;12.5206266110849&lt;/D&gt;&lt;D xsi:type="xsd:double"&gt;11.6223672238555&lt;/D&gt;&lt;D xsi:type="xsd:double"&gt;11.5322597068413&lt;/D&gt;&lt;D xsi:type="xsd:double"&gt;12.014925970761&lt;/D&gt;&lt;D xsi:type="xsd:double"&gt;13.6967710191172&lt;/D&gt;&lt;D xsi:type="xsd:double"&gt;12.9864369833174&lt;/D&gt;&lt;D xsi:type="xsd:double"&gt;13.3715242527145&lt;/D&gt;&lt;D xsi:type="xsd:double"&gt;13.4918721164092&lt;/D&gt;&lt;D xsi:type="xsd:double"&gt;13.4448163725681&lt;/D&gt;&lt;D xsi:type="xsd:double"&gt;13.3007485007019&lt;/D&gt;&lt;D xsi:type="xsd:double"&gt;13.2911156316648&lt;/D&gt;&lt;D xsi:type="xsd:double"&gt;13.5047431218829&lt;/D&gt;&lt;D xsi:type="xsd:double"&gt;13.3394042700422&lt;/D&gt;&lt;D xsi:type="xsd:double"&gt;13.7679971729233&lt;/D&gt;&lt;D xsi:type="xsd:double"&gt;13.7293486959989&lt;/D&gt;&lt;D xsi:type="xsd:double"&gt;13.2668277987846&lt;/D&gt;&lt;D xsi:type="xsd:double"&gt;12.9216746841321&lt;/D&gt;&lt;D xsi:type="xsd:double"&gt;13.0654642426309&lt;/D&gt;&lt;D xsi:type="xsd:double"&gt;12.3046923683967&lt;/D&gt;&lt;D xsi:type="xsd:double"&gt;12.437198330193&lt;/D&gt;&lt;D xsi:type="xsd:double"&gt;13.0567383048472&lt;/D&gt;&lt;D xsi:type="xsd:double"&gt;11.7420446539254&lt;/D&gt;&lt;D xsi:type="xsd:double"&gt;11.4468033693622&lt;/D&gt;&lt;D xsi:type="xsd:double"&gt;11.3942858634379&lt;/D&gt;&lt;D xsi:type="xsd:double"&gt;10.5885717201615&lt;/D&gt;&lt;D xsi:type="xsd:double"&gt;10.6081992200872&lt;/D&gt;&lt;D xsi:type="xsd:double"&gt;9.94002956158159&lt;/D&gt;&lt;D xsi:type="xsd:double"&gt;9.72168818882367&lt;/D&gt;&lt;D xsi:type="xsd:double"&gt;9.12558809979454&lt;/D&gt;&lt;D xsi:type="xsd:double"&gt;9.89504201309672&lt;/D&gt;&lt;D xsi:type="xsd:double"&gt;10.4911479274243&lt;/D&gt;&lt;D xsi:type="xsd:double"&gt;10.9843857361254&lt;/D&gt;&lt;D xsi:type="xsd:double"&gt;10.8935892251122&lt;/D&gt;&lt;D xsi:type="xsd:double"&gt;9.79226769128617&lt;/D&gt;&lt;D xsi:type="xsd:double"&gt;10.8047167214337&lt;/D&gt;&lt;D xsi:type="xsd:double"&gt;10.3747233306414&lt;/D&gt;&lt;D xsi:type="xsd:double"&gt;10.5196642789061&lt;/D&gt;&lt;D xsi:type="xsd:double"&gt;10.4021490623781&lt;/D&gt;&lt;D xsi:type="xsd:double"&gt;11.1590078572378&lt;/D&gt;&lt;D xsi:type="xsd:double"&gt;11.0145537611363&lt;/D&gt;&lt;D xsi:type="xsd:double"&gt;11.4631351033453&lt;/D&gt;&lt;D xsi:type="xsd:double"&gt;11.3341688885635&lt;/D&gt;&lt;D xsi:type="xsd:double"&gt;10.3872805341913&lt;/D&gt;&lt;D xsi:type="xsd:double"&gt;9.5976681545152&lt;/D&gt;&lt;D xsi:type="xsd:double"&gt;13.3841180198839&lt;/D&gt;&lt;D xsi:type="xsd:double"&gt;17.593154850527&lt;/D&gt;&lt;D xsi:type="xsd:double"&gt;17.9760991754632&lt;/D&gt;&lt;D xsi:type="xsd:double"&gt;16.3073482576369&lt;/D&gt;&lt;D xsi:type="xsd:double"&gt;15.646577554842&lt;/D&gt;&lt;D xsi:type="xsd:double"&gt;14.5590336185972&lt;/D&gt;&lt;D xsi:type="xsd:double"&gt;13.790117019009&lt;/D&gt;&lt;D xsi:type="xsd:double"&gt;15.1200325949475&lt;/D&gt;&lt;D xsi:type="xsd:double"&gt;14.7412461357557&lt;/D&gt;&lt;D xsi:type="xsd:double"&gt;13.8425837839588&lt;/D&gt;&lt;D xsi:type="xsd:double"&gt;13.4846015854328&lt;/D&gt;&lt;D xsi:type="xsd:double"&gt;14.0471705125076&lt;/D&gt;&lt;D xsi:type="xsd:double"&gt;13.5393698809794&lt;/D&gt;&lt;D xsi:type="xsd:double"&gt;13.6830972729438&lt;/D&gt;&lt;D xsi:type="xsd:double"&gt;13.4337090345574&lt;/D&gt;&lt;D xsi:type="xsd:double"&gt;12.2059998113223&lt;/D&gt;&lt;D xsi:type="xsd:double"&gt;11.9288059196513&lt;/D&gt;&lt;D xsi:type="xsd:double"&gt;11.5581456791629&lt;/D&gt;&lt;D xsi:type="xsd:double"&gt;11.7812763667681&lt;/D&gt;&lt;D xsi:type="xsd:double"&gt;10.6649134370866&lt;/D&gt;&lt;D xsi:type="xsd:double"&gt;11.2661221013335&lt;/D&gt;&lt;D xsi:type="xsd:double"&gt;10.8032274590119&lt;/D&gt;&lt;D xsi:type="xsd:double"&gt;9.48082655289783&lt;/D&gt;&lt;D xsi:type="xsd:double"&gt;9.81421282883604&lt;/D&gt;&lt;D xsi:type="xsd:double"&gt;9.3694464065689&lt;/D&gt;&lt;D xsi:type="xsd:double"&gt;8.76345679183419&lt;/D&gt;&lt;D xsi:type="xsd:double"&gt;7.70345533018875&lt;/D&gt;&lt;D xsi:type="xsd:double"&gt;7.70855700687612&lt;/D&gt;&lt;D xsi:type="xsd:double"&gt;7.64077774858365&lt;/D&gt;&lt;D xsi:type="xsd:double"&gt;7.30564869170986&lt;/D&gt;&lt;D xsi:type="xsd:double"&gt;7.87610475413762&lt;/D&gt;&lt;D xsi:type="xsd:double"&gt;7.88857804052585&lt;/D&gt;&lt;D xsi:type="xsd:double"&gt;7.83054642113263&lt;/D&gt;&lt;D xsi:type="xsd:double"&gt;8.41203256935796&lt;/D&gt;&lt;D xsi:type="xsd:double"&gt;8.7761051157398&lt;/D&gt;&lt;D xsi:type="xsd:double"&gt;8.54315152257127&lt;/D&gt;&lt;D xsi:type="xsd:double"&gt;8.40791927515806&lt;/D&gt;&lt;D xsi:type="xsd:double"&gt;8.54537760711136&lt;/D&gt;&lt;D xsi:type="xsd:double"&gt;8.84448989022233&lt;/D&gt;&lt;D xsi:type="xsd:double"&gt;8.41238293442095&lt;/D&gt;&lt;D xsi:type="xsd:double"&gt;8.48261079696335&lt;/D&gt;&lt;D xsi:type="xsd:double"&gt;8.02592388952062&lt;/D&gt;&lt;D xsi:type="xsd:double"&gt;8.16949934805625&lt;/D&gt;&lt;D xsi:type="xsd:double"&gt;8.64684142677665&lt;/D&gt;&lt;D xsi:type="xsd:double"&gt;8.84359698539982&lt;/D&gt;&lt;D xsi:type="xsd:double"&gt;9.00429954865367&lt;/D&gt;&lt;D xsi:type="xsd:double"&gt;9.34110330597422&lt;/D&gt;&lt;D xsi:type="xsd:double"&gt;9.72885837035832&lt;/D&gt;&lt;D xsi:type="xsd:double"&gt;9.53458729007271&lt;/D&gt;&lt;D xsi:type="xsd:double"&gt;9.76466782905651&lt;/D&gt;&lt;D xsi:type="xsd:double"&gt;9.48109096925835&lt;/D&gt;&lt;D xsi:type="xsd:double"&gt;9.25608891904245&lt;/D&gt;&lt;D xsi:type="xsd:double"&gt;9.99672007737511&lt;/D&gt;&lt;D xsi:type="xsd:double"&gt;10.1852349509356&lt;/D&gt;&lt;/FQL&gt;&lt;FQL&gt;&lt;Q&gt;EWD^FMA_PE(NTMA,-10AY,0,AM,"PORTAGG","MEANR")&lt;/Q&gt;&lt;R&gt;121&lt;/R&gt;&lt;C&gt;1&lt;/C&gt;&lt;D xsi:type="xsd:double"&gt;14.3306098956464&lt;/D&gt;&lt;D xsi:type="xsd:double"&gt;15.1495839978102&lt;/D&gt;&lt;D xsi:type="xsd:double"&gt;15.7595507918297&lt;/D&gt;&lt;D xsi:type="xsd:double"&gt;15.580527381065&lt;/D&gt;&lt;D xsi:type="xsd:double"&gt;16.3983336392227&lt;/D&gt;&lt;D xsi:type="xsd:double"&gt;17.070134887271&lt;/D&gt;&lt;D xsi:type="xsd:double"&gt;17.0216798453716&lt;/D&gt;&lt;D xsi:type="xsd:double"&gt;15.84340237342&lt;/D&gt;&lt;D xsi:type="xsd:double"&gt;16.4252823223659&lt;/D&gt;&lt;D xsi:type="xsd:double"&gt;15.5856786497829&lt;/D&gt;&lt;D xsi:type="xsd:double"&gt;15.9770386635213&lt;/D&gt;&lt;D xsi:type="xsd:double"&gt;14.9249893878755&lt;/D&gt;&lt;D xsi:type="xsd:double"&gt;14.1462302046591&lt;/D&gt;&lt;D xsi:type="xsd:double"&gt;15.5368057265921&lt;/D&gt;&lt;D xsi:type="xsd:double"&gt;15.4910338136381&lt;/D&gt;&lt;D xsi:type="xsd:double"&gt;14.9750159777383&lt;/D&gt;&lt;D xsi:type="xsd:double"&gt;14.0531016716157&lt;/D&gt;&lt;D xsi:type="xsd:double"&gt;15.4010533984669&lt;/D&gt;&lt;D xsi:type="xsd:double"&gt;14.9967251926417&lt;/D&gt;&lt;D xsi:type="xsd:double"&gt;14.9763722310021&lt;/D&gt;&lt;D xsi:type="xsd:double"&gt;14.7761017947686&lt;/D&gt;&lt;D xsi:type="xsd:double"&gt;14.6967790020612&lt;/D&gt;&lt;D xsi:type="xsd:double"&gt;14.8466643971007&lt;/D&gt;&lt;D xsi:type="xsd:double"&gt;15.6461650170137&lt;/D&gt;&lt;D xsi:type="xsd:double"&gt;15.7907199645773&lt;/D&gt;&lt;D xsi:type="xsd:double"&gt;15.6393834025522&lt;/D&gt;&lt;D xsi:type="xsd:double"&gt;15.958798335709&lt;/D&gt;&lt;D xsi:type="xsd:double"&gt;16.5927359872557&lt;/D&gt;&lt;D xsi:type="xsd:double"&gt;16.5227064130977&lt;/D&gt;&lt;D xsi:type="xsd:double"&gt;16.488603046213&lt;/D&gt;&lt;D xsi:type="xsd:double"&gt;16.9606018729626&lt;/D&gt;&lt;D xsi:type="xsd:double"&gt;17.1611356902211&lt;/D&gt;&lt;D xsi:type="xsd:double"&gt;18.0717772891166&lt;/D&gt;&lt;D xsi:type="xsd:double"&gt;16.6697160211889&lt;/D&gt;&lt;D xsi:type="xsd:double"&gt;15.9541508069328&lt;/D&gt;&lt;D xsi:type="xsd:double"&gt;15.965060274012&lt;/D&gt;&lt;D xsi:type="xsd:double"&gt;16.9496826801417&lt;/D&gt;&lt;D xsi:type="xsd:double"&gt;17.3618010522557&lt;/D&gt;&lt;D xsi:type="xsd:double"&gt;16.3458888812158&lt;/D&gt;&lt;D xsi:type="xsd:double"&gt;16.2054219400277&lt;/D&gt;&lt;D xsi:type="xsd:double"&gt;16.4732815841935&lt;/D&gt;&lt;D xsi:type="xsd:double"&gt;15.7541759072653&lt;/D&gt;&lt;D xsi:type="xsd:double"&gt;15.5053694434635&lt;/D&gt;&lt;D xsi:type="xsd:double"&gt;15.7596939230996&lt;/D&gt;&lt;D xsi:type="xsd:double"&gt;15.5701425212651&lt;/D&gt;&lt;D xsi:type="xsd:double"&gt;15.1698699116889&lt;/D&gt;&lt;D xsi:type="xsd:double"&gt;15.564368026137&lt;/D&gt;&lt;D xsi:type="xsd:double"&gt;15.8653631698662&lt;/D&gt;&lt;D xsi:type="xsd:double"&gt;15.9134883748037&lt;/D&gt;&lt;D xsi:type="xsd:double"&gt;14.6065068232269&lt;/D&gt;&lt;D xsi:type="xsd:double"&gt;14.2982727191439&lt;/D&gt;&lt;D xsi:type="xsd:double"&gt;13.1820331932575&lt;/D&gt;&lt;D xsi:type="xsd:double"&gt;14.216734947416&lt;/D&gt;&lt;D xsi:type="xsd:double"&gt;14.8597644903292&lt;/D&gt;&lt;D xsi:type="xsd:double"&gt;15.241218908239&lt;/D&gt;&lt;D xsi:type="xsd:double"&gt;15.6580016634076&lt;/D&gt;&lt;D xsi:type="xsd:double"&gt;14.1244679534734&lt;/D&gt;&lt;D xsi:type="xsd:double"&gt;15.2240009529527&lt;/D&gt;&lt;D xsi:type="xsd:double"&gt;14.5782762358166&lt;/D&gt;&lt;D xsi:type="xsd:double"&gt;13.8214044163325&lt;/D&gt;&lt;D xsi:type="xsd:double"&gt;14.4730282223125&lt;/D&gt;&lt;D xsi:type="xsd:double"&gt;15.7537412472901&lt;/D&gt;&lt;D xsi:type="xsd:double"&gt;15.3091861251125&lt;/D&gt;&lt;D xsi:type="xsd:double"&gt;16.239141329118&lt;/D&gt;&lt;D xsi:type="xsd:double"&gt;16.1068546098743&lt;/D&gt;&lt;D xsi:type="xsd:double"&gt;15.2923514934455&lt;/D&gt;&lt;D xsi:type="xsd:double"&gt;14.2429721306595&lt;/D&gt;&lt;D xsi:type="xsd:double"&gt;17.2131256482661&lt;/D&gt;&lt;D xsi:type="xsd:double"&gt;19.6792264902538&lt;/D&gt;&lt;D xsi:type="xsd:double"&gt;19.6992071303135&lt;/D&gt;&lt;D xsi:type="xsd:double"&gt;18.5697510985861&lt;/D&gt;&lt;D xsi:type="xsd:double"&gt;17.9797783481211&lt;/D&gt;&lt;D xsi:type="xsd:double"&gt;18.1513216070563&lt;/D&gt;&lt;D xsi:type="xsd:double"&gt;16.132906412909&lt;/D&gt;&lt;D xsi:type="xsd:double"&gt;17.338683165522&lt;/D&gt;&lt;D xsi:type="xsd:double"&gt;17.9837525904741&lt;/D&gt;&lt;D xsi:type="xsd:double"&gt;18.8710048509772&lt;/D&gt;&lt;D xsi:type="xsd:double"&gt;19.3487583301008&lt;/D&gt;&lt;D xsi:type="xsd:double"&gt;20.2750642492587&lt;/D&gt;&lt;D xsi:type="xsd:double"&gt;18.780630967952&lt;/D&gt;&lt;D xsi:type="xsd:double"&gt;18.6846010509381&lt;/D&gt;&lt;D xsi:type="xsd:double"&gt;18.6976545553091&lt;/D&gt;&lt;D xsi:type="xsd:double"&gt;18.5393275040563&lt;/D&gt;&lt;D xsi:type="xsd:double"&gt;18.6210487664345&lt;/D&gt;&lt;D xsi:type="xsd:double"&gt;17.8128266714756&lt;/D&gt;&lt;D xsi:type="xsd:double"&gt;18.4307933493936&lt;/D&gt;&lt;D xsi:type="xsd:double"&gt;18.3813314291527&lt;/D&gt;&lt;D xsi:type="xsd:double"&gt;18.6078033352797&lt;/D&gt;&lt;D xsi:type="xsd:double"&gt;16.5343443575564&lt;/D&gt;&lt;D xsi:type="xsd:double"&gt;14.4456995006499&lt;/D&gt;&lt;D xsi:type="xsd:double"&gt;15.2776032536875&lt;/D&gt;&lt;D xsi:type="xsd:double"&gt;14.3384170488522&lt;/D&gt;&lt;D xsi:type="xsd:double"&gt;16.2081108480992&lt;/D&gt;&lt;D xsi:type="xsd:double"&gt;14.1175287461339&lt;/D&gt;&lt;D xsi:type="xsd:double"&gt;15.0660625537557&lt;/D&gt;&lt;D xsi:type="xsd:double"&gt;13.9449496753824&lt;/D&gt;&lt;D xsi:type="xsd:double"&gt;13.1157936826953&lt;/D&gt;&lt;D xsi:type="xsd:double"&gt;12.3800151379387&lt;/D&gt;&lt;D xsi:type="xsd:double"&gt;13.2020133271602&lt;/D&gt;&lt;D xsi:type="xsd:double"&gt;12.9000871332881&lt;/D&gt;&lt;D xsi:type="xsd:double"&gt;14.5489479765727&lt;/D&gt;&lt;D xsi:type="xsd:double"&gt;14.2596382657626&lt;/D&gt;&lt;D xsi:type="xsd:double"&gt;13.7224115859291&lt;/D&gt;&lt;D xsi:type="xsd:double"&gt;13.6562081518669&lt;/D&gt;&lt;D xsi:type="xsd:double"&gt;13.67982223937&lt;/D&gt;&lt;D xsi:type="xsd:double"&gt;13.5505957038806&lt;/D&gt;&lt;D xsi:type="xsd:double"&gt;13.0145241911788&lt;/D&gt;&lt;D xsi:type="xsd:double"&gt;12.9978133031696&lt;/D&gt;&lt;D xsi:type="xsd:double"&gt;12.6707405464111&lt;/D&gt;&lt;D xsi:type="xsd:double"&gt;12.8759371897283&lt;/D&gt;&lt;D xsi:type="xsd:double"&gt;14.6781321560517&lt;/D&gt;&lt;D xsi:type="xsd:double"&gt;15.3602834644782&lt;/D&gt;&lt;D xsi:type="xsd:double"&gt;15.6426811473785&lt;/D&gt;&lt;D xsi:type="xsd:double"&gt;16.3621203567738&lt;/D&gt;&lt;D xsi:type="xsd:double"&gt;16.3546148232303&lt;/D&gt;&lt;D xsi:type="xsd:double"&gt;15.9198749894029&lt;/D&gt;&lt;D xsi:type="xsd:double"&gt;16.2588475527605&lt;/D&gt;&lt;D xsi:type="xsd:double"&gt;15.9981575918782&lt;/D&gt;&lt;D xsi:type="xsd:double"&gt;15.4070675841956&lt;/D&gt;&lt;D xsi:type="xsd:double"&gt;16.100245246834&lt;/D&gt;&lt;D xsi:type="xsd:double"&gt;16.5744423167657&lt;/D&gt;&lt;/FQL&gt;&lt;FQL&gt;&lt;Q&gt;EWN^FMA_PE(NTMA,-10AY,0,AM,"PORTAGG","MEANR")&lt;/Q&gt;&lt;R&gt;121&lt;/R&gt;&lt;C&gt;1&lt;/C&gt;&lt;D xsi:type="xsd:double"&gt;14.3962121736047&lt;/D&gt;&lt;D xsi:type="xsd:double"&gt;14.4965683627354&lt;/D&gt;&lt;D xsi:type="xsd:double"&gt;15.1568959216298&lt;/D&gt;&lt;D xsi:type="xsd:double"&gt;14.7415881880381&lt;/D&gt;&lt;D xsi:type="xsd:double"&gt;15.7304555737969&lt;/D&gt;&lt;D xsi:type="xsd:double"&gt;16.9057087988969&lt;/D&gt;&lt;D xsi:type="xsd:double"&gt;17.2941740768059&lt;/D&gt;&lt;D xsi:type="xsd:double"&gt;16.8883612821547&lt;/D&gt;&lt;D xsi:type="xsd:double"&gt;16.8124450976534&lt;/D&gt;&lt;D xsi:type="xsd:double"&gt;16.3203363371118&lt;/D&gt;&lt;D xsi:type="xsd:double"&gt;17.0118101489982&lt;/D&gt;&lt;D xsi:type="xsd:double"&gt;15.0380838669042&lt;/D&gt;&lt;D xsi:type="xsd:double"&gt;14.3419530965628&lt;/D&gt;&lt;D xsi:type="xsd:double"&gt;15.9884769854282&lt;/D&gt;&lt;D xsi:type="xsd:double"&gt;15.8257155915059&lt;/D&gt;&lt;D xsi:type="xsd:double"&gt;15.3744123294909&lt;/D&gt;&lt;D xsi:type="xsd:double"&gt;14.5853062744485&lt;/D&gt;&lt;D xsi:type="xsd:double"&gt;15.0398086380949&lt;/D&gt;&lt;D xsi:type="xsd:double"&gt;15.1497446213715&lt;/D&gt;&lt;D xsi:type="xsd:double"&gt;14.7132725345129&lt;/D&gt;&lt;D xsi:type="xsd:double"&gt;15.0861469584859&lt;/D&gt;&lt;D xsi:type="xsd:double"&gt;14.211112750831&lt;/D&gt;&lt;D xsi:type="xsd:double"&gt;14.5096079383238&lt;/D&gt;&lt;D xsi:type="xsd:double"&gt;15.3407069268504&lt;/D&gt;&lt;D xsi:type="xsd:double"&gt;14.9649244000464&lt;/D&gt;&lt;D xsi:type="xsd:double"&gt;14.3110047518368&lt;/D&gt;&lt;D xsi:type="xsd:double"&gt;14.2262921960439&lt;/D&gt;&lt;D xsi:type="xsd:double"&gt;15.1449268589016&lt;/D&gt;&lt;D xsi:type="xsd:double"&gt;15.1490347352061&lt;/D&gt;&lt;D xsi:type="xsd:double"&gt;15.8009171850079&lt;/D&gt;&lt;D xsi:type="xsd:double"&gt;16.0091199641191&lt;/D&gt;&lt;D xsi:type="xsd:double"&gt;16.4848853508091&lt;/D&gt;&lt;D xsi:type="xsd:double"&gt;16.396469374385&lt;/D&gt;&lt;D xsi:type="xsd:double"&gt;15.7501055642313&lt;/D&gt;&lt;D xsi:type="xsd:double"&gt;15.9662313430661&lt;/D&gt;&lt;D xsi:type="xsd:double"&gt;15.6909424418986&lt;/D&gt;&lt;D xsi:type="xsd:double"&gt;16.1104803807877&lt;/D&gt;&lt;D xsi:type="xsd:double"&gt;16.421423660795&lt;/D&gt;&lt;D xsi:type="xsd:double"&gt;15.7640513277946&lt;/D&gt;&lt;D xsi:type="xsd:double"&gt;15.9549068281994&lt;/D&gt;&lt;D xsi:type="xsd:double"&gt;16.011029812542&lt;/D&gt;&lt;D xsi:type="xsd:double"&gt;15.1871700478783&lt;/D&gt;&lt;D xsi:type="xsd:double"&gt;15.318398031113&lt;/D&gt;&lt;D xsi:type="xsd:double"&gt;15.4753513816207&lt;/D&gt;&lt;D xsi:type="xsd:double"&gt;15.8200460711922&lt;/D&gt;&lt;D xsi:type="xsd:double"&gt;15.4454391834472&lt;/D&gt;&lt;D xsi:type="xsd:double"&gt;15.9445439213679&lt;/D&gt;&lt;D xsi:type="xsd:double"&gt;15.4862825689879&lt;/D&gt;&lt;D xsi:type="xsd:double"&gt;15.0089293330814&lt;/D&gt;&lt;D xsi:type="xsd:double"&gt;14.2175372558626&lt;/D&gt;&lt;D xsi:type="xsd:double"&gt;14.2100253144715&lt;/D&gt;&lt;D xsi:type="xsd:double"&gt;12.8118702938193&lt;/D&gt;&lt;D xsi:type="xsd:double"&gt;14.1490824801262&lt;/D&gt;&lt;D xsi:type="xsd:double"&gt;14.979078434099&lt;/D&gt;&lt;D xsi:type="xsd:double"&gt;15.5137271862609&lt;/D&gt;&lt;D xsi:type="xsd:double"&gt;15.7858604141071&lt;/D&gt;&lt;D xsi:type="xsd:double"&gt;14.8484935581621&lt;/D&gt;&lt;D xsi:type="xsd:double"&gt;15.7382749438967&lt;/D&gt;&lt;D xsi:type="xsd:double"&gt;15.3613052680216&lt;/D&gt;&lt;D xsi:type="xsd:double"&gt;15.5198013664902&lt;/D&gt;&lt;D xsi:type="xsd:double"&gt;15.7223586156753&lt;/D&gt;&lt;D xsi:type="xsd:double"&gt;16.3425801739007&lt;/D&gt;&lt;D xsi:type="xsd:double"&gt;16.339577350479&lt;/D&gt;&lt;D xsi:type="xsd:double"&gt;17.1873996142188&lt;/D&gt;&lt;D xsi:type="xsd:double"&gt;16.9314902174296&lt;/D&gt;&lt;D xsi:type="xsd:double"&gt;16.0034007806922&lt;/D&gt;&lt;D xsi:type="xsd:double"&gt;14.0657701017291&lt;/D&gt;&lt;D xsi:type="xsd:double"&gt;17.2144600259616&lt;/D&gt;&lt;D xsi:type="xsd:double"&gt;19.3333989010074&lt;/D&gt;&lt;D xsi:type="xsd:double"&gt;19.8346728403176&lt;/D&gt;&lt;D xsi:type="xsd:double"&gt;19.8832422461759&lt;/D&gt;&lt;D xsi:type="xsd:double"&gt;19.5907196309142&lt;/D&gt;&lt;D xsi:type="xsd:double"&gt;19.4526675532078&lt;/D&gt;&lt;D xsi:type="xsd:double"&gt;19.1642279726001&lt;/D&gt;&lt;D xsi:type="xsd:double"&gt;20.4043023030508&lt;/D&gt;&lt;D xsi:type="xsd:double"&gt;20.5781242257232&lt;/D&gt;&lt;D xsi:type="xsd:double"&gt;21.5839535209266&lt;/D&gt;&lt;D xsi:type="xsd:double"&gt;21.2568525199458&lt;/D&gt;&lt;D xsi:type="xsd:double"&gt;22.7386615449256&lt;/D&gt;&lt;D xsi:type="xsd:double"&gt;21.9130099758622&lt;/D&gt;&lt;D xsi:type="xsd:double"&gt;21.2342256194943&lt;/D&gt;&lt;D xsi:type="xsd:double"&gt;21.3058753768985&lt;/D&gt;&lt;D xsi:type="xsd:double"&gt;21.5288831843732&lt;/D&gt;&lt;D xsi:type="xsd:double"&gt;21.9478952210125&lt;/D&gt;&lt;D xsi:type="xsd:double"&gt;20.2604898835083&lt;/D&gt;&lt;D xsi:type="xsd:double"&gt;21.45411656752&lt;/D&gt;&lt;D xsi:type="xsd:double"&gt;19.7739927458131&lt;/D&gt;&lt;D xsi:type="xsd:double"&gt;20.717017654518&lt;/D&gt;&lt;D xsi:type="xsd:double"&gt;18.4200324301197&lt;/D&gt;&lt;D xsi:type="xsd:double"&gt;17.1671418569584&lt;/D&gt;&lt;D xsi:type="xsd:double"&gt;18.3784351782723&lt;/D&gt;&lt;D xsi:type="xsd:double"&gt;16.9559535868301&lt;/D&gt;&lt;D xsi:type="xsd:double"&gt;17.2274206467265&lt;/D&gt;&lt;D xsi:type="xsd:double"&gt;15.8399377332913&lt;/D&gt;&lt;D xsi:type="xsd:double"&gt;18.0898236898892&lt;/D&gt;&lt;D xsi:type="xsd:double"&gt;15.9523177279284&lt;/D&gt;&lt;D xsi:type="xsd:double"&gt;14.541208486872&lt;/D&gt;&lt;D xsi:type="xsd:double"&gt;14.5883951420075&lt;/D&gt;&lt;D xsi:type="xsd:double"&gt;16.4611002911448&lt;/D&gt;&lt;D xsi:type="xsd:double"&gt;15.7665754718526&lt;/D&gt;&lt;D xsi:type="xsd:double"&gt;17.3668687397087&lt;/D&gt;&lt;D xsi:type="xsd:double"&gt;16.7098725564767&lt;/D&gt;&lt;D xsi:type="xsd:double"&gt;16.4576370489627&lt;/D&gt;&lt;D xsi:type="xsd:double"&gt;15.6627607671001&lt;/D&gt;&lt;D xsi:type="xsd:double"&gt;15.7479511197564&lt;/D&gt;&lt;D xsi:type="xsd:double"&gt;15.930747266335&lt;/D&gt;&lt;D xsi:type="xsd:double"&gt;15.6661040559058&lt;/D&gt;&lt;D xsi:type="xsd:double"&gt;14.7313262083087&lt;/D&gt;&lt;D xsi:type="xsd:double"&gt;13.2945705504251&lt;/D&gt;&lt;D xsi:type="xsd:double"&gt;13.8899955250093&lt;/D&gt;&lt;D xsi:type="xsd:double"&gt;14.6336824245094&lt;/D&gt;&lt;D xsi:type="xsd:double"&gt;14.6890398949667&lt;/D&gt;&lt;D xsi:type="xsd:double"&gt;15.7917304699253&lt;/D&gt;&lt;D xsi:type="xsd:double"&gt;16.0013606210117&lt;/D&gt;&lt;D xsi:type="xsd:double"&gt;16.3099246761942&lt;/D&gt;&lt;D xsi:type="xsd:double"&gt;15.7582585556514&lt;/D&gt;&lt;D xsi:type="xsd:double"&gt;16.3637018928825&lt;/D&gt;&lt;D xsi:type="xsd:double"&gt;16.4840642080082&lt;/D&gt;&lt;D xsi:type="xsd:double"&gt;14.5883595914683&lt;/D&gt;&lt;D xsi:type="xsd:double"&gt;15.0461439650992&lt;/D&gt;&lt;D xsi:type="xsd:double"&gt;15.0981842698514&lt;/D&gt;&lt;/FQL&gt;&lt;FQL&gt;&lt;Q&gt;EWQ^FMA_PE(NTMA,-10AY,0,AM,"PORTAGG","MEANR")&lt;/Q&gt;&lt;R&gt;121&lt;/R&gt;&lt;C&gt;1&lt;/C&gt;&lt;D xsi:type="xsd:double"&gt;13.2381987885324&lt;/D&gt;&lt;D xsi:type="xsd:double"&gt;13.0813255126006&lt;/D&gt;&lt;D xsi:type="xsd:double"&gt;13.9624317408898&lt;/D&gt;&lt;D xsi:type="xsd:double"&gt;13.7289565546907&lt;/D&gt;&lt;D xsi:type="xsd:double"&gt;15.5467188679493&lt;/D&gt;&lt;D xsi:type="xsd:double"&gt;16.1220030795324&lt;/D&gt;&lt;D xsi:type="xsd:double"&gt;16.6037523299544&lt;/D&gt;&lt;D xsi:type="xsd:double"&gt;16.3096469232353&lt;/D&gt;&lt;D xsi:type="xsd:double"&gt;16.1854506010367&lt;/D&gt;&lt;D xsi:type="xsd:double"&gt;15.3237084896228&lt;/D&gt;&lt;D xsi:type="xsd:double"&gt;15.8768257180312&lt;/D&gt;&lt;D xsi:type="xsd:double"&gt;14.3482318836575&lt;/D&gt;&lt;D xsi:type="xsd:double"&gt;13.8827690699177&lt;/D&gt;&lt;D xsi:type="xsd:double"&gt;15.247198519785&lt;/D&gt;&lt;D xsi:type="xsd:double"&gt;14.7872414213683&lt;/D&gt;&lt;D xsi:type="xsd:double"&gt;14.5525026687196&lt;/D&gt;&lt;D xsi:type="xsd:double"&gt;13.7007115597823&lt;/D&gt;&lt;D xsi:type="xsd:double"&gt;14.415166727315&lt;/D&gt;&lt;D xsi:type="xsd:double"&gt;14.184321111574&lt;/D&gt;&lt;D xsi:type="xsd:double"&gt;14.3441814696039&lt;/D&gt;&lt;D xsi:type="xsd:double"&gt;14.3182960735214&lt;/D&gt;&lt;D xsi:type="xsd:double"&gt;13.6982287872212&lt;/D&gt;&lt;D xsi:type="xsd:double"&gt;13.7269589038023&lt;/D&gt;&lt;D xsi:type="xsd:double"&gt;14.265122056874&lt;/D&gt;&lt;D xsi:type="xsd:double"&gt;13.8825205951037&lt;/D&gt;&lt;D xsi:type="xsd:double"&gt;13.6151115293769&lt;/D&gt;&lt;D xsi:type="xsd:double"&gt;13.7541373927975&lt;/D&gt;&lt;D xsi:type="xsd:double"&gt;14.6479636930293&lt;/D&gt;&lt;D xsi:type="xsd:double"&gt;14.3369487502949&lt;/D&gt;&lt;D xsi:type="xsd:double"&gt;14.5341399191049&lt;/D&gt;&lt;D xsi:type="xsd:double"&gt;14.7960005861341&lt;/D&gt;&lt;D xsi:type="xsd:double"&gt;15.2537647923694&lt;/D&gt;&lt;D xsi:type="xsd:double"&gt;15.2634708736995&lt;/D&gt;&lt;D xsi:type="xsd:double"&gt;14.759932603358&lt;/D&gt;&lt;D xsi:type="xsd:double"&gt;14.603648018016&lt;/D&gt;&lt;D xsi:type="xsd:double"&gt;14.5510852693452&lt;/D&gt;&lt;D xsi:type="xsd:double"&gt;15.2147880081581&lt;/D&gt;&lt;D xsi:type="xsd:double"&gt;15.4478297837694&lt;/D&gt;&lt;D xsi:type="xsd:double"&gt;14.8890691457655&lt;/D&gt;&lt;D xsi:type="xsd:double"&gt;14.8316471225941&lt;/D&gt;&lt;D xsi:type="xsd:double"&gt;14.883011983911&lt;/D&gt;&lt;D xsi:type="xsd:double"&gt;14.1847968466843&lt;/D&gt;&lt;D xsi:type="xsd:double"&gt;14.1433045602181&lt;/D&gt;&lt;D xsi:type="xsd:double"&gt;14.7650826920243&lt;/D&gt;&lt;D xsi:type="xsd:double"&gt;14.4415011211086&lt;/D&gt;&lt;D xsi:type="xsd:double"&gt;13.9214169739867&lt;/D&gt;&lt;D xsi:type="xsd:double"&gt;14.072271243197&lt;/D&gt;&lt;D xsi:type="xsd:double"&gt;13.7846595155505&lt;/D&gt;&lt;D xsi:type="xsd:double"&gt;13.8239803257092&lt;/D&gt;&lt;D xsi:type="xsd:double"&gt;12.8366828005511&lt;/D&gt;&lt;D xsi:type="xsd:double"&gt;12.6789413245826&lt;/D&gt;&lt;D xsi:type="xsd:double"&gt;11.581233776182&lt;/D&gt;&lt;D xsi:type="xsd:double"&gt;12.9237369222963&lt;/D&gt;&lt;D xsi:type="xsd:double"&gt;13.5461494041884&lt;/D&gt;&lt;D xsi:type="xsd:double"&gt;13.904807974685&lt;/D&gt;&lt;D xsi:type="xsd:double"&gt;14.0397728643122&lt;/D&gt;&lt;D xsi:type="xsd:double"&gt;13.2476568381014&lt;/D&gt;&lt;D xsi:type="xsd:double"&gt;14.0809810001404&lt;/D&gt;&lt;D xsi:type="xsd:double"&gt;13.6054904169093&lt;/D&gt;&lt;D xsi:type="xsd:double"&gt;13.7197617919166&lt;/D&gt;&lt;D xsi:type="xsd:double"&gt;13.6487651014295&lt;/D&gt;&lt;D xsi:type="xsd:double"&gt;14.5228116936095&lt;/D&gt;&lt;D xsi:type="xsd:double"&gt;14.3176746494115&lt;/D&gt;&lt;D xsi:type="xsd:double"&gt;15.0300559821301&lt;/D&gt;&lt;D xsi:type="xsd:double"&gt;14.5876064306023&lt;/D&gt;&lt;D xsi:type="xsd:double"&gt;13.6875789816933&lt;/D&gt;&lt;D xsi:type="xsd:double"&gt;12.5360040856704&lt;/D&gt;&lt;D xsi:type="xsd:double"&gt;16.5440312793632&lt;/D&gt;&lt;D xsi:type="xsd:double"&gt;18.9720978606001&lt;/D&gt;&lt;D xsi:type="xsd:double"&gt;19.280975252133&lt;/D&gt;&lt;D xsi:type="xsd:double"&gt;19.5184965550064&lt;/D&gt;&lt;D xsi:type="xsd:double"&gt;19.4028345022434&lt;/D&gt;&lt;D xsi:type="xsd:double"&gt;18.0821505082638&lt;/D&gt;&lt;D xsi:type="xsd:double"&gt;17.188085232885&lt;/D&gt;&lt;D xsi:type="xsd:double"&gt;18.9715543616588&lt;/D&gt;&lt;D xsi:type="xsd:double"&gt;17.9677191068397&lt;/D&gt;&lt;D xsi:type="xsd:double"&gt;17.7069566120956&lt;/D&gt;&lt;D xsi:type="xsd:double"&gt;18.0382157593804&lt;/D&gt;&lt;D xsi:type="xsd:double"&gt;18.3013203833378&lt;/D&gt;&lt;D xsi:type="xsd:double"&gt;18.0083977287345&lt;/D&gt;&lt;D xsi:type="xsd:double"&gt;17.8761347009951&lt;/D&gt;&lt;D xsi:type="xsd:double"&gt;17.4624739308707&lt;/D&gt;&lt;D xsi:type="xsd:double"&gt;16.7765262036507&lt;/D&gt;&lt;D xsi:type="xsd:double"&gt;16.2899795203528&lt;/D&gt;&lt;D xsi:type="xsd:double"&gt;15.5264043198272&lt;/D&gt;&lt;D xsi:type="xsd:double"&gt;15.8619353415341&lt;/D&gt;&lt;D xsi:type="xsd:double"&gt;15.1399050411246&lt;/D&gt;&lt;D xsi:type="xsd:double"&gt;15.9120973398127&lt;/D&gt;&lt;D xsi:type="xsd:double"&gt;14.9223149637959&lt;/D&gt;&lt;D xsi:type="xsd:double"&gt;13.2803724016191&lt;/D&gt;&lt;D xsi:type="xsd:double"&gt;13.5781266831993&lt;/D&gt;&lt;D xsi:type="xsd:double"&gt;12.6812632848377&lt;/D&gt;&lt;D xsi:type="xsd:double"&gt;12.4293879274776&lt;/D&gt;&lt;D xsi:type="xsd:double"&gt;11.1854920609667&lt;/D&gt;&lt;D xsi:type="xsd:double"&gt;11.7246874319686&lt;/D&gt;&lt;D xsi:type="xsd:double"&gt;11.1240945179385&lt;/D&gt;&lt;D xsi:type="xsd:double"&gt;10.279283177835&lt;/D&gt;&lt;D xsi:type="xsd:double"&gt;11.0781547077079&lt;/D&gt;&lt;D xsi:type="xsd:double"&gt;12.184638535583&lt;/D&gt;&lt;D xsi:type="xsd:double"&gt;12.0512785994966&lt;/D&gt;&lt;D xsi:type="xsd:double"&gt;13.4168543024106&lt;/D&gt;&lt;D xsi:type="xsd:double"&gt;13.3424173809201&lt;/D&gt;&lt;D xsi:type="xsd:double"&gt;13.3473699352042&lt;/D&gt;&lt;D xsi:type="xsd:double"&gt;13.538173874091&lt;/D&gt;&lt;D xsi:type="xsd:double"&gt;13.1338546226261&lt;/D&gt;&lt;D xsi:type="xsd:double"&gt;13.2765052198438&lt;/D&gt;&lt;D xsi:type="xsd:double"&gt;12.9377959574377&lt;/D&gt;&lt;D xsi:type="xsd:double"&gt;12.949964999677&lt;/D&gt;&lt;D xsi:type="xsd:double"&gt;12.1893457417619&lt;/D&gt;&lt;D xsi:type="xsd:double"&gt;12.4418555615209&lt;/D&gt;&lt;D xsi:type="xsd:double"&gt;13.0055804512982&lt;/D&gt;&lt;D xsi:type="xsd:double"&gt;13.162201065106&lt;/D&gt;&lt;D xsi:type="xsd:double"&gt;13.6540399318989&lt;/D&gt;&lt;D xsi:type="xsd:double"&gt;14.3276559280944&lt;/D&gt;&lt;D xsi:type="xsd:double"&gt;14.6371148757955&lt;/D&gt;&lt;D xsi:type="xsd:double"&gt;14.3407335151208&lt;/D&gt;&lt;D xsi:type="xsd:double"&gt;14.3455156306646&lt;/D&gt;&lt;D xsi:type="xsd:double"&gt;13.6765447212431&lt;/D&gt;&lt;D xsi:type="xsd:double"&gt;13.2026375414465&lt;/D&gt;&lt;D xsi:type="xsd:double"&gt;13.712353018986&lt;/D&gt;&lt;D xsi:type="xsd:double"&gt;13.9989231374953&lt;/D&gt;&lt;/FQL&gt;&lt;FQL&gt;&lt;Q&gt;SPY^FMA_PE(NTMA,-10AY,0,AM,"PORTAGG","MEANR")&lt;/Q&gt;&lt;R&gt;121&lt;/R&gt;&lt;C&gt;1&lt;/C&gt;&lt;D xsi:type="xsd:double"&gt;14.9925693310257&lt;/D&gt;&lt;D xsi:type="xsd:double"&gt;15.4821557010817&lt;/D&gt;&lt;D xsi:type="xsd:double"&gt;15.9377718039432&lt;/D&gt;&lt;D xsi:type="xsd:double"&gt;15.96244162404&lt;/D&gt;&lt;D xsi:type="xsd:double"&gt;16.4832500187173&lt;/D&gt;&lt;D xsi:type="xsd:double"&gt;16.9186043370943&lt;/D&gt;&lt;D xsi:type="xsd:double"&gt;16.4721081381795&lt;/D&gt;&lt;D xsi:type="xsd:double"&gt;16.7045817863234&lt;/D&gt;&lt;D xsi:type="xsd:double"&gt;16.5754329154127&lt;/D&gt;&lt;D xsi:type="xsd:double"&gt;16.2167847939528&lt;/D&gt;&lt;D xsi:type="xsd:double"&gt;16.377833817045&lt;/D&gt;&lt;D xsi:type="xsd:double"&gt;15.1882245096225&lt;/D&gt;&lt;D xsi:type="xsd:double"&gt;15.211116793077&lt;/D&gt;&lt;D xsi:type="xsd:double"&gt;16.5375970530146&lt;/D&gt;&lt;D xsi:type="xsd:double"&gt;16.005074710341&lt;/D&gt;&lt;D xsi:type="xsd:double"&gt;15.991430392029&lt;/D&gt;&lt;D xsi:type="xsd:double"&gt;15.5099438140132&lt;/D&gt;&lt;D xsi:type="xsd:double"&gt;15.5167363536305&lt;/D&gt;&lt;D xsi:type="xsd:double"&gt;16.5004635460184&lt;/D&gt;&lt;D xsi:type="xsd:double"&gt;16.5226770167304&lt;/D&gt;&lt;D xsi:type="xsd:double"&gt;16.5924966240686&lt;/D&gt;&lt;D xsi:type="xsd:double"&gt;16.5274762929012&lt;/D&gt;&lt;D xsi:type="xsd:double"&gt;16.8646807390181&lt;/D&gt;&lt;D xsi:type="xsd:double"&gt;16.8353987793995&lt;/D&gt;&lt;D xsi:type="xsd:double"&gt;16.5813264427647&lt;/D&gt;&lt;D xsi:type="xsd:double"&gt;15.964394900734&lt;/D&gt;&lt;D xsi:type="xsd:double"&gt;16.6187304749981&lt;/D&gt;&lt;D xsi:type="xsd:double"&gt;16.9361934539184&lt;/D&gt;&lt;D xsi:type="xsd:double"&gt;17.2007565377716&lt;/D&gt;&lt;D xsi:type="xsd:double"&gt;17.7918478206949&lt;/D&gt;&lt;D xsi:type="xsd:double"&gt;17.4630314639626&lt;/D&gt;&lt;D xsi:type="xsd:double"&gt;17.4357595066685&lt;/D&gt;&lt;D xsi:type="xsd:double"&gt;17.6699845483287&lt;/D&gt;&lt;D xsi:type="xsd:double"&gt;17.4455862424405&lt;/D&gt;&lt;D xsi:type="xsd:double"&gt;17.6223410746639&lt;/D&gt;&lt;D xsi:type="xsd:double"&gt;17.5139583604644&lt;/D&gt;&lt;D xsi:type="xsd:double"&gt;17.819346789833&lt;/D&gt;&lt;D xsi:type="xsd:double"&gt;17.9873893505642&lt;/D&gt;&lt;D xsi:type="xsd:double"&gt;18.1962903724008&lt;/D&gt;&lt;D xsi:type="xsd:double"&gt;18.3050888466772&lt;/D&gt;&lt;D xsi:type="xsd:double"&gt;17.4567931643708&lt;/D&gt;&lt;D xsi:type="xsd:double"&gt;16.7186294157627&lt;/D&gt;&lt;D xsi:type="xsd:double"&gt;16.1401525980873&lt;/D&gt;&lt;D xsi:type="xsd:double"&gt;15.9267044843159&lt;/D&gt;&lt;D xsi:type="xsd:double"&gt;16.3485048016767&lt;/D&gt;&lt;D xsi:type="xsd:double"&gt;16.0711269701908&lt;/D&gt;&lt;D xsi:type="xsd:double"&gt;16.5791208014203&lt;/D&gt;&lt;D xsi:type="xsd:double"&gt;16.8103827441345&lt;/D&gt;&lt;D xsi:type="xsd:double"&gt;16.8279173714714&lt;/D&gt;&lt;D xsi:type="xsd:double"&gt;15.5692950591314&lt;/D&gt;&lt;D xsi:type="xsd:double"&gt;15.9056785805342&lt;/D&gt;&lt;D xsi:type="xsd:double"&gt;14.1253145292313&lt;/D&gt;&lt;D xsi:type="xsd:double"&gt;15.782974885227&lt;/D&gt;&lt;D xsi:type="xsd:double"&gt;16.3320836374113&lt;/D&gt;&lt;D xsi:type="xsd:double"&gt;16.6311180987644&lt;/D&gt;&lt;D xsi:type="xsd:double"&gt;16.907555054394&lt;/D&gt;&lt;D xsi:type="xsd:double"&gt;15.637194391743&lt;/D&gt;&lt;D xsi:type="xsd:double"&gt;17.0327146444967&lt;/D&gt;&lt;D xsi:type="xsd:double"&gt;16.6709137134696&lt;/D&gt;&lt;D xsi:type="xsd:double"&gt;16.4377306818886&lt;/D&gt;&lt;D xsi:type="xsd:double"&gt;16.4311115974727&lt;/D&gt;&lt;D xsi:type="xsd:double"&gt;17.3374647042634&lt;/D&gt;&lt;D xsi:type="xsd:double"&gt;17.4297873669917&lt;/D&gt;&lt;D xsi:type="xsd:double"&gt;18.1692255231249&lt;/D&gt;&lt;D xsi:type="xsd:double"&gt;18.1977336742884&lt;/D&gt;&lt;D xsi:type="xsd:double"&gt;16.8629932107798&lt;/D&gt;&lt;D xsi:type="xsd:double"&gt;15.4150158360435&lt;/D&gt;&lt;D xsi:type="xsd:double"&gt;19.8915742284157&lt;/D&gt;&lt;D xsi:type="xsd:double"&gt;22.1415022502709&lt;/D&gt;&lt;D xsi:type="xsd:double"&gt;21.8530126365564&lt;/D&gt;&lt;D xsi:type="xsd:double"&gt;22.03821521958&lt;/D&gt;&lt;D xsi:type="xsd:double"&gt;22.5291890375639&lt;/D&gt;&lt;D xsi:type="xsd:double"&gt;21.3957099154665&lt;/D&gt;&lt;D xsi:type="xsd:double"&gt;20.7565144979451&lt;/D&gt;&lt;D xsi:type="xsd:double"&gt;21.9922214032949&lt;/D&gt;&lt;D xsi:type="xsd:double"&gt;22.4393921126365&lt;/D&gt;&lt;D xsi:type="xsd:double"&gt;21.8170027808151&lt;/D&gt;&lt;D xsi:type="xsd:double"&gt;21.3858282547762&lt;/D&gt;&lt;D xsi:type="xsd:double"&gt;22.0538827180567&lt;/D&gt;&lt;D xsi:type="xsd:double"&gt;21.6598118583921&lt;/D&gt;&lt;D xsi:type="xsd:double"&gt;21.1328990284242&lt;/D&gt;&lt;D xsi:type="xsd:double"&gt;21.5927823815265&lt;/D&gt;&lt;D xsi:type="xsd:double"&gt;21.0440940491603&lt;/D&gt;&lt;D xsi:type="xsd:double"&gt;21.253105807103&lt;/D&gt;&lt;D xsi:type="xsd:double"&gt;20.3383472123969&lt;/D&gt;&lt;D xsi:type="xsd:double"&gt;21.3429114184746&lt;/D&gt;&lt;D xsi:type="xsd:double"&gt;20.5356978834473&lt;/D&gt;&lt;D xsi:type="xsd:double"&gt;21.4299613577131&lt;/D&gt;&lt;D xsi:type="xsd:double"&gt;19.7416505011238&lt;/D&gt;&lt;D xsi:type="xsd:double"&gt;19.0248872833278&lt;/D&gt;&lt;D xsi:type="xsd:double"&gt;19.4955291814043&lt;/D&gt;&lt;D xsi:type="xsd:double"&gt;17.6947159554988&lt;/D&gt;&lt;D xsi:type="xsd:double"&gt;17.2338442497718&lt;/D&gt;&lt;D xsi:type="xsd:double"&gt;15.9841343403852&lt;/D&gt;&lt;D xsi:type="xsd:double"&gt;17.5088423996227&lt;/D&gt;&lt;D xsi:type="xsd:double"&gt;16.5141805927614&lt;/D&gt;&lt;D xsi:type="xsd:double"&gt;15.5257644601532&lt;/D&gt;&lt;D xsi:type="xsd:double"&gt;16.0925675680102&lt;/D&gt;&lt;D xsi:type="xsd:double"&gt;17.5966782872619&lt;/D&gt;&lt;D xsi:type="xsd:double"&gt;16.5859325778974&lt;/D&gt;&lt;D xsi:type="xsd:double"&gt;18.2600208200598&lt;/D&gt;&lt;D xsi:type="xsd:double"&gt;17.8029503865761&lt;/D&gt;&lt;D xsi:type="xsd:double"&gt;18.1239283387761&lt;/D&gt;&lt;D xsi:type="xsd:double"&gt;17.807182718084&lt;/D&gt;&lt;D xsi:type="xsd:double"&gt;18.4624160638884&lt;/D&gt;&lt;D xsi:type="xsd:double"&gt;19.1451485423133&lt;/D&gt;&lt;D xsi:type="xsd:double"&gt;19.1607799891726&lt;/D&gt;&lt;D xsi:type="xsd:double"&gt;18.8902623714902&lt;/D&gt;&lt;D xsi:type="xsd:double"&gt;17.5843097293501&lt;/D&gt;&lt;D xsi:type="xsd:double"&gt;18.0386482658051&lt;/D&gt;&lt;D xsi:type="xsd:double"&gt;18.8291863475253&lt;/D&gt;&lt;D xsi:type="xsd:double"&gt;19.2211473404437&lt;/D&gt;&lt;D xsi:type="xsd:double"&gt;20.1627180364323&lt;/D&gt;&lt;D xsi:type="xsd:double"&gt;20.6325955356372&lt;/D&gt;&lt;D xsi:type="xsd:double"&gt;20.7412323208666&lt;/D&gt;&lt;D xsi:type="xsd:double"&gt;20.170875300777&lt;/D&gt;&lt;D xsi:type="xsd:double"&gt;20.4860322145424&lt;/D&gt;&lt;D xsi:type="xsd:double"&gt;21.2830307391875&lt;/D&gt;&lt;D xsi:type="xsd:double"&gt;20.3653247027913&lt;/D&gt;&lt;D xsi:type="xsd:double"&gt;20.7732370061017&lt;/D&gt;&lt;D xsi:type="xsd:double"&gt;21.428460143057&lt;/D&gt;&lt;/FQL&gt;&lt;FQL&gt;&lt;Q&gt;QQQ^FMA_PE(NTMA,-10AY,0,AM,"PORTAGG","MEANR")&lt;/Q&gt;&lt;R&gt;121&lt;/R&gt;&lt;C&gt;1&lt;/C&gt;&lt;D xsi:type="xsd:double"&gt;17.3233638844064&lt;/D&gt;&lt;D xsi:type="xsd:double"&gt;17.770355515359&lt;/D&gt;&lt;D xsi:type="xsd:double"&gt;18.1697762687735&lt;/D&gt;&lt;D xsi:type="xsd:double"&gt;17.4085719896589&lt;/D&gt;&lt;D xsi:type="xsd:double"&gt;17.2400653375028&lt;/D&gt;&lt;D xsi:type="xsd:double"&gt;18.1474657420672&lt;/D&gt;&lt;D xsi:type="xsd:double"&gt;17.5930702998624&lt;/D&gt;&lt;D xsi:type="xsd:double"&gt;18.0048963080168&lt;/D&gt;&lt;D xsi:type="xsd:double"&gt;18.037662713006&lt;/D&gt;&lt;D xsi:type="xsd:double"&gt;17.6216170239777&lt;/D&gt;&lt;D xsi:type="xsd:double"&gt;18.5759876490857&lt;/D&gt;&lt;D xsi:type="xsd:double"&gt;17.1087693570574&lt;/D&gt;&lt;D xsi:type="xsd:double"&gt;17.1770994663732&lt;/D&gt;&lt;D xsi:type="xsd:double"&gt;18.8435566018781&lt;/D&gt;&lt;D xsi:type="xsd:double"&gt;18.402015598739&lt;/D&gt;&lt;D xsi:type="xsd:double"&gt;18.4588215357575&lt;/D&gt;&lt;D xsi:type="xsd:double"&gt;16.8563192558777&lt;/D&gt;&lt;D xsi:type="xsd:double"&gt;17.354658749861&lt;/D&gt;&lt;D xsi:type="xsd:double"&gt;18.0861929547362&lt;/D&gt;&lt;D xsi:type="xsd:double"&gt;17.4425547895054&lt;/D&gt;&lt;D xsi:type="xsd:double"&gt;17.9437090657512&lt;/D&gt;&lt;D xsi:type="xsd:double"&gt;17.7093238287946&lt;/D&gt;&lt;D xsi:type="xsd:double"&gt;18.6246590523477&lt;/D&gt;&lt;D xsi:type="xsd:double"&gt;18.5893421645408&lt;/D&gt;&lt;D xsi:type="xsd:double"&gt;18.6144135424636&lt;/D&gt;&lt;D xsi:type="xsd:double"&gt;17.7098109011023&lt;/D&gt;&lt;D xsi:type="xsd:double"&gt;17.7586649712242&lt;/D&gt;&lt;D xsi:type="xsd:double"&gt;18.2152081064909&lt;/D&gt;&lt;D xsi:type="xsd:double"&gt;19.3094351018213&lt;/D&gt;&lt;D xsi:type="xsd:double"&gt;20.1405453119786&lt;/D&gt;&lt;D xsi:type="xsd:double"&gt;20.1143293500475&lt;/D&gt;&lt;D xsi:type="xsd:double"&gt;20.4664578976586&lt;/D&gt;&lt;D xsi:type="xsd:double"&gt;21.2027524572007&lt;/D&gt;&lt;D xsi:type="xsd:double"&gt;19.8547435220406&lt;/D&gt;&lt;D xsi:type="xsd:double"&gt;20.6289235709858&lt;/D&gt;&lt;D xsi:type="xsd:double"&gt;20.6993067237689&lt;/D&gt;&lt;D xsi:type="xsd:double"&gt;20.3961076988715&lt;/D&gt;&lt;D xsi:type="xsd:double"&gt;20.9012350377746&lt;/D&gt;&lt;D xsi:type="xsd:double"&gt;20.8107825461829&lt;/D&gt;&lt;D xsi:type="xsd:double"&gt;21.3329043866782&lt;/D&gt;&lt;D xsi:type="xsd:double"&gt;20.8845307369388&lt;/D&gt;&lt;D xsi:type="xsd:double"&gt;20.6426104833192&lt;/D&gt;&lt;D xsi:type="xsd:double"&gt;19.3793518097182&lt;/D&gt;&lt;D xsi:type="xsd:double"&gt;19.3925311514042&lt;/D&gt;&lt;D xsi:type="xsd:double"&gt;20.3931962500705&lt;/D&gt;&lt;D xsi:type="xsd:double"&gt;19.9944536382941&lt;/D&gt;&lt;D xsi:type="xsd:double"&gt;20.5652717594885&lt;/D&gt;&lt;D xsi:type="xsd:double"&gt;21.1439522256258&lt;/D&gt;&lt;D xsi:type="xsd:double"&gt;20.8931997085869&lt;/D&gt;&lt;D xsi:type="xsd:double"&gt;18.8850673113004&lt;/D&gt;&lt;D xsi:type="xsd:double"&gt;19.1104733972726&lt;/D&gt;&lt;D xsi:type="xsd:double"&gt;16.9030456765786&lt;/D&gt;&lt;D xsi:type="xsd:double"&gt;18.9850887961166&lt;/D&gt;&lt;D xsi:type="xsd:double"&gt;19.8238920117317&lt;/D&gt;&lt;D xsi:type="xsd:double"&gt;20.7694262230855&lt;/D&gt;&lt;D xsi:type="xsd:double"&gt;21.4494060379668&lt;/D&gt;&lt;D xsi:type="xsd:double"&gt;18.929517647918&lt;/D&gt;&lt;D xsi:type="xsd:double"&gt;21.2833510293655&lt;/D&gt;&lt;D xsi:type="xsd:double"&gt;20.6348273535576&lt;/D&gt;&lt;D xsi:type="xsd:double"&gt;20.4554378626428&lt;/D&gt;&lt;D xsi:type="xsd:double"&gt;20.1225262771053&lt;/D&gt;&lt;D xsi:type="xsd:double"&gt;21.3230852985599&lt;/D&gt;&lt;D xsi:type="xsd:double"&gt;21.5882725559225&lt;/D&gt;&lt;D xsi:type="xsd:double"&gt;22.8635331653895&lt;/D&gt;&lt;D xsi:type="xsd:double"&gt;23.0939677400347&lt;/D&gt;&lt;D xsi:type="xsd:double"&gt;</t>
        </r>
      </text>
    </comment>
    <comment ref="A10" authorId="0" shapeId="0" xr:uid="{9D0F63FE-106E-49EC-90E5-6ED698166B00}">
      <text>
        <r>
          <rPr>
            <b/>
            <sz val="9"/>
            <color indexed="81"/>
            <rFont val="Tahoma"/>
            <charset val="1"/>
          </rPr>
          <t>21.6843821661444&lt;/D&gt;&lt;D xsi:type="xsd:double"&gt;20.1149121724151&lt;/D&gt;&lt;D xsi:type="xsd:double"&gt;24.7721685339768&lt;/D&gt;&lt;D xsi:type="xsd:double"&gt;27.6944966171964&lt;/D&gt;&lt;D xsi:type="xsd:double"&gt;28.823008327338&lt;/D&gt;&lt;D xsi:type="xsd:double"&gt;29.2449742201618&lt;/D&gt;&lt;D xsi:type="xsd:double"&gt;30.5994670685224&lt;/D&gt;&lt;D xsi:type="xsd:double"&gt;28.7721261111426&lt;/D&gt;&lt;D xsi:type="xsd:double"&gt;27.8328891727276&lt;/D&gt;&lt;D xsi:type="xsd:double"&gt;30.0105244985865&lt;/D&gt;&lt;D xsi:type="xsd:double"&gt;30.0918514273639&lt;/D&gt;&lt;D xsi:type="xsd:double"&gt;29.6852588629246&lt;/D&gt;&lt;D xsi:type="xsd:double"&gt;27.2897671453379&lt;/D&gt;&lt;D xsi:type="xsd:double"&gt;28.4157876009043&lt;/D&gt;&lt;D xsi:type="xsd:double"&gt;27.6208099129404&lt;/D&gt;&lt;D xsi:type="xsd:double"&gt;26.5833224094995&lt;/D&gt;&lt;D xsi:type="xsd:double"&gt;28.6177147205566&lt;/D&gt;&lt;D xsi:type="xsd:double"&gt;28.1119358347599&lt;/D&gt;&lt;D xsi:type="xsd:double"&gt;28.7401385133963&lt;/D&gt;&lt;D xsi:type="xsd:double"&gt;27.0611439315946&lt;/D&gt;&lt;D xsi:type="xsd:double"&gt;29.4117480965405&lt;/D&gt;&lt;D xsi:type="xsd:double"&gt;28.1983203910881&lt;/D&gt;&lt;D xsi:type="xsd:double"&gt;29.450734379468&lt;/D&gt;&lt;D xsi:type="xsd:double"&gt;25.5369889879896&lt;/D&gt;&lt;D xsi:type="xsd:double"&gt;24.4411099332918&lt;/D&gt;&lt;D xsi:type="xsd:double"&gt;25.6253249698258&lt;/D&gt;&lt;D xsi:type="xsd:double"&gt;22.8355710987049&lt;/D&gt;&lt;D xsi:type="xsd:double"&gt;21.6483580174814&lt;/D&gt;&lt;D xsi:type="xsd:double"&gt;20.0874046940477&lt;/D&gt;&lt;D xsi:type="xsd:double"&gt;23.5263250055565&lt;/D&gt;&lt;D xsi:type="xsd:double"&gt;21.4813742694238&lt;/D&gt;&lt;D xsi:type="xsd:double"&gt;19.9692262791325&lt;/D&gt;&lt;D xsi:type="xsd:double"&gt;19.9419066973414&lt;/D&gt;&lt;D xsi:type="xsd:double"&gt;22.2772242058322&lt;/D&gt;&lt;D xsi:type="xsd:double"&gt;20.7221220364455&lt;/D&gt;&lt;D xsi:type="xsd:double"&gt;24.328771729871&lt;/D&gt;&lt;D xsi:type="xsd:double"&gt;23.5610648536918&lt;/D&gt;&lt;D xsi:type="xsd:double"&gt;24.9764730078874&lt;/D&gt;&lt;D xsi:type="xsd:double"&gt;24.1127069089218&lt;/D&gt;&lt;D xsi:type="xsd:double"&gt;26.1242967847946&lt;/D&gt;&lt;D xsi:type="xsd:double"&gt;26.8025556049734&lt;/D&gt;&lt;D xsi:type="xsd:double"&gt;25.1714583764291&lt;/D&gt;&lt;D xsi:type="xsd:double"&gt;24.6469528715631&lt;/D&gt;&lt;D xsi:type="xsd:double"&gt;22.8963785538705&lt;/D&gt;&lt;D xsi:type="xsd:double"&gt;23.3834650637671&lt;/D&gt;&lt;D xsi:type="xsd:double"&gt;24.3017034477751&lt;/D&gt;&lt;D xsi:type="xsd:double"&gt;24.3558747524299&lt;/D&gt;&lt;D xsi:type="xsd:double"&gt;25.983101602031&lt;/D&gt;&lt;D xsi:type="xsd:double"&gt;26.5773126596653&lt;/D&gt;&lt;D xsi:type="xsd:double"&gt;26.0033930101557&lt;/D&gt;&lt;D xsi:type="xsd:double"&gt;25.3402306963591&lt;/D&gt;&lt;D xsi:type="xsd:double"&gt;25.7818983980113&lt;/D&gt;&lt;D xsi:type="xsd:double"&gt;27.561894325881&lt;/D&gt;&lt;D xsi:type="xsd:double"&gt;25.0796009249068&lt;/D&gt;&lt;D xsi:type="xsd:double"&gt;25.4392505286142&lt;/D&gt;&lt;D xsi:type="xsd:double"&gt;26.1040696840838&lt;/D&gt;&lt;/FQL&gt;&lt;FQL&gt;&lt;Q&gt;EWU^FMA_PE(NTMA,-10AY,0,AM,"PORTAGG","MEANR")&lt;/Q&gt;&lt;R&gt;121&lt;/R&gt;&lt;C&gt;1&lt;/C&gt;&lt;D xsi:type="xsd:double"&gt;12.8099544815321&lt;/D&gt;&lt;D xsi:type="xsd:double"&gt;13.0237984059929&lt;/D&gt;&lt;D xsi:type="xsd:double"&gt;13.7543679568244&lt;/D&gt;&lt;D xsi:type="xsd:double"&gt;13.7274018826704&lt;/D&gt;&lt;D xsi:type="xsd:double"&gt;15.3763206807301&lt;/D&gt;&lt;D xsi:type="xsd:double"&gt;15.6169868099462&lt;/D&gt;&lt;D xsi:type="xsd:double"&gt;15.4774161276279&lt;/D&gt;&lt;D xsi:type="xsd:double"&gt;16.0124486951167&lt;/D&gt;&lt;D xsi:type="xsd:double"&gt;15.8969185973287&lt;/D&gt;&lt;D xsi:type="xsd:double"&gt;15.1399987260779&lt;/D&gt;&lt;D xsi:type="xsd:double"&gt;15.3640252513551&lt;/D&gt;&lt;D xsi:type="xsd:double"&gt;14.2439673639203&lt;/D&gt;&lt;D xsi:type="xsd:double"&gt;14.4814131553931&lt;/D&gt;&lt;D xsi:type="xsd:double"&gt;15.4075909959407&lt;/D&gt;&lt;D xsi:type="xsd:double"&gt;15.162932841194&lt;/D&gt;&lt;D xsi:type="xsd:double"&gt;15.2053139260079&lt;/D&gt;&lt;D xsi:type="xsd:double"&gt;15.0894237757325&lt;/D&gt;&lt;D xsi:type="xsd:double"&gt;15.7946888840177&lt;/D&gt;&lt;D xsi:type="xsd:double"&gt;16.0054167293524&lt;/D&gt;&lt;D xsi:type="xsd:double"&gt;15.9994136065783&lt;/D&gt;&lt;D xsi:type="xsd:double"&gt;15.774831287018&lt;/D&gt;&lt;D xsi:type="xsd:double"&gt;16.1076551566143&lt;/D&gt;&lt;D xsi:type="xsd:double"&gt;15.9491327909388&lt;/D&gt;&lt;D xsi:type="xsd:double"&gt;16.2733929134538&lt;/D&gt;&lt;D xsi:type="xsd:double"&gt;15.8012318693138&lt;/D&gt;&lt;D xsi:type="xsd:double"&gt;14.5705451332328&lt;/D&gt;&lt;D xsi:type="xsd:double"&gt;14.1545278968975&lt;/D&gt;&lt;D xsi:type="xsd:double"&gt;14.459620646513&lt;/D&gt;&lt;D xsi:type="xsd:double"&gt;14.3236830243526&lt;/D&gt;&lt;D xsi:type="xsd:double"&gt;14.4688844653649&lt;/D&gt;&lt;D xsi:type="xsd:double"&gt;14.3254694940627&lt;/D&gt;&lt;D xsi:type="xsd:double"&gt;14.3426926915862&lt;/D&gt;&lt;D xsi:type="xsd:double"&gt;14.8416697673004&lt;/D&gt;&lt;D xsi:type="xsd:double"&gt;14.5138786965978&lt;/D&gt;&lt;D xsi:type="xsd:double"&gt;14.8668906156184&lt;/D&gt;&lt;D xsi:type="xsd:double"&gt;14.6286836464253&lt;/D&gt;&lt;D xsi:type="xsd:double"&gt;14.6180852001251&lt;/D&gt;&lt;D xsi:type="xsd:double"&gt;14.5461107053146&lt;/D&gt;&lt;D xsi:type="xsd:double"&gt;14.1193684645936&lt;/D&gt;&lt;D xsi:type="xsd:double"&gt;14.7051845975754&lt;/D&gt;&lt;D xsi:type="xsd:double"&gt;14.145621020314&lt;/D&gt;&lt;D xsi:type="xsd:double"&gt;12.8099255289285&lt;/D&gt;&lt;D xsi:type="xsd:double"&gt;13.1730467413614&lt;/D&gt;&lt;D xsi:type="xsd:double"&gt;13.6337362668208&lt;/D&gt;&lt;D xsi:type="xsd:double"&gt;13.6334728503001&lt;/D&gt;&lt;D xsi:type="xsd:double"&gt;13.1907166661787&lt;/D&gt;&lt;D xsi:type="xsd:double"&gt;13.1626874798717&lt;/D&gt;&lt;D xsi:type="xsd:double"&gt;12.6358290761544&lt;/D&gt;&lt;D xsi:type="xsd:double"&gt;12.7366900284635&lt;/D&gt;&lt;D xsi:type="xsd:double"&gt;11.8665666456458&lt;/D&gt;&lt;D xsi:type="xsd:double"&gt;11.8338740451954&lt;/D&gt;&lt;D xsi:type="xsd:double"&gt;11.29031464082&lt;/D&gt;&lt;D xsi:type="xsd:double"&gt;12.2478018688638&lt;/D&gt;&lt;D xsi:type="xsd:double"&gt;12.4162939089334&lt;/D&gt;&lt;D xsi:type="xsd:double"&gt;12.8214051022228&lt;/D&gt;&lt;D xsi:type="xsd:double"&gt;12.648113795473&lt;/D&gt;&lt;D xsi:type="xsd:double"&gt;12.1527350729982&lt;/D&gt;&lt;D xsi:type="xsd:double"&gt;12.8024236233268&lt;/D&gt;&lt;D xsi:type="xsd:double"&gt;12.3164397874696&lt;/D&gt;&lt;D xsi:type="xsd:double"&gt;12.1042587505276&lt;/D&gt;&lt;D xsi:type="xsd:double"&gt;11.9731451749485&lt;/D&gt;&lt;D xsi:type="xsd:double"&gt;12.7197609697585&lt;/D&gt;&lt;D xsi:type="xsd:double"&gt;12.6842199314826&lt;/D&gt;&lt;D xsi:type="xsd:double"&gt;13.5180263681201&lt;/D&gt;&lt;D xsi:type="xsd:double"&gt;13.0724917617563&lt;/D&gt;&lt;D xsi:type="xsd:double"&gt;12.1427607749599&lt;/D&gt;&lt;D xsi:type="xsd:double"&gt;11.7524374552894&lt;/D&gt;&lt;D xsi:type="xsd:double"&gt;14.5831263929362&lt;/D&gt;&lt;D xsi:type="xsd:double"&gt;16.626895808596&lt;/D&gt;&lt;D xsi:type="xsd:double"&gt;16.0086558153006&lt;/D&gt;&lt;D xsi:type="xsd:double"&gt;15.3679120937615&lt;/D&gt;&lt;D xsi:type="xsd:double"&gt;14.9994238977649&lt;/D&gt;&lt;D xsi:type="xsd:double"&gt;14.3871770064025&lt;/D&gt;&lt;D xsi:type="xsd:double"&gt;13.4818465010361&lt;/D&gt;&lt;D xsi:type="xsd:double"&gt;15.0740789413165&lt;/D&gt;&lt;D xsi:type="xsd:double"&gt;14.3905800527763&lt;/D&gt;&lt;D xsi:type="xsd:double"&gt;13.834616152876&lt;/D&gt;&lt;D xsi:type="xsd:double"&gt;14.1559591079939&lt;/D&gt;&lt;D xsi:type="xsd:double"&gt;13.4300037359464&lt;/D&gt;&lt;D xsi:type="xsd:double"&gt;13.2424259732928&lt;/D&gt;&lt;D xsi:type="xsd:double"&gt;13.145990047108&lt;/D&gt;&lt;D xsi:type="xsd:double"&gt;12.6929133195585&lt;/D&gt;&lt;D xsi:type="xsd:double"&gt;12.3317549561922&lt;/D&gt;&lt;D xsi:type="xsd:double"&gt;12.2406371430538&lt;/D&gt;&lt;D xsi:type="xsd:double"&gt;11.782384194235&lt;/D&gt;&lt;D xsi:type="xsd:double"&gt;12.1700698245574&lt;/D&gt;&lt;D xsi:type="xsd:double"&gt;11.7308465567517&lt;/D&gt;&lt;D xsi:type="xsd:double"&gt;12.1341068243821&lt;/D&gt;&lt;D xsi:type="xsd:double"&gt;12.2943476270711&lt;/D&gt;&lt;D xsi:type="xsd:double"&gt;11.6308044799421&lt;/D&gt;&lt;D xsi:type="xsd:double"&gt;11.2497207858536&lt;/D&gt;&lt;D xsi:type="xsd:double"&gt;10.7004394858532&lt;/D&gt;&lt;D xsi:type="xsd:double"&gt;10.4162764701686&lt;/D&gt;&lt;D xsi:type="xsd:double"&gt;9.53791080247596&lt;/D&gt;&lt;D xsi:type="xsd:double"&gt;9.80970286954039&lt;/D&gt;&lt;D xsi:type="xsd:double"&gt;9.21916511442858&lt;/D&gt;&lt;D xsi:type="xsd:double"&gt;8.63673990616575&lt;/D&gt;&lt;D xsi:type="xsd:double"&gt;8.9721518874352&lt;/D&gt;&lt;D xsi:type="xsd:double"&gt;9.93080706869502&lt;/D&gt;&lt;D xsi:type="xsd:double"&gt;9.96212925203826&lt;/D&gt;&lt;D xsi:type="xsd:double"&gt;10.4971711045259&lt;/D&gt;&lt;D xsi:type="xsd:double"&gt;10.5435923065085&lt;/D&gt;&lt;D xsi:type="xsd:double"&gt;10.4297898597926&lt;/D&gt;&lt;D xsi:type="xsd:double"&gt;10.6173453001835&lt;/D&gt;&lt;D xsi:type="xsd:double"&gt;10.3032187132493&lt;/D&gt;&lt;D xsi:type="xsd:double"&gt;10.3613849205857&lt;/D&gt;&lt;D xsi:type="xsd:double"&gt;10.4773772067486&lt;/D&gt;&lt;D xsi:type="xsd:double"&gt;10.3710540584097&lt;/D&gt;&lt;D xsi:type="xsd:double"&gt;10.1671421360935&lt;/D&gt;&lt;D xsi:type="xsd:double"&gt;10.2434253796835&lt;/D&gt;&lt;D xsi:type="xsd:double"&gt;10.5918941338039&lt;/D&gt;&lt;D xsi:type="xsd:double"&gt;10.9170350215433&lt;/D&gt;&lt;D xsi:type="xsd:double"&gt;11.0577025250551&lt;/D&gt;&lt;D xsi:type="xsd:double"&gt;11.2361575336852&lt;/D&gt;&lt;D xsi:type="xsd:double"&gt;11.5036406504103&lt;/D&gt;&lt;D xsi:type="xsd:double"&gt;11.6441907242278&lt;/D&gt;&lt;D xsi:type="xsd:double"&gt;11.6360069481462&lt;/D&gt;&lt;D xsi:type="xsd:double"&gt;11.4312255119811&lt;/D&gt;&lt;D xsi:type="xsd:double"&gt;11.4236880311746&lt;/D&gt;&lt;D xsi:type="xsd:double"&gt;11.5744811224744&lt;/D&gt;&lt;D xsi:type="xsd:double"&gt;11.7873202892321&lt;/D&gt;&lt;/FQL&gt;&lt;FQL&gt;&lt;Q&gt;EWL^FMA_PE(NTMA,-10AY,0,AM,"PORTAGG","MEANR")&lt;/Q&gt;&lt;R&gt;121&lt;/R&gt;&lt;C&gt;1&lt;/C&gt;&lt;D xsi:type="xsd:double"&gt;15.6369396707244&lt;/D&gt;&lt;D xsi:type="xsd:double"&gt;15.7678320265198&lt;/D&gt;&lt;D xsi:type="xsd:double"&gt;16.1324784443649&lt;/D&gt;&lt;D xsi:type="xsd:double"&gt;15.6550501907529&lt;/D&gt;&lt;D xsi:type="xsd:double"&gt;16.5017322064591&lt;/D&gt;&lt;D xsi:type="xsd:double"&gt;17.4085730036628&lt;/D&gt;&lt;D xsi:type="xsd:double"&gt;17.7000054458579&lt;/D&gt;&lt;D xsi:type="xsd:double"&gt;17.7436319002889&lt;/D&gt;&lt;D xsi:type="xsd:double"&gt;17.6974040184281&lt;/D&gt;&lt;D xsi:type="xsd:double"&gt;17.041634530551&lt;/D&gt;&lt;D xsi:type="xsd:double"&gt;17.788690352129&lt;/D&gt;&lt;D xsi:type="xsd:double"&gt;16.4601148075245&lt;/D&gt;&lt;D xsi:type="xsd:double"&gt;16.0054315414928&lt;/D&gt;&lt;D xsi:type="xsd:double"&gt;17.0376448501912&lt;/D&gt;&lt;D xsi:type="xsd:double"&gt;16.9235890067809&lt;/D&gt;&lt;D xsi:type="xsd:double"&gt;16.8788893702635&lt;/D&gt;&lt;D xsi:type="xsd:double"&gt;16.0505998744081&lt;/D&gt;&lt;D xsi:type="xsd:double"&gt;16.5074018531502&lt;/D&gt;&lt;D xsi:type="xsd:double"&gt;16.2188975213253&lt;/D&gt;&lt;D xsi:type="xsd:double"&gt;16.5491524057561&lt;/D&gt;&lt;D xsi:type="xsd:double"&gt;17.0576555536762&lt;/D&gt;&lt;D xsi:type="xsd:double"&gt;16.895370900135&lt;/D&gt;&lt;D xsi:type="xsd:double"&gt;16.9884715741338&lt;/D&gt;&lt;D xsi:type="xsd:double"&gt;17.4419500342325&lt;/D&gt;&lt;D xsi:type="xsd:double"&gt;17.1471504473567&lt;/D&gt;&lt;D xsi:type="xsd:double"&gt;16.1407231863716&lt;/D&gt;&lt;D xsi:type="xsd:double"&gt;16.1562192824815&lt;/D&gt;&lt;D xsi:type="xsd:double"&gt;16.8893770391978&lt;/D&gt;&lt;D xsi:type="xsd:double"&gt;17.2049004017712&lt;/D&gt;&lt;D xsi:type="xsd:double"&gt;17.6434894956563&lt;/D&gt;&lt;D xsi:type="xsd:double"&gt;17.3304913537805&lt;/D&gt;&lt;D xsi:type="xsd:double"&gt;17.801176613946&lt;/D&gt;&lt;D xsi:type="xsd:double"&gt;18.2644958815692&lt;/D&gt;&lt;D xsi:type="xsd:double"&gt;17.8769566416458&lt;/D&gt;&lt;D xsi:type="xsd:double"&gt;17.9614706889583&lt;/D&gt;&lt;D xsi:type="xsd:double"&gt;17.4885502054535&lt;/D&gt;&lt;D xsi:type="xsd:double"&gt;17.9293048795041&lt;/D&gt;&lt;D xsi:type="xsd:double"&gt;17.9836230246756&lt;/D&gt;&lt;D xsi:type="xsd:double"&gt;17.6115320037995&lt;/D&gt;&lt;D xsi:type="xsd:double"&gt;17.7950097261307&lt;/D&gt;&lt;D xsi:type="xsd:double"&gt;17.3427588214935&lt;/D&gt;&lt;D xsi:type="xsd:double"&gt;16.0124396473691&lt;/D&gt;&lt;D xsi:type="xsd:double"&gt;15.8630034558523&lt;/D&gt;&lt;D xsi:type="xsd:double"&gt;16.0516710592614&lt;/D&gt;&lt;D xsi:type="xsd:double"&gt;15.689540932587&lt;/D&gt;&lt;D xsi:type="xsd:double"&gt;15.6242358668332&lt;/D&gt;&lt;D xsi:type="xsd:double"&gt;16.3074694348589&lt;/D&gt;&lt;D xsi:type="xsd:double"&gt;16.0320587816632&lt;/D&gt;&lt;D xsi:type="xsd:double"&gt;16.1213848873235&lt;/D&gt;&lt;D xsi:type="xsd:double"&gt;15.7177625033584&lt;/D&gt;&lt;D xsi:type="xsd:double"&gt;15.7340321644728&lt;/D&gt;&lt;D xsi:type="xsd:double"&gt;14.4866850963291&lt;/D&gt;&lt;D xsi:type="xsd:double"&gt;15.5825025071396&lt;/D&gt;&lt;D xsi:type="xsd:double"&gt;16.387212962816&lt;/D&gt;&lt;D xsi:type="xsd:double"&gt;16.765784565119&lt;/D&gt;&lt;D xsi:type="xsd:double"&gt;16.8970832968054&lt;/D&gt;&lt;D xsi:type="xsd:double"&gt;16.6181739794948&lt;/D&gt;&lt;D xsi:type="xsd:double"&gt;17.3769096483735&lt;/D&gt;&lt;D xsi:type="xsd:double"&gt;16.9283003434567&lt;/D&gt;&lt;D xsi:type="xsd:double"&gt;16.9032974624042&lt;/D&gt;&lt;D xsi:type="xsd:double"&gt;16.6365470477215&lt;/D&gt;&lt;D xsi:type="xsd:double"&gt;17.3733815047836&lt;/D&gt;&lt;D xsi:type="xsd:double"&gt;17.1666487784444&lt;/D&gt;&lt;D xsi:type="xsd:double"&gt;17.9126715110934&lt;/D&gt;&lt;D xsi:type="xsd:double"&gt;17.875824324125&lt;/D&gt;&lt;D xsi:type="xsd:double"&gt;16.997526432504&lt;/D&gt;&lt;D xsi:type="xsd:double"&gt;16.0373107608519&lt;/D&gt;&lt;D xsi:type="xsd:double"&gt;18.3838141610209&lt;/D&gt;&lt;D xsi:type="xsd:double"&gt;19.5827917027453&lt;/D&gt;&lt;D xsi:type="xsd:double"&gt;19.5197212042751&lt;/D&gt;&lt;D xsi:type="xsd:double"&gt;19.5513441002363&lt;/D&gt;&lt;D xsi:type="xsd:double"&gt;19.3298178039455&lt;/D&gt;&lt;D xsi:type="xsd:double"&gt;19.0512570791866&lt;/D&gt;&lt;D xsi:type="xsd:double"&gt;18.2639673411527&lt;/D&gt;&lt;D xsi:type="xsd:double"&gt;18.362538240258&lt;/D&gt;&lt;D xsi:type="xsd:double"&gt;18.8631388298919&lt;/D&gt;&lt;D xsi:type="xsd:double"&gt;18.6818143457735&lt;/D&gt;&lt;D xsi:type="xsd:double"&gt;18.4416508202949&lt;/D&gt;&lt;D xsi:type="xsd:double"&gt;18.8140765229449&lt;/D&gt;&lt;D xsi:type="xsd:double"&gt;19.0506131182569&lt;/D&gt;&lt;D xsi:type="xsd:double"&gt;19.4555229944078&lt;/D&gt;&lt;D xsi:type="xsd:double"&gt;19.751334170712&lt;/D&gt;&lt;D xsi:type="xsd:double"&gt;19.827702225687&lt;/D&gt;&lt;D xsi:type="xsd:double"&gt;19.7512107869727&lt;/D&gt;&lt;D xsi:type="xsd:double"&gt;18.211083298949&lt;/D&gt;&lt;D xsi:type="xsd:double"&gt;19.3630043937778&lt;/D&gt;&lt;D xsi:type="xsd:double"&gt;18.6773071439818&lt;/D&gt;&lt;D xsi:type="xsd:double"&gt;19.8058466704819&lt;/D&gt;&lt;D xsi:type="xsd:double"&gt;18.2698526514164&lt;/D&gt;&lt;D xsi:type="xsd:double"&gt;17.6436871297294&lt;/D&gt;&lt;D xsi:type="xsd:double"&gt;18.3393219219863&lt;/D&gt;&lt;D xsi:type="xsd:double"&gt;17.6403552270805&lt;/D&gt;&lt;D xsi:type="xsd:double"&gt;16.848724453765&lt;/D&gt;&lt;D xsi:type="xsd:double"&gt;15.7364674857983&lt;/D&gt;&lt;D xsi:type="xsd:double"&gt;16.8288719120489&lt;/D&gt;&lt;D xsi:type="xsd:double"&gt;16.1352721394159&lt;/D&gt;&lt;D xsi:type="xsd:double"&gt;14.9346476789957&lt;/D&gt;&lt;D xsi:type="xsd:double"&gt;15.733572545494&lt;/D&gt;&lt;D xsi:type="xsd:double"&gt;16.9119655431448&lt;/D&gt;&lt;D xsi:type="xsd:double"&gt;16.4955020213597&lt;/D&gt;&lt;D xsi:type="xsd:double"&gt;17.420384369086&lt;/D&gt;&lt;D xsi:type="xsd:double"&gt;17.1475803432278&lt;/D&gt;&lt;D xsi:type="xsd:double"&gt;17.1180014350351&lt;/D&gt;&lt;D xsi:type="xsd:double"&gt;17.6451168159671&lt;/D&gt;&lt;D xsi:type="xsd:double"&gt;16.7714574837315&lt;/D&gt;&lt;D xsi:type="xsd:double"&gt;16.4010898701471&lt;/D&gt;&lt;D xsi:type="xsd:double"&gt;16.5573990892435&lt;/D&gt;&lt;D xsi:type="xsd:double"&gt;16.6075138478088&lt;/D&gt;&lt;D xsi:type="xsd:double"&gt;15.84792166331&lt;/D&gt;&lt;D xsi:type="xsd:double"&gt;15.7708803501935&lt;/D&gt;&lt;D xsi:type="xsd:double"&gt;16.3480573226043&lt;/D&gt;&lt;D xsi:type="xsd:double"&gt;16.787896862273&lt;/D&gt;&lt;D xsi:type="xsd:double"&gt;17.0932642063189&lt;/D&gt;&lt;D xsi:type="xsd:double"&gt;17.4743237003838&lt;/D&gt;&lt;D xsi:type="xsd:double"&gt;17.4234738626574&lt;/D&gt;&lt;D xsi:type="xsd:double"&gt;16.6959063872789&lt;/D&gt;&lt;D xsi:type="xsd:double"&gt;17.2463790966497&lt;/D&gt;&lt;D xsi:type="xsd:double"&gt;17.1340348764443&lt;/D&gt;&lt;D xsi:type="xsd:double"&gt;17.0488181970634&lt;/D&gt;&lt;D xsi:type="xsd:double"&gt;17.5312609186606&lt;/D&gt;&lt;D xsi:type="xsd:double"&gt;17.4159937168573&lt;/D&gt;&lt;/FQL&gt;&lt;FQL&gt;&lt;Q&gt;EWJ^FMA_PE(NTMA,-10AY,0,AM,"PORTAGG","MEANR")&lt;/Q&gt;&lt;R&gt;121&lt;/R&gt;&lt;C&gt;1&lt;/C&gt;&lt;D xsi:type="xsd:double"&gt;13.605547455641&lt;/D&gt;&lt;D xsi:type="xsd:double"&gt;13.9745464600625&lt;/D&gt;&lt;D xsi:type="xsd:double"&gt;14.6210301584392&lt;/D&gt;&lt;D xsi:type="xsd:double"&gt;14.2217382053288&lt;/D&gt;&lt;D xsi:type="xsd:double"&gt;13.7853686097118&lt;/D&gt;&lt;D xsi:type="xsd:double"&gt;15.1388549813899&lt;/D&gt;&lt;D xsi:type="xsd:double"&gt;15.3071373737643&lt;/D&gt;&lt;D xsi:type="xsd:double"&gt;15.6616916730624&lt;/D&gt;&lt;D xsi:type="xsd:double"&gt;16.2345603524454&lt;/D&gt;&lt;D xsi:type="xsd:double"&gt;15.5409536493671&lt;/D&gt;&lt;D xsi:type="xsd:double"&gt;15.5182506824877&lt;/D&gt;&lt;D xsi:type="xsd:double"&gt;13.6021756050416&lt;/D&gt;&lt;D xsi:type="xsd:double"&gt;13.2918978074689&lt;/D&gt;&lt;D xsi:type="xsd:double"&gt;14.0771462434334&lt;/D&gt;&lt;D xsi:type="xsd:double"&gt;14.7031685423665&lt;/D&gt;&lt;D xsi:type="xsd:double"&gt;14.0592028995939&lt;/D&gt;&lt;D xsi:type="xsd:double"&gt;12.8172669588575&lt;/D&gt;&lt;D xsi:type="xsd:double"&gt;13.0219594302064&lt;/D&gt;&lt;D xsi:type="xsd:double"&gt;12.3706974096579&lt;/D&gt;&lt;D xsi:type="xsd:double"&gt;12.4626902033257&lt;/D&gt;&lt;D xsi:type="xsd:double"&gt;13.4176105000418&lt;/D&gt;&lt;D xsi:type="xsd:double"&gt;12.6818555773172&lt;/D&gt;&lt;D xsi:type="xsd:double"&gt;12.8794304702322&lt;/D&gt;&lt;D xsi:type="xsd:double"&gt;13.636063568928&lt;/D&gt;&lt;D xsi:type="xsd:double"&gt;13.3094826126717&lt;/D&gt;&lt;D xsi:type="xsd:double"&gt;13.5844052034974&lt;/D&gt;&lt;D xsi:type="xsd:double"&gt;14.6070228151189&lt;/D&gt;&lt;D xsi:type="xsd:double"&gt;14.6093404012477&lt;/D&gt;&lt;D xsi:type="xsd:double"&gt;14.2633100796732&lt;/D&gt;&lt;D xsi:type="xsd:double"&gt;14.3112752079332&lt;/D&gt;&lt;D xsi:type="xsd:double"&gt;13.7871604913067&lt;/D&gt;&lt;D xsi:type="xsd:double"&gt;14.0251751272783&lt;/D&gt;&lt;D xsi:type="xsd:double"&gt;14.6177589268447&lt;/D&gt;&lt;D xsi:type="xsd:double"&gt;14.2554982317049&lt;/D&gt;&lt;D xsi:type="xsd:double"&gt;14.2878874479774&lt;/D&gt;&lt;D xsi:type="xsd:double"&gt;13.7297054110204&lt;/D&gt;&lt;D xsi:type="xsd:double"&gt;14.0670024417097&lt;/D&gt;&lt;D xsi:type="xsd:double"&gt;14.8043693202298&lt;/D&gt;&lt;D xsi:type="xsd:double"&gt;14.7504364366261&lt;/D&gt;&lt;D xsi:type="xsd:double"&gt;14.6999165313368&lt;/D&gt;&lt;D xsi:type="xsd:double"&gt;14.824058295345&lt;/D&gt;&lt;D xsi:type="xsd:double"&gt;12.8016957965391&lt;/D&gt;&lt;D xsi:type="xsd:double"&gt;12.685156407475&lt;/D&gt;&lt;D xsi:type="xsd:double"&gt;13.1918715917862&lt;/D&gt;&lt;D xsi:type="xsd:double"&gt;12.9500813214387&lt;/D&gt;&lt;D xsi:type="xsd:double"&gt;12.6573301662808&lt;/D&gt;&lt;D xsi:type="xsd:double"&gt;12.8227895061279&lt;/D&gt;&lt;D xsi:type="xsd:double"&gt;12.6994134229768&lt;/D&gt;&lt;D xsi:type="xsd:double"&gt;13.219183283015&lt;/D&gt;&lt;D xsi:type="xsd:double"&gt;12.1167172200331&lt;/D&gt;&lt;D xsi:type="xsd:double"&gt;12.4628329110763&lt;/D&gt;&lt;D xsi:type="xsd:double"&gt;11.1029436238529&lt;/D&gt;&lt;D xsi:type="xsd:double"&gt;11.9182586991163&lt;/D&gt;&lt;D xsi:type="xsd:double"&gt;12.572848675728&lt;/D&gt;&lt;D xsi:type="xsd:double"&gt;12.7014605929677&lt;/D&gt;&lt;D xsi:type="xsd:double"&gt;12.7487263614611&lt;/D&gt;&lt;D xsi:type="xsd:double"&gt;12.1102081503696&lt;/D&gt;&lt;D xsi:type="xsd:double"&gt;12.9190445512845&lt;/D&gt;&lt;D xsi:type="xsd:double"&gt;12.6129594170335&lt;/D&gt;&lt;D xsi:type="xsd:double"&gt;12.5579546717678&lt;/D&gt;&lt;D xsi:type="xsd:double"&gt;13.870311941593&lt;/D&gt;&lt;D xsi:type="xsd:double"&gt;14.7104551724881&lt;/D&gt;&lt;D xsi:type="xsd:double"&gt;15.3683108032102&lt;/D&gt;&lt;D xsi:type="xsd:double"&gt;15.4650365447577&lt;/D&gt;&lt;D xsi:type="xsd:double"&gt;15.0301857664544&lt;/D&gt;&lt;D xsi:type="xsd:double"&gt;13.7684206882276&lt;/D&gt;&lt;D xsi:type="xsd:double"&gt;12.5205993820909&lt;/D&gt;&lt;D xsi:type="xsd:double"&gt;14.7539345597728&lt;/D&gt;&lt;D xsi:type="xsd:double"&gt;18.2753902959205&lt;/D&gt;&lt;D xsi:type="xsd:double"&gt;18.7813447842372&lt;/D&gt;&lt;D xsi:type="xsd:double"&gt;18.6878469440143&lt;/D&gt;&lt;D xsi:type="xsd:double"&gt;19.7604029968378&lt;/D&gt;&lt;D xsi:type="xsd:double"&gt;19.4029785254081&lt;/D&gt;&lt;D xsi:type="xsd:double"&gt;18.8070985223871&lt;/D&gt;&lt;D xsi:type="xsd:double"&gt;20.1817401555809&lt;/D&gt;&lt;D xsi:type="xsd:double"&gt;19.8985914322829&lt;/D&gt;&lt;D xsi:type="xsd:double"&gt;20.1011035339015&lt;/D&gt;&lt;D xsi:type="xsd:double"&gt;19.3046172453429&lt;/D&gt;&lt;D xsi:type="xsd:double"&gt;19.0341896386259&lt;/D&gt;&lt;D xsi:type="xsd:double"&gt;18.009899480083&lt;/D&gt;&lt;D xsi:type="xsd:double"&gt;18.0342896458391&lt;/D&gt;&lt;D xsi:type="xsd:double"&gt;17.6232843864836&lt;/D&gt;&lt;D xsi:type="xsd:double"&gt;16.9624311236725&lt;/D&gt;&lt;D xsi:type="xsd:double"&gt;16.9430669268417&lt;/D&gt;&lt;D xsi:type="xsd:double"&gt;16.3021728744832&lt;/D&gt;&lt;D xsi:type="xsd:double"&gt;16.5076409341128&lt;/D&gt;&lt;D xsi:type="xsd:double"&gt;15.5821795929647&lt;/D&gt;&lt;D xsi:type="xsd:double"&gt;15.5766397715646&lt;/D&gt;&lt;D xsi:type="xsd:double"&gt;14.7557563176497&lt;/D&gt;&lt;D xsi:type="xsd:double"&gt;13.9645617401112&lt;/D&gt;&lt;D xsi:type="xsd:double"&gt;14.2100121293769&lt;/D&gt;&lt;D xsi:type="xsd:double"&gt;13.7227686757408&lt;/D&gt;&lt;D xsi:type="xsd:double"&gt;13.855069923407&lt;/D&gt;&lt;D xsi:type="xsd:double"&gt;13.0340214258098&lt;/D&gt;&lt;D xsi:type="xsd:double"&gt;13.6127498696936&lt;/D&gt;&lt;D xsi:type="xsd:double"&gt;13.5336405569798&lt;/D&gt;&lt;D xsi:type="xsd:double"&gt;12.7928902025683&lt;/D&gt;&lt;D xsi:type="xsd:double"&gt;13.4649619907213&lt;/D&gt;&lt;D xsi:type="xsd:double"&gt;13.6763699156413&lt;/D&gt;&lt;D xsi:type="xsd:double"&gt;13.1055886206003&lt;/D&gt;&lt;D xsi:type="xsd:double"&gt;13.8151818504233&lt;/D&gt;&lt;D xsi:type="xsd:double"&gt;14.3087264758505&lt;/D&gt;&lt;D xsi:type="xsd:double"&gt;14.2426485185076&lt;/D&gt;&lt;D xsi:type="xsd:double"&gt;14.6467873156759&lt;/D&gt;&lt;D xsi:type="xsd:double"&gt;15.3674653408097&lt;/D&gt;&lt;D xsi:type="xsd:double"&gt;16.1995143617765&lt;/D&gt;&lt;D xsi:type="xsd:double"&gt;15.4900353986227&lt;/D&gt;&lt;D xsi:type="xsd:double"&gt;15.7256877954679&lt;/D&gt;&lt;D xsi:type="xsd:double"&gt;15.0845889553903&lt;/D&gt;&lt;D xsi:type="xsd:double"&gt;15.165643406269&lt;/D&gt;&lt;D xsi:type="xsd:double"&gt;15.337198592059&lt;/D&gt;&lt;D xsi:type="xsd:double"&gt;14.9653717914223&lt;/D&gt;&lt;D xsi:type="xsd:double"&gt;16.0121430296198&lt;/D&gt;&lt;D xsi:type="xsd:double"&gt;16.9432369391556&lt;/D&gt;&lt;D xsi:type="xsd:double"&gt;16.6218949260267&lt;/D&gt;&lt;D xsi:type="xsd:double"&gt;16.5350702078899&lt;/D&gt;&lt;D xsi:type="xsd:double"&gt;16.8941209662616&lt;/D&gt;&lt;D xsi:type="xsd:double"&gt;17.1102728235018&lt;/D&gt;&lt;D xsi:type="xsd:double"&gt;14.8113572897039&lt;/D&gt;&lt;D xsi:type="xsd:double"&gt;15.8091023206918&lt;/D&gt;&lt;D xsi:type="xsd:double"&gt;14.0998668801423&lt;/D&gt;&lt;/FQL&gt;&lt;FQL&gt;&lt;Q&gt;EWG^FMA_PE(NTMA,-10AY,0,AM,"PORTAGG","MEANR")&lt;/Q&gt;&lt;R&gt;121&lt;/R&gt;&lt;C&gt;1&lt;/C&gt;&lt;D xsi:type="xsd:double"&gt;12.1334345673536&lt;/D&gt;&lt;D xsi:type="xsd:double"&gt;12.2088248807508&lt;/D&gt;&lt;D xsi:type="xsd:double"&gt;13.1375131569375&lt;/D&gt;&lt;D xsi:type="xsd:double"&gt;12.7825272234926&lt;/D&gt;&lt;D xsi:type="xsd:double"&gt;14.2108916922367&lt;/D&gt;&lt;D xsi:type="xsd:double"&gt;14.6861535372343&lt;/D&gt;&lt;D xsi:type="xsd:double"&gt;15.401928977175&lt;/D&gt;&lt;D xsi:type="xsd:double"&gt;14.5569971956958&lt;/D&gt;&lt;D xsi:type="xsd:double"&gt;14.0841409702043&lt;/D&gt;&lt;D xsi:type="xsd:double"&gt;13.5190984789168&lt;/D&gt;&lt;D xsi:type="xsd:double"&gt;13.8915287066761&lt;/D&gt;&lt;D xsi:type="xsd:double"&gt;12.5261524983388&lt;/D&gt;&lt;D xsi:type="xsd:double"&gt;11.7567898125376&lt;/D&gt;&lt;D xsi:type="xsd:double"&gt;13.4760181192107&lt;/D&gt;&lt;D xsi:type="xsd:double"&gt;13.4632739145788&lt;/D&gt;&lt;D xsi:type="xsd:double"&gt;13.3509645902165&lt;/D&gt;&lt;D xsi:type="xsd:double"&gt;11.9278140025264&lt;/D&gt;&lt;D xsi:type="xsd:double"&gt;12.4684966695875&lt;/D&gt;&lt;D xsi:type="xsd:double"&gt;12.5186064134994&lt;/D&gt;&lt;D xsi:type="xsd:double"&gt;12.5577162050446&lt;/D&gt;&lt;D xsi:type="xsd:double"&gt;12.5002303711458&lt;/D&gt;&lt;D xsi:type="xsd:double"&gt;12.0769572673331&lt;/D&gt;&lt;D xsi:type="xsd:double"&gt;12.5382826998923&lt;/D&gt;&lt;D xsi:type="xsd:double"&gt;13.0598123735016&lt;/D&gt;&lt;D xsi:type="xsd:double"&gt;12.8732137749072&lt;/D&gt;&lt;D xsi:type="xsd:double"&gt;12.5068389246441&lt;/D&gt;&lt;D xsi:type="xsd:double"&gt;12.6282640722403&lt;/D&gt;&lt;D xsi:type="xsd:double"&gt;13.7507505136724&lt;/D&gt;&lt;D xsi:type="xsd:double"&gt;13.6655992190853&lt;/D&gt;&lt;D xsi:type="xsd:double"&gt;13.9620892654792&lt;/D&gt;&lt;D xsi:type="xsd:double"&gt;14.004120627734&lt;/D&gt;&lt;D xsi:type="xsd:double"&gt;13.9840481033179&lt;/D&gt;&lt;D xsi:type="xsd:double"&gt;13.929161446858&lt;/D&gt;&lt;D xsi:type="xsd:double"&gt;13.4368981466052&lt;/D&gt;&lt;D xsi:type="xsd:double"&gt;13.0934938798189&lt;/D&gt;&lt;D xsi:type="xsd:double"&gt;13.0136614052677&lt;/D&gt;&lt;D xsi:type="xsd:double"&gt;13.7229496226108&lt;/D&gt;&lt;D xsi:type="xsd:double"&gt;14.2955132092919&lt;/D&gt;&lt;D xsi:type="xsd:double"&gt;13.7322685017056&lt;/D&gt;&lt;D xsi:type="xsd:double"&gt;13.7979883397067&lt;/D&gt;&lt;D xsi:type="xsd:double"&gt;13.4818469676368&lt;/D&gt;&lt;D xsi:type="xsd:double"&gt;12.601035925087&lt;/D&gt;&lt;D xsi:type="xsd:double"&gt;12.6801021521288&lt;/D&gt;&lt;D xsi:type="xsd:double"&gt;13.2820449474699&lt;/D&gt;&lt;D xsi:type="xsd:double"&gt;13.1606055802944&lt;/D&gt;&lt;D xsi:type="xsd:double"&gt;12.7784281918763&lt;/D&gt;&lt;D xsi:type="xsd:double"&gt;13.0651007580992&lt;/D&gt;&lt;D xsi:type="xsd:double"&gt;12.8487783933063&lt;/D&gt;&lt;D xsi:type="xsd:double"&gt;12.7050127487014&lt;/D&gt;&lt;D xsi:type="xsd:double"&gt;11.8116826163144&lt;/D&gt;&lt;D xsi:type="xsd:double"&gt;11.7863285202916&lt;/D&gt;&lt;D xsi:type="xsd:double"&gt;10.8067484219722&lt;/D&gt;&lt;D xsi:type="xsd:double"&gt;11.7351785206771&lt;/D&gt;&lt;D xsi:type="xsd:double"&gt;12.2225715604446&lt;/D&gt;&lt;D xsi:type="xsd:double"&gt;12.5804598129671&lt;/D&gt;&lt;D xsi:type="xsd:double"&gt;13.0365111748838&lt;/D&gt;&lt;D xsi:type="xsd:double"&gt;12.1714773590253&lt;/D&gt;&lt;D xsi:type="xsd:double"&gt;12.9923530179425&lt;/D&gt;&lt;D xsi:type="xsd:double"&gt;12.5713738736076&lt;/D&gt;&lt;D xsi:type="xsd:double"&gt;12.5772887458714&lt;/D&gt;&lt;D xsi:type="xsd:double"&gt;12.5709182119545&lt;/D&gt;&lt;D xsi:type="xsd:double"&gt;13.6516186608075&lt;/D&gt;&lt;D xsi:type="xsd:double"&gt;13.8460826359011&lt;/D&gt;&lt;D xsi:type="xsd:double"&gt;14.1093670463904&lt;/D&gt;&lt;D xsi:type="xsd:double"&gt;13.8962988992815&lt;/D&gt;&lt;D xsi:type="xsd:double"&gt;12.7684171082816&lt;/D&gt;&lt;D xsi:type="xsd:double"&gt;11.8796957350468&lt;/D&gt;&lt;D xsi:type="xsd:double"&gt;15.1729980028329&lt;/D&gt;&lt;D xsi:type="xsd:double"&gt;18.0399527102484&lt;/D&gt;&lt;D xsi:type="xsd:double"&gt;18.1529602694738&lt;/D&gt;&lt;D xsi:type="xsd:double"&gt;17.8157844212896&lt;/D&gt;&lt;D xsi:type="xsd:double"&gt;17.7596517772716&lt;/D&gt;&lt;D xsi:type="xsd:double"&gt;16.7639181988117&lt;/D&gt;&lt;D xsi:type="xsd:double"&gt;15.0953617486649&lt;/D&gt;&lt;D xsi:type="xsd:double"&gt;15.9456306965683&lt;/D&gt;&lt;D xsi:type="xsd:double"&gt;16.0451618403573&lt;/D&gt;&lt;D xsi:type="xsd:double"&gt;15.8496989324818&lt;/D&gt;&lt;D xsi:type="xsd:double"&gt;15.5957147265945&lt;/D&gt;&lt;D xsi:type="xsd:double"&gt;16.234769821099&lt;/D&gt;&lt;D xsi:type="xsd:double"&gt;15.254968481057&lt;/D&gt;&lt;D xsi:type="xsd:double"&gt;14.9720944083716&lt;/D&gt;&lt;D xsi:type="xsd:double"&gt;14.7443989851861&lt;/D&gt;&lt;D xsi:type="xsd:double"&gt;14.2214899345355&lt;/D&gt;&lt;D xsi:type="xsd:double"&gt;14.1714929365441&lt;/D&gt;&lt;D xsi:type="xsd:double"&gt;13.4514953620421&lt;/D&gt;&lt;D xsi:type="xsd:double"&gt;13.9223537936072&lt;/D&gt;&lt;D xsi:type="xsd:double"&gt;12.8626815223707&lt;/D&gt;&lt;D xsi:type="xsd:double"&gt;13.5085332319504&lt;/D&gt;&lt;D xsi:type="xsd:double"&gt;12.8288579244283&lt;/D&gt;&lt;D xsi:type="xsd:double"&gt;11.1545470890195&lt;/D&gt;&lt;D xsi:type="xsd:double"&gt;11.6374919242097&lt;/D&gt;&lt;D xsi:type="xsd:double"&gt;10.9959630911099&lt;/D&gt;&lt;D xsi:type="xsd:double"&gt;11.0354173549676&lt;/D&gt;&lt;D xsi:type="xsd:double"&gt;9.70409026672145&lt;/D&gt;&lt;D xsi:type="xsd:double"&gt;10.3717921654005&lt;/D&gt;&lt;D xsi:type="xsd:double"&gt;9.72517035959141&lt;/D&gt;&lt;D xsi:type="xsd:double"&gt;9.06983969240558&lt;/D&gt;&lt;D xsi:type="xsd:double"&gt;9.73348467736008&lt;/D&gt;&lt;D xsi:type="xsd:double"&gt;10.8693707765504&lt;/D&gt;&lt;D xsi:type="xsd:double"&gt;10.7004284754771&lt;/D&gt;&lt;D xsi:type="xsd:double"&gt;11.7708886987739&lt;/D&gt;&lt;D xsi:type="xsd:double"&gt;11.675323341028&lt;/D&gt;&lt;D xsi:type="xsd:double"&gt;11.3533695774123&lt;/D&gt;&lt;D xsi:type="xsd:double"&gt;11.2670587359495&lt;/D&gt;&lt;D xsi:type="xsd:double"&gt;10.86248001111&lt;/D&gt;&lt;D xsi:type="xsd:double"&gt;10.7941192105308&lt;/D&gt;&lt;D xsi:type="xsd:double"&gt;10.6268783674411&lt;/D&gt;&lt;D xsi:type="xsd:double"&gt;10.6467692088693&lt;/D&gt;&lt;D xsi:type="xsd:double"&gt;10.1174458897883&lt;/D&gt;&lt;D xsi:type="xsd:double"&gt;10.1603229461148&lt;/D&gt;&lt;D xsi:type="xsd:double"&gt;11.0354102774536&lt;/D&gt;&lt;D xsi:type="xsd:double"&gt;11.0184303830705&lt;/D&gt;&lt;D xsi:type="xsd:double"&gt;11.5337287047113&lt;/D&gt;&lt;D xsi:type="xsd:double"&gt;12.0542910204739&lt;/D&gt;&lt;D xsi:type="xsd:double"&gt;12.3088456207895&lt;/D&gt;&lt;D xsi:type="xsd:double"&gt;11.9341682714467&lt;/D&gt;&lt;D xsi:type="xsd:double"&gt;11.9791215085174&lt;/D&gt;&lt;D xsi:type="xsd:double"&gt;11.7917205190615&lt;/D&gt;&lt;D xsi:type="xsd:double"&gt;11.3433789307819&lt;/D&gt;&lt;D xsi:type="xsd:double"&gt;12.1462520579923&lt;/D&gt;&lt;D xsi:type="xsd:double"&gt;12.8348380089753&lt;/D&gt;&lt;/FQL&gt;&lt;FQL&gt;&lt;Q&gt;EWC^FMA_PE(NTMA,-10AY,0,AM,"PORTAGG","MEANR")&lt;/Q&gt;&lt;R&gt;121&lt;/R&gt;&lt;C&gt;1&lt;/C&gt;&lt;D xsi:type="xsd:double"&gt;14.3135030463203&lt;/D&gt;&lt;D xsi:type="xsd:double"&gt;14.2708263108631&lt;/D&gt;&lt;D xsi:type="xsd:double"&gt;14.8735637773728&lt;/D&gt;&lt;D xsi:type="xsd:double"&gt;15.6006677092602&lt;/D&gt;&lt;D xsi:type="xsd:double"&gt;16.9988689062687&lt;/D&gt;&lt;D xsi:type="xsd:double"&gt;17.3494960065271&lt;/D&gt;&lt;D xsi:type="xsd:double"&gt;17.0975978273143&lt;/D&gt;&lt;D xsi:type="xsd:double"&gt;17.3653448047375&lt;/D&gt;&lt;D xsi:type="xsd:double"&gt;16.6974045614288&lt;/D&gt;&lt;D xsi:type="xsd:double"&gt;15.9393195822104&lt;/D&gt;&lt;D xsi:type="xsd:double"&gt;15.6342847496092&lt;/D&gt;&lt;D xsi:type="xsd:double"&gt;14.6660413258173&lt;/D&gt;&lt;D xsi:type="xsd:double"&gt;14.4606031738619&lt;/D&gt;&lt;D xsi:type="xsd:double"&gt;14.9385137640342&lt;/D&gt;&lt;D xsi:type="xsd:double"&gt;14.4724511270951&lt;/D&gt;&lt;D xsi:type="xsd:double"&gt;14.1218582708115&lt;/D&gt;&lt;D xsi:type="xsd:double"&gt;14.1987512906145&lt;/D&gt;&lt;D xsi:type="xsd:double"&gt;15.2292189984145&lt;/D&gt;&lt;D xsi:type="xsd:double"&gt;15.8880851041344&lt;/D&gt;&lt;D xsi:type="xsd:double"&gt;16.3982714275677&lt;/D&gt;&lt;D xsi:type="xsd:double"&gt;16.7267394913414&lt;/D&gt;&lt;D xsi:type="xsd:double"&gt;16.292351603394&lt;/D&gt;&lt;D xsi:type="xsd:double"&gt;16.3076981780551&lt;/D&gt;&lt;D xsi:type="xsd:double"&gt;16.4424361334629&lt;/D&gt;&lt;D xsi:type="xsd:double"&gt;16.0408622088085&lt;/D&gt;&lt;D xsi:type="xsd:double"&gt;15.571006035195&lt;/D&gt;&lt;D xsi:type="xsd:double"&gt;15.8701628570013&lt;/D&gt;&lt;D xsi:type="xsd:double"&gt;15.8418328985486&lt;/D&gt;&lt;D xsi:type="xsd:double"&gt;16.0332923907167&lt;/D&gt;&lt;D xsi:type="xsd:double"&gt;16.0771331126213&lt;/D&gt;&lt;D xsi:type="xsd:double"&gt;15.8783240624098&lt;/D&gt;&lt;D xsi:type="xsd:double"&gt;15.6442975903912&lt;/D&gt;&lt;D xsi:type="xsd:double"&gt;15.5123585292512&lt;/D&gt;&lt;D xsi:type="xsd:double"&gt;15.2185526976216&lt;/D&gt;&lt;D xsi:type="xsd:double"&gt;15.6725841849508&lt;/D&gt;&lt;D xsi:type="xsd:double"&gt;15.3768543989389&lt;/D&gt;&lt;D xsi:type="xsd:double"&gt;15.8530913353988&lt;/D&gt;&lt;D xsi:type="xsd:double"&gt;15.921295855547&lt;/D&gt;&lt;D xsi:type="xsd:double"&gt;15.9235049953578&lt;/D&gt;&lt;D xsi:type="xsd:double"&gt;16.0263117223084&lt;/D&gt;&lt;D xsi:type="xsd:double"&gt;14.9050084693492&lt;/D&gt;&lt;D xsi:type="xsd:double"&gt;14.2838736765197&lt;/D&gt;&lt;D xsi:type="xsd:double"&gt;13.9877488194092&lt;/D&gt;&lt;D xsi:type="xsd:double"&gt;14.1146517490391&lt;/D&gt;&lt;D xsi:type="xsd:double"&gt;14.1750368162333&lt;/D&gt;&lt;D xsi:type="xsd:double"&gt;14.1973164222681&lt;/D&gt;&lt;D xsi:type="xsd:double"&gt;14.1594270157489&lt;/D&gt;&lt;D xsi:type="xsd:double"&gt;13.8050323583318&lt;/D&gt;&lt;D xsi:type="xsd:double"&gt;13.5533193733147&lt;/D&gt;&lt;D xsi:type="xsd:double"&gt;12.6295019222956&lt;/D&gt;&lt;D xsi:type="xsd:double"&gt;12.8222526274984&lt;/D&gt;&lt;D xsi:type="xsd:double"&gt;12.0372049582774&lt;/D&gt;&lt;D xsi:type="xsd:double"&gt;13.6454069515695&lt;/D&gt;&lt;D xsi:type="xsd:double"&gt;14.1889227458099&lt;/D&gt;&lt;D xsi:type="xsd:double"&gt;14.2198415065002&lt;/D&gt;&lt;D xsi:type="xsd:double"&gt;13.8350180935099&lt;/D&gt;&lt;D xsi:type="xsd:double"&gt;13.3125704597496&lt;/D&gt;&lt;D xsi:type="xsd:double"&gt;13.7908806569724&lt;/D&gt;&lt;D xsi:type="xsd:double"&gt;13.545819287593&lt;/D&gt;&lt;D xsi:type="xsd:double"&gt;13.6257027159562&lt;/D&gt;&lt;D xsi:type="xsd:double"&gt;13.6809294756144&lt;/D&gt;&lt;D xsi:type="xsd:double"&gt;14.0478474893884&lt;/D&gt;&lt;D xsi:type="xsd:double"&gt;14.2301489678957&lt;/D&gt;&lt;D xsi:type="xsd:double"&gt;14.3988361227101&lt;/D&gt;&lt;D xsi:type="xsd:double"&gt;14.4849710428363&lt;/D&gt;&lt;D xsi:type="xsd:double"&gt;14.1012115038107&lt;/D&gt;&lt;D xsi:type="xsd:double"&gt;12.9230124201948&lt;/D&gt;&lt;D xsi:type="xsd:double"&gt;16.3983591720723&lt;/D&gt;&lt;D xsi:type="xsd:double"&gt;18.303333749078&lt;/D&gt;&lt;D xsi:type="xsd:double"&gt;17.7111157856744&lt;/D&gt;&lt;D xsi:type="xsd:double"&gt;17.5537250155466&lt;/D&gt;&lt;D xsi:type="xsd:double"&gt;17.042594882549&lt;/D&gt;&lt;D xsi:type="xsd:double"&gt;16.22194493864&lt;/D&gt;&lt;D xsi:type="xsd:double"&gt;15.4577394700162&lt;/D&gt;&lt;D xsi:type="xsd:double"&gt;16.1381606667723&lt;/D&gt;&lt;D xsi:type="xsd:double"&gt;15.7520462514364&lt;/D&gt;&lt;D xsi:type="xsd:double"&gt;15.8471461629774&lt;/D&gt;&lt;D xsi:type="xsd:double"&gt;15.3938045725968&lt;/D&gt;&lt;D xsi:type="xsd:double"&gt;15.5223416392423&lt;/D&gt;&lt;D xsi:type="xsd:double"&gt;15.5045093329663&lt;/D&gt;&lt;D xsi:type="xsd:double"&gt;15.5418015087079&lt;/D&gt;&lt;D xsi:type="xsd:double"&gt;15.5841026701326&lt;/D&gt;&lt;D xsi:type="xsd:double"&gt;15.1320194174747&lt;/D&gt;&lt;D xsi:type="xsd:double"&gt;15.0059607722278&lt;/D&gt;&lt;D xsi:type="xsd:double"&gt;14.4003158722003&lt;/D&gt;&lt;D xsi:type="xsd:double"&gt;14.9252914998368&lt;/D&gt;&lt;D xsi:type="xsd:double"&gt;14.0775350596005&lt;/D&gt;&lt;D xsi:type="xsd:double"&gt;14.4533319738781&lt;/D&gt;&lt;D xsi:type="xsd:double"&gt;14.0551846541641&lt;/D&gt;&lt;D xsi:type="xsd:double"&gt;13.912233111444&lt;/D&gt;&lt;D xsi:type="xsd:double"&gt;13.5781892894371&lt;/D&gt;&lt;D xsi:type="xsd:double"&gt;12.6099365762166&lt;/D&gt;&lt;D xsi:type="xsd:double"&gt;12.4319886314992&lt;/D&gt;&lt;D xsi:type="xsd:double"&gt;11.2255879530961&lt;/D&gt;&lt;D xsi:type="xsd:double"&gt;11.5075576878195&lt;/D&gt;&lt;D xsi:type="xsd:double"&gt;11.2982604285122&lt;/D&gt;&lt;D xsi:type="xsd:double"&gt;11.0133305805341&lt;/D&gt;&lt;D xsi:type="xsd:double"&gt;11.4074230658366&lt;/D&gt;&lt;D xsi:type="xsd:double"&gt;12.4490725801399&lt;/D&gt;&lt;D xsi:type="xsd:double"&gt;11.9554981006404&lt;/D&gt;&lt;D xsi:type="xsd:double"&gt;13.068455910617&lt;/D&gt;&lt;D xsi:type="xsd:double"&gt;12.9696040312464&lt;/D&gt;&lt;D xsi:type="xsd:double"&gt;12.8876121041023&lt;/D&gt;&lt;D xsi:type="xsd:double"&gt;12.8812526338409&lt;/D&gt;&lt;D xsi:type="xsd:double"&gt;12.9373386500213&lt;/D&gt;&lt;D xsi:type="xsd:double"&gt;13.00512848392&lt;/D&gt;&lt;D xsi:type="xsd:double"&gt;13.1897487356783&lt;/D&gt;&lt;D xsi:type="xsd:double"&gt;13.3546044330381&lt;/D&gt;&lt;D xsi:type="xsd:double"&gt;12.2477918030142&lt;/D&gt;&lt;D xsi:type="xsd:double"&gt;12.6053140822153&lt;/D&gt;&lt;D xsi:type="xsd:double"&gt;13.115805165423&lt;/D&gt;&lt;D xsi:type="xsd:double"&gt;13.553205012476&lt;/D&gt;&lt;D xsi:type="xsd:double"&gt;13.8601503570676&lt;/D&gt;&lt;D xsi:type="xsd:double"&gt;14.3284271822048&lt;/D&gt;&lt;D xsi:type="xsd:double"&gt;14.5603694870514&lt;/D&gt;&lt;D xsi:type="xsd:double"&gt;14.292279175898&lt;/D&gt;&lt;D xsi:type="xsd:double"&gt;14.2194680577427&lt;/D&gt;&lt;D xsi:type="xsd:double"&gt;14.1783319898523&lt;/D&gt;&lt;D xsi:type="xsd:double"&gt;13.9517756687537&lt;/D&gt;&lt;D xsi:type="xsd:double"&gt;14.3977116187819&lt;/D&gt;&lt;D xsi:type="xsd:double"&gt;15.1477767925165&lt;/D&gt;&lt;/FQL&gt;&lt;FQL&gt;&lt;Q&gt;EWA^FMA_PE(NTMA,-10AY,0,AM,"PORTAGG","MEANR")&lt;/Q&gt;&lt;R&gt;121&lt;/R&gt;&lt;C&gt;1&lt;/C&gt;&lt;D xsi:type="xsd:double"&gt;13.9080576011534&lt;/D&gt;&lt;D xsi:type="xsd:double"&gt;14.5112163417791&lt;/D&gt;&lt;D xsi:type="xsd:double"&gt;13.9587870653565&lt;/D&gt;&lt;D xsi:type="xsd:double"&gt;14.6262194220997&lt;/D&gt;&lt;D xsi:type="xsd:double"&gt;15.5177679687974&lt;/D&gt;&lt;D xsi:type="xsd:double"&gt;16.3238145547927&lt;/D&gt;&lt;D xsi:type="xsd:double"&gt;16.2523775221701&lt;/D&gt;&lt;D xsi:type="xsd:double"&gt;16.2534079600681&lt;/D&gt;&lt;D xsi:type="xsd:double"&gt;15.4358886008893&lt;/D&gt;&lt;D xsi:type="xsd:double"&gt;15.4841375406311&lt;/D&gt;&lt;D xsi:type="xsd:double"&gt;15.6115448359457&lt;/D&gt;&lt;D xsi:type="xsd:double"&gt;14.0098089349966&lt;/D&gt;&lt;D xsi:type="xsd:double"&gt;14.2968851204463&lt;/D&gt;&lt;D xsi:type="xsd:double"&gt;15.0789153170191&lt;/D&gt;&lt;D xsi:type="xsd:double"&gt;15.250667827915&lt;/D&gt;&lt;D xsi:type="xsd:double"&gt;15.7577891400844&lt;/D&gt;&lt;D xsi:type="xsd:double"&gt;14.9325957939335&lt;/D&gt;&lt;D xsi:type="xsd:double"&gt;15.8176002523494&lt;/D&gt;&lt;D xsi:type="xsd:double"&gt;15.4658529260418&lt;/D&gt;&lt;D xsi:type="xsd:double"&gt;16.6028438181518&lt;/D&gt;&lt;D xsi:type="xsd:double"&gt;16.2996290566753&lt;/D&gt;&lt;D xsi:type="xsd:double"&gt;15.999973819414&lt;/D&gt;&lt;D xsi:type="xsd:double"&gt;16.4495465907588&lt;/D&gt;&lt;D xsi:type="xsd:double"&gt;16.2099438092433&lt;/D&gt;&lt;D xsi:type="xsd:double"&gt;16.3581110581153&lt;/D&gt;&lt;D xsi:type="xsd:double"&gt;15.5325804610336&lt;/D&gt;&lt;D xsi:type="xsd:double"&gt;15.6786481105494&lt;/D&gt;&lt;D xsi:type="xsd:double"&gt;15.951520027419&lt;/D&gt;&lt;D xsi:type="xsd:double"&gt;15.6042763822164&lt;/D&gt;&lt;D xsi:type="xsd:double"&gt;15.7107518687991&lt;/D&gt;&lt;D xsi:type="xsd:double"&gt;15.8674616338228&lt;/D&gt;&lt;D xsi:type="xsd:double"&gt;15.8614874472193&lt;/D&gt;&lt;D xsi:type="xsd:double"&gt;15.39965433794&lt;/D&gt;&lt;D xsi:type="xsd:double"&gt;15.3175279280684&lt;/D&gt;&lt;D xsi:type="xsd:double"&gt;15.7122212788436&lt;/D&gt;&lt;D xsi:type="xsd:double"&gt;15.6384385009527&lt;/D&gt;&lt;D xsi:type="xsd:double"&gt;15.4745888576585&lt;/D&gt;&lt;D xsi:type="xsd:double"&gt;15.946902792774&lt;/D&gt;&lt;D xsi:type="xsd:double"&gt;15.8621452188413&lt;/D&gt;&lt;D xsi:type="xsd:double"&gt;16.0075050385414&lt;/D&gt;&lt;D xsi:type="xsd:double"&gt;15.9032455761203&lt;/D&gt;&lt;D xsi:type="xsd:double"&gt;15.3294363410676&lt;/D&gt;&lt;D xsi:type="xsd:double"&gt;14.71896130612&lt;/D&gt;&lt;D xsi:type="xsd:double"&gt;15.4303420557411&lt;/D&gt;&lt;D xsi:type="xsd:double"&gt;15.0356792812731&lt;/D&gt;&lt;D xsi:type="xsd:double"&gt;15.5010352829042&lt;/D&gt;&lt;D xsi:type="xsd:double"&gt;15.4881824673553&lt;/D&gt;&lt;D xsi:type="xsd:double"&gt;15.6920441685479&lt;/D&gt;&lt;D xsi:type="xsd:double"&gt;15.0639406371922&lt;/D&gt;&lt;D xsi:type="xsd:double"&gt;14.3912145806402&lt;/D&gt;&lt;D xsi:type="xsd:double"&gt;14.3334800396115&lt;/D&gt;&lt;D xsi:type="xsd:double"&gt;13.92061203901&lt;/D&gt;&lt;D xsi:type="xsd:double"&gt;14.6180898442541&lt;/D&gt;&lt;D xsi:type="xsd:double"&gt;15.4389791308334&lt;/D&gt;&lt;D xsi:type="xsd:double"&gt;15.5326571620992&lt;/D&gt;&lt;D xsi:type="xsd:double"&gt;15.4009511831517&lt;/D&gt;&lt;D xsi:type="xsd:double"&gt;15.3446699290333&lt;/D&gt;&lt;D xsi:type="xsd:double"&gt;16.2872000468238&lt;/D&gt;&lt;D xsi:type="xsd:double"&gt;16.316</t>
        </r>
      </text>
    </comment>
    <comment ref="A11" authorId="0" shapeId="0" xr:uid="{8A7065BC-82EF-43E1-8655-84E97C8C58D2}">
      <text>
        <r>
          <rPr>
            <b/>
            <sz val="9"/>
            <color indexed="81"/>
            <rFont val="Tahoma"/>
            <charset val="1"/>
          </rPr>
          <t>2212856101&lt;/D&gt;&lt;D xsi:type="xsd:double"&gt;16.1485126142986&lt;/D&gt;&lt;D xsi:type="xsd:double"&gt;16.1733753263465&lt;/D&gt;&lt;D xsi:type="xsd:double"&gt;16.9088212544424&lt;/D&gt;&lt;D xsi:type="xsd:double"&gt;17.0897010864144&lt;/D&gt;&lt;D xsi:type="xsd:double"&gt;17.2377024363528&lt;/D&gt;&lt;D xsi:type="xsd:double"&gt;17.6688101406406&lt;/D&gt;&lt;D xsi:type="xsd:double"&gt;16.5645806498231&lt;/D&gt;&lt;D xsi:type="xsd:double"&gt;14.2933414864608&lt;/D&gt;&lt;D xsi:type="xsd:double"&gt;16.6199755158604&lt;/D&gt;&lt;D xsi:type="xsd:double"&gt;19.3898115739926&lt;/D&gt;&lt;D xsi:type="xsd:double"&gt;19.2256058688285&lt;/D&gt;&lt;D xsi:type="xsd:double"&gt;18.9153376948051&lt;/D&gt;&lt;D xsi:type="xsd:double"&gt;19.6188683122914&lt;/D&gt;&lt;D xsi:type="xsd:double"&gt;17.8949313774311&lt;/D&gt;&lt;D xsi:type="xsd:double"&gt;18.3286534983565&lt;/D&gt;&lt;D xsi:type="xsd:double"&gt;19.8682274557874&lt;/D&gt;&lt;D xsi:type="xsd:double"&gt;18.9693708542816&lt;/D&gt;&lt;D xsi:type="xsd:double"&gt;19.0200009998956&lt;/D&gt;&lt;D xsi:type="xsd:double"&gt;18.4331705323032&lt;/D&gt;&lt;D xsi:type="xsd:double"&gt;17.6611665393569&lt;/D&gt;&lt;D xsi:type="xsd:double"&gt;17.9451869469077&lt;/D&gt;&lt;D xsi:type="xsd:double"&gt;18.3105308788862&lt;/D&gt;&lt;D xsi:type="xsd:double"&gt;17.306681807889&lt;/D&gt;&lt;D xsi:type="xsd:double"&gt;16.9943494471519&lt;/D&gt;&lt;D xsi:type="xsd:double"&gt;17.3874603791186&lt;/D&gt;&lt;D xsi:type="xsd:double"&gt;16.7414712674518&lt;/D&gt;&lt;D xsi:type="xsd:double"&gt;17.545603069112&lt;/D&gt;&lt;D xsi:type="xsd:double"&gt;16.9172725511445&lt;/D&gt;&lt;D xsi:type="xsd:double"&gt;17.4230504078573&lt;/D&gt;&lt;D xsi:type="xsd:double"&gt;15.9077265037863&lt;/D&gt;&lt;D xsi:type="xsd:double"&gt;15.7241750395275&lt;/D&gt;&lt;D xsi:type="xsd:double"&gt;16.1527514734008&lt;/D&gt;&lt;D xsi:type="xsd:double"&gt;14.7521124015199&lt;/D&gt;&lt;D xsi:type="xsd:double"&gt;14.2559874186128&lt;/D&gt;&lt;D xsi:type="xsd:double"&gt;12.4724347323239&lt;/D&gt;&lt;D xsi:type="xsd:double"&gt;13.7785882894197&lt;/D&gt;&lt;D xsi:type="xsd:double"&gt;13.5788553462772&lt;/D&gt;&lt;D xsi:type="xsd:double"&gt;12.6121024220762&lt;/D&gt;&lt;D xsi:type="xsd:double"&gt;13.3028981148094&lt;/D&gt;&lt;D xsi:type="xsd:double"&gt;14.5963023123388&lt;/D&gt;&lt;D xsi:type="xsd:double"&gt;13.9587174655514&lt;/D&gt;&lt;D xsi:type="xsd:double"&gt;15.0568337909699&lt;/D&gt;&lt;D xsi:type="xsd:double"&gt;14.5201460991821&lt;/D&gt;&lt;D xsi:type="xsd:double"&gt;14.4510407168759&lt;/D&gt;&lt;D xsi:type="xsd:double"&gt;14.387589659825&lt;/D&gt;&lt;D xsi:type="xsd:double"&gt;14.3998475346568&lt;/D&gt;&lt;D xsi:type="xsd:double"&gt;15.0142265583721&lt;/D&gt;&lt;D xsi:type="xsd:double"&gt;15.3207261705012&lt;/D&gt;&lt;D xsi:type="xsd:double"&gt;15.5104648620548&lt;/D&gt;&lt;D xsi:type="xsd:double"&gt;14.5348267439825&lt;/D&gt;&lt;D xsi:type="xsd:double"&gt;14.8757381207264&lt;/D&gt;&lt;D xsi:type="xsd:double"&gt;15.3251173786581&lt;/D&gt;&lt;D xsi:type="xsd:double"&gt;16.2348211605183&lt;/D&gt;&lt;D xsi:type="xsd:double"&gt;16.5890082254016&lt;/D&gt;&lt;D xsi:type="xsd:double"&gt;16.676392318325&lt;/D&gt;&lt;D xsi:type="xsd:double"&gt;16.6070515995895&lt;/D&gt;&lt;D xsi:type="xsd:double"&gt;16.4521316127157&lt;/D&gt;&lt;D xsi:type="xsd:double"&gt;16.7659022078183&lt;/D&gt;&lt;D xsi:type="xsd:double"&gt;16.8154693828243&lt;/D&gt;&lt;D xsi:type="xsd:double"&gt;17.169531512843&lt;/D&gt;&lt;D xsi:type="xsd:double"&gt;17.9606696693962&lt;/D&gt;&lt;D xsi:type="xsd:double"&gt;18.3938682757726&lt;/D&gt;&lt;/FQL&gt;&lt;FQL&gt;&lt;Q&gt;ENZL^FMA_PE(NTMA,-10AY,0,AM,"PORTAGG","MEANR")&lt;/Q&gt;&lt;R&gt;121&lt;/R&gt;&lt;C&gt;1&lt;/C&gt;&lt;D xsi:type="xsd:double"&gt;17.0817297077626&lt;/D&gt;&lt;D xsi:type="xsd:double"&gt;17.7020969497913&lt;/D&gt;&lt;D xsi:type="xsd:double"&gt;17.9905150098252&lt;/D&gt;&lt;D xsi:type="xsd:double"&gt;18.3613013678912&lt;/D&gt;&lt;D xsi:type="xsd:double"&gt;19.1668218175234&lt;/D&gt;&lt;D xsi:type="xsd:double"&gt;19.3346839393093&lt;/D&gt;&lt;D xsi:type="xsd:double"&gt;18.4899205739579&lt;/D&gt;&lt;D xsi:type="xsd:double"&gt;18.319896868662&lt;/D&gt;&lt;D xsi:type="xsd:double"&gt;18.3748535360052&lt;/D&gt;&lt;D xsi:type="xsd:double"&gt;18.2289772582524&lt;/D&gt;&lt;D xsi:type="xsd:double"&gt;18.5060959516593&lt;/D&gt;&lt;D xsi:type="xsd:double"&gt;17.2744909668773&lt;/D&gt;&lt;D xsi:type="xsd:double"&gt;16.9700635398646&lt;/D&gt;&lt;D xsi:type="xsd:double"&gt;18.1317334281143&lt;/D&gt;&lt;D xsi:type="xsd:double"&gt;18.1872739277192&lt;/D&gt;&lt;D xsi:type="xsd:double"&gt;18.2879518587097&lt;/D&gt;&lt;D xsi:type="xsd:double"&gt;17.3396746508146&lt;/D&gt;&lt;D xsi:type="xsd:double"&gt;17.9205953213693&lt;/D&gt;&lt;D xsi:type="xsd:double"&gt;18.4156126192307&lt;/D&gt;&lt;D xsi:type="xsd:double"&gt;18.8817317116466&lt;/D&gt;&lt;D xsi:type="xsd:double"&gt;19.4929709603077&lt;/D&gt;&lt;D xsi:type="xsd:double"&gt;19.059687665176&lt;/D&gt;&lt;D xsi:type="xsd:double"&gt;20.0155169547382&lt;/D&gt;&lt;D xsi:type="xsd:double"&gt;20.6958794495932&lt;/D&gt;&lt;D xsi:type="xsd:double"&gt;20.3047393168138&lt;/D&gt;&lt;D xsi:type="xsd:double"&gt;18.4275506816422&lt;/D&gt;&lt;D xsi:type="xsd:double"&gt;18.7150183102484&lt;/D&gt;&lt;D xsi:type="xsd:double"&gt;18.4707572511409&lt;/D&gt;&lt;D xsi:type="xsd:double"&gt;19.0975197273083&lt;/D&gt;&lt;D xsi:type="xsd:double"&gt;19.0176230962398&lt;/D&gt;&lt;D xsi:type="xsd:double"&gt;19.0996311563671&lt;/D&gt;&lt;D xsi:type="xsd:double"&gt;19.5198043247427&lt;/D&gt;&lt;D xsi:type="xsd:double"&gt;19.4809545927608&lt;/D&gt;&lt;D xsi:type="xsd:double"&gt;19.4565018600269&lt;/D&gt;&lt;D xsi:type="xsd:double"&gt;19.8329438484622&lt;/D&gt;&lt;D xsi:type="xsd:double"&gt;19.9205763536595&lt;/D&gt;&lt;D xsi:type="xsd:double"&gt;19.7757323266027&lt;/D&gt;&lt;D xsi:type="xsd:double"&gt;20.2607857672626&lt;/D&gt;&lt;D xsi:type="xsd:double"&gt;20.2190870835144&lt;/D&gt;&lt;D xsi:type="xsd:double"&gt;20.9584730154328&lt;/D&gt;&lt;D xsi:type="xsd:double"&gt;20.9643662464545&lt;/D&gt;&lt;D xsi:type="xsd:double"&gt;20.254594308011&lt;/D&gt;&lt;D xsi:type="xsd:double"&gt;19.955784417586&lt;/D&gt;&lt;D xsi:type="xsd:double"&gt;20.3691961816755&lt;/D&gt;&lt;D xsi:type="xsd:double"&gt;20.4909780057569&lt;/D&gt;&lt;D xsi:type="xsd:double"&gt;21.3783934241575&lt;/D&gt;&lt;D xsi:type="xsd:double"&gt;20.9208465976924&lt;/D&gt;&lt;D xsi:type="xsd:double"&gt;22.0706051942858&lt;/D&gt;&lt;D xsi:type="xsd:double"&gt;21.530224883951&lt;/D&gt;&lt;D xsi:type="xsd:double"&gt;20.3149253120883&lt;/D&gt;&lt;D xsi:type="xsd:double"&gt;20.3168510012662&lt;/D&gt;&lt;D xsi:type="xsd:double"&gt;19.8635296057454&lt;/D&gt;&lt;D xsi:type="xsd:double"&gt;20.4586874128021&lt;/D&gt;&lt;D xsi:type="xsd:double"&gt;21.6303992254278&lt;/D&gt;&lt;D xsi:type="xsd:double"&gt;22.4919806402928&lt;/D&gt;&lt;D xsi:type="xsd:double"&gt;22.8790877957082&lt;/D&gt;&lt;D xsi:type="xsd:double"&gt;22.8779169144861&lt;/D&gt;&lt;D xsi:type="xsd:double"&gt;23.9009109176406&lt;/D&gt;&lt;D xsi:type="xsd:double"&gt;24.7241187918701&lt;/D&gt;&lt;D xsi:type="xsd:double"&gt;26.0798988958079&lt;/D&gt;&lt;D xsi:type="xsd:double"&gt;25.1600504459997&lt;/D&gt;&lt;D xsi:type="xsd:double"&gt;24.8057519208909&lt;/D&gt;&lt;D xsi:type="xsd:double"&gt;25.67493726285&lt;/D&gt;&lt;D xsi:type="xsd:double"&gt;25.8924171109274&lt;/D&gt;&lt;D xsi:type="xsd:double"&gt;25.8609360349881&lt;/D&gt;&lt;D xsi:type="xsd:double"&gt;25.83974328249&lt;/D&gt;&lt;D xsi:type="xsd:double"&gt;25.4321240507768&lt;/D&gt;&lt;D xsi:type="xsd:double"&gt;28.8627772918146&lt;/D&gt;&lt;D xsi:type="xsd:double"&gt;30.2451312821522&lt;/D&gt;&lt;D xsi:type="xsd:double"&gt;31.1429877779013&lt;/D&gt;&lt;D xsi:type="xsd:double"&gt;31.7433349225491&lt;/D&gt;&lt;D xsi:type="xsd:double"&gt;33.0004764656428&lt;/D&gt;&lt;D xsi:type="xsd:double"&gt;31.9539883178776&lt;/D&gt;&lt;D xsi:type="xsd:double"&gt;32.5791716810891&lt;/D&gt;&lt;D xsi:type="xsd:double"&gt;32.6939353581011&lt;/D&gt;&lt;D xsi:type="xsd:double"&gt;34.2882847038098&lt;/D&gt;&lt;D xsi:type="xsd:double"&gt;33.1699594019517&lt;/D&gt;&lt;D xsi:type="xsd:double"&gt;32.2135795738792&lt;/D&gt;&lt;D xsi:type="xsd:double"&gt;32.1646564885547&lt;/D&gt;&lt;D xsi:type="xsd:double"&gt;32.4537538798617&lt;/D&gt;&lt;D xsi:type="xsd:double"&gt;32.9111398089028&lt;/D&gt;&lt;D xsi:type="xsd:double"&gt;34.299454196945&lt;/D&gt;&lt;D xsi:type="xsd:double"&gt;34.0991847989553&lt;/D&gt;&lt;D xsi:type="xsd:double"&gt;35.0558026403956&lt;/D&gt;&lt;D xsi:type="xsd:double"&gt;34.536515098558&lt;/D&gt;&lt;D xsi:type="xsd:double"&gt;33.5665739008779&lt;/D&gt;&lt;D xsi:type="xsd:double"&gt;31.1544014668578&lt;/D&gt;&lt;D xsi:type="xsd:double"&gt;32.2935947403441&lt;/D&gt;&lt;D xsi:type="xsd:double"&gt;30.5033822610958&lt;/D&gt;&lt;D xsi:type="xsd:double"&gt;29.4090500582014&lt;/D&gt;&lt;D xsi:type="xsd:double"&gt;29.4533379851454&lt;/D&gt;&lt;D xsi:type="xsd:double"&gt;28.3058078520454&lt;/D&gt;&lt;D xsi:type="xsd:double"&gt;26.9009383290656&lt;/D&gt;&lt;D xsi:type="xsd:double"&gt;25.3355710494879&lt;/D&gt;&lt;D xsi:type="xsd:double"&gt;26.7394208275364&lt;/D&gt;&lt;D xsi:type="xsd:double"&gt;27.0887216497513&lt;/D&gt;&lt;D xsi:type="xsd:double"&gt;23.8041920620769&lt;/D&gt;&lt;D xsi:type="xsd:double"&gt;23.4863861650591&lt;/D&gt;&lt;D xsi:type="xsd:double"&gt;23.4701979242175&lt;/D&gt;&lt;D xsi:type="xsd:double"&gt;22.9697307303176&lt;/D&gt;&lt;D xsi:type="xsd:double"&gt;24.4182625447013&lt;/D&gt;&lt;D xsi:type="xsd:double"&gt;23.5699104034889&lt;/D&gt;&lt;D xsi:type="xsd:double"&gt;23.2248929501148&lt;/D&gt;&lt;D xsi:type="xsd:double"&gt;23.5126900895137&lt;/D&gt;&lt;D xsi:type="xsd:double"&gt;21.1567772124641&lt;/D&gt;&lt;D xsi:type="xsd:double"&gt;21.0360950329036&lt;/D&gt;&lt;D xsi:type="xsd:double"&gt;20.9493432806758&lt;/D&gt;&lt;D xsi:type="xsd:double"&gt;20.8795335736984&lt;/D&gt;&lt;D xsi:type="xsd:double"&gt;20.0557692530591&lt;/D&gt;&lt;D xsi:type="xsd:double"&gt;20.0584414307091&lt;/D&gt;&lt;D xsi:type="xsd:double"&gt;21.6659634313289&lt;/D&gt;&lt;D xsi:type="xsd:double"&gt;22.7831835629748&lt;/D&gt;&lt;D xsi:type="xsd:double"&gt;22.4469701202822&lt;/D&gt;&lt;D xsi:type="xsd:double"&gt;24.6771376251891&lt;/D&gt;&lt;D xsi:type="xsd:double"&gt;25.0949346288809&lt;/D&gt;&lt;D xsi:type="xsd:double"&gt;25.3731861590112&lt;/D&gt;&lt;D xsi:type="xsd:double"&gt;24.4074989952622&lt;/D&gt;&lt;D xsi:type="xsd:double"&gt;23.9375906967146&lt;/D&gt;&lt;D xsi:type="xsd:double"&gt;25.2815794420691&lt;/D&gt;&lt;D xsi:type="xsd:double"&gt;25.4721327658546&lt;/D&gt;&lt;D xsi:type="xsd:double"&gt;23.9859692680043&lt;/D&gt;&lt;/FQL&gt;&lt;FQL&gt;&lt;Q&gt;EWI^FMA_PE(LTMA,-10AY,0,AM,"PORTAGG","MEANR")&lt;/Q&gt;&lt;R&gt;121&lt;/R&gt;&lt;C&gt;1&lt;/C&gt;&lt;D xsi:type="xsd:double"&gt;17.2120704446378&lt;/D&gt;&lt;D xsi:type="xsd:double"&gt;17.0357315446723&lt;/D&gt;&lt;D xsi:type="xsd:double"&gt;19.1340927393247&lt;/D&gt;&lt;D xsi:type="xsd:double"&gt;18.3466638170294&lt;/D&gt;&lt;D xsi:type="xsd:double"&gt;24.3288208478224&lt;/D&gt;&lt;D xsi:type="xsd:double"&gt;44.925223167695&lt;/D&gt;&lt;D xsi:type="xsd:double"&gt;42.2802481730877&lt;/D&gt;&lt;D xsi:type="xsd:double"&gt;39.584429081175&lt;/D&gt;&lt;D xsi:type="xsd:double"&gt;36.5333591446011&lt;/D&gt;&lt;D xsi:type="xsd:double"&gt;33.483948253963&lt;/D&gt;&lt;D xsi:type="xsd:double"&gt;31.1144744548403&lt;/D&gt;&lt;D xsi:type="xsd:double"&gt;27.7050949188422&lt;/D&gt;&lt;D xsi:type="xsd:double"&gt;24.8459512457413&lt;/D&gt;&lt;D xsi:type="xsd:double"&gt;22.9953626954865&lt;/D&gt;&lt;D xsi:type="xsd:double"&gt;20.7744879550874&lt;/D&gt;&lt;D xsi:type="xsd:double"&gt;17.9614432089949&lt;/D&gt;&lt;D xsi:type="xsd:double"&gt;14.256068631385&lt;/D&gt;&lt;D xsi:type="xsd:double"&gt;15.4341594905217&lt;/D&gt;&lt;D xsi:type="xsd:double"&gt;15.206613016826&lt;/D&gt;&lt;D xsi:type="xsd:double"&gt;15.1054415846917&lt;/D&gt;&lt;D xsi:type="xsd:double"&gt;14.9456084735528&lt;/D&gt;&lt;D xsi:type="xsd:double"&gt;14.4259968433632&lt;/D&gt;&lt;D xsi:type="xsd:double"&gt;14.4376718301794&lt;/D&gt;&lt;D xsi:type="xsd:double"&gt;15.1038076396175&lt;/D&gt;&lt;D xsi:type="xsd:double"&gt;14.5602987797429&lt;/D&gt;&lt;D xsi:type="xsd:double"&gt;14.3910023363138&lt;/D&gt;&lt;D xsi:type="xsd:double"&gt;14.4867861339462&lt;/D&gt;&lt;D xsi:type="xsd:double"&gt;28.0160351074272&lt;/D&gt;&lt;D xsi:type="xsd:double"&gt;20.4174498420508&lt;/D&gt;&lt;D xsi:type="xsd:double"&gt;85.3564615635191&lt;/D&gt;&lt;D xsi:type="xsd:double"&gt;78.1002093330944&lt;/D&gt;&lt;D xsi:type="xsd:double"&gt;71.0844759653779&lt;/D&gt;&lt;D xsi:type="xsd:double"&gt;64.0285620945993&lt;/D&gt;&lt;D xsi:type="xsd:double"&gt;56.8092072651158&lt;/D&gt;&lt;D xsi:type="xsd:double"&gt;49.7476975282875&lt;/D&gt;&lt;D xsi:type="xsd:double"&gt;42.9328744031754&lt;/D&gt;&lt;D xsi:type="xsd:double"&gt;35.8716422232018&lt;/D&gt;&lt;D xsi:type="xsd:double"&gt;28.8236970843374&lt;/D&gt;&lt;D xsi:type="xsd:double"&gt;22.2411344838242&lt;/D&gt;&lt;D xsi:type="xsd:double"&gt;15.0329666049037&lt;/D&gt;&lt;D xsi:type="xsd:double"&gt;15.4206696166956&lt;/D&gt;&lt;D xsi:type="xsd:double"&gt;14.1696212278114&lt;/D&gt;&lt;D xsi:type="xsd:double"&gt;14.0569354235395&lt;/D&gt;&lt;D xsi:type="xsd:double"&gt;14.1834243342098&lt;/D&gt;&lt;D xsi:type="xsd:double"&gt;13.5979394796518&lt;/D&gt;&lt;D xsi:type="xsd:double"&gt;13.3079904494722&lt;/D&gt;&lt;D xsi:type="xsd:double"&gt;13.1387089321782&lt;/D&gt;&lt;D xsi:type="xsd:double"&gt;12.4458594415345&lt;/D&gt;&lt;D xsi:type="xsd:double"&gt;12.2866821666902&lt;/D&gt;&lt;D xsi:type="xsd:double"&gt;11.5501657389104&lt;/D&gt;&lt;D xsi:type="xsd:double"&gt;11.2501124890291&lt;/D&gt;&lt;D xsi:type="xsd:double"&gt;10.3613469930161&lt;/D&gt;&lt;D xsi:type="xsd:double"&gt;11.0367709734709&lt;/D&gt;&lt;D xsi:type="xsd:double"&gt;11.2968756302449&lt;/D&gt;&lt;D xsi:type="xsd:double"&gt;11.3697294365886&lt;/D&gt;&lt;D xsi:type="xsd:double"&gt;11.34433898976&lt;/D&gt;&lt;D xsi:type="xsd:double"&gt;10.8459301451374&lt;/D&gt;&lt;D xsi:type="xsd:double"&gt;11.2832911384678&lt;/D&gt;&lt;D xsi:type="xsd:double"&gt;11.0615612962911&lt;/D&gt;&lt;D xsi:type="xsd:double"&gt;11.1073837280429&lt;/D&gt;&lt;D xsi:type="xsd:double"&gt;11.0149143282132&lt;/D&gt;&lt;D xsi:type="xsd:double"&gt;11.7720322730905&lt;/D&gt;&lt;D xsi:type="xsd:double"&gt;11.6849469762168&lt;/D&gt;&lt;D xsi:type="xsd:double"&gt;12.1860381147651&lt;/D&gt;&lt;D xsi:type="xsd:double"&gt;12.0898123968424&lt;/D&gt;&lt;D xsi:type="xsd:double"&gt;11.3222134381871&lt;/D&gt;&lt;D xsi:type="xsd:double"&gt;11.0870115154984&lt;/D&gt;&lt;D xsi:type="xsd:double"&gt;12.6078208976612&lt;/D&gt;&lt;D xsi:type="xsd:double"&gt;15.3878353032504&lt;/D&gt;&lt;D xsi:type="xsd:double"&gt;17.0037692368536&lt;/D&gt;&lt;D xsi:type="xsd:double"&gt;17.1026681195388&lt;/D&gt;&lt;D xsi:type="xsd:double"&gt;17.7873035022738&lt;/D&gt;&lt;D xsi:type="xsd:double"&gt;18.115127925755&lt;/D&gt;&lt;D xsi:type="xsd:double"&gt;18.9861391640907&lt;/D&gt;&lt;D xsi:type="xsd:double"&gt;22.2848570858848&lt;/D&gt;&lt;D xsi:type="xsd:double"&gt;23.3237130000973&lt;/D&gt;&lt;D xsi:type="xsd:double"&gt;20.8434331280975&lt;/D&gt;&lt;D xsi:type="xsd:double"&gt;20.2157912063969&lt;/D&gt;&lt;D xsi:type="xsd:double"&gt;19.7895671723476&lt;/D&gt;&lt;D xsi:type="xsd:double"&gt;19.0835324332974&lt;/D&gt;&lt;D xsi:type="xsd:double"&gt;18.5784915143196&lt;/D&gt;&lt;D xsi:type="xsd:double"&gt;17.9766484038761&lt;/D&gt;&lt;D xsi:type="xsd:double"&gt;16.5263360904963&lt;/D&gt;&lt;D xsi:type="xsd:double"&gt;15.5697007485226&lt;/D&gt;&lt;D xsi:type="xsd:double"&gt;14.6199042510871&lt;/D&gt;&lt;D xsi:type="xsd:double"&gt;14.0924573306732&lt;/D&gt;&lt;D xsi:type="xsd:double"&gt;12.2946929957655&lt;/D&gt;&lt;D xsi:type="xsd:double"&gt;12.2967057420443&lt;/D&gt;&lt;D xsi:type="xsd:double"&gt;11.9717111543935&lt;/D&gt;&lt;D xsi:type="xsd:double"&gt;10.5783037832588&lt;/D&gt;&lt;D xsi:type="xsd:double"&gt;10.582352330359&lt;/D&gt;&lt;D xsi:type="xsd:double"&gt;10.3683279105526&lt;/D&gt;&lt;D xsi:type="xsd:double"&gt;9.96986201910191&lt;/D&gt;&lt;D xsi:type="xsd:double"&gt;9.32052182494765&lt;/D&gt;&lt;D xsi:type="xsd:double"&gt;8.95316874508229&lt;/D&gt;&lt;D xsi:type="xsd:double"&gt;8.51641207644438&lt;/D&gt;&lt;D xsi:type="xsd:double"&gt;8.07065127754682&lt;/D&gt;&lt;D xsi:type="xsd:double"&gt;8.10325817925491&lt;/D&gt;&lt;D xsi:type="xsd:double"&gt;7.88335706991699&lt;/D&gt;&lt;D xsi:type="xsd:double"&gt;7.60338179702673&lt;/D&gt;&lt;D xsi:type="xsd:double"&gt;8.18862995108811&lt;/D&gt;&lt;D xsi:type="xsd:double"&gt;8.32077859114348&lt;/D&gt;&lt;D xsi:type="xsd:double"&gt;8.32332791635696&lt;/D&gt;&lt;D xsi:type="xsd:double"&gt;8.30976089361933&lt;/D&gt;&lt;D xsi:type="xsd:double"&gt;8.41175433140411&lt;/D&gt;&lt;D xsi:type="xsd:double"&gt;8.63358897342958&lt;/D&gt;&lt;D xsi:type="xsd:double"&gt;8.32234466248113&lt;/D&gt;&lt;D xsi:type="xsd:double"&gt;8.38806422040202&lt;/D&gt;&lt;D xsi:type="xsd:double"&gt;8.07045796963924&lt;/D&gt;&lt;D xsi:type="xsd:double"&gt;8.20974373902798&lt;/D&gt;&lt;D xsi:type="xsd:double"&gt;8.63230951448981&lt;/D&gt;&lt;D xsi:type="xsd:double"&gt;8.79119855936909&lt;/D&gt;&lt;D xsi:type="xsd:double"&gt;9.08470140936237&lt;/D&gt;&lt;D xsi:type="xsd:double"&gt;9.36063616388658&lt;/D&gt;&lt;D xsi:type="xsd:double"&gt;9.47076129316944&lt;/D&gt;&lt;D xsi:type="xsd:double"&gt;9.45969729812926&lt;/D&gt;&lt;D xsi:type="xsd:double"&gt;9.60597937691154&lt;/D&gt;&lt;D xsi:type="xsd:double"&gt;9.52767002545634&lt;/D&gt;&lt;D xsi:type="xsd:double"&gt;9.4831477670518&lt;/D&gt;&lt;D xsi:type="xsd:double"&gt;10.0286250135954&lt;/D&gt;&lt;D xsi:type="xsd:double"&gt;10.1645252110608&lt;/D&gt;&lt;/FQL&gt;&lt;FQL&gt;&lt;Q&gt;EWD^FMA_PE(LTMA,-10AY,0,AM,"PORTAGG","MEANR")&lt;/Q&gt;&lt;R&gt;121&lt;/R&gt;&lt;C&gt;1&lt;/C&gt;&lt;D xsi:type="xsd:double"&gt;15.7984597954535&lt;/D&gt;&lt;D xsi:type="xsd:double"&gt;16.4982596723873&lt;/D&gt;&lt;D xsi:type="xsd:double"&gt;17.4228717735408&lt;/D&gt;&lt;D xsi:type="xsd:double"&gt;17.5611304283267&lt;/D&gt;&lt;D xsi:type="xsd:double"&gt;18.9081971594483&lt;/D&gt;&lt;D xsi:type="xsd:double"&gt;20.2152360009756&lt;/D&gt;&lt;D xsi:type="xsd:double"&gt;19.9577239367745&lt;/D&gt;&lt;D xsi:type="xsd:double"&gt;19.2562506036483&lt;/D&gt;&lt;D xsi:type="xsd:double"&gt;19.2424519747831&lt;/D&gt;&lt;D xsi:type="xsd:double"&gt;18.5594823200711&lt;/D&gt;&lt;D xsi:type="xsd:double"&gt;18.4809025540134&lt;/D&gt;&lt;D xsi:type="xsd:double"&gt;17.4645287819326&lt;/D&gt;&lt;D xsi:type="xsd:double"&gt;16.4681325303132&lt;/D&gt;&lt;D xsi:type="xsd:double"&gt;17.244545182686&lt;/D&gt;&lt;D xsi:type="xsd:double"&gt;17.007429647037&lt;/D&gt;&lt;D xsi:type="xsd:double"&gt;16.0162580656525&lt;/D&gt;&lt;D xsi:type="xsd:double"&gt;14.5014658626699&lt;/D&gt;&lt;D xsi:type="xsd:double"&gt;15.6209044187143&lt;/D&gt;&lt;D xsi:type="xsd:double"&gt;15.5496259742074&lt;/D&gt;&lt;D xsi:type="xsd:double"&gt;15.5681815408176&lt;/D&gt;&lt;D xsi:type="xsd:double"&gt;15.4832213384227&lt;/D&gt;&lt;D xsi:type="xsd:double"&gt;15.4538294040505&lt;/D&gt;&lt;D xsi:type="xsd:double"&gt;15.6065440221496&lt;/D&gt;&lt;D xsi:type="xsd:double"&gt;16.2003736307799&lt;/D&gt;&lt;D xsi:type="xsd:double"&gt;16.492215177308&lt;/D&gt;&lt;D xsi:type="xsd:double"&gt;16.6699875281011&lt;/D&gt;&lt;D xsi:type="xsd:double"&gt;17.3004395096195&lt;/D&gt;&lt;D xsi:type="xsd:double"&gt;18.4010847738681&lt;/D&gt;&lt;D xsi:type="xsd:double"&gt;17.317713288186&lt;/D&gt;&lt;D xsi:type="xsd:double"&gt;17.4512606454946&lt;/D&gt;&lt;D xsi:type="xsd:double"&gt;17.5591086967879&lt;/D&gt;&lt;D xsi:type="xsd:double"&gt;17.6706425762957&lt;/D&gt;&lt;D xsi:type="xsd:double"&gt;18.1528829143027&lt;/D&gt;&lt;D xsi:type="xsd:double"&gt;17.6072549666568&lt;/D&gt;&lt;D xsi:type="xsd:double"&gt;16.9743181303535&lt;/D&gt;&lt;D xsi:type="xsd:double"&gt;16.9755886646677&lt;/D&gt;&lt;D xsi:type="xsd:double"&gt;17.8342967939498&lt;/D&gt;&lt;D xsi:type="xsd:double"&gt;18.5544382013791&lt;/D&gt;&lt;D xsi:type="xsd:double"&gt;17.8216889028726&lt;/D&gt;&lt;D xsi:type="xsd:double"&gt;18.0235599006918&lt;/D&gt;&lt;D xsi:type="xsd:double"&gt;18.7371641814784&lt;/D&gt;&lt;D xsi:type="xsd:double"&gt;16.8815747774007&lt;/D&gt;&lt;D xsi:type="xsd:double"&gt;16.743268649486&lt;/D&gt;&lt;D xsi:type="xsd:double"&gt;16.7487213101668&lt;/D&gt;&lt;D xsi:type="xsd:double"&gt;16.6276635043872&lt;/D&gt;&lt;D xsi:type="xsd:double"&gt;16.3719159528033&lt;/D&gt;&lt;D xsi:type="xsd:double"&gt;16.5915548331113&lt;/D&gt;&lt;D xsi:type="xsd:double"&gt;16.8131756196541&lt;/D&gt;&lt;D xsi:type="xsd:double"&gt;16.9480599211101&lt;/D&gt;&lt;D xsi:type="xsd:double"&gt;15.4743853477997&lt;/D&gt;&lt;D xsi:type="xsd:double"&gt;14.943200276527&lt;/D&gt;&lt;D xsi:type="xsd:double"&gt;13.6332878146363&lt;/D&gt;&lt;D xsi:type="xsd:double"&gt;16.2348727994808&lt;/D&gt;&lt;D xsi:type="xsd:double"&gt;18.1610367121294&lt;/D&gt;&lt;D xsi:type="xsd:double"&gt;17.9313982759519&lt;/D&gt;&lt;D xsi:type="xsd:double"&gt;17.8458656942351&lt;/D&gt;&lt;D xsi:type="xsd:double"&gt;16.9620431269793&lt;/D&gt;&lt;D xsi:type="xsd:double"&gt;17.2231189993168&lt;/D&gt;&lt;D xsi:type="xsd:double"&gt;16.6021513782042&lt;/D&gt;&lt;D xsi:type="xsd:double"&gt;15.7891779209266&lt;/D&gt;&lt;D xsi:type="xsd:double"&gt;16.0283352271682&lt;/D&gt;&lt;D xsi:type="xsd:double"&gt;16.8402932528477&lt;/D&gt;&lt;D xsi:type="xsd:double"&gt;15.5753926684125&lt;/D&gt;&lt;D xsi:type="xsd:double"&gt;16.3339184135267&lt;/D&gt;&lt;D xsi:type="xsd:double"&gt;13.8988318529285&lt;/D&gt;&lt;D xsi:type="xsd:double"&gt;12.9550946154643&lt;/D&gt;&lt;D xsi:type="xsd:double"&gt;13.0293895823384&lt;/D&gt;&lt;D xsi:type="xsd:double"&gt;14.6114326531905&lt;/D&gt;&lt;D xsi:type="xsd:double"&gt;16.442794122504&lt;/D&gt;&lt;D xsi:type="xsd:double"&gt;17.5662302819605&lt;/D&gt;&lt;D xsi:type="xsd:double"&gt;17.2235161976662&lt;/D&gt;&lt;D xsi:type="xsd:double"&gt;17.2001966094543&lt;/D&gt;&lt;D xsi:type="xsd:double"&gt;18.0170875171368&lt;/D&gt;&lt;D xsi:type="xsd:double"&gt;15.4993259520369&lt;/D&gt;&lt;D xsi:type="xsd:double"&gt;16.990189258895&lt;/D&gt;&lt;D xsi:type="xsd:double"&gt;17.91501057852&lt;/D&gt;&lt;D xsi:type="xsd:double"&gt;18.3652259069329&lt;/D&gt;&lt;D xsi:type="xsd:double"&gt;17.6977859814152&lt;/D&gt;&lt;D xsi:type="xsd:double"&gt;18.167370415933&lt;/D&gt;&lt;D xsi:type="xsd:double"&gt;17.8920516737847&lt;/D&gt;&lt;D xsi:type="xsd:double"&gt;17.8735013747947&lt;/D&gt;&lt;D xsi:type="xsd:double"&gt;18.0065970890013&lt;/D&gt;&lt;D xsi:type="xsd:double"&gt;17.5547806634171&lt;/D&gt;&lt;D xsi:type="xsd:double"&gt;17.5730624134928&lt;/D&gt;&lt;D xsi:type="xsd:double"&gt;16.9609070654628&lt;/D&gt;&lt;D xsi:type="xsd:double"&gt;16.5875213087233&lt;/D&gt;&lt;D xsi:type="xsd:double"&gt;16.1153719464167&lt;/D&gt;&lt;D xsi:type="xsd:double"&gt;16.8898189156619&lt;/D&gt;&lt;D xsi:type="xsd:double"&gt;12.3766514792184&lt;/D&gt;&lt;D xsi:type="xsd:double"&gt;11.5810197625436&lt;/D&gt;&lt;D xsi:type="xsd:double"&gt;12.1023299211123&lt;/D&gt;&lt;D xsi:type="xsd:double"&gt;12.2335690383486&lt;/D&gt;&lt;D xsi:type="xsd:double"&gt;13.8639753999406&lt;/D&gt;&lt;D xsi:type="xsd:double"&gt;13.3077306699604&lt;/D&gt;&lt;D xsi:type="xsd:double"&gt;14.6701800237652&lt;/D&gt;&lt;D xsi:type="xsd:double"&gt;14.4811894667685&lt;/D&gt;&lt;D xsi:type="xsd:double"&gt;14.4266592520506&lt;/D&gt;&lt;D xsi:type="xsd:double"&gt;13.3172172004369&lt;/D&gt;&lt;D xsi:type="xsd:double"&gt;14.5318906899332&lt;/D&gt;&lt;D xsi:type="xsd:double"&gt;15.7811607798168&lt;/D&gt;&lt;D xsi:type="xsd:double"&gt;27.3071878814011&lt;/D&gt;&lt;D xsi:type="xsd:double"&gt;25.5959309284219&lt;/D&gt;&lt;D xsi:type="xsd:double"&gt;24.3132234639604&lt;/D&gt;&lt;D xsi:type="xsd:double"&gt;23.1944379732794&lt;/D&gt;&lt;D xsi:type="xsd:double"&gt;22.0141634601108&lt;/D&gt;&lt;D xsi:type="xsd:double"&gt;20.7797357870635&lt;/D&gt;&lt;D xsi:type="xsd:double"&gt;19.2149649627305&lt;/D&gt;&lt;D xsi:type="xsd:double"&gt;17.9417896809596&lt;/D&gt;&lt;D xsi:type="xsd:double"&gt;16.4254346839643&lt;/D&gt;&lt;D xsi:type="xsd:double"&gt;15.9391565590592&lt;/D&gt;&lt;D xsi:type="xsd:double"&gt;17.5552709871896&lt;/D&gt;&lt;D xsi:type="xsd:double"&gt;17.4771796481084&lt;/D&gt;&lt;D xsi:type="xsd:double"&gt;15.09460915473&lt;/D&gt;&lt;D xsi:type="xsd:double"&gt;15.8068334118034&lt;/D&gt;&lt;D xsi:type="xsd:double"&gt;15.9129392496763&lt;/D&gt;&lt;D xsi:type="xsd:double"&gt;15.8865962529554&lt;/D&gt;&lt;D xsi:type="xsd:double"&gt;16.1047103190382&lt;/D&gt;&lt;D xsi:type="xsd:double"&gt;16.0924227990047&lt;/D&gt;&lt;D xsi:type="xsd:double"&gt;16.0177123041924&lt;/D&gt;&lt;D xsi:type="xsd:double"&gt;16.9808918602861&lt;/D&gt;&lt;D xsi:type="xsd:double"&gt;17.6451931504521&lt;/D&gt;&lt;/FQL&gt;&lt;FQL&gt;&lt;Q&gt;EWN^FMA_PE(LTMA,-10AY,0,AM,"PORTAGG","MEANR")&lt;/Q&gt;&lt;R&gt;121&lt;/R&gt;&lt;C&gt;1&lt;/C&gt;&lt;D xsi:type="xsd:double"&gt;16.5766289696311&lt;/D&gt;&lt;D xsi:type="xsd:double"&gt;16.8176275876322&lt;/D&gt;&lt;D xsi:type="xsd:double"&gt;18.0021656063934&lt;/D&gt;&lt;D xsi:type="xsd:double"&gt;17.5290952437531&lt;/D&gt;&lt;D xsi:type="xsd:double"&gt;18.7319276221044&lt;/D&gt;&lt;D xsi:type="xsd:double"&gt;20.0856047528254&lt;/D&gt;&lt;D xsi:type="xsd:double"&gt;19.935824790479&lt;/D&gt;&lt;D xsi:type="xsd:double"&gt;19.6264132950042&lt;/D&gt;&lt;D xsi:type="xsd:double"&gt;19.3704810648015&lt;/D&gt;&lt;D xsi:type="xsd:double"&gt;18.9265659133696&lt;/D&gt;&lt;D xsi:type="xsd:double"&gt;19.1260607507248&lt;/D&gt;&lt;D xsi:type="xsd:double"&gt;17.5249604350579&lt;/D&gt;&lt;D xsi:type="xsd:double"&gt;16.6411710548961&lt;/D&gt;&lt;D xsi:type="xsd:double"&gt;17.5446063421702&lt;/D&gt;&lt;D xsi:type="xsd:double"&gt;17.5600556366055&lt;/D&gt;&lt;D xsi:type="xsd:double"&gt;16.8706386495531&lt;/D&gt;&lt;D xsi:type="xsd:double"&gt;15.8540571992893&lt;/D&gt;&lt;D xsi:type="xsd:double"&gt;16.3931589554441&lt;/D&gt;&lt;D xsi:type="xsd:double"&gt;16.3502918095853&lt;/D&gt;&lt;D xsi:type="xsd:double"&gt;16.1554964359284&lt;/D&gt;&lt;D xsi:type="xsd:double"&gt;16.2764740674428&lt;/D&gt;&lt;D xsi:type="xsd:double"&gt;15.8183783091024&lt;/D&gt;&lt;D xsi:type="xsd:double"&gt;15.9238170902884&lt;/D&gt;&lt;D xsi:type="xsd:double"&gt;16.4169863010332&lt;/D&gt;&lt;D xsi:type="xsd:double"&gt;16.1522064060868&lt;/D&gt;&lt;D xsi:type="xsd:double"&gt;15.4471424415603&lt;/D&gt;&lt;D xsi:type="xsd:double"&gt;15.2558604741705&lt;/D&gt;&lt;D xsi:type="xsd:double"&gt;16.4183539429921&lt;/D&gt;&lt;D xsi:type="xsd:double"&gt;16.1696397085979&lt;/D&gt;&lt;D xsi:type="xsd:double"&gt;16.4546385533255&lt;/D&gt;&lt;D xsi:type="xsd:double"&gt;16.5023017901043&lt;/D&gt;&lt;D xsi:type="xsd:double"&gt;16.7154768712298&lt;/D&gt;&lt;D xsi:type="xsd:double"&gt;16.7707809086025&lt;/D&gt;&lt;D xsi:type="xsd:double"&gt;16.5334856240205&lt;/D&gt;&lt;D xsi:type="xsd:double"&gt;16.7089199177138&lt;/D&gt;&lt;D xsi:type="xsd:double"&gt;16.6016722981034&lt;/D&gt;&lt;D xsi:type="xsd:double"&gt;17.1048804068899&lt;/D&gt;&lt;D xsi:type="xsd:double"&gt;17.5878297905684&lt;/D&gt;&lt;D xsi:type="xsd:double"&gt;16.9747585624299&lt;/D&gt;&lt;D xsi:type="xsd:double"&gt;17.3014415525403&lt;/D&gt;&lt;D xsi:type="xsd:double"&gt;17.2807800920778&lt;/D&gt;&lt;D xsi:type="xsd:double"&gt;16.5897048139151&lt;/D&gt;&lt;D xsi:type="xsd:double"&gt;16.5339702225687&lt;/D&gt;&lt;D xsi:type="xsd:double"&gt;16.5153190944809&lt;/D&gt;&lt;D xsi:type="xsd:double"&gt;16.6365813063737&lt;/D&gt;&lt;D xsi:type="xsd:double"&gt;16.4887357336975&lt;/D&gt;&lt;D xsi:type="xsd:double"&gt;16.7994862466477&lt;/D&gt;&lt;D xsi:type="xsd:double"&gt;16.6007329052535&lt;/D&gt;&lt;D xsi:type="xsd:double"&gt;16.3310151291185&lt;/D&gt;&lt;D xsi:type="xsd:double"&gt;15.666116999648&lt;/D&gt;&lt;D xsi:type="xsd:double"&gt;15.4992548217868&lt;/D&gt;&lt;D xsi:type="xsd:double"&gt;13.9664656826312&lt;/D&gt;&lt;D xsi:type="xsd:double"&gt;15.2677384156241&lt;/D&gt;&lt;D xsi:type="xsd:double"&gt;16.1603659396246&lt;/D&gt;&lt;D xsi:type="xsd:double"&gt;16.2387604778869&lt;/D&gt;&lt;D xsi:type="xsd:double"&gt;16.3605987307984&lt;/D&gt;&lt;D xsi:type="xsd:double"&gt;16.0273974709778&lt;/D&gt;&lt;D xsi:type="xsd:double"&gt;16.5162958949991&lt;/D&gt;&lt;D xsi:type="xsd:double"&gt;16.3989457026391&lt;/D&gt;&lt;D xsi:type="xsd:double"&gt;16.6412932947114&lt;/D&gt;&lt;D xsi:type="xsd:double"&gt;16.7077209322091&lt;/D&gt;&lt;D xsi:type="xsd:double"&gt;17.4597494111542&lt;/D&gt;&lt;D xsi:type="xsd:double"&gt;17.7248910339229&lt;/D&gt;&lt;D xsi:type="xsd:double"&gt;18.8462828680056&lt;/D&gt;&lt;D xsi:type="xsd:double"&gt;18.5151670141443&lt;/D&gt;&lt;D xsi:type="xsd:double"&gt;17.3846894447494&lt;/D&gt;&lt;D xsi:type="xsd:double"&gt;16.8215824982218&lt;/D&gt;&lt;D xsi:type="xsd:double"&gt;17.8263060143421&lt;/D&gt;&lt;D xsi:type="xsd:double"&gt;19.0265222950673&lt;/D&gt;&lt;D xsi:type="xsd:double"&gt;19.752142348653&lt;/D&gt;&lt;D xsi:type="xsd:double"&gt;20.5311611929481&lt;/D&gt;&lt;D xsi:type="xsd:double"&gt;21.2878374864843&lt;/D&gt;&lt;D xsi:type="xsd:double"&gt;22.1076454273954&lt;/D&gt;&lt;D xsi:type="xsd:double"&gt;22.2651043353049&lt;/D&gt;&lt;D xsi:type="xsd:double"&gt;25.858374322188&lt;/D&gt;&lt;D xsi:type="xsd:double"&gt;27.3483402911446&lt;/D&gt;&lt;D xsi:type="xsd:double"&gt;28.0632955946369&lt;/D&gt;&lt;D xsi:type="xsd:double"&gt;28.8495787759945&lt;/D&gt;&lt;D xsi:type="xsd:double"&gt;28.6410000034421&lt;/D&gt;&lt;D xsi:type="xsd:double"&gt;27.8557995865209&lt;/D&gt;&lt;D xsi:type="xsd:double"&gt;27.0189073473071&lt;/D&gt;&lt;D xsi:type="xsd:double"&gt;26.5711065792281&lt;/D&gt;&lt;D xsi:type="xsd:double"&gt;26.2703079932964&lt;/D&gt;&lt;D xsi:type="xsd:double"&gt;25.910921233497&lt;/D&gt;&lt;D xsi:type="xsd:double"&gt;24.1534486506697&lt;/D&gt;&lt;D xsi:type="xsd:double"&gt;24.8221748775614&lt;/D&gt;&lt;D xsi:type="xsd:double"&gt;22.3955136617285&lt;/D&gt;&lt;D xsi:type="xsd:double"&gt;22.9274717861123&lt;/D&gt;&lt;D xsi:type="xsd:double"&gt;20.0356160022737&lt;/D&gt;&lt;D xsi:type="xsd:double"&gt;18.2787238171023&lt;/D&gt;&lt;D xsi:type="xsd:double"&gt;18.5764891902353&lt;/D&gt;&lt;D xsi:type="xsd:double"&gt;18.2231776141523&lt;/D&gt;&lt;D xsi:type="xsd:double"&gt;18.5384856092261&lt;/D&gt;&lt;D xsi:type="xsd:double"&gt;18.0143758381022&lt;/D&gt;&lt;D xsi:type="xsd:double"&gt;19.7915005747897&lt;/D&gt;&lt;D xsi:type="xsd:double"&gt;18.4443194280141&lt;/D&gt;&lt;D xsi:type="xsd:double"&gt;17.304292202293&lt;/D&gt;&lt;D xsi:type="xsd:double"&gt;17.0549027823753&lt;/D&gt;&lt;D xsi:type="xsd:double"&gt;18.4499237143737&lt;/D&gt;&lt;D xsi:type="xsd:double"&gt;18.144032538576&lt;/D&gt;&lt;D xsi:type="xsd:double"&gt;19.8760856868473&lt;/D&gt;&lt;D xsi:type="xsd:double"&gt;20.660992092137&lt;/D&gt;&lt;D xsi:type="xsd:double"&gt;20.3064408075902&lt;/D&gt;&lt;D xsi:type="xsd:double"&gt;19.74686218845&lt;/D&gt;&lt;D xsi:type="xsd:double"&gt;19.4460044430492&lt;/D&gt;&lt;D xsi:type="xsd:double"&gt;19.2554152819116&lt;/D&gt;&lt;D xsi:type="xsd:double"&gt;18.7658836614016&lt;/D&gt;&lt;D xsi:type="xsd:double"&gt;17.81697511593&lt;/D&gt;&lt;D xsi:type="xsd:double"&gt;16.3943975547764&lt;/D&gt;&lt;D xsi:type="xsd:double"&gt;16.2083596082488&lt;/D&gt;&lt;D xsi:type="xsd:double"&gt;16.3995440835698&lt;/D&gt;&lt;D xsi:type="xsd:double"&gt;16.1655547409178&lt;/D&gt;&lt;D xsi:type="xsd:double"&gt;17.4298785564111&lt;/D&gt;&lt;D xsi:type="xsd:double"&gt;18.5010343173902&lt;/D&gt;&lt;D xsi:type="xsd:double"&gt;18.4230195791785&lt;/D&gt;&lt;D xsi:type="xsd:double"&gt;18.1534152745547&lt;/D&gt;&lt;D xsi:type="xsd:double"&gt;18.3588182846681&lt;/D&gt;&lt;D xsi:type="xsd:double"&gt;18.4440048593604&lt;/D&gt;&lt;D xsi:type="xsd:double"&gt;17.2664074598249&lt;/D&gt;&lt;D xsi:type="xsd:double"&gt;17.5442696656293&lt;/D&gt;&lt;D xsi:type="xsd:double"&gt;17.7090082975402&lt;/D&gt;&lt;/FQL&gt;&lt;FQL&gt;&lt;Q&gt;EWQ^FMA_PE(LTMA,-10AY,0,AM,"PORTAGG","MEANR")&lt;/Q&gt;&lt;R&gt;121&lt;/R&gt;&lt;C&gt;1&lt;/C&gt;&lt;D xsi:type="xsd:double"&gt;15.0806966009467&lt;/D&gt;&lt;D xsi:type="xsd:double"&gt;14.8217084016865&lt;/D&gt;&lt;D xsi:type="xsd:double"&gt;15.4835326975836&lt;/D&gt;&lt;D xsi:type="xsd:double"&gt;15.0097912131255&lt;/D&gt;&lt;D xsi:type="xsd:double"&gt;16.4630184453116&lt;/D&gt;&lt;D xsi:type="xsd:double"&gt;17.5064200627723&lt;/D&gt;&lt;D xsi:type="xsd:double"&gt;17.5702056949852&lt;/D&gt;&lt;D xsi:type="xsd:double"&gt;17.4613249037491&lt;/D&gt;&lt;D xsi:type="xsd:double"&gt;17.4339034754119&lt;/D&gt;&lt;D xsi:type="xsd:double"&gt;16.9947151139488&lt;/D&gt;&lt;D xsi:type="xsd:double"&gt;17.2494076514522&lt;/D&gt;&lt;D xsi:type="xsd:double"&gt;16.1133194034977&lt;/D&gt;&lt;D xsi:type="xsd:double"&gt;15.5019152118394&lt;/D&gt;&lt;D xsi:type="xsd:double"&gt;16.4611145524177&lt;/D&gt;&lt;D xsi:type="xsd:double"&gt;15.8645899493487&lt;/D&gt;&lt;D xsi:type="xsd:double"&gt;15.4220750370538&lt;/D&gt;&lt;D xsi:type="xsd:double"&gt;14.1493162876484&lt;/D&gt;&lt;D xsi:type="xsd:double"&gt;15.1752993874239&lt;/D&gt;&lt;D xsi:type="xsd:double"&gt;15.0982386968912&lt;/D&gt;&lt;D xsi:type="xsd:double"&gt;15.1307619949165&lt;/D&gt;&lt;D xsi:type="xsd:double"&gt;15.1587629026133&lt;/D&gt;&lt;D xsi:type="xsd:double"&gt;14.851521350003&lt;/D&gt;&lt;D xsi:type="xsd:double"&gt;14.819840562752&lt;/D&gt;&lt;D xsi:type="xsd:double"&gt;15.1507258838969&lt;/D&gt;&lt;D xsi:type="xsd:double"&gt;14.887685309006&lt;/D&gt;&lt;D xsi:type="xsd:double"&gt;14.6727405152206&lt;/D&gt;&lt;D xsi:type="xsd:double"&gt;14.8672597288948&lt;/D&gt;&lt;D xsi:type="xsd:double"&gt;15.8756157897837&lt;/D&gt;&lt;D xsi:type="xsd:double"&gt;15.6304564442559&lt;/D&gt;&lt;D xsi:type="xsd:double"&gt;15.6320599128845&lt;/D&gt;&lt;D xsi:type="xsd:double"&gt;15.6422517099815&lt;/D&gt;&lt;D xsi:type="xsd:double"&gt;15.7849786042648&lt;/D&gt;&lt;D xsi:type="xsd:double"&gt;15.827294319433&lt;/D&gt;&lt;D xsi:type="xsd:double"&gt;15.6130143914712&lt;/D&gt;&lt;D xsi:type="xsd:double"&gt;15.54561502643&lt;/D&gt;&lt;D xsi:type="xsd:double"&gt;15.528032370634&lt;/D&gt;&lt;D xsi:type="xsd:double"&gt;16.0013288068656&lt;/D&gt;&lt;D xsi:type="xsd:double"&gt;16.3556429553545&lt;/D&gt;&lt;D xsi:type="xsd:double"&gt;15.97207081065&lt;/D&gt;&lt;D xsi:type="xsd:double"&gt;16.0165249966998&lt;/D&gt;&lt;D xsi:type="xsd:double"&gt;16.0985045047139&lt;/D&gt;&lt;D xsi:type="xsd:double"&gt;15.5409620442201&lt;/D&gt;&lt;D xsi:type="xsd:double"&gt;15.440409547696&lt;/D&gt;&lt;D xsi:type="xsd:double"&gt;15.5888281872975&lt;/D&gt;&lt;D xsi:type="xsd:double"&gt;15.4486688332309&lt;/D&gt;&lt;D xsi:type="xsd:double"&gt;15.1374782007389&lt;/D&gt;&lt;D xsi:type="xsd:double"&gt;15.2332785841115&lt;/D&gt;&lt;D xsi:type="xsd:double"&gt;15.0320387753647&lt;/D&gt;&lt;D xsi:type="xsd:double"&gt;15.0879958275257&lt;/D&gt;&lt;D xsi:type="xsd:double"&gt;14.1901749458689&lt;/D&gt;&lt;D xsi:type="xsd:double"&gt;13.9203291803643&lt;/D&gt;&lt;D xsi:type="xsd:double"&gt;12.5976408907026&lt;/D&gt;&lt;D xsi:type="xsd:double"&gt;13.8352055231773&lt;/D&gt;&lt;D xsi:type="xsd:double"&gt;14.5822107705839&lt;/D&gt;&lt;D xsi:type="xsd:double"&gt;14.6162963854293&lt;/D&gt;&lt;D xsi:type="xsd:double"&gt;14.6602947224629&lt;/D&gt;&lt;D xsi:type="xsd:double"&gt;14.3551218831313&lt;/D&gt;&lt;D xsi:type="xsd:double"&gt;14.7858761985871&lt;/D&gt;&lt;D xsi:type="xsd:double"&gt;14.5884795613391&lt;/D&gt;&lt;D xsi:type="xsd:double"&gt;14.739240528664&lt;/D&gt;&lt;D xsi:type="xsd:double"&gt;14.7462853627023&lt;/D&gt;&lt;D xsi:type="xsd:double"&gt;15.6943298828789&lt;/D&gt;&lt;D xsi:type="xsd:double"&gt;15.7099176069605&lt;/D&gt;&lt;D xsi:type="xsd:double"&gt;16.6621931038749&lt;/D&gt;&lt;D xsi:type="xsd:double"&gt;16.123998025213&lt;/D&gt;&lt;D xsi:type="xsd:double"&gt;14.6741661863449&lt;/D&gt;&lt;D xsi:type="xsd:double"&gt;14.3853848493077&lt;/D&gt;&lt;D xsi:type="xsd:double"&gt;15.9257249283881&lt;/D&gt;&lt;D xsi:type="xsd:double"&gt;17.6970601894105&lt;/D&gt;&lt;D xsi:type="xsd:double"&gt;18.9656557882576&lt;/D&gt;&lt;D xsi:type="xsd:double"&gt;21.1161222039634&lt;/D&gt;&lt;D xsi:type="xsd:double"&gt;22.8453892183117&lt;/D&gt;&lt;D xsi:type="xsd:double"&gt;23.2948091299294&lt;/D&gt;&lt;D xsi:type="xsd:double"&gt;23.8435923330449&lt;/D&gt;&lt;D xsi:type="xsd:double"&gt;28.2033424186574&lt;/D&gt;&lt;D xsi:type="xsd:double"&gt;28.8602296382272&lt;/D&gt;&lt;D xsi:type="xsd:double"&gt;27.8355634435602&lt;/D&gt;&lt;D xsi:type="xsd:double"&gt;26.9865603095587&lt;/D&gt;&lt;D xsi:type="xsd:double"&gt;26.301859730096&lt;/D&gt;&lt;D xsi:type="xsd:double"&gt;25.3971992979393&lt;/D&gt;&lt;D xsi:type="xsd:double"&gt;24.5397608966956&lt;/D&gt;&lt;D xsi:type="xsd:double"&gt;23.6069043412978&lt;/D&gt;&lt;D xsi:type="xsd:double"&gt;22.1790977014164&lt;/D&gt;&lt;D xsi:type="xsd:double"&gt;20.9659896351342&lt;/D&gt;&lt;D xsi:type="xsd:double"&gt;19.5068567864263&lt;/D&gt;&lt;D xsi:type="xsd:double"&gt;18.8587203610715&lt;/D&gt;&lt;D xsi:type="xsd:double"&gt;17.2841654450817&lt;/D&gt;&lt;D xsi:type="xsd:double"&gt;17.3247954087811&lt;/D&gt;&lt;D xsi:type="xsd:double"&gt;16.3322314651159&lt;/D&gt;&lt;D xsi:type="xsd:double"&gt;15.361207690437&lt;/D&gt;&lt;D xsi:type="xsd:double"&gt;15.2576768722874&lt;/D&gt;&lt;D xsi:type="xsd:double"&gt;14.7786258158376&lt;/D&gt;&lt;D xsi:type="xsd:double"&gt;14.3780401769351&lt;/D&gt;&lt;D xsi:type="xsd:double"&gt;13.5290358544542&lt;/D&gt;&lt;D xsi:type="xsd:double"&gt;13.2980563514446&lt;/D&gt;&lt;D xsi:type="xsd:double"&gt;12.5414968857251&lt;/D&gt;&lt;D xsi:type="xsd:double"&gt;11.4605267455135&lt;/D&gt;&lt;D xsi:type="xsd:double"&gt;11.6456695260686&lt;/D&gt;&lt;D xsi:type="xsd:double"&gt;12.2242042972976&lt;/D&gt;&lt;D xsi:type="xsd:double"&gt;11.7473577699942&lt;/D&gt;&lt;D xsi:type="xsd:double"&gt;13.1080849446261&lt;/D&gt;&lt;D xsi:type="xsd:double"&gt;12.9301934567478&lt;/D&gt;&lt;D xsi:type="xsd:double"&gt;13.0184252133433&lt;/D&gt;&lt;D xsi:type="xsd:double"&gt;13.1893024367397&lt;/D&gt;&lt;D xsi:type="xsd:double"&gt;13.1286576284963&lt;/D&gt;&lt;D xsi:type="xsd:double"&gt;13.296649936805&lt;/D&gt;&lt;D xsi:type="xsd:double"&gt;13.2196637924169&lt;/D&gt;&lt;D xsi:type="xsd:double"&gt;13.2788952110292&lt;/D&gt;&lt;D xsi:type="xsd:double"&gt;12.755557908184&lt;/D&gt;&lt;D xsi:type="xsd:double"&gt;12.8915689948321&lt;/D&gt;&lt;D xsi:type="xsd:double"&gt;13.5488907342188&lt;/D&gt;&lt;D xsi:type="xsd:double"&gt;13.8254265732522&lt;/D&gt;&lt;D xsi:type="xsd:double"&gt;14.3985921799581&lt;/D&gt;&lt;D xsi:type="xsd:double"&gt;15.4932826627425&lt;/D&gt;&lt;D xsi:type="xsd:double"&gt;15.5069835118665&lt;/D&gt;&lt;D xsi:type="xsd:double"&gt;15.3848784814934&lt;/D&gt;&lt;D xsi:type="xsd:double"&gt;15.3683511877365&lt;/D&gt;&lt;D xsi:type="xsd:double"&gt;15.010833283324&lt;/D&gt;&lt;D xsi:type="xsd:double"&gt;14.687459627024&lt;/D&gt;&lt;D xsi:type="xsd:double"&gt;14.9882775902557&lt;/D&gt;&lt;D xsi:type="xsd:double"&gt;15.1546831838937&lt;/D&gt;&lt;/FQL&gt;&lt;FQL&gt;&lt;Q&gt;SPY^FMA_PE(LTMA,-10AY,0,AM,"PORTAGG","MEANR")&lt;/Q&gt;&lt;R&gt;121&lt;/R&gt;&lt;C&gt;1&lt;/C&gt;&lt;D xsi:type="xsd:double"&gt;16.3629751097438&lt;/D&gt;&lt;D xsi:type="xsd:double"&gt;16.7330577939498&lt;/D&gt;&lt;D xsi:type="xsd:double"&gt;17.2095470408453&lt;/D&gt;&lt;D xsi:type="xsd:double"&gt;17.2880609023596&lt;/D&gt;&lt;D xsi:type="xsd:double"&gt;17.1947574540741&lt;/D&gt;&lt;D xsi:type="xsd:double"&gt;17.5931233746036&lt;/D&gt;&lt;D xsi:type="xsd:double"&gt;17.4862016147174&lt;/D&gt;&lt;D xsi:type="xsd:double"&gt;17.5540375738837&lt;/D&gt;&lt;D xsi:type="xsd:double"&gt;17.5344168908543&lt;/D&gt;&lt;D xsi:type="xsd:double"&gt;17.3881398304416&lt;/D&gt;&lt;D xsi:type="xsd:double"&gt;17.500929483221&lt;/D&gt;&lt;D xsi:type="xsd:double"&gt;16.6916860482252&lt;/D&gt;&lt;D xsi:type="xsd:double"&gt;16.6496234324281&lt;/D&gt;&lt;D xsi:type="xsd:double"&gt;17.6463025880259&lt;/D&gt;&lt;D xsi:type="xsd:double"&gt;17.1697577997956&lt;/D&gt;&lt;D xsi:type="xsd:double"&gt;17.1423143271944&lt;/D&gt;&lt;D xsi:type="xsd:double"&gt;16.2966838906097&lt;/D&gt;&lt;D xsi:type="xsd:double"&gt;16.18819342752&lt;/D&gt;&lt;D xsi:type="xsd:double"&gt;16.4452153070474&lt;/D&gt;&lt;D xsi:type="xsd:double"&gt;16.565182572191&lt;/D&gt;&lt;D xsi:type="xsd:double"&gt;16.7753482194953&lt;/D&gt;&lt;D xsi:type="xsd:double"&gt;16.9159239183927&lt;/D&gt;&lt;D xsi:type="xsd:double"&gt;17.3601662966413&lt;/D&gt;&lt;D xsi:type="xsd:double"&gt;17.6159089870747&lt;/D&gt;&lt;D xsi:type="xsd:double"&gt;17.7215867947656&lt;/D&gt;&lt;D xsi:type="xsd:double"&gt;17.3180652605837&lt;/D&gt;&lt;D xsi:type="xsd:double"&gt;18.2194455870168&lt;/D&gt;&lt;D xsi:type="xsd:double"&gt;18.9495789753272&lt;/D&gt;&lt;D xsi:type="xsd:double"&gt;19.0470058282493&lt;/D&gt;&lt;D xsi:type="xsd:double"&gt;19.5059964529408&lt;/D&gt;&lt;D xsi:type="xsd:double"&gt;19.3204050300475&lt;/D&gt;&lt;D xsi:type="xsd:double"&gt;19.2116860368424&lt;/D&gt;&lt;D xsi:type="xsd:double"&gt;19.238310359636&lt;/D&gt;&lt;D xsi:type="xsd:double"&gt;19.0961398757214&lt;/D&gt;&lt;D xsi:type="xsd:double"&gt;19.1586661819704&lt;/D&gt;&lt;D xsi:type="xsd:double"&gt;19.0917620071552&lt;/D&gt;&lt;D xsi:type="xsd:double"&gt;19.4145947335308&lt;/D&gt;&lt;D xsi:type="xsd:double"&gt;19.6418530820794&lt;/D&gt;&lt;D xsi:type="xsd:double"&gt;19.9910531942729&lt;/D&gt;&lt;D xsi:type="xsd:double"&gt;20.5172800070221&lt;/D&gt;&lt;D xsi:type="xsd:double"&gt;20.4222110096896&lt;/D&gt;&lt;D xsi:type="xsd:double"&gt;19.753213097976&lt;/D&gt;&lt;D xsi:type="xsd:double"&gt;19.347839230935&lt;/D&gt;&lt;D xsi:type="xsd:double"&gt;18.998969243499&lt;/D&gt;&lt;D xsi:type="xsd:double"&gt;18.9236411247262&lt;/D&gt;&lt;D xsi:type="xsd:double"&gt;18.5562986133552&lt;/D&gt;&lt;D xsi:type="xsd:double"&gt;18.6694704620637&lt;/D&gt;&lt;D xsi:type="xsd:double"&gt;18.7016893540282&lt;/D&gt;&lt;D xsi:type="xsd:double"&gt;18.625115050498&lt;/D&gt;&lt;D xsi:type="xsd:double"&gt;17.3250553415588&lt;/D&gt;&lt;D xsi:type="xsd:double"&gt;17.4030089268716&lt;/D&gt;&lt;D xsi:type="xsd:double"&gt;15.13958</t>
        </r>
      </text>
    </comment>
    <comment ref="A12" authorId="0" shapeId="0" xr:uid="{7937AE1E-A546-4B6D-B6DA-69F7A579DEDE}">
      <text>
        <r>
          <rPr>
            <b/>
            <sz val="9"/>
            <color indexed="81"/>
            <rFont val="Tahoma"/>
            <charset val="1"/>
          </rPr>
          <t>50755328&lt;/D&gt;&lt;D xsi:type="xsd:double"&gt;16.6963695379994&lt;/D&gt;&lt;D xsi:type="xsd:double"&gt;17.1278184580145&lt;/D&gt;&lt;D xsi:type="xsd:double"&gt;17.1892613798775&lt;/D&gt;&lt;D xsi:type="xsd:double"&gt;17.3212839658182&lt;/D&gt;&lt;D xsi:type="xsd:double"&gt;16.8475410678125&lt;/D&gt;&lt;D xsi:type="xsd:double"&gt;17.5797539544443&lt;/D&gt;&lt;D xsi:type="xsd:double"&gt;17.4926407293234&lt;/D&gt;&lt;D xsi:type="xsd:double"&gt;17.4548901974621&lt;/D&gt;&lt;D xsi:type="xsd:double"&gt;17.596330981886&lt;/D&gt;&lt;D xsi:type="xsd:double"&gt;18.4911432058284&lt;/D&gt;&lt;D xsi:type="xsd:double"&gt;18.8446619129974&lt;/D&gt;&lt;D xsi:type="xsd:double"&gt;19.8915398417839&lt;/D&gt;&lt;D xsi:type="xsd:double"&gt;19.796393140348&lt;/D&gt;&lt;D xsi:type="xsd:double"&gt;17.9446756852307&lt;/D&gt;&lt;D xsi:type="xsd:double"&gt;17.5570404564108&lt;/D&gt;&lt;D xsi:type="xsd:double"&gt;19.1940770705635&lt;/D&gt;&lt;D xsi:type="xsd:double"&gt;20.7758625391569&lt;/D&gt;&lt;D xsi:type="xsd:double"&gt;21.3671575464668&lt;/D&gt;&lt;D xsi:type="xsd:double"&gt;22.2480831053041&lt;/D&gt;&lt;D xsi:type="xsd:double"&gt;23.5191059055412&lt;/D&gt;&lt;D xsi:type="xsd:double"&gt;23.5187738698152&lt;/D&gt;&lt;D xsi:type="xsd:double"&gt;23.4656978621943&lt;/D&gt;&lt;D xsi:type="xsd:double"&gt;25.664153585031&lt;/D&gt;&lt;D xsi:type="xsd:double"&gt;27.4234727585739&lt;/D&gt;&lt;D xsi:type="xsd:double"&gt;26.9152934191327&lt;/D&gt;&lt;D xsi:type="xsd:double"&gt;26.2284025183675&lt;/D&gt;&lt;D xsi:type="xsd:double"&gt;26.0393844562976&lt;/D&gt;&lt;D xsi:type="xsd:double"&gt;25.5508963974932&lt;/D&gt;&lt;D xsi:type="xsd:double"&gt;24.9990155286413&lt;/D&gt;&lt;D xsi:type="xsd:double"&gt;24.9298723595506&lt;/D&gt;&lt;D xsi:type="xsd:double"&gt;24.1722356829835&lt;/D&gt;&lt;D xsi:type="xsd:double"&gt;24.0082795083547&lt;/D&gt;&lt;D xsi:type="xsd:double"&gt;23.0654724826718&lt;/D&gt;&lt;D xsi:type="xsd:double"&gt;23.4592935504661&lt;/D&gt;&lt;D xsi:type="xsd:double"&gt;22.4745265712163&lt;/D&gt;&lt;D xsi:type="xsd:double"&gt;23.3651649541027&lt;/D&gt;&lt;D xsi:type="xsd:double"&gt;21.5272365898831&lt;/D&gt;&lt;D xsi:type="xsd:double"&gt;20.6940602049107&lt;/D&gt;&lt;D xsi:type="xsd:double"&gt;20.7160792587207&lt;/D&gt;&lt;D xsi:type="xsd:double"&gt;20.0509688724668&lt;/D&gt;&lt;D xsi:type="xsd:double"&gt;19.6695176573554&lt;/D&gt;&lt;D xsi:type="xsd:double"&gt;18.8216822917882&lt;/D&gt;&lt;D xsi:type="xsd:double"&gt;19.3882009698087&lt;/D&gt;&lt;D xsi:type="xsd:double"&gt;18.5435434035316&lt;/D&gt;&lt;D xsi:type="xsd:double"&gt;17.5367570829853&lt;/D&gt;&lt;D xsi:type="xsd:double"&gt;17.4838762431132&lt;/D&gt;&lt;D xsi:type="xsd:double"&gt;18.6182341205006&lt;/D&gt;&lt;D xsi:type="xsd:double"&gt;17.3268311828723&lt;/D&gt;&lt;D xsi:type="xsd:double"&gt;18.8100144148161&lt;/D&gt;&lt;D xsi:type="xsd:double"&gt;18.1092840330414&lt;/D&gt;&lt;D xsi:type="xsd:double"&gt;18.2414376675997&lt;/D&gt;&lt;D xsi:type="xsd:double"&gt;18.2203320404062&lt;/D&gt;&lt;D xsi:type="xsd:double"&gt;18.6056780188628&lt;/D&gt;&lt;D xsi:type="xsd:double"&gt;19.1666855557414&lt;/D&gt;&lt;D xsi:type="xsd:double"&gt;19.4773399692477&lt;/D&gt;&lt;D xsi:type="xsd:double"&gt;19.5863861151849&lt;/D&gt;&lt;D xsi:type="xsd:double"&gt;18.8716252050015&lt;/D&gt;&lt;D xsi:type="xsd:double"&gt;19.5024063568751&lt;/D&gt;&lt;D xsi:type="xsd:double"&gt;20.5743546479913&lt;/D&gt;&lt;D xsi:type="xsd:double"&gt;21.4331412083145&lt;/D&gt;&lt;D xsi:type="xsd:double"&gt;22.3918396599699&lt;/D&gt;&lt;D xsi:type="xsd:double"&gt;22.7964366730676&lt;/D&gt;&lt;D xsi:type="xsd:double"&gt;22.6951691450035&lt;/D&gt;&lt;D xsi:type="xsd:double"&gt;22.4310224651834&lt;/D&gt;&lt;D xsi:type="xsd:double"&gt;22.4968991018451&lt;/D&gt;&lt;D xsi:type="xsd:double"&gt;22.9349745580438&lt;/D&gt;&lt;D xsi:type="xsd:double"&gt;22.4720943744666&lt;/D&gt;&lt;D xsi:type="xsd:double"&gt;22.908126721095&lt;/D&gt;&lt;D xsi:type="xsd:double"&gt;23.5839495136177&lt;/D&gt;&lt;/FQL&gt;&lt;FQL&gt;&lt;Q&gt;QQQ^FMA_PE(LTMA,-10AY,0,AM,"PORTAGG","MEANR")&lt;/Q&gt;&lt;R&gt;121&lt;/R&gt;&lt;C&gt;1&lt;/C&gt;&lt;D xsi:type="xsd:double"&gt;19.2525087136177&lt;/D&gt;&lt;D xsi:type="xsd:double"&gt;19.8038690348495&lt;/D&gt;&lt;D xsi:type="xsd:double"&gt;20.4446249572432&lt;/D&gt;&lt;D xsi:type="xsd:double"&gt;20.0691968928018&lt;/D&gt;&lt;D xsi:type="xsd:double"&gt;19.8031365481522&lt;/D&gt;&lt;D xsi:type="xsd:double"&gt;20.7742162094398&lt;/D&gt;&lt;D xsi:type="xsd:double"&gt;20.457636356412&lt;/D&gt;&lt;D xsi:type="xsd:double"&gt;20.3971550159239&lt;/D&gt;&lt;D xsi:type="xsd:double"&gt;20.2604522916797&lt;/D&gt;&lt;D xsi:type="xsd:double"&gt;19.9452813801037&lt;/D&gt;&lt;D xsi:type="xsd:double"&gt;20.3979755154855&lt;/D&gt;&lt;D xsi:type="xsd:double"&gt;19.3208961502636&lt;/D&gt;&lt;D xsi:type="xsd:double"&gt;19.2635539720155&lt;/D&gt;&lt;D xsi:type="xsd:double"&gt;20.5604915816807&lt;/D&gt;&lt;D xsi:type="xsd:double"&gt;20.1684996331521&lt;/D&gt;&lt;D xsi:type="xsd:double"&gt;20.3489696602954&lt;/D&gt;&lt;D xsi:type="xsd:double"&gt;18.2772947323173&lt;/D&gt;&lt;D xsi:type="xsd:double"&gt;18.2538133713871&lt;/D&gt;&lt;D xsi:type="xsd:double"&gt;18.444790260331&lt;/D&gt;&lt;D xsi:type="xsd:double"&gt;18.3134217718364&lt;/D&gt;&lt;D xsi:type="xsd:double"&gt;18.6126621595739&lt;/D&gt;&lt;D xsi:type="xsd:double"&gt;18.6440457276687&lt;/D&gt;&lt;D xsi:type="xsd:double"&gt;19.3731234297652&lt;/D&gt;&lt;D xsi:type="xsd:double"&gt;19.6058006620666&lt;/D&gt;&lt;D xsi:type="xsd:double"&gt;19.9632199338191&lt;/D&gt;&lt;D xsi:type="xsd:double"&gt;19.3263277138746&lt;/D&gt;&lt;D xsi:type="xsd:double"&gt;19.6266462216378&lt;/D&gt;&lt;D xsi:type="xsd:double"&gt;20.486981092529&lt;/D&gt;&lt;D xsi:type="xsd:double"&gt;21.2572761468263&lt;/D&gt;&lt;D xsi:type="xsd:double"&gt;21.7219698335703&lt;/D&gt;&lt;D xsi:type="xsd:double"&gt;21.6489035235258&lt;/D&gt;&lt;D xsi:type="xsd:double"&gt;21.7422627461216&lt;/D&gt;&lt;D xsi:type="xsd:double"&gt;22.1022740381737&lt;/D&gt;&lt;D xsi:type="xsd:double"&gt;21.5399218389232&lt;/D&gt;&lt;D xsi:type="xsd:double"&gt;22.0706915313165&lt;/D&gt;&lt;D xsi:type="xsd:double"&gt;22.3062549192523&lt;/D&gt;&lt;D xsi:type="xsd:double"&gt;22.353030275048&lt;/D&gt;&lt;D xsi:type="xsd:double"&gt;22.9227416283693&lt;/D&gt;&lt;D xsi:type="xsd:double"&gt;23.0806527278178&lt;/D&gt;&lt;D xsi:type="xsd:double"&gt;24.1312123576773&lt;/D&gt;&lt;D xsi:type="xsd:double"&gt;24.1449957666679&lt;/D&gt;&lt;D xsi:type="xsd:double"&gt;24.0788483340659&lt;/D&gt;&lt;D xsi:type="xsd:double"&gt;23.4868294335111&lt;/D&gt;&lt;D xsi:type="xsd:double"&gt;23.1504170306691&lt;/D&gt;&lt;D xsi:type="xsd:double"&gt;23.2953884689179&lt;/D&gt;&lt;D xsi:type="xsd:double"&gt;22.9029684507188&lt;/D&gt;&lt;D xsi:type="xsd:double"&gt;23.1215312910434&lt;/D&gt;&lt;D xsi:type="xsd:double"&gt;23.4622072819795&lt;/D&gt;&lt;D xsi:type="xsd:double"&gt;23.2734890202394&lt;/D&gt;&lt;D xsi:type="xsd:double"&gt;21.1234186000788&lt;/D&gt;&lt;D xsi:type="xsd:double"&gt;21.022760250888&lt;/D&gt;&lt;D xsi:type="xsd:double"&gt;18.2323862752282&lt;/D&gt;&lt;D xsi:type="xsd:double"&gt;20.3044071419649&lt;/D&gt;&lt;D xsi:type="xsd:double"&gt;20.9219133925075&lt;/D&gt;&lt;D xsi:type="xsd:double"&gt;21.1543463990647&lt;/D&gt;&lt;D xsi:type="xsd:double"&gt;21.5142552176524&lt;/D&gt;&lt;D xsi:type="xsd:double"&gt;20.6083594785118&lt;/D&gt;&lt;D xsi:type="xsd:double"&gt;21.8960855364235&lt;/D&gt;&lt;D xsi:type="xsd:double"&gt;21.7403634686557&lt;/D&gt;&lt;D xsi:type="xsd:double"&gt;21.8368739308208&lt;/D&gt;&lt;D xsi:type="xsd:double"&gt;21.8754888285082&lt;/D&gt;&lt;D xsi:type="xsd:double"&gt;23.1364507139203&lt;/D&gt;&lt;D xsi:type="xsd:double"&gt;23.8009048457781&lt;/D&gt;&lt;D xsi:type="xsd:double"&gt;25.623483398816&lt;/D&gt;&lt;D xsi:type="xsd:double"&gt;25.9425404179026&lt;/D&gt;&lt;D xsi:type="xsd:double"&gt;23.8396566249686&lt;/D&gt;&lt;D xsi:type="xsd:double"&gt;23.364367539601&lt;/D&gt;&lt;D xsi:type="xsd:double"&gt;24.9386388224355&lt;/D&gt;&lt;D xsi:type="xsd:double"&gt;26.7429138176469&lt;/D&gt;&lt;D xsi:type="xsd:double"&gt;27.9753212570849&lt;/D&gt;&lt;D xsi:type="xsd:double"&gt;29.0277131313749&lt;/D&gt;&lt;D xsi:type="xsd:double"&gt;30.9373638990285&lt;/D&gt;&lt;D xsi:type="xsd:double"&gt;30.5399242484687&lt;/D&gt;&lt;D xsi:type="xsd:double"&gt;30.3060443903891&lt;/D&gt;&lt;D xsi:type="xsd:double"&gt;33.7277928564884&lt;/D&gt;&lt;D xsi:type="xsd:double"&gt;35.2372737359167&lt;/D&gt;&lt;D xsi:type="xsd:double"&gt;34.7642849964381&lt;/D&gt;&lt;D xsi:type="xsd:double"&gt;32.7828289757549&lt;/D&gt;&lt;D xsi:type="xsd:double"&gt;32.6716433114302&lt;/D&gt;&lt;D xsi:type="xsd:double"&gt;32.0578605453413&lt;/D&gt;&lt;D xsi:type="xsd:double"&gt;31.2766964523726&lt;/D&gt;&lt;D xsi:type="xsd:double"&gt;32.0171608648037&lt;/D&gt;&lt;D xsi:type="xsd:double"&gt;31.460235672158&lt;/D&gt;&lt;D xsi:type="xsd:double"&gt;31.8010791799524&lt;/D&gt;&lt;D xsi:type="xsd:double"&gt;30.3830949916534&lt;/D&gt;&lt;D xsi:type="xsd:double"&gt;31.8709341271455&lt;/D&gt;&lt;D xsi:type="xsd:double"&gt;30.8335049154955&lt;/D&gt;&lt;D xsi:type="xsd:double"&gt;32.2288617252178&lt;/D&gt;&lt;D xsi:type="xsd:double"&gt;27.8384915778844&lt;/D&gt;&lt;D xsi:type="xsd:double"&gt;26.6321439838833&lt;/D&gt;&lt;D xsi:type="xsd:double"&gt;26.8365688471859&lt;/D&gt;&lt;D xsi:type="xsd:double"&gt;25.9311560845959&lt;/D&gt;&lt;D xsi:type="xsd:double"&gt;25.2369454955355&lt;/D&gt;&lt;D xsi:type="xsd:double"&gt;24.173481217056&lt;/D&gt;&lt;D xsi:type="xsd:double"&gt;25.9895309681696&lt;/D&gt;&lt;D xsi:type="xsd:double"&gt;24.4888979950373&lt;/D&gt;&lt;D xsi:type="xsd:double"&gt;23.0282496593334&lt;/D&gt;&lt;D xsi:type="xsd:double"&gt;22.1272551969807&lt;/D&gt;&lt;D xsi:type="xsd:double"&gt;24.0273414040444&lt;/D&gt;&lt;D xsi:type="xsd:double"&gt;22.5439047176221&lt;/D&gt;&lt;D xsi:type="xsd:double"&gt;26.2413559949126&lt;/D&gt;&lt;D xsi:type="xsd:double"&gt;25.3131845513066&lt;/D&gt;&lt;D xsi:type="xsd:double"&gt;25.6708792323482&lt;/D&gt;&lt;D xsi:type="xsd:double"&gt;25.5189529451296&lt;/D&gt;&lt;D xsi:type="xsd:double"&gt;26.5729609940198&lt;/D&gt;&lt;D xsi:type="xsd:double"&gt;27.333813345071&lt;/D&gt;&lt;D xsi:type="xsd:double"&gt;26.7595453404474&lt;/D&gt;&lt;D xsi:type="xsd:double"&gt;26.7848354154062&lt;/D&gt;&lt;D xsi:type="xsd:double"&gt;25.7527854023729&lt;/D&gt;&lt;D xsi:type="xsd:double"&gt;26.3701895185455&lt;/D&gt;&lt;D xsi:type="xsd:double"&gt;27.7276252778541&lt;/D&gt;&lt;D xsi:type="xsd:double"&gt;28.3557578484202&lt;/D&gt;&lt;D xsi:type="xsd:double"&gt;30.0126927091888&lt;/D&gt;&lt;D xsi:type="xsd:double"&gt;30.3765869966773&lt;/D&gt;&lt;D xsi:type="xsd:double"&gt;29.9814241141268&lt;/D&gt;&lt;D xsi:type="xsd:double"&gt;29.5510918173862&lt;/D&gt;&lt;D xsi:type="xsd:double"&gt;29.5603720377607&lt;/D&gt;&lt;D xsi:type="xsd:double"&gt;30.4763172064916&lt;/D&gt;&lt;D xsi:type="xsd:double"&gt;29.1264570955855&lt;/D&gt;&lt;D xsi:type="xsd:double"&gt;29.6447702954247&lt;/D&gt;&lt;D xsi:type="xsd:double"&gt;30.406047078927&lt;/D&gt;&lt;/FQL&gt;&lt;FQL&gt;&lt;Q&gt;EWU^FMA_PE(LTMA,-10AY,0,AM,"PORTAGG","MEANR")&lt;/Q&gt;&lt;R&gt;121&lt;/R&gt;&lt;C&gt;1&lt;/C&gt;&lt;D xsi:type="xsd:double"&gt;13.6852686540251&lt;/D&gt;&lt;D xsi:type="xsd:double"&gt;13.7027568844699&lt;/D&gt;&lt;D xsi:type="xsd:double"&gt;14.0404438128917&lt;/D&gt;&lt;D xsi:type="xsd:double"&gt;13.6760489520509&lt;/D&gt;&lt;D xsi:type="xsd:double"&gt;14.4222924177442&lt;/D&gt;&lt;D xsi:type="xsd:double"&gt;15.1721879486391&lt;/D&gt;&lt;D xsi:type="xsd:double"&gt;15.2601983607484&lt;/D&gt;&lt;D xsi:type="xsd:double"&gt;15.568486125708&lt;/D&gt;&lt;D xsi:type="xsd:double"&gt;15.7275279790622&lt;/D&gt;&lt;D xsi:type="xsd:double"&gt;15.5181994991463&lt;/D&gt;&lt;D xsi:type="xsd:double"&gt;15.7330064256818&lt;/D&gt;&lt;D xsi:type="xsd:double"&gt;15.0543428989328&lt;/D&gt;&lt;D xsi:type="xsd:double"&gt;15.1081636704652&lt;/D&gt;&lt;D xsi:type="xsd:double"&gt;15.9025041198401&lt;/D&gt;&lt;D xsi:type="xsd:double"&gt;15.7722056171237&lt;/D&gt;&lt;D xsi:type="xsd:double"&gt;15.6728845885555&lt;/D&gt;&lt;D xsi:type="xsd:double"&gt;14.8454688030504&lt;/D&gt;&lt;D xsi:type="xsd:double"&gt;15.5524520347533&lt;/D&gt;&lt;D xsi:type="xsd:double"&gt;15.7247270423721&lt;/D&gt;&lt;D xsi:type="xsd:double"&gt;15.8986218064226&lt;/D&gt;&lt;D xsi:type="xsd:double"&gt;15.9914968248398&lt;/D&gt;&lt;D xsi:type="xsd:double"&gt;16.3512579053777&lt;/D&gt;&lt;D xsi:type="xsd:double"&gt;16.5790047181109&lt;/D&gt;&lt;D xsi:type="xsd:double"&gt;17.1492827394209&lt;/D&gt;&lt;D xsi:type="xsd:double"&gt;17.1552781809273&lt;/D&gt;&lt;D xsi:type="xsd:double"&gt;16.4255136009539&lt;/D&gt;&lt;D xsi:type="xsd:double"&gt;16.3684698356865&lt;/D&gt;&lt;D xsi:type="xsd:double"&gt;17.2349844539268&lt;/D&gt;&lt;D xsi:type="xsd:double"&gt;17.1730593944532&lt;/D&gt;&lt;D xsi:type="xsd:double"&gt;17.3620600606368&lt;/D&gt;&lt;D xsi:type="xsd:double"&gt;17.0726103733332&lt;/D&gt;&lt;D xsi:type="xsd:double"&gt;16.8363942687369&lt;/D&gt;&lt;D xsi:type="xsd:double"&gt;16.8020541321819&lt;/D&gt;&lt;D xsi:type="xsd:double"&gt;16.4550127307998&lt;/D&gt;&lt;D xsi:type="xsd:double"&gt;16.463687938917&lt;/D&gt;&lt;D xsi:type="xsd:double"&gt;16.103619870065&lt;/D&gt;&lt;D xsi:type="xsd:double"&gt;15.8832593925391&lt;/D&gt;&lt;D xsi:type="xsd:double"&gt;15.6243300350307&lt;/D&gt;&lt;D xsi:type="xsd:double"&gt;15.0729034916162&lt;/D&gt;&lt;D xsi:type="xsd:double"&gt;15.4861065373553&lt;/D&gt;&lt;D xsi:type="xsd:double"&gt;15.0783485898368&lt;/D&gt;&lt;D xsi:type="xsd:double"&gt;13.8558218942637&lt;/D&gt;&lt;D xsi:type="xsd:double"&gt;13.8701692089269&lt;/D&gt;&lt;D xsi:type="xsd:double"&gt;13.9969834466351&lt;/D&gt;&lt;D xsi:type="xsd:double"&gt;13.9999159097642&lt;/D&gt;&lt;D xsi:type="xsd:double"&gt;13.7950873312013&lt;/D&gt;&lt;D xsi:type="xsd:double"&gt;13.8587502045571&lt;/D&gt;&lt;D xsi:type="xsd:double"&gt;13.5125453110635&lt;/D&gt;&lt;D xsi:type="xsd:double"&gt;13.609852008149&lt;/D&gt;&lt;D xsi:type="xsd:double"&gt;12.861120610642&lt;/D&gt;&lt;D xsi:type="xsd:double"&gt;12.6590527108706&lt;/D&gt;&lt;D xsi:type="xsd:double"&gt;11.8152419649884&lt;/D&gt;&lt;D xsi:type="xsd:double"&gt;12.6629991530125&lt;/D&gt;&lt;D xsi:type="xsd:double"&gt;12.9360870157105&lt;/D&gt;&lt;D xsi:type="xsd:double"&gt;13.0227282844846&lt;/D&gt;&lt;D xsi:type="xsd:double"&gt;13.0043341051328&lt;/D&gt;&lt;D xsi:type="xsd:double"&gt;12.8270381715174&lt;/D&gt;&lt;D xsi:type="xsd:double"&gt;13.176766511977&lt;/D&gt;&lt;D xsi:type="xsd:double"&gt;12.9750348241246&lt;/D&gt;&lt;D xsi:type="xsd:double"&gt;12.8745590821084&lt;/D&gt;&lt;D xsi:type="xsd:double"&gt;12.7735598059477&lt;/D&gt;&lt;D xsi:type="xsd:double"&gt;13.3063234215566&lt;/D&gt;&lt;D xsi:type="xsd:double"&gt;13.2477860483057&lt;/D&gt;&lt;D xsi:type="xsd:double"&gt;14.2062040013852&lt;/D&gt;&lt;D xsi:type="xsd:double"&gt;13.7591069934435&lt;/D&gt;&lt;D xsi:type="xsd:double"&gt;12.3753747180455&lt;/D&gt;&lt;D xsi:type="xsd:double"&gt;12.3458950189182&lt;/D&gt;&lt;D xsi:type="xsd:double"&gt;13.5253516875696&lt;/D&gt;&lt;D xsi:type="xsd:double"&gt;14.9828330118798&lt;/D&gt;&lt;D xsi:type="xsd:double"&gt;15.3066474081545&lt;/D&gt;&lt;D xsi:type="xsd:double"&gt;15.649811290994&lt;/D&gt;&lt;D xsi:type="xsd:double"&gt;16.4626216731521&lt;/D&gt;&lt;D xsi:type="xsd:double"&gt;16.8126884937608&lt;/D&gt;&lt;D xsi:type="xsd:double"&gt;16.3109681644926&lt;/D&gt;&lt;D xsi:type="xsd:double"&gt;19.1429144918194&lt;/D&gt;&lt;D xsi:type="xsd:double"&gt;19.7285002872824&lt;/D&gt;&lt;D xsi:type="xsd:double"&gt;19.3235182390962&lt;/D&gt;&lt;D xsi:type="xsd:double"&gt;18.8008810340759&lt;/D&gt;&lt;D xsi:type="xsd:double"&gt;18.2122992672077&lt;/D&gt;&lt;D xsi:type="xsd:double"&gt;17.6171716498734&lt;/D&gt;&lt;D xsi:type="xsd:double"&gt;17.0574579255477&lt;/D&gt;&lt;D xsi:type="xsd:double"&gt;16.3376310614036&lt;/D&gt;&lt;D xsi:type="xsd:double"&gt;15.4068873805613&lt;/D&gt;&lt;D xsi:type="xsd:double"&gt;14.7333637410459&lt;/D&gt;&lt;D xsi:type="xsd:double"&gt;13.8598020351205&lt;/D&gt;&lt;D xsi:type="xsd:double"&gt;13.4616438833358&lt;/D&gt;&lt;D xsi:type="xsd:double"&gt;12.4697050815847&lt;/D&gt;&lt;D xsi:type="xsd:double"&gt;12.3247194074269&lt;/D&gt;&lt;D xsi:type="xsd:double"&gt;12.7351324709044&lt;/D&gt;&lt;D xsi:type="xsd:double"&gt;12.4887440704324&lt;/D&gt;&lt;D xsi:type="xsd:double"&gt;12.3031687772926&lt;/D&gt;&lt;D xsi:type="xsd:double"&gt;11.9874212688094&lt;/D&gt;&lt;D xsi:type="xsd:double"&gt;11.6959121557827&lt;/D&gt;&lt;D xsi:type="xsd:double"&gt;11.0989686368418&lt;/D&gt;&lt;D xsi:type="xsd:double"&gt;10.9145063934532&lt;/D&gt;&lt;D xsi:type="xsd:double"&gt;10.2749763753294&lt;/D&gt;&lt;D xsi:type="xsd:double"&gt;9.51368562750562&lt;/D&gt;&lt;D xsi:type="xsd:double"&gt;9.44362201260048&lt;/D&gt;&lt;D xsi:type="xsd:double"&gt;9.98719062861861&lt;/D&gt;&lt;D xsi:type="xsd:double"&gt;9.71527257206461&lt;/D&gt;&lt;D xsi:type="xsd:double"&gt;10.0973625069242&lt;/D&gt;&lt;D xsi:type="xsd:double"&gt;10.263271184897&lt;/D&gt;&lt;D xsi:type="xsd:double"&gt;10.2757238875107&lt;/D&gt;&lt;D xsi:type="xsd:double"&gt;10.3728955873398&lt;/D&gt;&lt;D xsi:type="xsd:double"&gt;10.3031050809087&lt;/D&gt;&lt;D xsi:type="xsd:double"&gt;10.3655236160614&lt;/D&gt;&lt;D xsi:type="xsd:double"&gt;10.5074988448653&lt;/D&gt;&lt;D xsi:type="xsd:double"&gt;10.5147139639226&lt;/D&gt;&lt;D xsi:type="xsd:double"&gt;10.379330642654&lt;/D&gt;&lt;D xsi:type="xsd:double"&gt;10.5240514039357&lt;/D&gt;&lt;D xsi:type="xsd:double"&gt;10.9297092151526&lt;/D&gt;&lt;D xsi:type="xsd:double"&gt;11.2098005164141&lt;/D&gt;&lt;D xsi:type="xsd:double"&gt;11.2642969461607&lt;/D&gt;&lt;D xsi:type="xsd:double"&gt;11.4488469371132&lt;/D&gt;&lt;D xsi:type="xsd:double"&gt;11.5353960656282&lt;/D&gt;&lt;D xsi:type="xsd:double"&gt;11.6301190647012&lt;/D&gt;&lt;D xsi:type="xsd:double"&gt;11.7066223255195&lt;/D&gt;&lt;D xsi:type="xsd:double"&gt;11.685525658819&lt;/D&gt;&lt;D xsi:type="xsd:double"&gt;11.805309678331&lt;/D&gt;&lt;D xsi:type="xsd:double"&gt;12.0107932110826&lt;/D&gt;&lt;D xsi:type="xsd:double"&gt;12.2038328721733&lt;/D&gt;&lt;/FQL&gt;&lt;FQL&gt;&lt;Q&gt;EWL^FMA_PE(LTMA,-10AY,0,AM,"PORTAGG","MEANR")&lt;/Q&gt;&lt;R&gt;121&lt;/R&gt;&lt;C&gt;1&lt;/C&gt;&lt;D xsi:type="xsd:double"&gt;17.0624895336422&lt;/D&gt;&lt;D xsi:type="xsd:double"&gt;17.159996003097&lt;/D&gt;&lt;D xsi:type="xsd:double"&gt;17.6326491786326&lt;/D&gt;&lt;D xsi:type="xsd:double"&gt;17.1892387956023&lt;/D&gt;&lt;D xsi:type="xsd:double"&gt;16.8096298654963&lt;/D&gt;&lt;D xsi:type="xsd:double"&gt;17.9545970839194&lt;/D&gt;&lt;D xsi:type="xsd:double"&gt;18.028330397076&lt;/D&gt;&lt;D xsi:type="xsd:double"&gt;18.0823487485388&lt;/D&gt;&lt;D xsi:type="xsd:double"&gt;18.1102880399083&lt;/D&gt;&lt;D xsi:type="xsd:double"&gt;17.8155523923486&lt;/D&gt;&lt;D xsi:type="xsd:double"&gt;18.254318082085&lt;/D&gt;&lt;D xsi:type="xsd:double"&gt;17.3319019580096&lt;/D&gt;&lt;D xsi:type="xsd:double"&gt;17.0105680671862&lt;/D&gt;&lt;D xsi:type="xsd:double"&gt;17.7781377464141&lt;/D&gt;&lt;D xsi:type="xsd:double"&gt;17.5762383715853&lt;/D&gt;&lt;D xsi:type="xsd:double"&gt;17.3781775117904&lt;/D&gt;&lt;D xsi:type="xsd:double"&gt;16.4362852750241&lt;/D&gt;&lt;D xsi:type="xsd:double"&gt;16.6193948589117&lt;/D&gt;&lt;D xsi:type="xsd:double"&gt;16.5964163990059&lt;/D&gt;&lt;D xsi:type="xsd:double"&gt;16.7662649156552&lt;/D&gt;&lt;D xsi:type="xsd:double"&gt;17.112112660667&lt;/D&gt;&lt;D xsi:type="xsd:double"&gt;17.2037167975357&lt;/D&gt;&lt;D xsi:type="xsd:double"&gt;17.4852262024064&lt;/D&gt;&lt;D xsi:type="xsd:double"&gt;17.9974801924623&lt;/D&gt;&lt;D xsi:type="xsd:double"&gt;18.0552295979781&lt;/D&gt;&lt;D xsi:type="xsd:double"&gt;17.251903851542&lt;/D&gt;&lt;D xsi:type="xsd:double"&gt;17.3308447360363&lt;/D&gt;&lt;D xsi:type="xsd:double"&gt;18.3308590106297&lt;/D&gt;&lt;D xsi:type="xsd:double"&gt;18.6143092662367&lt;/D&gt;&lt;D xsi:type="xsd:double"&gt;19.6758440484471&lt;/D&gt;&lt;D xsi:type="xsd:double"&gt;19.4493694835918&lt;/D&gt;&lt;D xsi:type="xsd:double"&gt;19.4787497180279&lt;/D&gt;&lt;D xsi:type="xsd:double"&gt;19.6261880786779&lt;/D&gt;&lt;D xsi:type="xsd:double"&gt;19.4095821352218&lt;/D&gt;&lt;D xsi:type="xsd:double"&gt;19.452584947097&lt;/D&gt;&lt;D xsi:type="xsd:double"&gt;19.1444664384264&lt;/D&gt;&lt;D xsi:type="xsd:double"&gt;19.61057016823&lt;/D&gt;&lt;D xsi:type="xsd:double"&gt;20.4025119141339&lt;/D&gt;&lt;D xsi:type="xsd:double"&gt;20.3191407844838&lt;/D&gt;&lt;D xsi:type="xsd:double"&gt;20.8719286703814&lt;/D&gt;&lt;D xsi:type="xsd:double"&gt;21.507578164467&lt;/D&gt;&lt;D xsi:type="xsd:double"&gt;21.1100631842414&lt;/D&gt;&lt;D xsi:type="xsd:double"&gt;20.5950002133386&lt;/D&gt;&lt;D xsi:type="xsd:double"&gt;20.2250305175112&lt;/D&gt;&lt;D xsi:type="xsd:double"&gt;19.6961564251071&lt;/D&gt;&lt;D xsi:type="xsd:double"&gt;19.2423074570726&lt;/D&gt;&lt;D xsi:type="xsd:double"&gt;19.2603756519011&lt;/D&gt;&lt;D xsi:type="xsd:double"&gt;18.7977019411547&lt;/D&gt;&lt;D xsi:type="xsd:double"&gt;18.584475278294&lt;/D&gt;&lt;D xsi:type="xsd:double"&gt;17.9929825099386&lt;/D&gt;&lt;D xsi:type="xsd:double"&gt;17.8018862540616&lt;/D&gt;&lt;D xsi:type="xsd:double"&gt;16.1699064555836&lt;/D&gt;&lt;D xsi:type="xsd:double"&gt;17.6000232415279&lt;/D&gt;&lt;D xsi:type="xsd:double"&gt;18.3575359207335&lt;/D&gt;&lt;D xsi:type="xsd:double"&gt;18.3041125246541&lt;/D&gt;&lt;D xsi:type="xsd:double"&gt;18.2748242009205&lt;/D&gt;&lt;D xsi:type="xsd:double"&gt;18.108482278911&lt;/D&gt;&lt;D xsi:type="xsd:double"&gt;18.4826916295533&lt;/D&gt;&lt;D xsi:type="xsd:double"&gt;18.2494739557424&lt;/D&gt;&lt;D xsi:type="xsd:double"&gt;18.2390941723032&lt;/D&gt;&lt;D xsi:type="xsd:double"&gt;18.0426162938839&lt;/D&gt;&lt;D xsi:type="xsd:double"&gt;18.7578110169301&lt;/D&gt;&lt;D xsi:type="xsd:double"&gt;18.7054245636423&lt;/D&gt;&lt;D xsi:type="xsd:double"&gt;19.7449365424873&lt;/D&gt;&lt;D xsi:type="xsd:double"&gt;19.723913836739&lt;/D&gt;&lt;D xsi:type="xsd:double"&gt;18.0862378948128&lt;/D&gt;&lt;D xsi:type="xsd:double"&gt;17.7952159029229&lt;/D&gt;&lt;D xsi:type="xsd:double"&gt;18.6034651660968&lt;/D&gt;&lt;D xsi:type="xsd:double"&gt;19.3895289268084&lt;/D&gt;&lt;D xsi:type="xsd:double"&gt;19.7118619811028&lt;/D&gt;&lt;D xsi:type="xsd:double"&gt;20.1893913418655&lt;/D&gt;&lt;D xsi:type="xsd:double"&gt;20.5726327564261&lt;/D&gt;&lt;D xsi:type="xsd:double"&gt;20.8093810688801&lt;/D&gt;&lt;D xsi:type="xsd:double"&gt;20.3533931129946&lt;/D&gt;&lt;D xsi:type="xsd:double"&gt;20.924809148717&lt;/D&gt;&lt;D xsi:type="xsd:double"&gt;22.0192335076548&lt;/D&gt;&lt;D xsi:type="xsd:double"&gt;21.4014224614389&lt;/D&gt;&lt;D xsi:type="xsd:double"&gt;20.4894454386376&lt;/D&gt;&lt;D xsi:type="xsd:double"&gt;20.4554903396325&lt;/D&gt;&lt;D xsi:type="xsd:double"&gt;20.4898459612368&lt;/D&gt;&lt;D xsi:type="xsd:double"&gt;20.6589132370761&lt;/D&gt;&lt;D xsi:type="xsd:double"&gt;20.859253667377&lt;/D&gt;&lt;D xsi:type="xsd:double"&gt;21.0114559230407&lt;/D&gt;&lt;D xsi:type="xsd:double"&gt;21.1174303918721&lt;/D&gt;&lt;D xsi:type="xsd:double"&gt;20.0012053258354&lt;/D&gt;&lt;D xsi:type="xsd:double"&gt;21.0232479274242&lt;/D&gt;&lt;D xsi:type="xsd:double"&gt;20.4227766564508&lt;/D&gt;&lt;D xsi:type="xsd:double"&gt;21.6670376324775&lt;/D&gt;&lt;D xsi:type="xsd:double"&gt;19.9322869304679&lt;/D&gt;&lt;D xsi:type="xsd:double"&gt;18.4244695754598&lt;/D&gt;&lt;D xsi:type="xsd:double"&gt;18.5890147428654&lt;/D&gt;&lt;D xsi:type="xsd:double"&gt;18.4334801072113&lt;/D&gt;&lt;D xsi:type="xsd:double"&gt;18.1448349367019&lt;/D&gt;&lt;D xsi:type="xsd:double"&gt;17.572476820139&lt;/D&gt;&lt;D xsi:type="xsd:double"&gt;18.2877193368033&lt;/D&gt;&lt;D xsi:type="xsd:double"&gt;17.9012740863063&lt;/D&gt;&lt;D xsi:type="xsd:double"&gt;16.9501503429121&lt;/D&gt;&lt;D xsi:type="xsd:double"&gt;18.4119630879869&lt;/D&gt;&lt;D xsi:type="xsd:double"&gt;19.9699112989813&lt;/D&gt;&lt;D xsi:type="xsd:double"&gt;20.4763301088039&lt;/D&gt;&lt;D xsi:type="xsd:double"&gt;20.8183851391826&lt;/D&gt;&lt;D xsi:type="xsd:double"&gt;20.6873810520265&lt;/D&gt;&lt;D xsi:type="xsd:double"&gt;20.3937321898593&lt;/D&gt;&lt;D xsi:type="xsd:double"&gt;20.2982955752113&lt;/D&gt;&lt;D xsi:type="xsd:double"&gt;19.6827548274603&lt;/D&gt;&lt;D xsi:type="xsd:double"&gt;19.2139210653518&lt;/D&gt;&lt;D xsi:type="xsd:double"&gt;18.9893370990094&lt;/D&gt;&lt;D xsi:type="xsd:double"&gt;18.8886452923249&lt;/D&gt;&lt;D xsi:type="xsd:double"&gt;18.1315103858356&lt;/D&gt;&lt;D xsi:type="xsd:double"&gt;17.7813440181419&lt;/D&gt;&lt;D xsi:type="xsd:double"&gt;18.0198034959578&lt;/D&gt;&lt;D xsi:type="xsd:double"&gt;18.3687488000004&lt;/D&gt;&lt;D xsi:type="xsd:double"&gt;18.5987585078883&lt;/D&gt;&lt;D xsi:type="xsd:double"&gt;19.1976932216384&lt;/D&gt;&lt;D xsi:type="xsd:double"&gt;19.0826950867706&lt;/D&gt;&lt;D xsi:type="xsd:double"&gt;18.7604647329286&lt;/D&gt;&lt;D xsi:type="xsd:double"&gt;18.8613389706901&lt;/D&gt;&lt;D xsi:type="xsd:double"&gt;18.7723433843206&lt;/D&gt;&lt;D xsi:type="xsd:double"&gt;18.6624244916278&lt;/D&gt;&lt;D xsi:type="xsd:double"&gt;18.9397730552344&lt;/D&gt;&lt;D xsi:type="xsd:double"&gt;18.8613216716365&lt;/D&gt;&lt;/FQL&gt;&lt;FQL&gt;&lt;Q&gt;EWJ^FMA_PE(LTMA,-10AY,0,AM,"PORTAGG","MEANR")&lt;/Q&gt;&lt;R&gt;121&lt;/R&gt;&lt;C&gt;1&lt;/C&gt;&lt;D xsi:type="xsd:double"&gt;15.069695567942&lt;/D&gt;&lt;D xsi:type="xsd:double"&gt;15.3413639166292&lt;/D&gt;&lt;D xsi:type="xsd:double"&gt;16.0478152707887&lt;/D&gt;&lt;D xsi:type="xsd:double"&gt;15.885694894027&lt;/D&gt;&lt;D xsi:type="xsd:double"&gt;15.2711048865126&lt;/D&gt;&lt;D xsi:type="xsd:double"&gt;16.9205239076806&lt;/D&gt;&lt;D xsi:type="xsd:double"&gt;16.846137982127&lt;/D&gt;&lt;D xsi:type="xsd:double"&gt;16.8850210625588&lt;/D&gt;&lt;D xsi:type="xsd:double"&gt;17.1396502036812&lt;/D&gt;&lt;D xsi:type="xsd:double"&gt;16.8303581367694&lt;/D&gt;&lt;D xsi:type="xsd:double"&gt;16.8370345861958&lt;/D&gt;&lt;D xsi:type="xsd:double"&gt;15.4637176800873&lt;/D&gt;&lt;D xsi:type="xsd:double"&gt;15.0560339317944&lt;/D&gt;&lt;D xsi:type="xsd:double"&gt;15.6043176635983&lt;/D&gt;&lt;D xsi:type="xsd:double"&gt;16.3038807288639&lt;/D&gt;&lt;D xsi:type="xsd:double"&gt;15.7241220272528&lt;/D&gt;&lt;D xsi:type="xsd:double"&gt;14.4209556979797&lt;/D&gt;&lt;D xsi:type="xsd:double"&gt;13.9278709196819&lt;/D&gt;&lt;D xsi:type="xsd:double"&gt;13.711784284269&lt;/D&gt;&lt;D xsi:type="xsd:double"&gt;13.6459638918014&lt;/D&gt;&lt;D xsi:type="xsd:double"&gt;14.0461427162594&lt;/D&gt;&lt;D xsi:type="xsd:double"&gt;13.7030448296098&lt;/D&gt;&lt;D xsi:type="xsd:double"&gt;13.7664660208578&lt;/D&gt;&lt;D xsi:type="xsd:double"&gt;14.381164911327&lt;/D&gt;&lt;D xsi:type="xsd:double"&gt;14.1969412749957&lt;/D&gt;&lt;D xsi:type="xsd:double"&gt;14.5847913452973&lt;/D&gt;&lt;D xsi:type="xsd:double"&gt;15.8579848447712&lt;/D&gt;&lt;D xsi:type="xsd:double"&gt;16.3248655507296&lt;/D&gt;&lt;D xsi:type="xsd:double"&gt;16.1498012859615&lt;/D&gt;&lt;D xsi:type="xsd:double"&gt;15.9673059796334&lt;/D&gt;&lt;D xsi:type="xsd:double"&gt;15.7073270126881&lt;/D&gt;&lt;D xsi:type="xsd:double"&gt;15.634885576171&lt;/D&gt;&lt;D xsi:type="xsd:double"&gt;15.7743482115011&lt;/D&gt;&lt;D xsi:type="xsd:double"&gt;15.5137692104781&lt;/D&gt;&lt;D xsi:type="xsd:double"&gt;15.4524465156186&lt;/D&gt;&lt;D xsi:type="xsd:double"&gt;14.9719992262634&lt;/D&gt;&lt;D xsi:type="xsd:double"&gt;15.0918079085068&lt;/D&gt;&lt;D xsi:type="xsd:double"&gt;15.6429949377032&lt;/D&gt;&lt;D xsi:type="xsd:double"&gt;16.1118501248426&lt;/D&gt;&lt;D xsi:type="xsd:double"&gt;16.3416747617786&lt;/D&gt;&lt;D xsi:type="xsd:double"&gt;16.4463583995679&lt;/D&gt;&lt;D xsi:type="xsd:double"&gt;14.4091154825721&lt;/D&gt;&lt;D xsi:type="xsd:double"&gt;14.2315449197728&lt;/D&gt;&lt;D xsi:type="xsd:double"&gt;14.2692137503363&lt;/D&gt;&lt;D xsi:type="xsd:double"&gt;14.0897163036692&lt;/D&gt;&lt;D xsi:type="xsd:double"&gt;13.8338121460953&lt;/D&gt;&lt;D xsi:type="xsd:double"&gt;13.8175423610797&lt;/D&gt;&lt;D xsi:type="xsd:double"&gt;13.6506504736833&lt;/D&gt;&lt;D xsi:type="xsd:double"&gt;13.8866667715135&lt;/D&gt;&lt;D xsi:type="xsd:double"&gt;12.9119129900646&lt;/D&gt;&lt;D xsi:type="xsd:double"&gt;13.026285561258&lt;/D&gt;&lt;D xsi:type="xsd:double"&gt;11.4779750567284&lt;/D&gt;&lt;D xsi:type="xsd:double"&gt;12.1613713410437&lt;/D&gt;&lt;D xsi:type="xsd:double"&gt;12.7022799934721&lt;/D&gt;&lt;D xsi:type="xsd:double"&gt;12.7477330742403&lt;/D&gt;&lt;D xsi:type="xsd:double"&gt;12.7922780940252&lt;/D&gt;&lt;D xsi:type="xsd:double"&gt;12.5702515368013&lt;/D&gt;&lt;D xsi:type="xsd:double"&gt;12.971409273773&lt;/D&gt;&lt;D xsi:type="xsd:double"&gt;12.8584558576732&lt;/D&gt;&lt;D xsi:type="xsd:double"&gt;12.858090885728&lt;/D&gt;&lt;D xsi:type="xsd:double"&gt;13.9704599830586&lt;/D&gt;&lt;D xsi:type="xsd:double"&gt;14.8540146226497&lt;/D&gt;&lt;D xsi:type="xsd:double"&gt;15.8396630178585&lt;/D&gt;&lt;D xsi:type="xsd:double"&gt;16.3379460358497&lt;/D&gt;&lt;D xsi:type="xsd:double"&gt;15.9742849991351&lt;/D&gt;&lt;D xsi:type="xsd:double"&gt;14.930097608131&lt;/D&gt;&lt;D xsi:type="xsd:double"&gt;14.5427161345797&lt;/D&gt;&lt;D xsi:type="xsd:double"&gt;15.2466621873229&lt;/D&gt;&lt;D xsi:type="xsd:double"&gt;17.1406734522903&lt;/D&gt;&lt;D xsi:type="xsd:double"&gt;18.1621959210536&lt;/D&gt;&lt;D xsi:type="xsd:double"&gt;19.0008942472127&lt;/D&gt;&lt;D xsi:type="xsd:double"&gt;20.7367525796614&lt;/D&gt;&lt;D xsi:type="xsd:double"&gt;21.6743592755029&lt;/D&gt;&lt;D xsi:type="xsd:double"&gt;22.4209510727289&lt;/D&gt;&lt;D xsi:type="xsd:double"&gt;24.7375478332816&lt;/D&gt;&lt;D xsi:type="xsd:double"&gt;26.0990026970076&lt;/D&gt;&lt;D xsi:type="xsd:double"&gt;26.0442040456735&lt;/D&gt;&lt;D xsi:type="xsd:double"&gt;23.915342242504&lt;/D&gt;&lt;D xsi:type="xsd:double"&gt;23.5024125424292&lt;/D&gt;&lt;D xsi:type="xsd:double"&gt;22.7626521818229&lt;/D&gt;&lt;D xsi:type="xsd:double"&gt;22.3161556195145&lt;/D&gt;&lt;D xsi:type="xsd:double"&gt;21.7099162528857&lt;/D&gt;&lt;D xsi:type="xsd:double"&gt;20.8590664420939&lt;/D&gt;&lt;D xsi:type="xsd:double"&gt;20.3572629010697&lt;/D&gt;&lt;D xsi:type="xsd:double"&gt;19.4246123706183&lt;/D&gt;&lt;D xsi:type="xsd:double"&gt;19.0732361572637&lt;/D&gt;&lt;D xsi:type="xsd:double"&gt;17.8688804943417&lt;/D&gt;&lt;D xsi:type="xsd:double"&gt;17.3530764006593&lt;/D&gt;&lt;D xsi:type="xsd:double"&gt;16.3936456682423&lt;/D&gt;&lt;D xsi:type="xsd:double"&gt;15.8448204759874&lt;/D&gt;&lt;D xsi:type="xsd:double"&gt;15.7478162222315&lt;/D&gt;&lt;D xsi:type="xsd:double"&gt;15.4354571099821&lt;/D&gt;&lt;D xsi:type="xsd:double"&gt;15.3464851013836&lt;/D&gt;&lt;D xsi:type="xsd:double"&gt;14.8059481861945&lt;/D&gt;&lt;D xsi:type="xsd:double"&gt;14.939842572595&lt;/D&gt;&lt;D xsi:type="xsd:double"&gt;14.6916724193863&lt;/D&gt;&lt;D xsi:type="xsd:double"&gt;13.9525969461437&lt;/D&gt;&lt;D xsi:type="xsd:double"&gt;14.2753349861707&lt;/D&gt;&lt;D xsi:type="xsd:double"&gt;14.3472731030126&lt;/D&gt;&lt;D xsi:type="xsd:double"&gt;13.6786734472287&lt;/D&gt;&lt;D xsi:type="xsd:double"&gt;14.3747124620962&lt;/D&gt;&lt;D xsi:type="xsd:double"&gt;14.7119529501162&lt;/D&gt;&lt;D xsi:type="xsd:double"&gt;14.6951044670172&lt;/D&gt;&lt;D xsi:type="xsd:double"&gt;14.8429963246239&lt;/D&gt;&lt;D xsi:type="xsd:double"&gt;15.2026954246178&lt;/D&gt;&lt;D xsi:type="xsd:double"&gt;15.8000531820268&lt;/D&gt;&lt;D xsi:type="xsd:double"&gt;15.6079814258597&lt;/D&gt;&lt;D xsi:type="xsd:double"&gt;15.9437769849718&lt;/D&gt;&lt;D xsi:type="xsd:double"&gt;15.6293518413487&lt;/D&gt;&lt;D xsi:type="xsd:double"&gt;15.9168000857208&lt;/D&gt;&lt;D xsi:type="xsd:double"&gt;16.3568880340025&lt;/D&gt;&lt;D xsi:type="xsd:double"&gt;16.3361234293823&lt;/D&gt;&lt;D xsi:type="xsd:double"&gt;17.56098599759&lt;/D&gt;&lt;D xsi:type="xsd:double"&gt;18.3225686854396&lt;/D&gt;&lt;D xsi:type="xsd:double"&gt;18.1433970481928&lt;/D&gt;&lt;D xsi:type="xsd:double"&gt;18.0165672498258&lt;/D&gt;&lt;D xsi:type="xsd:double"&gt;18.1010960118213&lt;/D&gt;&lt;D xsi:type="xsd:double"&gt;18.197864619814&lt;/D&gt;&lt;D xsi:type="xsd:double"&gt;16.7867491270058&lt;/D&gt;&lt;D xsi:type="xsd:double"&gt;17.343958169486&lt;/D&gt;&lt;D xsi:type="xsd:double"&gt;15.9024888649216&lt;/D&gt;&lt;/FQL&gt;&lt;FQL&gt;&lt;Q&gt;EWG^FMA_PE(LTMA,-10AY,0,AM,"PORTAGG","MEANR")&lt;/Q&gt;&lt;R&gt;121&lt;/R&gt;&lt;C&gt;1&lt;/C&gt;&lt;D xsi:type="xsd:double"&gt;13.7374051362458&lt;/D&gt;&lt;D xsi:type="xsd:double"&gt;13.674060422415&lt;/D&gt;&lt;D xsi:type="xsd:double"&gt;14.5690219752378&lt;/D&gt;&lt;D xsi:type="xsd:double"&gt;14.2318596028789&lt;/D&gt;&lt;D xsi:type="xsd:double"&gt;15.7185006776985&lt;/D&gt;&lt;D xsi:type="xsd:double"&gt;16.4486251563518&lt;/D&gt;&lt;D xsi:type="xsd:double"&gt;16.5142576521012&lt;/D&gt;&lt;D xsi:type="xsd:double"&gt;16.2020950800914&lt;/D&gt;&lt;D xsi:type="xsd:double"&gt;15.893387851925&lt;/D&gt;&lt;D xsi:type="xsd:double"&gt;15.471700557444&lt;/D&gt;&lt;D xsi:type="xsd:double"&gt;15.5182828060958&lt;/D&gt;&lt;D xsi:type="xsd:double"&gt;14.4414304232253&lt;/D&gt;&lt;D xsi:type="xsd:double"&gt;13.6947369017506&lt;/D&gt;&lt;D xsi:type="xsd:double"&gt;14.6185131910976&lt;/D&gt;&lt;D xsi:type="xsd:double"&gt;14.3088167167104&lt;/D&gt;&lt;D xsi:type="xsd:double"&gt;14.0285507216998&lt;/D&gt;&lt;D xsi:type="xsd:double"&gt;12.4787796201445&lt;/D&gt;&lt;D xsi:type="xsd:double"&gt;12.7006619511994&lt;/D&gt;&lt;D xsi:type="xsd:double"&gt;12.7367373784601&lt;/D&gt;&lt;D xsi:type="xsd:double"&gt;12.8108133364486&lt;/D&gt;&lt;D xsi:type="xsd:double"&gt;12.8653974745486&lt;/D&gt;&lt;D xsi:type="xsd:double"&gt;12.705984699086&lt;/D&gt;&lt;D xsi:type="xsd:double"&gt;13.0043146082854&lt;/D&gt;&lt;D xsi:type="xsd:double"&gt;13.4928239289522&lt;/D&gt;&lt;D xsi:type="xsd:double"&gt;13.5875647023573&lt;/D&gt;&lt;D xsi:type="xsd:double"&gt;13.4142703788049&lt;/D&gt;&lt;D xsi:type="xsd:double"&gt;13.5491630343979&lt;/D&gt;&lt;D xsi:type="xsd:double"&gt;14.9332402940697&lt;/D&gt;&lt;D xsi:type="xsd:double"&gt;14.8545220186501&lt;/D&gt;&lt;D xsi:type="xsd:double"&gt;15.0052215600377&lt;/D&gt;&lt;D xsi:type="xsd:double"&gt;14.9507726026173&lt;/D&gt;&lt;D xsi:type="xsd:double"&gt;14.901036099393&lt;/D&gt;&lt;D xsi:type="xsd:double"&gt;14.8415014924809&lt;/D&gt;&lt;D xsi:type="xsd:double"&gt;14.5588854078196&lt;/D&gt;&lt;D xsi:type="xsd:double"&gt;14.2950689063517&lt;/D&gt;&lt;D xsi:type="xsd:double"&gt;14.1350471384664&lt;/D&gt;&lt;D xsi:type="xsd:double"&gt;14.6739099022869&lt;/D&gt;&lt;D xsi:type="xsd:double"&gt;15.4846925731171&lt;/D&gt;&lt;D xsi:type="xsd:double"&gt;15.1727174553831&lt;/D&gt;&lt;D xsi:type="xsd:double"&gt;15.3346936363178&lt;/D&gt;&lt;D xsi:type="xsd:double"&gt;14.7787830038189&lt;/D&gt;&lt;D xsi:type="xsd:double"&gt;14.1641193569388&lt;/D&gt;&lt;D xsi:type="xsd:double"&gt;14.0643147639786&lt;/D&gt;&lt;D xsi:type="xsd:double"&gt;14.1812750273224&lt;/D&gt;&lt;D xsi:type="xsd:double"&gt;14.0895430336534&lt;/D&gt;&lt;D xsi:type="xsd:double"&gt;13.9157714629475&lt;/D&gt;&lt;D xsi:type="xsd:double"&gt;14.1001856742959&lt;/D&gt;&lt;D xsi:type="xsd:double"&gt;14.0214033605298&lt;/D&gt;&lt;D xsi:type="xsd:double"&gt;13.9459300541149&lt;/D&gt;&lt;D xsi:type="xsd:double"&gt;13.1625388688089&lt;/D&gt;&lt;D xsi:type="xsd:double"&gt;13.1103848736745&lt;/D&gt;&lt;D xsi:type="xsd:double"&gt;11.8725364045675&lt;/D&gt;&lt;D xsi:type="xsd:double"&gt;12.840174060001&lt;/D&gt;&lt;D xsi:type="xsd:double"&gt;13.2358567209154&lt;/D&gt;&lt;D xsi:type="xsd:double"&gt;13.2697835173575&lt;/D&gt;&lt;D xsi:type="xsd:double"&gt;13.427236034518&lt;/D&gt;&lt;D xsi:type="xsd:double"&gt;13.1156827069481&lt;/D&gt;&lt;D xsi:type="xsd:double"&gt;13.5682138672204&lt;/D&gt;&lt;D xsi:type="xsd:double"&gt;13.4258317322727&lt;/D&gt;&lt;D xsi:type="xsd:double"&gt;13.5470135000618&lt;/D&gt;&lt;D xsi:type="xsd:double"&gt;13.7274713970022&lt;/D&gt;&lt;D xsi:type="xsd:double"&gt;14.8613488051653&lt;/D&gt;&lt;D xsi:type="xsd:double"&gt;15.0118357850269&lt;/D&gt;&lt;D xsi:type="xsd:double"&gt;15.4651787096354&lt;/D&gt;&lt;D xsi:type="xsd:double"&gt;15.0882037576803&lt;/D&gt;&lt;D xsi:type="xsd:double"&gt;14.0397228933694&lt;/D&gt;&lt;D xsi:type="xsd:double"&gt;13.805812367724&lt;/D&gt;&lt;D xsi:type="xsd:double"&gt;15.0676505317944&lt;/D&gt;&lt;D xsi:type="xsd:double"&gt;16.9722933971875&lt;/D&gt;&lt;D xsi:type="xsd:double"&gt;17.9694938220647&lt;/D&gt;&lt;D xsi:type="xsd:double"&gt;18.9087260124896&lt;/D&gt;&lt;D xsi:type="xsd:double"&gt;20.1350210464216&lt;/D&gt;&lt;D xsi:type="xsd:double"&gt;20.3324112504187&lt;/D&gt;&lt;D xsi:type="xsd:double"&gt;19.1576957654611&lt;/D&gt;&lt;D xsi:type="xsd:double"&gt;20.7621176065964&lt;/D&gt;&lt;D xsi:type="xsd:double"&gt;22.1267684635384&lt;/D&gt;&lt;D xsi:type="xsd:double"&gt;21.2842867199953&lt;/D&gt;&lt;D xsi:type="xsd:double"&gt;20.2743593837738&lt;/D&gt;&lt;D xsi:type="xsd:double"&gt;20.0776866219531&lt;/D&gt;&lt;D xsi:type="xsd:double"&gt;19.3728588954805&lt;/D&gt;&lt;D xsi:type="xsd:double"&gt;18.8381732447153&lt;/D&gt;&lt;D xsi:type="xsd:double"&gt;18.3271729228187&lt;/D&gt;&lt;D xsi:type="xsd:double"&gt;17.4417071878781&lt;/D&gt;&lt;D xsi:type="xsd:double"&gt;16.8386908857609&lt;/D&gt;&lt;D xsi:type="xsd:double"&gt;15.830232476553&lt;/D&gt;&lt;D xsi:type="xsd:double"&gt;15.717647075923&lt;/D&gt;&lt;D xsi:type="xsd:double"&gt;14.0789470831735&lt;/D&gt;&lt;D xsi:type="xsd:double"&gt;14.257742206794&lt;/D&gt;&lt;D xsi:type="xsd:double"&gt;13.5051821503576&lt;/D&gt;&lt;D xsi:type="xsd:double"&gt;12.4069984517882&lt;/D&gt;&lt;D xsi:type="xsd:double"&gt;12.4501370702888&lt;/D&gt;&lt;D xsi:type="xsd:double"&gt;12.2021264996501&lt;/D&gt;&lt;D xsi:type="xsd:double"&gt;12.1395886508631&lt;/D&gt;&lt;D xsi:type="xsd:double"&gt;11.3778245348287&lt;/D&gt;&lt;D xsi:type="xsd:double"&gt;11.5154163098303&lt;/D&gt;&lt;D xsi:type="xsd:double"&gt;10.7948924755403&lt;/D&gt;&lt;D xsi:type="xsd:double"&gt;10.1611870978844&lt;/D&gt;&lt;D xsi:type="xsd:double"&gt;10.3559920574503&lt;/D&gt;&lt;D xsi:type="xsd:double"&gt;11.0713833727759&lt;/D&gt;&lt;D xsi:type="xsd:double"&gt;10.6466848367727&lt;/D&gt;&lt;D xsi:type="xsd:double"&gt;11.7593307494523&lt;/D&gt;&lt;D xsi:type="xsd:double"&gt;11.3760501465208&lt;/D&gt;&lt;D xsi:type="xsd:double"&gt;11.3717414291232&lt;/D&gt;&lt;D xsi:type="xsd:double"&gt;11.402423250791&lt;/D&gt;&lt;D xsi:type="xsd:double"&gt;11.2752590979744&lt;/D&gt;&lt;D xsi:type="xsd:double"&gt;11.2732724802476&lt;/D&gt;&lt;D xsi:type="xsd:double"&gt;11.1814443529639&lt;/D&gt;&lt;D xsi:type="xsd:double"&gt;11.2535872120991&lt;/D&gt;&lt;D xsi:type="xsd:double"&gt;10.8958104075038&lt;/D&gt;&lt;D xsi:type="xsd:double"&gt;10.9117388879176&lt;/D&gt;&lt;D xsi:type="xsd:double"&gt;11.6841115407002&lt;/D&gt;&lt;D xsi:type="xsd:double"&gt;11.8002527597166&lt;/D&gt;&lt;D xsi:type="xsd:double"&gt;12.0550611322789&lt;/D&gt;&lt;D xsi:type="xsd:double"&gt;12.5195352586186&lt;/D&gt;&lt;D xsi:type="xsd:double"&gt;12.5961198095634&lt;/D&gt;&lt;D xsi:type="xsd:double"&gt;12.5118041147147&lt;/D&gt;&lt;D xsi:type="xsd:double"&gt;12.5603055286152&lt;/D&gt;&lt;D xsi:type="xsd:double"&gt;12.4918278581724&lt;/D&gt;&lt;D xsi:type="xsd:double"&gt;12.3068159980957&lt;/D&gt;&lt;D xsi:type="xsd:double"&gt;12.8870830347079&lt;/D&gt;&lt;D xsi:type="xsd:double"&gt;13.6401141814012&lt;/D&gt;&lt;/FQL&gt;&lt;FQL&gt;&lt;Q&gt;EWC^FMA_PE(LTMA,-10AY,0,AM,"PORTAGG","MEANR")&lt;/Q&gt;&lt;R&gt;121&lt;/R&gt;&lt;C&gt;1&lt;/C&gt;&lt;D xsi:type="xsd:double"&gt;15.8239037173897&lt;/D&gt;&lt;D xsi:type="xsd:double"&gt;15.6005577889499&lt;/D&gt;&lt;D xsi:type="xsd:double"&gt;15.808707839055&lt;/D&gt;&lt;D xsi:type="xsd:double"&gt;15.7070156564&lt;/D&gt;&lt;D xsi:type="xsd:double"&gt;16.2755072455782&lt;/D&gt;&lt;D xsi:type="xsd:double"&gt;17.0224201593294&lt;/D&gt;&lt;D xsi:type="xsd:double"&gt;17.095456503967&lt;/D&gt;&lt;D xsi:type="xsd:double"&gt;17.3505916412903&lt;/D&gt;&lt;D xsi:type="xsd:double"&gt;17.2992920294025&lt;/D&gt;&lt;D xsi:type="xsd:double"&gt;17.0842855539427&lt;/D&gt;&lt;D xsi:type="xsd:double"&gt;17.0180514390215&lt;/D&gt;&lt;D xsi:type="xsd:double"&gt;16.4433116126662&lt;/D&gt;&lt;D xsi:type="xsd:double"&gt;16.3797557994676&lt;/D&gt;&lt;D xsi:type="xsd:double"&gt;16.8218843039477&lt;/D&gt;&lt;D xsi:type="xsd:double"&gt;16.5323380481214&lt;/D&gt;&lt;D xsi:type="xsd:double"&gt;15.7794491987031&lt;/D&gt;&lt;D xsi:type="xsd:double"&gt;15.270393421918&lt;/D&gt;&lt;D xsi:type="xsd:double"&gt;15.7917536092758&lt;/D&gt;&lt;D xsi:type="xsd:double"&gt;16.001157655848&lt;/D&gt;&lt;D xsi:type="xsd:double"&gt;16.3434394671097&lt;/D&gt;&lt;D xsi:type="xsd:double"&gt;16.7490838649762&lt;/D&gt;&lt;D xsi:type="xsd:double"&gt;16.7934665316453&lt;/D&gt;&lt;D xsi:type="xsd:double"&gt;17.1804275917849&lt;/D&gt;&lt;D xsi:type="xsd:double"&gt;17.6838143347528&lt;/D&gt;&lt;D xsi:type="xsd:double"&gt;17.8673391004533&lt;/D&gt;&lt;D xsi:type="xsd:double"&gt;18.001661198923&lt;/D&gt;&lt;D xsi:type="xsd:double"&gt;18.7977509765365&lt;/D&gt;&lt;D xsi:type="xsd:double"&gt;19.5026653079993&lt;/D&gt;&lt;D xsi:type="xsd:double"&gt;19.6526094006356&lt;/D&gt;&lt;D xsi:type="xsd:double"&gt;19.4084327608691&lt;/D&gt;&lt;D xsi:type="xsd:double"&gt;19.0884694659966&lt;/D&gt;&lt;D xsi:type="xsd:double"&gt;18.7457400911696&lt;/D&gt;&lt;D xsi:type="xsd:double"&gt;18.42952715946&lt;/D&gt;&lt;D xsi:type="xsd:double"&gt;18.0241574110775&lt;/D&gt;&lt;D xsi:type="xsd:double"&gt;17.9933704042033&lt;/D&gt;&lt;D xsi:type="xsd:double"&gt;17.5274265070569&lt;/D&gt;&lt;D xsi:type="xsd:double"&gt;17.7000497642474&lt;/D&gt;&lt;D xsi:type="xsd:double"&gt;17.4996441700455&lt;/D&gt;&lt;D xsi:type="xsd:double"&gt;17.315556170384&lt;/D&gt;&lt;D xsi:type="xsd:double"&gt;17.373195809982&lt;/D&gt;&lt;D xsi:type="xsd:double"&gt;16.3939027219064&lt;/D&gt;&lt;D xsi:type="xsd:double"&gt;15.8114070627831&lt;/D&gt;&lt;D xsi:type="xsd:double"&gt;15.6272265124374&lt;/D&gt;&lt;D xsi:type="xsd:double"&gt;15.5863750215142&lt;/D&gt;&lt;D xsi:type="xsd:double"&gt;15.51704587111</t>
        </r>
      </text>
    </comment>
    <comment ref="A13" authorId="0" shapeId="0" xr:uid="{9C9CFFAE-1609-4ED9-8F7A-79AF773B9125}">
      <text>
        <r>
          <rPr>
            <b/>
            <sz val="9"/>
            <color indexed="81"/>
            <rFont val="Tahoma"/>
            <charset val="1"/>
          </rPr>
          <t>05&lt;/D&gt;&lt;D xsi:type="xsd:double"&gt;15.464265835349&lt;/D&gt;&lt;D xsi:type="xsd:double"&gt;15.4898696571682&lt;/D&gt;&lt;D xsi:type="xsd:double"&gt;15.2389778780504&lt;/D&gt;&lt;D xsi:type="xsd:double"&gt;15.0388764824454&lt;/D&gt;&lt;D xsi:type="xsd:double"&gt;14.2201797377882&lt;/D&gt;&lt;D xsi:type="xsd:double"&gt;14.1320822900115&lt;/D&gt;&lt;D xsi:type="xsd:double"&gt;13.0110233478739&lt;/D&gt;&lt;D xsi:type="xsd:double"&gt;14.5170878783775&lt;/D&gt;&lt;D xsi:type="xsd:double"&gt;14.7339208885223&lt;/D&gt;&lt;D xsi:type="xsd:double"&gt;14.7405006045002&lt;/D&gt;&lt;D xsi:type="xsd:double"&gt;14.6032994608244&lt;/D&gt;&lt;D xsi:type="xsd:double"&gt;14.3538026949074&lt;/D&gt;&lt;D xsi:type="xsd:double"&gt;14.5470594711168&lt;/D&gt;&lt;D xsi:type="xsd:double"&gt;14.3726991699823&lt;/D&gt;&lt;D xsi:type="xsd:double"&gt;14.418004277955&lt;/D&gt;&lt;D xsi:type="xsd:double"&gt;14.4667550168803&lt;/D&gt;&lt;D xsi:type="xsd:double"&gt;14.8354398848766&lt;/D&gt;&lt;D xsi:type="xsd:double"&gt;14.971727212767&lt;/D&gt;&lt;D xsi:type="xsd:double"&gt;15.256983399573&lt;/D&gt;&lt;D xsi:type="xsd:double"&gt;15.4049023332051&lt;/D&gt;&lt;D xsi:type="xsd:double"&gt;14.4144068935254&lt;/D&gt;&lt;D xsi:type="xsd:double"&gt;14.1660935470872&lt;/D&gt;&lt;D xsi:type="xsd:double"&gt;15.5747218915481&lt;/D&gt;&lt;D xsi:type="xsd:double"&gt;17.1190674222151&lt;/D&gt;&lt;D xsi:type="xsd:double"&gt;17.4247692052252&lt;/D&gt;&lt;D xsi:type="xsd:double"&gt;18.0319627699423&lt;/D&gt;&lt;D xsi:type="xsd:double"&gt;18.2670030296381&lt;/D&gt;&lt;D xsi:type="xsd:double"&gt;18.4059117540934&lt;/D&gt;&lt;D xsi:type="xsd:double"&gt;18.3787554514747&lt;/D&gt;&lt;D xsi:type="xsd:double"&gt;19.8600441216043&lt;/D&gt;&lt;D xsi:type="xsd:double"&gt;20.3674881248119&lt;/D&gt;&lt;D xsi:type="xsd:double"&gt;20.7662206817835&lt;/D&gt;&lt;D xsi:type="xsd:double"&gt;19.9662083242364&lt;/D&gt;&lt;D xsi:type="xsd:double"&gt;19.6112449968824&lt;/D&gt;&lt;D xsi:type="xsd:double"&gt;19.210659918564&lt;/D&gt;&lt;D xsi:type="xsd:double"&gt;18.7703436963403&lt;/D&gt;&lt;D xsi:type="xsd:double"&gt;18.4301547295925&lt;/D&gt;&lt;D xsi:type="xsd:double"&gt;17.7422936707724&lt;/D&gt;&lt;D xsi:type="xsd:double"&gt;17.2307850610811&lt;/D&gt;&lt;D xsi:type="xsd:double"&gt;16.4144424371514&lt;/D&gt;&lt;D xsi:type="xsd:double"&gt;16.6710607422839&lt;/D&gt;&lt;D xsi:type="xsd:double"&gt;15.4860500993552&lt;/D&gt;&lt;D xsi:type="xsd:double"&gt;15.4174567731077&lt;/D&gt;&lt;D xsi:type="xsd:double"&gt;15.2849917969013&lt;/D&gt;&lt;D xsi:type="xsd:double"&gt;15.233474594826&lt;/D&gt;&lt;D xsi:type="xsd:double"&gt;15.0357474837891&lt;/D&gt;&lt;D xsi:type="xsd:double"&gt;14.5617816387308&lt;/D&gt;&lt;D xsi:type="xsd:double"&gt;14.2639868085087&lt;/D&gt;&lt;D xsi:type="xsd:double"&gt;13.4335584086702&lt;/D&gt;&lt;D xsi:type="xsd:double"&gt;13.2672401214386&lt;/D&gt;&lt;D xsi:type="xsd:double"&gt;12.7701419947638&lt;/D&gt;&lt;D xsi:type="xsd:double"&gt;12.325915062241&lt;/D&gt;&lt;D xsi:type="xsd:double"&gt;12.3991744330608&lt;/D&gt;&lt;D xsi:type="xsd:double"&gt;12.8844391541457&lt;/D&gt;&lt;D xsi:type="xsd:double"&gt;12.0659117514711&lt;/D&gt;&lt;D xsi:type="xsd:double"&gt;12.9204737630084&lt;/D&gt;&lt;D xsi:type="xsd:double"&gt;12.6256451851189&lt;/D&gt;&lt;D xsi:type="xsd:double"&gt;12.6819594425136&lt;/D&gt;&lt;D xsi:type="xsd:double"&gt;12.7621901692183&lt;/D&gt;&lt;D xsi:type="xsd:double"&gt;12.8934026265415&lt;/D&gt;&lt;D xsi:type="xsd:double"&gt;13.0503081712693&lt;/D&gt;&lt;D xsi:type="xsd:double"&gt;13.3707862635949&lt;/D&gt;&lt;D xsi:type="xsd:double"&gt;13.6581067908403&lt;/D&gt;&lt;D xsi:type="xsd:double"&gt;13.0359992876724&lt;/D&gt;&lt;D xsi:type="xsd:double"&gt;13.4832577920021&lt;/D&gt;&lt;D xsi:type="xsd:double"&gt;14.0081446167637&lt;/D&gt;&lt;D xsi:type="xsd:double"&gt;14.513093839802&lt;/D&gt;&lt;D xsi:type="xsd:double"&gt;14.6714287623334&lt;/D&gt;&lt;D xsi:type="xsd:double"&gt;14.8887396384415&lt;/D&gt;&lt;D xsi:type="xsd:double"&gt;14.9543745351874&lt;/D&gt;&lt;D xsi:type="xsd:double"&gt;14.9109217864206&lt;/D&gt;&lt;D xsi:type="xsd:double"&gt;14.9202556462961&lt;/D&gt;&lt;D xsi:type="xsd:double"&gt;14.9547152260991&lt;/D&gt;&lt;D xsi:type="xsd:double"&gt;14.942382225202&lt;/D&gt;&lt;D xsi:type="xsd:double"&gt;15.3129513333011&lt;/D&gt;&lt;D xsi:type="xsd:double"&gt;15.9635672948152&lt;/D&gt;&lt;/FQL&gt;&lt;FQL&gt;&lt;Q&gt;EWA^FMA_PE(LTMA,-10AY,0,AM,"PORTAGG","MEANR")&lt;/Q&gt;&lt;R&gt;121&lt;/R&gt;&lt;C&gt;1&lt;/C&gt;&lt;D xsi:type="xsd:double"&gt;14.7038804114428&lt;/D&gt;&lt;D xsi:type="xsd:double"&gt;15.2646570841521&lt;/D&gt;&lt;D xsi:type="xsd:double"&gt;14.5020957141617&lt;/D&gt;&lt;D xsi:type="xsd:double"&gt;14.8442549418679&lt;/D&gt;&lt;D xsi:type="xsd:double"&gt;15.4701000426982&lt;/D&gt;&lt;D xsi:type="xsd:double"&gt;16.2230519898175&lt;/D&gt;&lt;D xsi:type="xsd:double"&gt;16.2644675273386&lt;/D&gt;&lt;D xsi:type="xsd:double"&gt;16.3273988245437&lt;/D&gt;&lt;D xsi:type="xsd:double"&gt;16.037063787735&lt;/D&gt;&lt;D xsi:type="xsd:double"&gt;16.0606296735918&lt;/D&gt;&lt;D xsi:type="xsd:double"&gt;16.1431477447849&lt;/D&gt;&lt;D xsi:type="xsd:double"&gt;15.1084602871939&lt;/D&gt;&lt;D xsi:type="xsd:double"&gt;15.12316260996&lt;/D&gt;&lt;D xsi:type="xsd:double"&gt;15.638863724766&lt;/D&gt;&lt;D xsi:type="xsd:double"&gt;15.7001133531286&lt;/D&gt;&lt;D xsi:type="xsd:double"&gt;16.060762601513&lt;/D&gt;&lt;D xsi:type="xsd:double"&gt;14.8928432056556&lt;/D&gt;&lt;D xsi:type="xsd:double"&gt;15.0628500213757&lt;/D&gt;&lt;D xsi:type="xsd:double"&gt;15.0999390080493&lt;/D&gt;&lt;D xsi:type="xsd:double"&gt;15.6201930725432&lt;/D&gt;&lt;D xsi:type="xsd:double"&gt;15.7232898649166&lt;/D&gt;&lt;D xsi:type="xsd:double"&gt;15.7835404267062&lt;/D&gt;&lt;D xsi:type="xsd:double"&gt;16.2933958367382&lt;/D&gt;&lt;D xsi:type="xsd:double"&gt;16.3823856602455&lt;/D&gt;&lt;D xsi:type="xsd:double"&gt;16.8236062505633&lt;/D&gt;&lt;D xsi:type="xsd:double"&gt;16.5823295043671&lt;/D&gt;&lt;D xsi:type="xsd:double"&gt;17.0762607591871&lt;/D&gt;&lt;D xsi:type="xsd:double"&gt;17.9013067583146&lt;/D&gt;&lt;D xsi:type="xsd:double"&gt;17.4936874239121&lt;/D&gt;&lt;D xsi:type="xsd:double"&gt;17.502128523886&lt;/D&gt;&lt;D xsi:type="xsd:double"&gt;17.376097542018&lt;/D&gt;&lt;D xsi:type="xsd:double"&gt;17.2506631322694&lt;/D&gt;&lt;D xsi:type="xsd:double"&gt;16.9218107992119&lt;/D&gt;&lt;D xsi:type="xsd:double"&gt;16.7188263193845&lt;/D&gt;&lt;D xsi:type="xsd:double"&gt;16.8145916503031&lt;/D&gt;&lt;D xsi:type="xsd:double"&gt;16.621429923767&lt;/D&gt;&lt;D xsi:type="xsd:double"&gt;16.397730180619&lt;/D&gt;&lt;D xsi:type="xsd:double"&gt;16.7574925946574&lt;/D&gt;&lt;D xsi:type="xsd:double"&gt;16.6432391416311&lt;/D&gt;&lt;D xsi:type="xsd:double"&gt;16.7999888005691&lt;/D&gt;&lt;D xsi:type="xsd:double"&gt;16.9208824259969&lt;/D&gt;&lt;D xsi:type="xsd:double"&gt;16.5093584074697&lt;/D&gt;&lt;D xsi:type="xsd:double"&gt;16.2572126652837&lt;/D&gt;&lt;D xsi:type="xsd:double"&gt;16.3633938546947&lt;/D&gt;&lt;D xsi:type="xsd:double"&gt;16.1312538310613&lt;/D&gt;&lt;D xsi:type="xsd:double"&gt;16.2822757692091&lt;/D&gt;&lt;D xsi:type="xsd:double"&gt;16.2757098476572&lt;/D&gt;&lt;D xsi:type="xsd:double"&gt;16.3597947840177&lt;/D&gt;&lt;D xsi:type="xsd:double"&gt;15.8790652697394&lt;/D&gt;&lt;D xsi:type="xsd:double"&gt;15.3092180816754&lt;/D&gt;&lt;D xsi:type="xsd:double"&gt;15.1286134440337&lt;/D&gt;&lt;D xsi:type="xsd:double"&gt;14.5628850347398&lt;/D&gt;&lt;D xsi:type="xsd:double"&gt;15.2545673380389&lt;/D&gt;&lt;D xsi:type="xsd:double"&gt;15.9237833795216&lt;/D&gt;&lt;D xsi:type="xsd:double"&gt;15.9238653946596&lt;/D&gt;&lt;D xsi:type="xsd:double"&gt;15.8676886818646&lt;/D&gt;&lt;D xsi:type="xsd:double"&gt;15.8448496005472&lt;/D&gt;&lt;D xsi:type="xsd:double"&gt;16.321577945621&lt;/D&gt;&lt;D xsi:type="xsd:double"&gt;16.4440725633018&lt;/D&gt;&lt;D xsi:type="xsd:double"&gt;16.3979932194432&lt;/D&gt;&lt;D xsi:type="xsd:double"&gt;16.5010000773045&lt;/D&gt;&lt;D xsi:type="xsd:double"&gt;17.2934364679023&lt;/D&gt;&lt;D xsi:type="xsd:double"&gt;17.4942953867203&lt;/D&gt;&lt;D xsi:type="xsd:double"&gt;17.8281072293301&lt;/D&gt;&lt;D xsi:type="xsd:double"&gt;18.22372416819&lt;/D&gt;&lt;D xsi:type="xsd:double"&gt;16.9564933837432&lt;/D&gt;&lt;D xsi:type="xsd:double"&gt;16.3629234918986&lt;/D&gt;&lt;D xsi:type="xsd:double"&gt;17.0824418644086&lt;/D&gt;&lt;D xsi:type="xsd:double"&gt;18.4244712108511&lt;/D&gt;&lt;D xsi:type="xsd:double"&gt;18.6699008747&lt;/D&gt;&lt;D xsi:type="xsd:double"&gt;18.9456589213714&lt;/D&gt;&lt;D xsi:type="xsd:double"&gt;19.9452629696001&lt;/D&gt;&lt;D xsi:type="xsd:double"&gt;19.0311680544188&lt;/D&gt;&lt;D xsi:type="xsd:double"&gt;20.1026932336978&lt;/D&gt;&lt;D xsi:type="xsd:double"&gt;22.6629354753962&lt;/D&gt;&lt;D xsi:type="xsd:double"&gt;22.9540612302639&lt;/D&gt;&lt;D xsi:type="xsd:double"&gt;23.0387611404924&lt;/D&gt;&lt;D xsi:type="xsd:double"&gt;21.825181980916&lt;/D&gt;&lt;D xsi:type="xsd:double"&gt;21.3012038669974&lt;/D&gt;&lt;D xsi:type="xsd:double"&gt;20.987391329632&lt;/D&gt;&lt;D xsi:type="xsd:double"&gt;20.7494545246087&lt;/D&gt;&lt;D xsi:type="xsd:double"&gt;19.8750088483824&lt;/D&gt;&lt;D xsi:type="xsd:double"&gt;19.2803090508705&lt;/D&gt;&lt;D xsi:type="xsd:double"&gt;19.1294168570337&lt;/D&gt;&lt;D xsi:type="xsd:double"&gt;18.2803166398166&lt;/D&gt;&lt;D xsi:type="xsd:double"&gt;18.5356295942383&lt;/D&gt;&lt;D xsi:type="xsd:double"&gt;17.5754168615523&lt;/D&gt;&lt;D xsi:type="xsd:double"&gt;17.72794966345&lt;/D&gt;&lt;D xsi:type="xsd:double"&gt;16.0803086119723&lt;/D&gt;&lt;D xsi:type="xsd:double"&gt;15.7085570053434&lt;/D&gt;&lt;D xsi:type="xsd:double"&gt;15.7961537924992&lt;/D&gt;&lt;D xsi:type="xsd:double"&gt;15.3370736786907&lt;/D&gt;&lt;D xsi:type="xsd:double"&gt;15.0184661938661&lt;/D&gt;&lt;D xsi:type="xsd:double"&gt;13.9861245020638&lt;/D&gt;&lt;D xsi:type="xsd:double"&gt;14.4645616342681&lt;/D&gt;&lt;D xsi:type="xsd:double"&gt;14.1304713775496&lt;/D&gt;&lt;D xsi:type="xsd:double"&gt;13.2335104408495&lt;/D&gt;&lt;D xsi:type="xsd:double"&gt;13.4119606410562&lt;/D&gt;&lt;D xsi:type="xsd:double"&gt;14.4123445903674&lt;/D&gt;&lt;D xsi:type="xsd:double"&gt;13.8120369422328&lt;/D&gt;&lt;D xsi:type="xsd:double"&gt;14.9855807887684&lt;/D&gt;&lt;D xsi:type="xsd:double"&gt;14.2712508232755&lt;/D&gt;&lt;D xsi:type="xsd:double"&gt;14.2766752771481&lt;/D&gt;&lt;D xsi:type="xsd:double"&gt;14.276601836081&lt;/D&gt;&lt;D xsi:type="xsd:double"&gt;14.3006014082232&lt;/D&gt;&lt;D xsi:type="xsd:double"&gt;14.6558819543819&lt;/D&gt;&lt;D xsi:type="xsd:double"&gt;14.9221194441244&lt;/D&gt;&lt;D xsi:type="xsd:double"&gt;15.1076587386803&lt;/D&gt;&lt;D xsi:type="xsd:double"&gt;14.5221098289934&lt;/D&gt;&lt;D xsi:type="xsd:double"&gt;14.8805678458168&lt;/D&gt;&lt;D xsi:type="xsd:double"&gt;15.264272649608&lt;/D&gt;&lt;D xsi:type="xsd:double"&gt;16.3382623920369&lt;/D&gt;&lt;D xsi:type="xsd:double"&gt;16.6425468433246&lt;/D&gt;&lt;D xsi:type="xsd:double"&gt;16.6278424378432&lt;/D&gt;&lt;D xsi:type="xsd:double"&gt;16.6321392656026&lt;/D&gt;&lt;D xsi:type="xsd:double"&gt;16.6103671117387&lt;/D&gt;&lt;D xsi:type="xsd:double"&gt;16.762150692281&lt;/D&gt;&lt;D xsi:type="xsd:double"&gt;16.8373931598303&lt;/D&gt;&lt;D xsi:type="xsd:double"&gt;17.0918239528224&lt;/D&gt;&lt;D xsi:type="xsd:double"&gt;17.650254238797&lt;/D&gt;&lt;D xsi:type="xsd:double"&gt;18.1147863202492&lt;/D&gt;&lt;/FQL&gt;&lt;FQL&gt;&lt;Q&gt;ENZL^FMA_PE(LTMA,-10AY,0,AM,"PORTAGG","MEANR")&lt;/Q&gt;&lt;R&gt;121&lt;/R&gt;&lt;C&gt;1&lt;/C&gt;&lt;D xsi:type="xsd:double"&gt;17.8726778206679&lt;/D&gt;&lt;D xsi:type="xsd:double"&gt;18.485227782721&lt;/D&gt;&lt;D xsi:type="xsd:double"&gt;18.8607300754127&lt;/D&gt;&lt;D xsi:type="xsd:double"&gt;19.2341389813833&lt;/D&gt;&lt;D xsi:type="xsd:double"&gt;20.0308483577169&lt;/D&gt;&lt;D xsi:type="xsd:double"&gt;20.5296505145399&lt;/D&gt;&lt;D xsi:type="xsd:double"&gt;20.2701126972107&lt;/D&gt;&lt;D xsi:type="xsd:double"&gt;20.1000815154015&lt;/D&gt;&lt;D xsi:type="xsd:double"&gt;20.0333622411875&lt;/D&gt;&lt;D xsi:type="xsd:double"&gt;19.8755888358466&lt;/D&gt;&lt;D xsi:type="xsd:double"&gt;19.9254513989948&lt;/D&gt;&lt;D xsi:type="xsd:double"&gt;19.0204755044276&lt;/D&gt;&lt;D xsi:type="xsd:double"&gt;18.6100967787143&lt;/D&gt;&lt;D xsi:type="xsd:double"&gt;19.5588899132747&lt;/D&gt;&lt;D xsi:type="xsd:double"&gt;19.6217440363979&lt;/D&gt;&lt;D xsi:type="xsd:double"&gt;19.8617758299773&lt;/D&gt;&lt;D xsi:type="xsd:double"&gt;19.0464665479358&lt;/D&gt;&lt;D xsi:type="xsd:double"&gt;19.3176762206068&lt;/D&gt;&lt;D xsi:type="xsd:double"&gt;19.333984789594&lt;/D&gt;&lt;D xsi:type="xsd:double"&gt;19.4827563060388&lt;/D&gt;&lt;D xsi:type="xsd:double"&gt;19.8165848770946&lt;/D&gt;&lt;D xsi:type="xsd:double"&gt;19.7077987621199&lt;/D&gt;&lt;D xsi:type="xsd:double"&gt;20.4224200078163&lt;/D&gt;&lt;D xsi:type="xsd:double"&gt;20.963367602413&lt;/D&gt;&lt;D xsi:type="xsd:double"&gt;21.003853332603&lt;/D&gt;&lt;D xsi:type="xsd:double"&gt;19.6597152633503&lt;/D&gt;&lt;D xsi:type="xsd:double"&gt;20.0199524674571&lt;/D&gt;&lt;D xsi:type="xsd:double"&gt;19.9496956000646&lt;/D&gt;&lt;D xsi:type="xsd:double"&gt;20.5408386654425&lt;/D&gt;&lt;D xsi:type="xsd:double"&gt;19.8138835774319&lt;/D&gt;&lt;D xsi:type="xsd:double"&gt;19.8045223502001&lt;/D&gt;&lt;D xsi:type="xsd:double"&gt;19.9578623667492&lt;/D&gt;&lt;D xsi:type="xsd:double"&gt;20.0034945545716&lt;/D&gt;&lt;D xsi:type="xsd:double"&gt;20.0780043061073&lt;/D&gt;&lt;D xsi:type="xsd:double"&gt;20.4994210356473&lt;/D&gt;&lt;D xsi:type="xsd:double"&gt;20.6091379600415&lt;/D&gt;&lt;D xsi:type="xsd:double"&gt;20.61840120177&lt;/D&gt;&lt;D xsi:type="xsd:double"&gt;21.2244259438749&lt;/D&gt;&lt;D xsi:type="xsd:double"&gt;21.5609239490599&lt;/D&gt;&lt;D xsi:type="xsd:double"&gt;22.4153638645603&lt;/D&gt;&lt;D xsi:type="xsd:double"&gt;22.4628391333142&lt;/D&gt;&lt;D xsi:type="xsd:double"&gt;22.5797765761439&lt;/D&gt;&lt;D xsi:type="xsd:double"&gt;22.3696898620416&lt;/D&gt;&lt;D xsi:type="xsd:double"&gt;22.411419203255&lt;/D&gt;&lt;D xsi:type="xsd:double"&gt;22.4265512501182&lt;/D&gt;&lt;D xsi:type="xsd:double"&gt;22.978318263358&lt;/D&gt;&lt;D xsi:type="xsd:double"&gt;22.8067158433713&lt;/D&gt;&lt;D xsi:type="xsd:double"&gt;23.757388864391&lt;/D&gt;&lt;D xsi:type="xsd:double"&gt;23.6463891382505&lt;/D&gt;&lt;D xsi:type="xsd:double"&gt;22.824232228699&lt;/D&gt;&lt;D xsi:type="xsd:double"&gt;23.0734886516876&lt;/D&gt;&lt;D xsi:type="xsd:double"&gt;22.7456611999977&lt;/D&gt;&lt;D xsi:type="xsd:double"&gt;23.2798198585488&lt;/D&gt;&lt;D xsi:type="xsd:double"&gt;24.1854317851912&lt;/D&gt;&lt;D xsi:type="xsd:double"&gt;24.1989984602057&lt;/D&gt;&lt;D xsi:type="xsd:double"&gt;24.2577298861835&lt;/D&gt;&lt;D xsi:type="xsd:double"&gt;24.2622034686916&lt;/D&gt;&lt;D xsi:type="xsd:double"&gt;24.7717361132745&lt;/D&gt;&lt;D xsi:type="xsd:double"&gt;25.4183300791344&lt;/D&gt;&lt;D xsi:type="xsd:double"&gt;28.3503973493082&lt;/D&gt;&lt;D xsi:type="xsd:double"&gt;28.4229770177569&lt;/D&gt;&lt;D xsi:type="xsd:double"&gt;28.8281059970238&lt;/D&gt;&lt;D xsi:type="xsd:double"&gt;31.0235851173559&lt;/D&gt;&lt;D xsi:type="xsd:double"&gt;32.5714798139415&lt;/D&gt;&lt;D xsi:type="xsd:double"&gt;32.1872150634918&lt;/D&gt;&lt;D xsi:type="xsd:double"&gt;31.0470153778185&lt;/D&gt;&lt;D xsi:type="xsd:double"&gt;30.573284357585&lt;/D&gt;&lt;D xsi:type="xsd:double"&gt;31.46312599861&lt;/D&gt;&lt;D xsi:type="xsd:double"&gt;32.1767010539208&lt;/D&gt;&lt;D xsi:type="xsd:double"&gt;32.8069383082732&lt;/D&gt;&lt;D xsi:type="xsd:double"&gt;33.6083614313484&lt;/D&gt;&lt;D xsi:type="xsd:double"&gt;34.1572472820561&lt;/D&gt;&lt;D xsi:type="xsd:double"&gt;33.918621820524&lt;/D&gt;&lt;D xsi:type="xsd:double"&gt;35.0613050648468&lt;/D&gt;&lt;D xsi:type="xsd:double"&gt;35.9988090197148&lt;/D&gt;&lt;D xsi:type="xsd:double"&gt;37.9280377333323&lt;/D&gt;&lt;D xsi:type="xsd:double"&gt;36.7557777648922&lt;/D&gt;&lt;D xsi:type="xsd:double"&gt;34.4519030801936&lt;/D&gt;&lt;D xsi:type="xsd:double"&gt;34.4420912915879&lt;/D&gt;&lt;D xsi:type="xsd:double"&gt;34.6145894509243&lt;/D&gt;&lt;D xsi:type="xsd:double"&gt;35.1702673547071&lt;/D&gt;&lt;D xsi:type="xsd:double"&gt;36.274885505061&lt;/D&gt;&lt;D xsi:type="xsd:double"&gt;36.8277535784473&lt;/D&gt;&lt;D xsi:type="xsd:double"&gt;38.5269568753397&lt;/D&gt;&lt;D xsi:type="xsd:double"&gt;38.962087736309&lt;/D&gt;&lt;D xsi:type="xsd:double"&gt;39.1943462083738&lt;/D&gt;&lt;D xsi:type="xsd:double"&gt;37.4885671104568&lt;/D&gt;&lt;D xsi:type="xsd:double"&gt;39.32934156364&lt;/D&gt;&lt;D xsi:type="xsd:double"&gt;37.422782872336&lt;/D&gt;&lt;D xsi:type="xsd:double"&gt;35.3231564537939&lt;/D&gt;&lt;D xsi:type="xsd:double"&gt;35.0144802181867&lt;/D&gt;&lt;D xsi:type="xsd:double"&gt;34.4168487744112&lt;/D&gt;&lt;D xsi:type="xsd:double"&gt;33.679915023446&lt;/D&gt;&lt;D xsi:type="xsd:double"&gt;32.7706815751595&lt;/D&gt;&lt;D xsi:type="xsd:double"&gt;33.5807367888967&lt;/D&gt;&lt;D xsi:type="xsd:double"&gt;34.2725597961445&lt;/D&gt;&lt;D xsi:type="xsd:double"&gt;31.5055294932133&lt;/D&gt;&lt;D xsi:type="xsd:double"&gt;31.194330298314&lt;/D&gt;&lt;D xsi:type="xsd:double"&gt;29.939964754076&lt;/D&gt;&lt;D xsi:type="xsd:double"&gt;28.9594494737004&lt;/D&gt;&lt;D xsi:type="xsd:double"&gt;30.2234111048564&lt;/D&gt;&lt;D xsi:type="xsd:double"&gt;29.4854175379133&lt;/D&gt;&lt;D xsi:type="xsd:double"&gt;28.8521233337199&lt;/D&gt;&lt;D xsi:type="xsd:double"&gt;28.4203333052959&lt;/D&gt;&lt;D xsi:type="xsd:double"&gt;26.8703613650736&lt;/D&gt;&lt;D xsi:type="xsd:double"&gt;26.0517822896631&lt;/D&gt;&lt;D xsi:type="xsd:double"&gt;25.2255840343026&lt;/D&gt;&lt;D xsi:type="xsd:double"&gt;24.8184063173402&lt;/D&gt;&lt;D xsi:type="xsd:double"&gt;23.6514485619411&lt;/D&gt;&lt;D xsi:type="xsd:double"&gt;22.814491904977&lt;/D&gt;&lt;D xsi:type="xsd:double"&gt;23.4892598283858&lt;/D&gt;&lt;D xsi:type="xsd:double"&gt;23.8666702374631&lt;/D&gt;&lt;D xsi:type="xsd:double"&gt;23.4164186608314&lt;/D&gt;&lt;D xsi:type="xsd:double"&gt;23.7028780560669&lt;/D&gt;&lt;D xsi:type="xsd:double"&gt;24.0551109455502&lt;/D&gt;&lt;D xsi:type="xsd:double"&gt;24.4625820067831&lt;/D&gt;&lt;D xsi:type="xsd:double"&gt;24.2954059424869&lt;/D&gt;&lt;D xsi:type="xsd:double"&gt;24.2990045444365&lt;/D&gt;&lt;D xsi:type="xsd:double"&gt;25.1915641698114&lt;/D&gt;&lt;D xsi:type="xsd:double"&gt;25.3288455928064&lt;/D&gt;&lt;D xsi:type="xsd:double"&gt;24.2242201092424&lt;/D&gt;&lt;/FQL&gt;&lt;FQL&gt;&lt;Q&gt;ENZL^JULIAN(FMA_DIV_YLD(LTMA,-10AY,0,AM,"PORTAGG","MEANR").DATES)&lt;/Q&gt;&lt;R&gt;121&lt;/R&gt;&lt;C&gt;1&lt;/C&gt;&lt;D xsi:type="xsd:long"&gt;41915&lt;/D&gt;&lt;D xsi:type="xsd:long"&gt;41946&lt;/D&gt;&lt;D xsi:type="xsd:long"&gt;41976&lt;/D&gt;&lt;D xsi:type="xsd:long"&gt;42006&lt;/D&gt;&lt;D xsi:type="xsd:long"&gt;42038&lt;/D&gt;&lt;D xsi:type="xsd:long"&gt;42066&lt;/D&gt;&lt;D xsi:type="xsd:long"&gt;42096&lt;/D&gt;&lt;D xsi:type="xsd:long"&gt;42125&lt;/D&gt;&lt;D xsi:type="xsd:long"&gt;42158&lt;/D&gt;&lt;D xsi:type="xsd:long"&gt;42187&lt;/D&gt;&lt;D xsi:type="xsd:long"&gt;42219&lt;/D&gt;&lt;D xsi:type="xsd:long"&gt;42250&lt;/D&gt;&lt;D xsi:type="xsd:long"&gt;42279&lt;/D&gt;&lt;D xsi:type="xsd:long"&gt;42311&lt;/D&gt;&lt;D xsi:type="xsd:long"&gt;42341&lt;/D&gt;&lt;D xsi:type="xsd:long"&gt;42369&lt;/D&gt;&lt;D xsi:type="xsd:long"&gt;42403&lt;/D&gt;&lt;D xsi:type="xsd:long"&gt;42432&lt;/D&gt;&lt;D xsi:type="xsd:long"&gt;42461&lt;/D&gt;&lt;D xsi:type="xsd:long"&gt;42493&lt;/D&gt;&lt;D xsi:type="xsd:long"&gt;42524&lt;/D&gt;&lt;D xsi:type="xsd:long"&gt;42552&lt;/D&gt;&lt;D xsi:type="xsd:long"&gt;42585&lt;/D&gt;&lt;D xsi:type="xsd:long"&gt;42615&lt;/D&gt;&lt;D xsi:type="xsd:long"&gt;42646&lt;/D&gt;&lt;D xsi:type="xsd:long"&gt;42677&lt;/D&gt;&lt;D xsi:type="xsd:long"&gt;42706&lt;/D&gt;&lt;D xsi:type="xsd:long"&gt;42738&lt;/D&gt;&lt;D xsi:type="xsd:long"&gt;42769&lt;/D&gt;&lt;D xsi:type="xsd:long"&gt;42797&lt;/D&gt;&lt;D xsi:type="xsd:long"&gt;42828&lt;/D&gt;&lt;D xsi:type="xsd:long"&gt;42858&lt;/D&gt;&lt;D xsi:type="xsd:long"&gt;42888&lt;/D&gt;&lt;D xsi:type="xsd:long"&gt;42919&lt;/D&gt;&lt;D xsi:type="xsd:long"&gt;42950&lt;/D&gt;&lt;D xsi:type="xsd:long"&gt;42979&lt;/D&gt;&lt;D xsi:type="xsd:long"&gt;43011&lt;/D&gt;&lt;D xsi:type="xsd:long"&gt;43042&lt;/D&gt;&lt;D xsi:type="xsd:long"&gt;43070&lt;/D&gt;&lt;D xsi:type="xsd:long"&gt;43103&lt;/D&gt;&lt;D xsi:type="xsd:long"&gt;43133&lt;/D&gt;&lt;D xsi:type="xsd:long"&gt;43161&lt;/D&gt;&lt;D xsi:type="xsd:long"&gt;43193&lt;/D&gt;&lt;D xsi:type="xsd:long"&gt;43223&lt;/D&gt;&lt;D xsi:type="xsd:long"&gt;43252&lt;/D&gt;&lt;D xsi:type="xsd:long"&gt;43284&lt;/D&gt;&lt;D xsi:type="xsd:long"&gt;43315&lt;/D&gt;&lt;D xsi:type="xsd:long"&gt;43343&lt;/D&gt;&lt;D xsi:type="xsd:long"&gt;43376&lt;/D&gt;&lt;D xsi:type="xsd:long"&gt;43406&lt;/D&gt;&lt;D xsi:type="xsd:long"&gt;43437&lt;/D&gt;&lt;D xsi:type="xsd:long"&gt;43468&lt;/D&gt;&lt;D xsi:type="xsd:long"&gt;43497&lt;/D&gt;&lt;D xsi:type="xsd:long"&gt;43525&lt;/D&gt;&lt;D xsi:type="xsd:long"&gt;43558&lt;/D&gt;&lt;D xsi:type="xsd:long"&gt;43588&lt;/D&gt;&lt;D xsi:type="xsd:long"&gt;43619&lt;/D&gt;&lt;D xsi:type="xsd:long"&gt;43649&lt;/D&gt;&lt;D xsi:type="xsd:long"&gt;43679&lt;/D&gt;&lt;D xsi:type="xsd:long"&gt;43711&lt;/D&gt;&lt;D xsi:type="xsd:long"&gt;43741&lt;/D&gt;&lt;D xsi:type="xsd:long"&gt;43770&lt;/D&gt;&lt;D xsi:type="xsd:long"&gt;43802&lt;/D&gt;&lt;D xsi:type="xsd:long"&gt;43833&lt;/D&gt;&lt;D xsi:type="xsd:long"&gt;43864&lt;/D&gt;&lt;D xsi:type="xsd:long"&gt;43893&lt;/D&gt;&lt;D xsi:type="xsd:long"&gt;43924&lt;/D&gt;&lt;D xsi:type="xsd:long"&gt;43952&lt;/D&gt;&lt;D xsi:type="xsd:long"&gt;43985&lt;/D&gt;&lt;D xsi:type="xsd:long"&gt;44014&lt;/D&gt;&lt;D xsi:type="xsd:long"&gt;44046&lt;/D&gt;&lt;D xsi:type="xsd:long"&gt;44077&lt;/D&gt;&lt;D xsi:type="xsd:long"&gt;44106&lt;/D&gt;&lt;D xsi:type="xsd:long"&gt;44138&lt;/D&gt;&lt;D xsi:type="xsd:long"&gt;44168&lt;/D&gt;&lt;D xsi:type="xsd:long"&gt;44196&lt;/D&gt;&lt;D xsi:type="xsd:long"&gt;44230&lt;/D&gt;&lt;D xsi:type="xsd:long"&gt;44258&lt;/D&gt;&lt;D xsi:type="xsd:long"&gt;44287&lt;/D&gt;&lt;D xsi:type="xsd:long"&gt;44319&lt;/D&gt;&lt;D xsi:type="xsd:long"&gt;44350&lt;/D&gt;&lt;D xsi:type="xsd:long"&gt;44379&lt;/D&gt;&lt;D xsi:type="xsd:long"&gt;44411&lt;/D&gt;&lt;D xsi:type="xsd:long"&gt;44442&lt;/D&gt;&lt;D xsi:type="xsd:long"&gt;44470&lt;/D&gt;&lt;D xsi:type="xsd:long"&gt;44503&lt;/D&gt;&lt;D xsi:type="xsd:long"&gt;44533&lt;/D&gt;&lt;D xsi:type="xsd:long"&gt;44564&lt;/D&gt;&lt;D xsi:type="xsd:long"&gt;44595&lt;/D&gt;&lt;D xsi:type="xsd:long"&gt;44623&lt;/D&gt;&lt;D xsi:type="xsd:long"&gt;44652&lt;/D&gt;&lt;D xsi:type="xsd:long"&gt;44684&lt;/D&gt;&lt;D xsi:type="xsd:long"&gt;44715&lt;/D&gt;&lt;D xsi:type="xsd:long"&gt;44743&lt;/D&gt;&lt;D xsi:type="xsd:long"&gt;44776&lt;/D&gt;&lt;D xsi:type="xsd:long"&gt;44806&lt;/D&gt;&lt;D xsi:type="xsd:long"&gt;44837&lt;/D&gt;&lt;D xsi:type="xsd:long"&gt;44868&lt;/D&gt;&lt;D xsi:type="xsd:long"&gt;44897&lt;/D&gt;&lt;D xsi:type="xsd:long"&gt;44929&lt;/D&gt;&lt;D xsi:type="xsd:long"&gt;44960&lt;/D&gt;&lt;D xsi:type="xsd:long"&gt;44988&lt;/D&gt;&lt;D xsi:type="xsd:long"&gt;45019&lt;/D&gt;&lt;D xsi:type="xsd:long"&gt;45049&lt;/D&gt;&lt;D xsi:type="xsd:long"&gt;45079&lt;/D&gt;&lt;D xsi:type="xsd:long"&gt;45110&lt;/D&gt;&lt;D xsi:type="xsd:long"&gt;45141&lt;/D&gt;&lt;D xsi:type="xsd:long"&gt;45170&lt;/D&gt;&lt;D xsi:type="xsd:long"&gt;45202&lt;/D&gt;&lt;D xsi:type="xsd:long"&gt;45233&lt;/D&gt;&lt;D xsi:type="xsd:long"&gt;45261&lt;/D&gt;&lt;D xsi:type="xsd:long"&gt;45294&lt;/D&gt;&lt;D xsi:type="xsd:long"&gt;45324&lt;/D&gt;&lt;D xsi:type="xsd:long"&gt;45352&lt;/D&gt;&lt;D xsi:type="xsd:long"&gt;45385&lt;/D&gt;&lt;D xsi:type="xsd:long"&gt;45415&lt;/D&gt;&lt;D xsi:type="xsd:long"&gt;45446&lt;/D&gt;&lt;D xsi:type="xsd:long"&gt;45476&lt;/D&gt;&lt;D xsi:type="xsd:long"&gt;45506&lt;/D&gt;&lt;D xsi:type="xsd:long"&gt;45538&lt;/D&gt;&lt;D xsi:type="xsd:long"&gt;45566&lt;/D&gt;&lt;/FQL&gt;&lt;FQL&gt;&lt;Q&gt;DDR3512M-FDS^MAX(FG_PRICE(0,-5AY))&lt;/Q&gt;&lt;R&gt;1&lt;/R&gt;&lt;C&gt;1&lt;/C&gt;&lt;D xsi:type="xsd:double"&gt;3.3053632&lt;/D&gt;&lt;/FQL&gt;&lt;FQL&gt;&lt;Q&gt;DDR3512M-FDS^FG_PRICE(0)/MAX(FG_PRICE(0,-1AY))&lt;/Q&gt;&lt;R&gt;1&lt;/R&gt;&lt;C&gt;1&lt;/C&gt;&lt;D xsi:type="xsd:double"&gt;0.841590528846154&lt;/D&gt;&lt;/FQL&gt;&lt;FQL&gt;&lt;Q&gt;DDR3512M-FDS^FG_PRICE_CHANGE(0,-1AY)&lt;/Q&gt;&lt;R&gt;1&lt;/R&gt;&lt;C&gt;1&lt;/C&gt;&lt;D xsi:type="xsd:double"&gt;-12.3521936031474&lt;/D&gt;&lt;/FQL&gt;&lt;FQL&gt;&lt;Q&gt;DDR3512M-FDS^FG_PRICE_CHANGE(0,-6AM)&lt;/Q&gt;&lt;R&gt;1&lt;/R&gt;&lt;C&gt;1&lt;/C&gt;&lt;D xsi:type="xsd:double"&gt;-8.73621978195229&lt;/D&gt;&lt;/FQL&gt;&lt;FQL&gt;&lt;Q&gt;DDR3512M-FDS^FG_PRICE_CHANGE(0,-3AM)&lt;/Q&gt;&lt;R&gt;1&lt;/R&gt;&lt;C&gt;1&lt;/C&gt;&lt;D xsi:type="xsd:double"&gt;-5.80732004462167&lt;/D&gt;&lt;/FQL&gt;&lt;FQL&gt;&lt;Q&gt;DDR3512M-FDS^FG_PRICE_CHANGE(0,-1AM)&lt;/Q&gt;&lt;R&gt;1&lt;/R&gt;&lt;C&gt;1&lt;/C&gt;&lt;D xsi:type="xsd:double"&gt;-1.55555433582376&lt;/D&gt;&lt;/FQL&gt;&lt;FQL&gt;&lt;Q&gt;DDR3512M-FDS^FG_PRICE_MAVG(0,,,,30)&lt;/Q&gt;&lt;R&gt;1&lt;/R&gt;&lt;C&gt;1&lt;/C&gt;&lt;D xsi:type="xsd:double"&gt;0.88546216&lt;/D&gt;&lt;/FQL&gt;&lt;FQL&gt;&lt;Q&gt;DDR3512M-FDS^FG_PRICE(0)&lt;/Q&gt;&lt;R&gt;1&lt;/R&gt;&lt;C&gt;1&lt;/C&gt;&lt;D xsi:type="xsd:double"&gt;0.87525415&lt;/D&gt;&lt;/FQL&gt;&lt;FQL&gt;&lt;Q&gt;WL-FDS^MAX(FG_PRICE(0,-5AY))&lt;/Q&gt;&lt;R&gt;1&lt;/R&gt;&lt;C&gt;1&lt;/C&gt;&lt;D xsi:type="xsd:double"&gt;763.4&lt;/D&gt;&lt;/FQL&gt;&lt;FQL&gt;&lt;Q&gt;WL-FDS^FG_PRICE(0)/MAX(FG_PRICE(0,-1AY))&lt;/Q&gt;&lt;R&gt;1&lt;/R&gt;&lt;C&gt;1&lt;/C&gt;&lt;D xsi:type="xsd:double"&gt;0.764998690070736&lt;/D&gt;&lt;/FQL&gt;&lt;FQL&gt;&lt;Q&gt;WL-FDS^FG_PRICE_CHANGE(0,-1AY)&lt;/Q&gt;&lt;R&gt;1&lt;/R&gt;&lt;C&gt;1&lt;/C&gt;&lt;D xsi:type="xsd:double"&gt;-15.2517776810332&lt;/D&gt;&lt;/FQL&gt;&lt;FQL&gt;&lt;Q&gt;WL-FDS^FG_PRICE_CHANGE(0,-6AM)&lt;/Q&gt;&lt;R&gt;1&lt;/R&gt;&lt;C&gt;1&lt;/C&gt;&lt;D xsi:type="xsd:double"&gt;-9.83480006175699&lt;/D&gt;&lt;/FQL&gt;&lt;FQL&gt;&lt;Q&gt;WL-FDS^FG_PRICE_CHANGE(0,-3AM)&lt;/Q&gt;&lt;R&gt;1&lt;/R&gt;&lt;C&gt;1&lt;/C&gt;&lt;D xsi:type="xsd:double"&gt;1.47697654213728&lt;/D&gt;&lt;/FQL&gt;&lt;FQL&gt;&lt;Q&gt;WL-FDS^FG_PRICE_CHANGE(0,-1AM)&lt;/Q&gt;&lt;R&gt;1&lt;/R&gt;&lt;C&gt;1&lt;/C&gt;&lt;D xsi:type="xsd:double"&gt;7.78885197489849&lt;/D&gt;&lt;/FQL&gt;&lt;FQL&gt;&lt;Q&gt;WL-FDS^FG_PRICE_MAVG(0,,,,30)&lt;/Q&gt;&lt;R&gt;1&lt;/R&gt;&lt;C&gt;1&lt;/C&gt;&lt;D xsi:type="xsd:double"&gt;553.55664&lt;/D&gt;&lt;/FQL&gt;&lt;FQL&gt;&lt;Q&gt;WL-FDS^FG_PRICE(0)&lt;/Q&gt;&lt;R&gt;1&lt;/R&gt;&lt;C&gt;1&lt;/C&gt;&lt;D xsi:type="xsd:double"&gt;584&lt;/D&gt;&lt;/FQL&gt;&lt;FQL&gt;&lt;Q&gt;PASP-FDS^MAX(FG_PRICE(0,-5AY))&lt;/Q&gt;&lt;R&gt;1&lt;/R&gt;&lt;C&gt;1&lt;/C&gt;&lt;D xsi:type="xsd:double"&gt;3158.12&lt;/D&gt;&lt;/FQL&gt;&lt;FQL&gt;&lt;Q&gt;PASP-FDS^FG_PRICE(0)/MAX(FG_PRICE(0,-1AY))&lt;/Q&gt;&lt;R&gt;1&lt;/R&gt;&lt;C&gt;1&lt;/C&gt;&lt;D xsi:type="xsd:double"&gt;0.79047619047619&lt;/D&gt;&lt;/FQL&gt;&lt;FQL&gt;&lt;Q&gt;PASP-FDS^FG_PRICE_CHANGE(0,-1AY)&lt;/Q&gt;&lt;R&gt;1&lt;/R&gt;&lt;C&gt;1&lt;/C&gt;&lt;D xsi:type="xsd:double"&gt;-16.652719665272&lt;/D&gt;&lt;/FQL&gt;&lt;FQL&gt;&lt;Q&gt;PASP-FDS^FG_PRICE_CHANGE(0,-6AM)&lt;/Q&gt;&lt;R&gt;1&lt;/R&gt;&lt;C&gt;1&lt;/C&gt;&lt;D xsi:type="xsd:double"&gt;-2.35294117647059&lt;/D&gt;&lt;/FQL&gt;&lt;FQL&gt;&lt;Q&gt;PASP-FDS^FG_PRICE_CHANGE(0,-3AM)&lt;/Q&gt;&lt;R&gt;1&lt;/R&gt;&lt;C&gt;1&lt;/C&gt;&lt;D xsi:type="xsd:double"&gt;-5.59241706161138&lt;/D&gt;&lt;/FQL&gt;&lt;FQL&gt;&lt;Q&gt;PASP-FDS^FG_PRICE_CHANGE(0,-1AM)&lt;/Q&gt;&lt;R&gt;1&lt;/R&gt;&lt;C&gt;1&lt;/C&gt;&lt;D xsi:type="xsd:double"&gt;3.21243523316062&lt;/D&gt;&lt;/FQL&gt;&lt;FQL&gt;&lt;Q&gt;PASP-FDS^FG_PRICE_MAVG(0,,,,30)&lt;/Q&gt;&lt;R&gt;1&lt;/R&gt;&lt;C&gt;1&lt;/C&gt;&lt;D xsi:type="xsd:double"&gt;1015.76666&lt;/D&gt;&lt;/FQL&gt;&lt;FQL&gt;&lt;Q&gt;PASP-FDS^FG_PRICE(0)&lt;/Q&gt;&lt;R&gt;1&lt;/R&gt;&lt;C&gt;1&lt;/C&gt;&lt;D xsi:type="xsd:double"&gt;996&lt;/D&gt;&lt;/FQL&gt;&lt;FQL&gt;&lt;Q&gt;NI-FDS^MAX(FG_PRICE(0,-5AY))&lt;/Q&gt;&lt;R&gt;1&lt;/R&gt;&lt;C&gt;1&lt;/C&gt;&lt;D xsi:type="xsd:double"&gt;48241&lt;/D&gt;&lt;/FQL&gt;&lt;FQL&gt;&lt;Q&gt;NI-FDS^FG_PRICE(0)/MAX(FG_PRICE(0,-1AY))&lt;/Q&gt;&lt;R&gt;1&lt;/R&gt;&lt;C&gt;1&lt;/C&gt;&lt;D xsi:type="xsd:double"&gt;0.842303172737955&lt;/D&gt;&lt;/FQL&gt;&lt;FQL&gt;&lt;Q&gt;NI-FDS^FG_PRICE_CHANGE(0,-1AY)&lt;/Q&gt;&lt;R&gt;1&lt;/R&gt;&lt;C&gt;1&lt;/C&gt;&lt;D xsi:type="xsd:double"&gt;-2.63515349089921&lt;/D&gt;&lt;/FQL&gt;&lt;FQL&gt;&lt;Q&gt;NI-FDS^FG_PRICE_CHANGE(0,-6AM)&lt;/Q&gt;&lt;R&gt;1&lt;/R&gt;&lt;C&gt;1&lt;/C&gt;&lt;D xsi:type="xsd:double"&gt;6.22406639004149&lt;/D&gt;&lt;/FQL&gt;&lt;FQL&gt;&lt;Q&gt;NI-FDS^FG_PRICE_CHANGE(0,-3AM)&lt;/Q&gt;&lt;R&gt;1&lt;/R&gt;&lt;C&gt;1&lt;/C&gt;&lt;D xsi:type="xsd:double"&gt;4.73407364114553&lt;/D&gt;&lt;/FQL&gt;&lt;FQL&gt;&lt;Q&gt;NI-FDS^FG_PRICE_CHANGE(0,-1AM)&lt;/Q&gt;&lt;R&gt;1&lt;/R&gt;&lt;C&gt;1&lt;/C&gt;&lt;D xsi:type="xsd:double"&gt;10.0399140313172&lt;/D&gt;&lt;/FQL&gt;&lt;FQL&gt;&lt;Q&gt;NI-FDS^FG_PRICE_MAVG(0,,,,30)&lt;/Q&gt;&lt;R&gt;1&lt;/R&gt;&lt;C&gt;1&lt;/C&gt;&lt;D xsi:type="xsd:double"&gt;16372.333&lt;/D&gt;&lt;/FQL&gt;&lt;FQL&gt;&lt;Q&gt;NI-FDS^FG_PRICE(0)&lt;/Q&gt;&lt;R&gt;1&lt;/R&gt;&lt;C&gt;1&lt;/C&gt;&lt;D xsi:type="xsd:double"&gt;17920&lt;/D&gt;&lt;/FQL&gt;&lt;FQL&gt;&lt;Q&gt;PLATI-FDS^MAX(FG_PRICE(0,-5AY))&lt;/Q&gt;&lt;R&gt;1&lt;/R&gt;&lt;C&gt;1&lt;/C&gt;&lt;D xsi:type="xsd:double"&gt;1272.59&lt;/D&gt;&lt;/FQL&gt;&lt;FQL&gt;&lt;Q&gt;PLATI-FDS^FG_PRICE(0)/MAX(FG_PRICE(0,-1AY))&lt;/Q&gt;&lt;R&gt;1&lt;/R&gt;&lt;C&gt;1&lt;/C&gt;&lt;D xsi:type="xsd:double"&gt;0.926099158091674&lt;/D&gt;&lt;/FQL&gt;&lt;FQL&gt;&lt;Q&gt;PLATI-FDS^FG_PRICE_CHANGE(0,-1AY)&lt;/Q&gt;&lt;R&gt;1&lt;/R&gt;&lt;C&gt;1&lt;/C&gt;&lt;D xsi:type="xsd:double"&gt;11.6121758737317&lt;/D&gt;&lt;/FQL&gt;&lt;FQL&gt;&lt;Q&gt;PLATI-FDS^FG_PRICE_CHANGE(0,-6AM)&lt;/Q&gt;&lt;R&gt;1&lt;/R&gt;&lt;C&gt;1&lt;/C&gt;&lt;D xsi:type="xsd:double"&gt;6.10932475884245&lt;/D&gt;&lt;/FQL&gt;&lt;FQL&gt;&lt;Q&gt;PLATI-FDS^FG_PRICE_CHANGE(0,-3AM)&lt;/Q&gt;&lt;R&gt;1&lt;/R&gt;&lt;C&gt;1&lt;/C&gt;&lt;D xsi:type="xsd:double"&gt;-1.49253731343284&lt;/D&gt;&lt;/FQL&gt;&lt;FQL&gt;&lt;Q&gt;PLATI-FDS^FG_PRICE_CHANGE(0,-1AM)&lt;/Q&gt;&lt;R&gt;1&lt;/R&gt;&lt;C&gt;1&lt;/C&gt;&lt;D xsi:type="xsd:double"&gt;8.19672131147542&lt;/D&gt;&lt;/FQL&gt;&lt;FQL&gt;&lt;Q&gt;PLATI-FDS^FG_PRICE_MAVG(0,,,,30)&lt;/Q&gt;&lt;R&gt;1&lt;/R&gt;&lt;C&gt;1&lt;/C&gt;&lt;D xsi:type="xsd:double"&gt;970.6&lt;/D&gt;&lt;/FQL&gt;&lt;FQL&gt;&lt;Q&gt;PLATI-FDS^FG_PRICE(0)&lt;/Q&gt;&lt;R&gt;1&lt;/R&gt;&lt;C&gt;1&lt;/C&gt;&lt;D xsi:type="xsd:double"&gt;990&lt;/D&gt;&lt;/FQL&gt;&lt;FQL&gt;&lt;Q&gt;CPALM-FDS^MAX(FG_PRICE(0,-5AY))&lt;/Q&gt;&lt;R&gt;1&lt;/R&gt;&lt;C&gt;1&lt;/C&gt;&lt;D xsi:type="xsd:double"&gt;8163&lt;/D&gt;&lt;/FQL&gt;&lt;FQL&gt;&lt;Q&gt;CPALM-FDS^FG_PRICE(0)/MAX(FG_PRICE(0,-1AY))&lt;/Q&gt;&lt;R&gt;1&lt;/R&gt;&lt;C&gt;1&lt;/C&gt;&lt;D xsi:type="xsd:double"&gt;0.931862852151125&lt;/D&gt;&lt;/FQL&gt;&lt;FQL&gt;&lt;Q&gt;CPALM-FDS^FG_PRICE_CHANGE(0,-1AY)&lt;/Q&gt;&lt;R&gt;1&lt;/R&gt;&lt;C&gt;1&lt;/C&gt;&lt;D xsi:type="xsd:double"&gt;17.0965971459934&lt;/D&gt;&lt;/FQL&gt;&lt;FQL&gt;&lt;Q&gt;CPALM-FDS^FG_PRICE_CHANGE(0,-6AM)&lt;/Q&gt;&lt;R&gt;1&lt;/R&gt;&lt;C&gt;1&lt;/C&gt;&lt;D xsi:type="xsd:double"&gt;-6.81371478488753&lt;/D&gt;&lt;/FQL&gt;&lt;FQL&gt;&lt;Q&gt;CPALM-FDS^FG_PRICE_CHANGE(0,-3AM)&lt;/Q&gt;&lt;R&gt;1&lt;/R&gt;&lt;C&gt;1&lt;/C&gt;&lt;D xsi:type="xsd:double"&gt;3.24219695136705&lt;/D&gt;&lt;/FQL&gt;&lt;FQL&gt;&lt;Q&gt;CPALM-FDS^FG_PRICE_CHANGE(0,-1AM)&lt;/Q&gt;&lt;R&gt;1&lt;/R&gt;&lt;C&gt;1&lt;/C&gt;&lt;D xsi:type="xsd:double"&gt;6.14427860696518&lt;/D&gt;&lt;/FQL&gt;&lt;FQL&gt;&lt;Q&gt;CPALM-FDS^FG_PRICE_MAVG(0,,,,30)&lt;/Q&gt;&lt;R&gt;1&lt;/R&gt;&lt;C&gt;1&lt;/C&gt;&lt;D xsi:type="xsd:double"&gt;4038.0334&lt;/D&gt;&lt;/FQL&gt;&lt;FQL&gt;&lt;Q&gt;CPALM-FDS^FG_PRICE(0)&lt;/Q&gt;&lt;R&gt;1&lt;/R&gt;&lt;C&gt;1&lt;/C&gt;&lt;D xsi:type="xsd:double"&gt;4267&lt;/D&gt;&lt;/FQL&gt;&lt;FQL&gt;&lt;Q&gt;W-FDS^MAX(FG_PRICE(0,-5AY))&lt;/Q&gt;&lt;R&gt;1&lt;/R&gt;&lt;C&gt;1&lt;/C&gt;&lt;D xsi:type="xsd:double"&gt;14.2525&lt;/D&gt;&lt;/FQL&gt;&lt;FQL&gt;&lt;Q&gt;W-FDS^FG_PRICE(0)/MAX(FG_PRICE(0,-1AY))&lt;/Q&gt;&lt;R&gt;1&lt;/R&gt;&lt;C&gt;1&lt;/C&gt;&lt;D xsi:type="xsd:double"&gt;0.861835058907533&lt;/D&gt;&lt;/FQL&gt;&lt;FQL&gt;&lt;Q&gt;W-FDS^FG_PRICE_CHANGE(0,-1AY)&lt;/Q&gt;&lt;R&gt;1&lt;/R&gt;&lt;C&gt;1&lt;/C&gt;&lt;D xsi:type="xsd:double"&gt;6.15655233069483&lt;/D&gt;&lt;/FQL&gt;&lt;FQL&gt;&lt;Q&gt;W-FDS^FG_PRICE_CHANGE(0,-6AM)&lt;/Q&gt;&lt;R&gt;1&lt;/R&gt;&lt;C&gt;1&lt;/C&gt;&lt;D xsi:type="xsd:double"&gt;8.5431654676259&lt;/D&gt;&lt;/FQL&gt;&lt;FQL&gt;&lt;Q&gt;W-FDS^FG_PRICE_CHANGE(0,-3AM)&lt;/Q&gt;&lt;R&gt;1&lt;/R&gt;&lt;C&gt;1&lt;/C&gt;&lt;D xsi:type="xsd:double"&gt;8.83678990081154&lt;/D&gt;&lt;/FQL&gt;&lt;FQL&gt;&lt;Q&gt;W-FDS^FG_PRICE_CHANGE(0,-1AM)&lt;/Q&gt;&lt;R&gt;1&lt;/R&gt;&lt;C&gt;1&lt;/C&gt;&lt;D xsi:type="xsd:double"&gt;9.32971014492754&lt;/D&gt;&lt;/FQL&gt;&lt;FQL&gt;&lt;Q&gt;W-FDS^FG_PRICE_MAVG(0,,,,30)&lt;/Q&gt;&lt;R&gt;1&lt;/R&gt;&lt;C&gt;1&lt;/C&gt;&lt;D xsi:type="xsd:double"&gt;5.605&lt;/D&gt;&lt;/FQL&gt;&lt;FQL&gt;&lt;Q&gt;W-FDS^FG_PRICE(0)&lt;/Q&gt;&lt;R&gt;1&lt;/R&gt;&lt;C&gt;1&lt;/C&gt;&lt;D xsi:type="xsd:double"&gt;6.035&lt;/D&gt;&lt;/FQL&gt;&lt;FQL&gt;&lt;Q&gt;BRENT-FDS^MAX(FG_PRICE(0,-5AY))&lt;/Q&gt;&lt;R&gt;1&lt;/R&gt;&lt;C&gt;1&lt;/C&gt;&lt;D xsi:type="xsd:double"&gt;140.85&lt;/D&gt;&lt;/FQL&gt;&lt;FQL&gt;&lt;Q&gt;BRENT-FDS^FG_PRICE(0)/MAX(FG_PRICE(0,-1AY))&lt;/Q&gt;&lt;R&gt;1&lt;/R&gt;&lt;C&gt;1&lt;/C&gt;&lt;D xsi:type="xsd:double"&gt;0.887441860465116&lt;/D&gt;&lt;/FQL&gt;&lt;FQL&gt;&lt;Q&gt;BRENT-FDS^FG_PRICE_CHANGE(0,-1AY)&lt;/Q&gt;&lt;R&gt;1&lt;/R&gt;&lt;C&gt;1&lt;/C&gt;&lt;D xsi:type="xsd:double"&gt;-11.1088104358629&lt;/D&gt;&lt;/FQL&gt;&lt;FQL&gt;&lt;Q&gt;BRENT-FDS^FG_PRICE_CHANGE(0,-6AM)&lt;/Q&gt;&lt;R&gt;1&lt;/R&gt;&lt;C&gt;1&lt;/C&gt;&lt;D xsi:type="xsd:double"&gt;0&lt;/D&gt;&lt;/FQL&gt;&lt;FQL&gt;&lt;Q&gt;BRENT-FDS^FG_PRICE_CHANGE(0,-3AM)&lt;/Q&gt;&lt;R&gt;1&lt;/R&gt;&lt;C&gt;1&lt;/C&gt;&lt;D xsi:type="xsd:double"&gt;0&lt;/D&gt;&lt;/FQL&gt;&lt;FQL&gt;&lt;Q&gt;BRENT-FDS^FG_PRICE_CHANGE(0,-1AM)&lt;/Q&gt;&lt;R&gt;1&lt;/R&gt;&lt;C&gt;1&lt;/C&gt;&lt;D xsi:type="xsd:double"&gt;0&lt;/D&gt;&lt;/FQL&gt;&lt;FQL&gt;&lt;Q&gt;BRENT-FDS^FG_PRICE_MAVG(0,,,,30)&lt;/Q&gt;&lt;R&gt;1&lt;/R&gt;&lt;C&gt;1&lt;/C&gt;&lt;D xsi:type="xsd:double"&gt;85.86&lt;/D&gt;&lt;/FQL&gt;&lt;FQL&gt;&lt;Q&gt;BRENT-FDS^FG_PRICE(0)&lt;/Q&gt;&lt;R&gt;1&lt;/R&gt;&lt;C&gt;1&lt;/C&gt;&lt;D xsi:type="xsd:double"&gt;85.86&lt;/D&gt;&lt;/FQL&gt;&lt;FQL&gt;&lt;Q&gt;COPP-FDS^MAX(FG_PRICE(0,-5AY))&lt;/Q&gt;&lt;R&gt;1&lt;/R&gt;&lt;C&gt;1&lt;/C&gt;&lt;D xsi:type="xsd:double"&gt;5.119&lt;/D&gt;&lt;/FQL&gt;&lt;FQL&gt;&lt;Q&gt;COPP-FDS^FG_PRICE(0)/MAX(FG_PRICE(0,-1AY))&lt;/Q&gt;&lt;R&gt;1&lt;/R&gt;&lt;C&gt;1&lt;/C&gt;&lt;D xsi:type="xsd:double"&gt;0.879468646219965&lt;/D&gt;&lt;/FQL&gt;&lt;FQL&gt;&lt;Q&gt;COPP-FDS^FG_PRICE_CHANGE(0,-1AY)&lt;/Q&gt;&lt;R&gt;1&lt;/R&gt;&lt;C&gt;1&lt;/C&gt;&lt;D xsi:type="xsd:double"&gt;24.5194302309501&lt;/D&gt;&lt;/FQL&gt;&lt;FQL&gt;&lt;Q&gt;COPP-FDS^FG_PRICE_CHANGE(0,-6AM)&lt;/Q&gt;&lt;R&gt;1&lt;/R&gt;&lt;C&gt;1&lt;/C&gt;&lt;D xsi:type="xsd:double"&gt;7.36942523253041&lt;/D&gt;&lt;/FQL&gt;&lt;FQL&gt;&lt;Q&gt;COPP-FDS^FG_PRICE_CHANGE(0,-3AM)&lt;/Q&gt;&lt;R&gt;1&lt;/R&gt;&lt;C&gt;1&lt;/C&gt;&lt;D xsi:type="xsd:double"&gt;-0.858841664831544&lt;/D&gt;&lt;/FQL&gt;&lt;FQL&gt;&lt;Q&gt;COPP-FDS^FG_PRICE_CHANGE(0,-1AM)&lt;/Q&gt;&lt;R&gt;1&lt;/R&gt;&lt;C&gt;1&lt;/C&gt;&lt;D xsi:type="xsd:double"&gt;11.656746031746&lt;/D&gt;&lt;/FQL&gt;&lt;FQL&gt;&lt;Q&gt;COPP-FDS^FG_PRICE_MAVG(0,,,,30)&lt;/Q&gt;&lt;R&gt;1&lt;/R&gt;&lt;C&gt;1&lt;/C&gt;&lt;D xsi:type="xsd:double"&gt;4.25015&lt;/D&gt;&lt;/FQL&gt;&lt;FQL&gt;&lt;Q&gt;COPP-FDS^FG_PRICE(0)&lt;/Q&gt;&lt;R&gt;1&lt;/R&gt;&lt;C&gt;1&lt;/C&gt;&lt;D xsi:type="xsd:double"&gt;4.502&lt;/D&gt;&lt;/FQL&gt;&lt;FQL&gt;&lt;Q&gt;TIOS-FDS^MAX(FG_PRICE(0,-5AY))&lt;/Q&gt;&lt;R&gt;1&lt;/R&gt;&lt;C&gt;1&lt;/C&gt;&lt;D xsi:type="xsd:double"&gt;219.77&lt;/D&gt;&lt;/FQL&gt;&lt;FQL&gt;&lt;Q&gt;TIOS-FDS^FG_PRICE(0)/MAX(FG_PRICE(0,-1AY))&lt;/Q&gt;&lt;R&gt;1&lt;/R&gt;&lt;C&gt;1&lt;/C&gt;&lt;D xsi:type="xsd:double"&gt;0.751317980022198&lt;/D&gt;&lt;/FQL&gt;&lt;FQL&gt;&lt;Q&gt;TIOS-FDS^FG_PRICE_CHANGE(0,-1AY)&lt;/Q&gt;&lt;R&gt;1&lt;/R&gt;&lt;C&gt;1&lt;/C&gt;&lt;D xsi:type="xsd:double"&gt;-8.55285376561972&lt;/D&gt;&lt;/FQL&gt;&lt;FQL&gt;&lt;Q&gt;TIOS-FDS^FG_PRICE_CHANGE(0,-6AM)&lt;/Q&gt;&lt;R&gt;1&lt;/R&gt;&lt;C&gt;1&lt;/C&gt;&lt;D xsi:type="xsd:double"&gt;7.86774225674733&lt;/D&gt;&lt;/FQL&gt;&lt;FQL&gt;&lt;Q&gt;TIOS-FDS^FG_PRICE_CHANGE(0,-3AM)&lt;/Q&gt;&lt;R&gt;1&lt;/R&gt;&lt;C&gt;1&lt;/C&gt;&lt;D xsi:type="xsd:double"&gt;-4.20130903944808&lt;/D&gt;&lt;/FQL&gt;&lt;FQL&gt;&lt;Q&gt;TIOS-FDS^FG_PRICE_CHANGE(0,-1AM)&lt;/Q&gt;&lt;R&gt;1&lt;/R&gt;&lt;C&gt;1&lt;/C&gt;&lt;D xsi:type="xsd:double"&gt;7.71755345599205&lt;/D&gt;&lt;/FQL&gt;&lt;FQL&gt;&lt;Q&gt;TIOS-FDS^FG_PRICE_MAVG(0,,,,30)&lt;/Q&gt;&lt;R&gt;1&lt;/R&gt;&lt;C&gt;1&lt;/C&gt;&lt;D xsi:type="xsd:double"&gt;95.558334&lt;/D&gt;&lt;/FQL&gt;&lt;FQL&gt;&lt;Q&gt;TIOS-FDS^FG_PRICE(0)&lt;/Q&gt;&lt;R&gt;1&lt;/R&gt;&lt;C&gt;1&lt;/C&gt;&lt;D xsi:type="xsd:double"&gt;108.31&lt;/D&gt;&lt;/FQL&gt;&lt;FQL&gt;&lt;Q&gt;FC0000US^FG_PRICE(0)&lt;/Q&gt;&lt;R&gt;1&lt;/R&gt;&lt;C&gt;1&lt;/C&gt;&lt;D xsi:type="xsd:double"&gt;425.87115&lt;/D&gt;&lt;/FQL&gt;&lt;FQL&gt;&lt;Q&gt;FC0000GB^FG_PRICE(0)&lt;/Q&gt;&lt;R&gt;1&lt;/R&gt;&lt;C&gt;1&lt;/C&gt;&lt;D xsi:type="xsd:double"&gt;132.949&lt;/D&gt;&lt;/FQL&gt;&lt;FQL&gt;&lt;Q&gt;FC0000CH^FG_PRICE(0)&lt;/Q&gt;&lt;R&gt;1&lt;/R&gt;&lt;C&gt;1&lt;/C&gt;&lt;D xsi:type="xsd:double"&gt;348.318&lt;/D&gt;&lt;/FQL&gt;&lt;FQL&gt;&lt;Q&gt;FC0000JP^FG_PRICE(0)&lt;/Q&gt;&lt;R&gt;1&lt;/R&gt;&lt;C&gt;1&lt;/C&gt;&lt;D xsi:type="xsd:double"&gt;180.39697&lt;/D&gt;&lt;/FQL&gt;&lt;FQL&gt;&lt;Q&gt;FC0000GR^FG_PRICE(0)&lt;/Q&gt;&lt;R&gt;1&lt;/R&gt;&lt;C&gt;1&lt;/C&gt;&lt;D xsi:type="xsd:double"&gt;9.663866&lt;/D&gt;&lt;/FQL&gt;&lt;FQL&gt;&lt;Q&gt;FC0000CA^FG_PRICE(0)&lt;/Q&gt;&lt;R&gt;1&lt;/R&gt;&lt;C&gt;1&lt;/C&gt;&lt;D xsi:type="xsd:double"&gt;317.06393&lt;/D&gt;&lt;/FQL&gt;&lt;FQL&gt;&lt;Q&gt;FC0000AU^FG_PRICE(0)&lt;/Q&gt;&lt;R&gt;1&lt;/R&gt;&lt;C&gt;1&lt;/C&gt;&lt;D xsi:type="xsd:double"&gt;393.03607&lt;/D&gt;&lt;/FQL&gt;&lt;FQL&gt;&lt;Q&gt;FC0000NZ^FG_PRICE(0)&lt;/Q&gt;&lt;R&gt;1&lt;/R&gt;&lt;C&gt;1&lt;/C&gt;&lt;D xsi:type="xsd:double"&gt;414.8432&lt;/D&gt;&lt;/FQL&gt;&lt;FQL&gt;&lt;Q&gt;EWI^FG_PRICE_MAVG(0,,,,200)&lt;/Q&gt;&lt;R&gt;1&lt;/R&gt;&lt;C&gt;1&lt;/C&gt;&lt;D xsi:type="xsd:double"&gt;36.5424&lt;/D&gt;&lt;/FQL&gt;&lt;FQL&gt;&lt;Q&gt;EWI^FG_PRICE_MAVG(0,,,,60)&lt;/Q&gt;&lt;R&gt;1&lt;/R&gt;&lt;C&gt;1&lt;/C&gt;&lt;D xsi:type="xsd:double"&gt;37.6175&lt;/D&gt;&lt;/FQL&gt;&lt;FQL&gt;&lt;Q&gt;EWI^FG_PRICE_MAVG(0,,,,30)&lt;/Q&gt;&lt;R&gt;1&lt;/R&gt;&lt;C&gt;1&lt;/C&gt;&lt;D xsi:type="xsd:double"&gt;38.350666&lt;/D&gt;&lt;/FQL&gt;&lt;FQL&gt;&lt;Q&gt;EWI^FG_PRICE(0)&lt;/Q&gt;&lt;R&gt;1&lt;/R&gt;&lt;C&gt;1&lt;/C&gt;&lt;D xsi:type="xsd:double"&gt;37.48&lt;/D&gt;&lt;/FQL&gt;&lt;FQL&gt;&lt;Q&gt;EWD^FG_PRICE_MAVG(0,,,,200)&lt;/Q&gt;&lt;R&gt;1&lt;/R&gt;&lt;C&gt;1&lt;/C&gt;&lt;D xsi:type="xsd:double"&gt;39.954124&lt;/D&gt;&lt;/FQL&gt;&lt;FQL&gt;&lt;Q&gt;EWD^FG_PRICE_MAVG(0,,,,60)&lt;/Q&gt;&lt;R&gt;1&lt;/R&gt;&lt;C&gt;1&lt;/C&gt;&lt;D xsi:type="xsd:double"&gt;40.859&lt;/D&gt;&lt;/FQL&gt;&lt;FQL&gt;&lt;Q&gt;EWD^FG_PRICE_MAVG(0,,,,30)&lt;/Q&gt;&lt;R&gt;1&lt;/R&gt;&lt;C&gt;1&lt;/C&gt;&lt;D xsi:type="xsd:double"&gt;41.841&lt;/D&gt;&lt;/FQL&gt;&lt;FQL&gt;&lt;Q&gt;EWD^FG_PRICE(0)&lt;/Q&gt;&lt;R&gt;1&lt;/R&gt;&lt;C&gt;1&lt;/C&gt;&lt;D xsi:type="xsd:double"&gt;42.05&lt;/D&gt;&lt;/FQL&gt;&lt;FQL&gt;&lt;Q&gt;EWN^FG_PRICE_MAVG(0,,,,200)&lt;/Q&gt;&lt;R&gt;1&lt;/R&gt;&lt;C&gt;1&lt;/C&gt;&lt;D xsi:type="xsd:double"&gt;48.632526&lt;/D&gt;&lt;/FQL&gt;&lt;FQL&gt;&lt;Q&gt;EWN^FG_PRICE_MAVG(0,,,,60)&lt;/Q&gt;&lt;R&gt;1&lt;/R&gt;&lt;C&gt;1&lt;/C&gt;&lt;D xsi:type="xsd:double"&gt;49.472&lt;/D&gt;&lt;/FQL&gt;&lt;FQL&gt;&lt;Q&gt;EWN^FG_PRICE_MAVG(0,,,,30)&lt;/Q&gt;&lt;R&gt;1&lt;/R&gt;&lt;C&gt;1&lt;/C&gt;&lt;D xsi:type="xsd:double"&gt;49.713333&lt;/D&gt;&lt;/FQL&gt;&lt;FQL&gt;&lt;Q&gt;EWN^FG_PRICE(0)&lt;/Q&gt;&lt;R&gt;1&lt;/R&gt;&lt;C&gt;1&lt;/C&gt;&lt;D xsi:type="xsd:double"&gt;50&lt;/D&gt;&lt;/FQL&gt;&lt;FQL&gt;&lt;Q&gt;EWQ^FG_PRICE_MAVG(0,,,,200)&lt;/Q&gt;&lt;R&gt;1&lt;/R&gt;&lt;C&gt;1&lt;/C&gt;&lt;D xsi:type="xsd:double"&gt;39.648773&lt;/D&gt;&lt;/FQL&gt;&lt;FQL&gt;&lt;Q&gt;EWQ^FG_PRICE_MAVG(0,,,,60)&lt;/Q&gt;&lt;R&gt;1&lt;/R&gt;&lt;C&gt;1&lt;/C&gt;&lt;D xsi:type="xsd:double"&gt;38.988335&lt;/D&gt;&lt;/FQL&gt;&lt;FQL&gt;&lt;Q&gt;EWQ^FG_PRICE_MAVG(0,,,,30)&lt;/Q&gt;&lt;R&gt;1&lt;/R&gt;&lt;C&gt;1&lt;/C&gt;&lt;D xsi:type="xsd:double"&gt;39.609&lt;/D&gt;&lt;/FQL&gt;&lt;FQL&gt;&lt;Q&gt;EWQ^FG_PRICE(0)&lt;/Q&gt;&lt;R&gt;1&lt;/R&gt;&lt;C&gt;1&lt;/C&gt;&lt;D xsi:type="xsd:double"&gt;39.07&lt;/D&gt;&lt;/FQL&gt;&lt;FQL&gt;&lt;Q&gt;SPY^FG_PRICE_MAVG(0,,,,200)&lt;/Q&gt;&lt;R&gt;1&lt;/R&gt;&lt;C&gt;1&lt;/C&gt;&lt;D xsi:type="xsd:double"&gt;523.50415&lt;/D&gt;&lt;/FQL&gt;&lt;FQL&gt;&lt;Q&gt;SPY^FG_PRICE_MAVG(0,,,,60)&lt;/Q&gt;&lt;R&gt;1&lt;/R&gt;&lt;C&gt;1&lt;/C&gt;&lt;D xsi:type="xsd:double"&gt;553.66284&lt;/D&gt;&lt;/FQL&gt;&lt;FQL&gt;&lt;Q&gt;SPY^FG_PRICE_MAVG(0,,,,30)&lt;/Q&gt;&lt;R&gt;1&lt;/R&gt;&lt;C&gt;1&lt;/C&gt;&lt;D xsi:type="xsd:double"&gt;561.50433&lt;/D&gt;&lt;/FQL&gt;&lt;FQL&gt;&lt;Q&gt;SPY^FG_PRICE(0)&lt;/Q&gt;&lt;R&gt;1&lt;/R&gt;&lt;C&gt;1&lt;/C&gt;&lt;D xsi:type="xsd:double"&gt;567.82&lt;/D&gt;&lt;/FQL&gt;&lt;FQL&gt;&lt;Q&gt;QQQ^FG_PRICE_MAVG(0,,,,200)&lt;/Q&gt;&lt;R&gt;1&lt;/R&gt;&lt;C&gt;1&lt;/C&gt;&lt;D xsi:type="xsd:double"&gt;449.4936&lt;/D&gt;&lt;/FQL&gt;&lt;FQL&gt;&lt;Q&gt;QQQ^FG_PRICE_MAVG(0,,,,60)&lt;/Q&gt;&lt;R&gt;1&lt;/R&gt;&lt;C&gt;1&lt;/C&gt;&lt;D xsi:type="xsd:double"&gt;471.29184&lt;/D&gt;&lt;/FQL&gt;&lt;FQL&gt;&lt;Q&gt;QQQ^FG_PRICE_MAVG(0,,,,30)&lt;/Q&gt;&lt;R&gt;1&lt;/R&gt;&lt;C&gt;1&lt;/C&gt;&lt;D xsi:type="xsd:double"&gt;474.49933&lt;/D&gt;&lt;/FQL&gt;&lt;FQL&gt;&lt;Q&gt;QQQ^FG_PRICE(0)&lt;/Q&gt;&lt;R&gt;1&lt;/R&gt;&lt;C&gt;1&lt;/C&gt;&lt;D xsi:type="xsd:double"&gt;481.59&lt;/D&gt;&lt;/FQL&gt;&lt;FQL&gt;&lt;Q&gt;EWU^FG_PRICE_MAVG(0,,,,200)&lt;/Q&gt;&lt;R&gt;1&lt;/R&gt;&lt;C&gt;1&lt;/C&gt;&lt;D xsi:type="xsd:double"&gt;34.74825&lt;/D&gt;&lt;/FQL&gt;&lt;FQL&gt;&lt;Q&gt;EWU^FG_PRICE_MAVG(0,,,,60)&lt;/Q&gt;&lt;R&gt;1&lt;/R&gt;&lt;C&gt;1&lt;/C&gt;&lt;D xsi:type="xsd:double"&gt;36.453167&lt;/D&gt;&lt;/FQL&gt;&lt;FQL&gt;&lt;Q&gt;EWU^FG_PRICE_MAVG(0,,,,30)&lt;/Q&gt;&lt;R&gt;1&lt;/R&gt;&lt;C&gt;1&lt;/C&gt;&lt;D xsi:type="xsd:double"&gt;37.149666&lt;/D&gt;&lt;/FQL&gt;&lt;FQL&gt;&lt;Q&gt;EWU^FG_PRICE(0)&lt;/Q&gt;&lt;R&gt;1&lt;/R&gt;&lt;C&gt;1&lt;/C&gt;&lt;D xsi:type="xsd:double"&gt;36.83&lt;/D&gt;&lt;/FQL&gt;&lt;FQL&gt;&lt;Q&gt;EWL^FG_PRICE_MAVG(0,,,,200)&lt;/Q&gt;&lt;R&gt;1&lt;/R&gt;&lt;C&gt;1&lt;/C&gt;&lt;D xsi:type="xsd:double"&gt;48.53835&lt;/D&gt;&lt;/FQL&gt;&lt;FQL&gt;&lt;Q&gt;EWL^FG_PRICE_MAVG(0,,,,60)&lt;/Q&gt;&lt;R&gt;1&lt;/R&gt;&lt;C&gt;1&lt;/C&gt;&lt;D xsi:type="xsd:double"&gt;50.828167&lt;/D&gt;&lt;/FQL&gt;&lt;FQL&gt;&lt;Q&gt;EWL^FG_PRICE_MAVG(0,,,,30)&lt;/Q&gt;&lt;R&gt;1&lt;/R&gt;&lt;C&gt;1&lt;/C&gt;&lt;D xsi:type="xsd:double"&gt;51.715332&lt;/D&gt;&lt;/FQL&gt;&lt;FQL&gt;&lt;Q&gt;EWL^FG_PRICE(0)&lt;/Q&gt;&lt;R&gt;1&lt;/R&gt;&lt;C&gt;1&lt;/C&gt;&lt;D xsi:type="xsd:double"&gt;50.96&lt;/D&gt;&lt;/FQL&gt;&lt;FQL&gt;&lt;Q&gt;EWJ^FG_PRICE_MAVG(0,,,,200)&lt;/Q&gt;&lt;R&gt;1&lt;/R&gt;&lt;C&gt;1&lt;/C&gt;&lt;D xsi:type="xsd:double"&gt;68.36705&lt;/D&gt;&lt;/FQL&gt;&lt;FQL&gt;&lt;Q&gt;EWJ^FG_PRICE_MAVG(0,,,,60)&lt;/Q&gt;&lt;R&gt;1&lt;/R&gt;&lt;C&gt;1&lt;/C&gt;&lt;D xsi:type="xsd:double"&gt;69.65667&lt;/D&gt;&lt;/FQL&gt;&lt;FQL&gt;&lt;Q&gt;EWJ^FG_PRICE_MAVG(0,,,,30)&lt;/Q&gt;&lt;R&gt;1&lt;/R&gt;&lt;C&gt;1&lt;/C&gt;&lt;D xsi:type="xsd:double"&gt;70.77&lt;/D&gt;&lt;/FQL&gt;&lt;FQL&gt;&lt;Q&gt;EWJ^FG_PRICE(0)&lt;/Q&gt;&lt;R&gt;1&lt;/R&gt;&lt;C&gt;1&lt;/C&gt;&lt;D xsi:type="xsd:double"&gt;70.95&lt;/D&gt;&lt;/FQL&gt;&lt;FQL&gt;&lt;Q&gt;EWG^FG_PRICE_MAVG(0,,,,200)&lt;/Q&gt;&lt;R&gt;1&lt;/R&gt;&lt;C&gt;1&lt;/C&gt;&lt;D xsi:type="xsd:double"&gt;30.9273&lt;/D&gt;&lt;/FQL&gt;&lt;FQL&gt;&lt;Q&gt;EWG^FG_PRICE_MAVG(0,,,,60)&lt;/Q&gt;&lt;R&gt;1&lt;/R&gt;&lt;C&gt;1&lt;/C&gt;&lt;D xsi:type="xsd:double"&gt;31.767166&lt;/D&gt;&lt;/FQL&gt;&lt;FQL&gt;&lt;Q&gt;EWG^FG_PRICE_MAVG(0,,,,30)&lt;/Q&gt;&lt;R&gt;1&lt;/R&gt;&lt;C&gt;1&lt;/C&gt;&lt;D xsi:type="xsd:double"&gt;32.60367&lt;/D&gt;&lt;/FQL&gt;&lt;FQL&gt;&lt;Q&gt;EWG^FG_PRICE(0)&lt;/Q&gt;&lt;R&gt;1&lt;/R&gt;&lt;C&gt;1&lt;/C&gt;&lt;D xsi:type="xsd:double"&gt;32.89&lt;/D&gt;&lt;/FQL&gt;&lt;FQL&gt;&lt;Q&gt;EWC^FG_PRICE_MAVG(0,,,,200)&lt;/Q&gt;&lt;R&gt;1&lt;/R&gt;&lt;C&gt;1&lt;/C&gt;&lt;D xsi:type="xsd:double"&gt;37.8617&lt;/D&gt;&lt;/FQL&gt;&lt;FQL&gt;&lt;Q&gt;EWC^FG_PRICE_MAVG(0,,,,60)&lt;/Q&gt;&lt;R&gt;1&lt;/R&gt;&lt;C&gt;1&lt;/C&gt;&lt;D xsi:type="xsd:double"&gt;39.476665&lt;/D&gt;&lt;/FQL&gt;&lt;FQL&gt;&lt;Q&gt;EWC^FG_PRICE_MAVG(0,,,,30)&lt;/Q&gt;&lt;R&gt;1&lt;/R&gt;&lt;C&gt;1&lt;/C&gt;&lt;D xsi:type="xsd:double"&gt;40.605667&lt;/D&gt;&lt;/FQL&gt;&lt;FQL&gt;&lt;Q&gt;EWC^FG_PRICE(0)&lt;/Q&gt;&lt;R&gt;1&lt;/R&gt;&lt;C&gt;1&lt;/C&gt;&lt;D xsi:type="xsd:double"&gt;41.42&lt;/D&gt;&lt;/FQL&gt;&lt;FQL&gt;&lt;Q&gt;EWA^FG_PRICE_MAVG(0,,,,200)&lt;/Q&gt;&lt;R&gt;1&lt;/R&gt;&lt;C&gt;1&lt;/C&gt;&lt;D xsi:type="xsd:double"&gt;24.5328&lt;/D&gt;&lt;/FQL&gt;&lt;FQL&gt;&lt;Q&gt;EWA^FG_PRICE_MAVG(0,,,,60)&lt;/Q&gt;&lt;R&gt;1&lt;/R&gt;&lt;C&gt;1&lt;/C&gt;&lt;D xsi:type="xsd:double"&gt;25.432333&lt;/D&gt;&lt;/FQL&gt;&lt;FQL&gt;&lt;Q&gt;EWA^FG_PRICE_MAVG(0,,,,30)&lt;/Q&gt;&lt;R&gt;1&lt;/R&gt;&lt;C&gt;1&lt;/C&gt;&lt;D xsi:type="xsd:double"&gt;26.148&lt;/D&gt;&lt;/FQL&gt;&lt;FQL&gt;&lt;Q&gt;EWA^FG_PRICE(0)&lt;/Q&gt;&lt;R&gt;1&lt;/R&gt;&lt;C&gt;1&lt;/C&gt;&lt;D xsi:type="xsd:double"&gt;26.63&lt;/D&gt;&lt;/FQL&gt;&lt;FQL&gt;&lt;Q&gt;ENZL^FG_PRICE_MAVG(0,,,,200)&lt;/Q&gt;&lt;R&gt;1&lt;/R&gt;&lt;C&gt;1&lt;/C&gt;&lt;D xsi:type="xsd:double"&gt;46.461937&lt;/D&gt;&lt;/FQL&gt;&lt;FQL&gt;&lt;Q&gt;ENZL^FG_PRICE_MAVG(0,,,,60)&lt;/Q&gt;&lt;R&gt;1&lt;/R&gt;&lt;C&gt;1&lt;/C&gt;&lt;D xsi:type="xsd:double"&gt;47.945366&lt;/D&gt;&lt;/FQL&gt;&lt;FQL&gt;&lt;Q&gt;ENZL^FG_PRICE_MAVG(0,,,,30)&lt;/Q&gt;&lt;R&gt;1&lt;/R&gt;&lt;C&gt;1&lt;/C&gt;&lt;D xsi:type="xsd:double"&gt;49.3035&lt;/D&gt;&lt;/FQL&gt;&lt;FQL&gt;&lt;Q&gt;ENZL^FG_PRICE(0)&lt;/Q&gt;&lt;R&gt;1&lt;/R&gt;&lt;C&gt;1&lt;/C&gt;&lt;D xsi:type="xsd:double"&gt;48.93&lt;/D&gt;&lt;/FQL&gt;&lt;FQL&gt;&lt;Q&gt;FXI^FG_TOTAL_RETURNC(0,-12AM)&lt;/Q&gt;&lt;R&gt;1&lt;/R&gt;&lt;C&gt;1&lt;/C&gt;&lt;D xsi:type="xsd:double"&gt;37.973583&lt;/D&gt;&lt;/FQL&gt;&lt;FQL&gt;&lt;Q&gt;FXI^P_PRICE(0)/P_PRICE_LOW_PR(0,,,,,,"PRICE","INTRA","52W")-1&lt;/Q&gt;&lt;R&gt;1&lt;/R&gt;&lt;C&gt;1&lt;/C&gt;&lt;D xsi:type="xsd:double"&gt;0.653883&lt;/D&gt;&lt;/FQL&gt;&lt;FQL</t>
        </r>
      </text>
    </comment>
    <comment ref="A14" authorId="0" shapeId="0" xr:uid="{54AC4C5F-7054-48F4-80FB-97B8C3B8B295}">
      <text>
        <r>
          <rPr>
            <b/>
            <sz val="9"/>
            <color indexed="81"/>
            <rFont val="Tahoma"/>
            <charset val="1"/>
          </rPr>
          <t>&gt;&lt;Q&gt;FXI^P_PRICE(0)/P_PRICE_HIGH_PR(0,,,,,,"PRICE","INTRA","52W")&lt;/Q&gt;&lt;R&gt;1&lt;/R&gt;&lt;C&gt;1&lt;/C&gt;&lt;D xsi:type="xsd:double"&gt;0.97046417&lt;/D&gt;&lt;/FQL&gt;&lt;FQL&gt;&lt;Q&gt;FXI^FG_TOTAL_RETURNC(0,-6AM)&lt;/Q&gt;&lt;R&gt;1&lt;/R&gt;&lt;C&gt;1&lt;/C&gt;&lt;D xsi:type="xsd:double"&gt;41.556335&lt;/D&gt;&lt;/FQL&gt;&lt;FQL&gt;&lt;Q&gt;FXI^FG_TOTAL_RETURNC(0,-3AM)&lt;/Q&gt;&lt;R&gt;1&lt;/R&gt;&lt;C&gt;1&lt;/C&gt;&lt;D xsi:type="xsd:double"&gt;28.252792&lt;/D&gt;&lt;/FQL&gt;&lt;FQL&gt;&lt;Q&gt;FXI^FG_TOTAL_RETURNC(0,-1AM)&lt;/Q&gt;&lt;R&gt;1&lt;/R&gt;&lt;C&gt;1&lt;/C&gt;&lt;D xsi:type="xsd:double"&gt;32.692314&lt;/D&gt;&lt;/FQL&gt;&lt;FQL&gt;&lt;Q&gt;FXI^PERCENT_CHANGE(FMA_EPS(+1,0,,,,"PORTAGG","MEAN"),FMA_EPS(+1,-3AM,,,,"PORTAGG","MEAN"))&lt;/Q&gt;&lt;R&gt;1&lt;/R&gt;&lt;C&gt;1&lt;/C&gt;&lt;D xsi:type="xsd:double"&gt;2.23471096571672&lt;/D&gt;&lt;/FQL&gt;&lt;FQL&gt;&lt;Q&gt;FXI^PERCENT_CHANGE(FMA_EPS(+1,0,,,,"PORTAGG","MEAN"),FMA_EPS(+1,-1AM,,,,"PORTAGG","MEAN"))&lt;/Q&gt;&lt;R&gt;1&lt;/R&gt;&lt;C&gt;1&lt;/C&gt;&lt;D xsi:type="xsd:double"&gt;-1.31422669541541&lt;/D&gt;&lt;/FQL&gt;&lt;FQL&gt;&lt;Q&gt;FXI^FMA_PCT_ABOVE_MAVG(200,0,,,,"PORTAGG")&lt;/Q&gt;&lt;R&gt;1&lt;/R&gt;&lt;C&gt;1&lt;/C&gt;&lt;D xsi:type="xsd:double"&gt;92&lt;/D&gt;&lt;/FQL&gt;&lt;FQL&gt;&lt;Q&gt;SPY^FG_TOTAL_RETURNC(0,-12AM)&lt;/Q&gt;&lt;R&gt;1&lt;/R&gt;&lt;C&gt;1&lt;/C&gt;&lt;D xsi:type="xsd:double"&gt;36.511684&lt;/D&gt;&lt;/FQL&gt;&lt;FQL&gt;&lt;Q&gt;SPY^P_PRICE(0)/P_PRICE_LOW_PR(0,,,,,,"PRICE","INTRA","52W")-1&lt;/Q&gt;&lt;R&gt;1&lt;/R&gt;&lt;C&gt;1&lt;/C&gt;&lt;D xsi:type="xsd:double"&gt;0.38760054&lt;/D&gt;&lt;/FQL&gt;&lt;FQL&gt;&lt;Q&gt;SPY^P_PRICE(0)/P_PRICE_HIGH_PR(0,,,,,,"PRICE","INTRA","52W")&lt;/Q&gt;&lt;R&gt;1&lt;/R&gt;&lt;C&gt;1&lt;/C&gt;&lt;D xsi:type="xsd:double"&gt;0.9880113&lt;/D&gt;&lt;/FQL&gt;&lt;FQL&gt;&lt;Q&gt;SPY^FG_TOTAL_RETURNC(0,-6AM)&lt;/Q&gt;&lt;R&gt;1&lt;/R&gt;&lt;C&gt;1&lt;/C&gt;&lt;D xsi:type="xsd:double"&gt;10.010242&lt;/D&gt;&lt;/FQL&gt;&lt;FQL&gt;&lt;Q&gt;SPY^FG_TOTAL_RETURNC(0,-3AM)&lt;/Q&gt;&lt;R&gt;1&lt;/R&gt;&lt;C&gt;1&lt;/C&gt;&lt;D xsi:type="xsd:double"&gt;3.2829642&lt;/D&gt;&lt;/FQL&gt;&lt;FQL&gt;&lt;Q&gt;SPY^FG_TOTAL_RETURNC(0,-1AM)&lt;/Q&gt;&lt;R&gt;1&lt;/R&gt;&lt;C&gt;1&lt;/C&gt;&lt;D xsi:type="xsd:double"&gt;3.1669736&lt;/D&gt;&lt;/FQL&gt;&lt;FQL&gt;&lt;Q&gt;SPY^PERCENT_CHANGE(FMA_EPS(+1,0,,,,"PORTAGG","MEAN"),FMA_EPS(+1,-3AM,,,,"PORTAGG","MEAN"))&lt;/Q&gt;&lt;R&gt;1&lt;/R&gt;&lt;C&gt;1&lt;/C&gt;&lt;D xsi:type="xsd:double"&gt;-1.23762309810854&lt;/D&gt;&lt;/FQL&gt;&lt;FQL&gt;&lt;Q&gt;SPY^PERCENT_CHANGE(FMA_EPS(+1,0,,,,"PORTAGG","MEAN"),FMA_EPS(+1,-1AM,,,,"PORTAGG","MEAN"))&lt;/Q&gt;&lt;R&gt;1&lt;/R&gt;&lt;C&gt;1&lt;/C&gt;&lt;D xsi:type="xsd:double"&gt;-1.06455397719023&lt;/D&gt;&lt;/FQL&gt;&lt;FQL&gt;&lt;Q&gt;SPY^FMA_PCT_ABOVE_MAVG(200,0,,,,"PORTAGG")&lt;/Q&gt;&lt;R&gt;1&lt;/R&gt;&lt;C&gt;1&lt;/C&gt;&lt;D xsi:type="xsd:double"&gt;75.8&lt;/D&gt;&lt;/FQL&gt;&lt;FQL&gt;&lt;Q&gt;EWJ^FG_TOTAL_RETURNC(0,-12AM)&lt;/Q&gt;&lt;R&gt;1&lt;/R&gt;&lt;C&gt;1&lt;/C&gt;&lt;D xsi:type="xsd:double"&gt;23.425425&lt;/D&gt;&lt;/FQL&gt;&lt;FQL&gt;&lt;Q&gt;EWJ^P_PRICE(0)/P_PRICE_LOW_PR(0,,,,,,"PRICE","INTRA","52W")-1&lt;/Q&gt;&lt;R&gt;1&lt;/R&gt;&lt;C&gt;1&lt;/C&gt;&lt;D xsi:type="xsd:double"&gt;0.24038458&lt;/D&gt;&lt;/FQL&gt;&lt;FQL&gt;&lt;Q&gt;EWJ^P_PRICE(0)/P_PRICE_HIGH_PR(0,,,,,,"PRICE","INTRA","52W")&lt;/Q&gt;&lt;R&gt;1&lt;/R&gt;&lt;C&gt;1&lt;/C&gt;&lt;D xsi:type="xsd:double"&gt;0.9687329&lt;/D&gt;&lt;/FQL&gt;&lt;FQL&gt;&lt;Q&gt;EWJ^FG_TOTAL_RETURNC(0,-6AM)&lt;/Q&gt;&lt;R&gt;1&lt;/R&gt;&lt;C&gt;1&lt;/C&gt;&lt;D xsi:type="xsd:double"&gt;1.5344262&lt;/D&gt;&lt;/FQL&gt;&lt;FQL&gt;&lt;Q&gt;EWJ^FG_TOTAL_RETURNC(0,-3AM)&lt;/Q&gt;&lt;R&gt;1&lt;/R&gt;&lt;C&gt;1&lt;/C&gt;&lt;D xsi:type="xsd:double"&gt;2.101016&lt;/D&gt;&lt;/FQL&gt;&lt;FQL&gt;&lt;Q&gt;EWJ^FG_TOTAL_RETURNC(0,-1AM)&lt;/Q&gt;&lt;R&gt;1&lt;/R&gt;&lt;C&gt;1&lt;/C&gt;&lt;D xsi:type="xsd:double"&gt;0.084638596&lt;/D&gt;&lt;/FQL&gt;&lt;FQL&gt;&lt;Q&gt;EWJ^PERCENT_CHANGE(FMA_EPS(+1,0,,,,"PORTAGG","MEAN"),FMA_EPS(+1,-3AM,,,,"PORTAGG","MEAN"))&lt;/Q&gt;&lt;R&gt;1&lt;/R&gt;&lt;C&gt;1&lt;/C&gt;&lt;D xsi:type="xsd:double"&gt;22.3969693678458&lt;/D&gt;&lt;/FQL&gt;&lt;FQL&gt;&lt;Q&gt;EWJ^PERCENT_CHANGE(FMA_EPS(+1,0,,,,"PORTAGG","MEAN"),FMA_EPS(+1,-1AM,,,,"PORTAGG","MEAN"))&lt;/Q&gt;&lt;R&gt;1&lt;/R&gt;&lt;C&gt;1&lt;/C&gt;&lt;D xsi:type="xsd:double"&gt;12.6709648593149&lt;/D&gt;&lt;/FQL&gt;&lt;FQL&gt;&lt;Q&gt;EWJ^FMA_PCT_ABOVE_MAVG(200,0,,,,"PORTAGG")&lt;/Q&gt;&lt;R&gt;1&lt;/R&gt;&lt;C&gt;1&lt;/C&gt;&lt;D xsi:type="xsd:double"&gt;49.748743718593&lt;/D&gt;&lt;/FQL&gt;&lt;FQL&gt;&lt;Q&gt;URTH^FG_TOTAL_RETURNC(0,-12AM)&lt;/Q&gt;&lt;R&gt;1&lt;/R&gt;&lt;C&gt;1&lt;/C&gt;&lt;D xsi:type="xsd:double"&gt;33.632935&lt;/D&gt;&lt;/FQL&gt;&lt;FQL&gt;&lt;Q&gt;URTH^P_PRICE(0)/P_PRICE_LOW_PR(0,,,,,,"PRICE","INTRA","52W")-1&lt;/Q&gt;&lt;R&gt;1&lt;/R&gt;&lt;C&gt;1&lt;/C&gt;&lt;D xsi:type="xsd:double"&gt;0.35170007&lt;/D&gt;&lt;/FQL&gt;&lt;FQL&gt;&lt;Q&gt;URTH^P_PRICE(0)/P_PRICE_HIGH_PR(0,,,,,,"PRICE","INTRA","52W")&lt;/Q&gt;&lt;R&gt;1&lt;/R&gt;&lt;C&gt;1&lt;/C&gt;&lt;D xsi:type="xsd:double"&gt;0.9851002&lt;/D&gt;&lt;/FQL&gt;&lt;FQL&gt;&lt;Q&gt;URTH^FG_TOTAL_RETURNC(0,-6AM)&lt;/Q&gt;&lt;R&gt;1&lt;/R&gt;&lt;C&gt;1&lt;/C&gt;&lt;D xsi:type="xsd:double"&gt;8.596695&lt;/D&gt;&lt;/FQL&gt;&lt;FQL&gt;&lt;Q&gt;URTH^FG_TOTAL_RETURNC(0,-3AM)&lt;/Q&gt;&lt;R&gt;1&lt;/R&gt;&lt;C&gt;1&lt;/C&gt;&lt;D xsi:type="xsd:double"&gt;3.6432862&lt;/D&gt;&lt;/FQL&gt;&lt;FQL&gt;&lt;Q&gt;URTH^FG_TOTAL_RETURNC(0,-1AM)&lt;/Q&gt;&lt;R&gt;1&lt;/R&gt;&lt;C&gt;1&lt;/C&gt;&lt;D xsi:type="xsd:double"&gt;2.6687026&lt;/D&gt;&lt;/FQL&gt;&lt;FQL&gt;&lt;Q&gt;URTH^PERCENT_CHANGE(FMA_EPS(+1,0,,,,"PORTAGG","MEAN"),FMA_EPS(+1,-3AM,,,,"PORTAGG","MEAN"))&lt;/Q&gt;&lt;R&gt;1&lt;/R&gt;&lt;C&gt;1&lt;/C&gt;&lt;D xsi:type="xsd:double"&gt;1.61565536642443&lt;/D&gt;&lt;/FQL&gt;&lt;FQL&gt;&lt;Q&gt;URTH^PERCENT_CHANGE(FMA_EPS(+1,0,,,,"PORTAGG","MEAN"),FMA_EPS(+1,-1AM,,,,"PORTAGG","MEAN"))&lt;/Q&gt;&lt;R&gt;1&lt;/R&gt;&lt;C&gt;1&lt;/C&gt;&lt;D xsi:type="xsd:double"&gt;0.829791880396504&lt;/D&gt;&lt;/FQL&gt;&lt;FQL&gt;&lt;Q&gt;URTH^FMA_PCT_ABOVE_MAVG(200,0,,,,"PORTAGG")&lt;/Q&gt;&lt;R&gt;1&lt;/R&gt;&lt;C&gt;1&lt;/C&gt;&lt;D xsi:type="xsd:double"&gt;70.1492537313433&lt;/D&gt;&lt;/FQL&gt;&lt;FQL&gt;&lt;Q&gt;VWO^FG_TOTAL_RETURNC(0,-12AM)&lt;/Q&gt;&lt;R&gt;1&lt;/R&gt;&lt;C&gt;1&lt;/C&gt;&lt;D xsi:type="xsd:double"&gt;29.371107&lt;/D&gt;&lt;/FQL&gt;&lt;FQL&gt;&lt;Q&gt;VWO^P_PRICE(0)/P_PRICE_LOW_PR(0,,,,,,"PRICE","INTRA","52W")-1&lt;/Q&gt;&lt;R&gt;1&lt;/R&gt;&lt;C&gt;1&lt;/C&gt;&lt;D xsi:type="xsd:double"&gt;0.29408622&lt;/D&gt;&lt;/FQL&gt;&lt;FQL&gt;&lt;Q&gt;VWO^P_PRICE(0)/P_PRICE_HIGH_PR(0,,,,,,"PRICE","INTRA","52W")&lt;/Q&gt;&lt;R&gt;1&lt;/R&gt;&lt;C&gt;1&lt;/C&gt;&lt;D xsi:type="xsd:double"&gt;0.98496246&lt;/D&gt;&lt;/FQL&gt;&lt;FQL&gt;&lt;Q&gt;VWO^FG_TOTAL_RETURNC(0,-6AM)&lt;/Q&gt;&lt;R&gt;1&lt;/R&gt;&lt;C&gt;1&lt;/C&gt;&lt;D xsi:type="xsd:double"&gt;15.809965&lt;/D&gt;&lt;/FQL&gt;&lt;FQL&gt;&lt;Q&gt;VWO^FG_TOTAL_RETURNC(0,-3AM)&lt;/Q&gt;&lt;R&gt;1&lt;/R&gt;&lt;C&gt;1&lt;/C&gt;&lt;D xsi:type="xsd:double"&gt;8.828831&lt;/D&gt;&lt;/FQL&gt;&lt;FQL&gt;&lt;Q&gt;VWO^FG_TOTAL_RETURNC(0,-1AM)&lt;/Q&gt;&lt;R&gt;1&lt;/R&gt;&lt;C&gt;1&lt;/C&gt;&lt;D xsi:type="xsd:double"&gt;10.3856325&lt;/D&gt;&lt;/FQL&gt;&lt;FQL&gt;&lt;Q&gt;VWO^PERCENT_CHANGE(FMA_EPS(+1,0,,,,"PORTAGG","MEAN"),FMA_EPS(+1,-3AM,,,,"PORTAGG","MEAN"))&lt;/Q&gt;&lt;R&gt;1&lt;/R&gt;&lt;C&gt;1&lt;/C&gt;&lt;D xsi:type="xsd:double"&gt;0.966803940686287&lt;/D&gt;&lt;/FQL&gt;&lt;FQL&gt;&lt;Q&gt;VWO^PERCENT_CHANGE(FMA_EPS(+1,0,,,,"PORTAGG","MEAN"),FMA_EPS(+1,-1AM,,,,"PORTAGG","MEAN"))&lt;/Q&gt;&lt;R&gt;1&lt;/R&gt;&lt;C&gt;1&lt;/C&gt;&lt;D xsi:type="xsd:double"&gt;0&lt;/D&gt;&lt;/FQL&gt;&lt;FQL&gt;&lt;Q&gt;VWO^FMA_PCT_ABOVE_MAVG(200,0,,,,"PORTAGG")&lt;/Q&gt;&lt;R&gt;1&lt;/R&gt;&lt;C&gt;1&lt;/C&gt;&lt;D xsi:type="xsd:double"&gt;36.8833368621639&lt;/D&gt;&lt;/FQL&gt;&lt;FQL&gt;&lt;Q&gt;VGK^FG_TOTAL_RETURNC(0,-12AM)&lt;/Q&gt;&lt;R&gt;1&lt;/R&gt;&lt;C&gt;1&lt;/C&gt;&lt;D xsi:type="xsd:double"&gt;26.811134&lt;/D&gt;&lt;/FQL&gt;&lt;FQL&gt;&lt;Q&gt;VGK^P_PRICE(0)/P_PRICE_LOW_PR(0,,,,,,"PRICE","INTRA","52W")-1&lt;/Q&gt;&lt;R&gt;1&lt;/R&gt;&lt;C&gt;1&lt;/C&gt;&lt;D xsi:type="xsd:double"&gt;0.25844526&lt;/D&gt;&lt;/FQL&gt;&lt;FQL&gt;&lt;Q&gt;VGK^P_PRICE(0)/P_PRICE_HIGH_PR(0,,,,,,"PRICE","INTRA","52W")&lt;/Q&gt;&lt;R&gt;1&lt;/R&gt;&lt;C&gt;1&lt;/C&gt;&lt;D xsi:type="xsd:double"&gt;0.961293&lt;/D&gt;&lt;/FQL&gt;&lt;FQL&gt;&lt;Q&gt;VGK^FG_TOTAL_RETURNC(0,-6AM)&lt;/Q&gt;&lt;R&gt;1&lt;/R&gt;&lt;C&gt;1&lt;/C&gt;&lt;D xsi:type="xsd:double"&gt;5.093336&lt;/D&gt;&lt;/FQL&gt;&lt;FQL&gt;&lt;Q&gt;VGK^FG_TOTAL_RETURNC(0,-3AM)&lt;/Q&gt;&lt;R&gt;1&lt;/R&gt;&lt;C&gt;1&lt;/C&gt;&lt;D xsi:type="xsd:double"&gt;2.4023652&lt;/D&gt;&lt;/FQL&gt;&lt;FQL&gt;&lt;Q&gt;VGK^FG_TOTAL_RETURNC(0,-1AM)&lt;/Q&gt;&lt;R&gt;1&lt;/R&gt;&lt;C&gt;1&lt;/C&gt;&lt;D xsi:type="xsd:double"&gt;-0.20182729&lt;/D&gt;&lt;/FQL&gt;&lt;FQL&gt;&lt;Q&gt;VGK^PERCENT_CHANGE(FMA_EPS(+1,0,,,,"PORTAGG","MEAN"),FMA_EPS(+1,-3AM,,,,"PORTAGG","MEAN"))&lt;/Q&gt;&lt;R&gt;1&lt;/R&gt;&lt;C&gt;1&lt;/C&gt;&lt;D xsi:type="xsd:double"&gt;-0.113165814793893&lt;/D&gt;&lt;/FQL&gt;&lt;FQL&gt;&lt;Q&gt;VGK^PERCENT_CHANGE(FMA_EPS(+1,0,,,,"PORTAGG","MEAN"),FMA_EPS(+1,-1AM,,,,"PORTAGG","MEAN"))&lt;/Q&gt;&lt;R&gt;1&lt;/R&gt;&lt;C&gt;1&lt;/C&gt;&lt;D xsi:type="xsd:double"&gt;0&lt;/D&gt;&lt;/FQL&gt;&lt;FQL&gt;&lt;Q&gt;VGK^FMA_PCT_ABOVE_MAVG(200,0,,,,"PORTAGG")&lt;/Q&gt;&lt;R&gt;1&lt;/R&gt;&lt;C&gt;1&lt;/C&gt;&lt;D xsi:type="xsd:double"&gt;63.370253164557&lt;/D&gt;&lt;/FQL&gt;&lt;FQL&gt;&lt;Q&gt;EWI^FG_TOTAL_RETURNC(0,-12AM)&lt;/Q&gt;&lt;R&gt;1&lt;/R&gt;&lt;C&gt;1&lt;/C&gt;&lt;D xsi:type="xsd:double"&gt;32.378376&lt;/D&gt;&lt;/FQL&gt;&lt;FQL&gt;&lt;Q&gt;EWI^P_PRICE(0)/P_PRICE_LOW_PR(0,,,,,,"PRICE","INTRA","52W")-1&lt;/Q&gt;&lt;R&gt;1&lt;/R&gt;&lt;C&gt;1&lt;/C&gt;&lt;D xsi:type="xsd:double"&gt;0.29174566&lt;/D&gt;&lt;/FQL&gt;&lt;FQL&gt;&lt;Q&gt;EWI^P_PRICE(0)/P_PRICE_HIGH_PR(0,,,,,,"PRICE","INTRA","52W")&lt;/Q&gt;&lt;R&gt;1&lt;/R&gt;&lt;C&gt;1&lt;/C&gt;&lt;D xsi:type="xsd:double"&gt;0.94574815&lt;/D&gt;&lt;/FQL&gt;&lt;FQL&gt;&lt;Q&gt;EWI^FG_TOTAL_RETURNC(0,-6AM)&lt;/Q&gt;&lt;R&gt;1&lt;/R&gt;&lt;C&gt;1&lt;/C&gt;&lt;D xsi:type="xsd:double"&gt;2.3400068&lt;/D&gt;&lt;/FQL&gt;&lt;FQL&gt;&lt;Q&gt;EWI^FG_TOTAL_RETURNC(0,-3AM)&lt;/Q&gt;&lt;R&gt;1&lt;/R&gt;&lt;C&gt;1&lt;/C&gt;&lt;D xsi:type="xsd:double"&gt;2.0141482&lt;/D&gt;&lt;/FQL&gt;&lt;FQL&gt;&lt;Q&gt;EWI^FG_TOTAL_RETURNC(0,-1AM)&lt;/Q&gt;&lt;R&gt;1&lt;/R&gt;&lt;C&gt;1&lt;/C&gt;&lt;D xsi:type="xsd:double"&gt;-1.4721394&lt;/D&gt;&lt;/FQL&gt;&lt;FQL&gt;&lt;Q&gt;EWI^PERCENT_CHANGE(FMA_EPS(+1,0,,,,"PORTAGG","MEAN"),FMA_EPS(+1,-3AM,,,,"PORTAGG","MEAN"))&lt;/Q&gt;&lt;R&gt;1&lt;/R&gt;&lt;C&gt;1&lt;/C&gt;&lt;D xsi:type="xsd:double"&gt;-3.17689028417551&lt;/D&gt;&lt;/FQL&gt;&lt;FQL&gt;&lt;Q&gt;EWI^PERCENT_CHANGE(FMA_EPS(+1,0,,,,"PORTAGG","MEAN"),FMA_EPS(+1,-1AM,,,,"PORTAGG","MEAN"))&lt;/Q&gt;&lt;R&gt;1&lt;/R&gt;&lt;C&gt;1&lt;/C&gt;&lt;D xsi:type="xsd:double"&gt;-0.17881935814594&lt;/D&gt;&lt;/FQL&gt;&lt;FQL&gt;&lt;Q&gt;EWI^FMA_PCT_ABOVE_MAVG(200,0,,,,"PORTAGG")&lt;/Q&gt;&lt;R&gt;1&lt;/R&gt;&lt;C&gt;1&lt;/C&gt;&lt;D xsi:type="xsd:double"&gt;60&lt;/D&gt;&lt;/FQL&gt;&lt;FQL&gt;&lt;Q&gt;EWD^FG_TOTAL_RETURNC(0,-12AM)&lt;/Q&gt;&lt;R&gt;1&lt;/R&gt;&lt;C&gt;1&lt;/C&gt;&lt;D xsi:type="xsd:double"&gt;36.26734&lt;/D&gt;&lt;/FQL&gt;&lt;FQL&gt;&lt;Q&gt;EWD^P_PRICE(0)/P_PRICE_LOW_PR(0,,,,,,"PRICE","INTRA","52W")-1&lt;/Q&gt;&lt;R&gt;1&lt;/R&gt;&lt;C&gt;1&lt;/C&gt;&lt;D xsi:type="xsd:double"&gt;0.37037635&lt;/D&gt;&lt;/FQL&gt;&lt;FQL&gt;&lt;Q&gt;EWD^P_PRICE(0)/P_PRICE_HIGH_PR(0,,,,,,"PRICE","INTRA","52W")&lt;/Q&gt;&lt;R&gt;1&lt;/R&gt;&lt;C&gt;1&lt;/C&gt;&lt;D xsi:type="xsd:double"&gt;0.95655143&lt;/D&gt;&lt;/FQL&gt;&lt;FQL&gt;&lt;Q&gt;EWD^FG_TOTAL_RETURNC(0,-6AM)&lt;/Q&gt;&lt;R&gt;1&lt;/R&gt;&lt;C&gt;1&lt;/C&gt;&lt;D xsi:type="xsd:double"&gt;6.685567&lt;/D&gt;&lt;/FQL&gt;&lt;FQL&gt;&lt;Q&gt;EWD^FG_TOTAL_RETURNC(0,-3AM)&lt;/Q&gt;&lt;R&gt;1&lt;/R&gt;&lt;C&gt;1&lt;/C&gt;&lt;D xsi:type="xsd:double"&gt;3.1142712&lt;/D&gt;&lt;/FQL&gt;&lt;FQL&gt;&lt;Q&gt;EWD^FG_TOTAL_RETURNC(0,-1AM)&lt;/Q&gt;&lt;R&gt;1&lt;/R&gt;&lt;C&gt;1&lt;/C&gt;&lt;D xsi:type="xsd:double"&gt;1.9888401&lt;/D&gt;&lt;/FQL&gt;&lt;FQL&gt;&lt;Q&gt;EWD^PERCENT_CHANGE(FMA_EPS(+1,0,,,,"PORTAGG","MEAN"),FMA_EPS(+1,-3AM,,,,"PORTAGG","MEAN"))&lt;/Q&gt;&lt;R&gt;1&lt;/R&gt;&lt;C&gt;1&lt;/C&gt;&lt;D xsi:type="xsd:double"&gt;-3.93094984039946&lt;/D&gt;&lt;/FQL&gt;&lt;FQL&gt;&lt;Q&gt;EWD^PERCENT_CHANGE(FMA_EPS(+1,0,,,,"PORTAGG","MEAN"),FMA_EPS(+1,-1AM,,,,"PORTAGG","MEAN"))&lt;/Q&gt;&lt;R&gt;1&lt;/R&gt;&lt;C&gt;1&lt;/C&gt;&lt;D xsi:type="xsd:double"&gt;1.3086941813935&lt;/D&gt;&lt;/FQL&gt;&lt;FQL&gt;&lt;Q&gt;EWD^FMA_PCT_ABOVE_MAVG(200,0,,,,"PORTAGG")&lt;/Q&gt;&lt;R&gt;1&lt;/R&gt;&lt;C&gt;1&lt;/C&gt;&lt;D xsi:type="xsd:double"&gt;73.3333333333333&lt;/D&gt;&lt;/FQL&gt;&lt;FQL&gt;&lt;Q&gt;EWN^FG_TOTAL_RETURNC(0,-12AM)&lt;/Q&gt;&lt;R&gt;1&lt;/R&gt;&lt;C&gt;1&lt;/C&gt;&lt;D xsi:type="xsd:double"&gt;38.026417&lt;/D&gt;&lt;/FQL&gt;&lt;FQL&gt;&lt;Q&gt;EWN^P_PRICE(0)/P_PRICE_LOW_PR(0,,,,,,"PRICE","INTRA","52W")-1&lt;/Q&gt;&lt;R&gt;1&lt;/R&gt;&lt;C&gt;1&lt;/C&gt;&lt;D xsi:type="xsd:double"&gt;0.37778997&lt;/D&gt;&lt;/FQL&gt;&lt;FQL&gt;&lt;Q&gt;EWN^P_PRICE(0)/P_PRICE_HIGH_PR(0,,,,,,"PRICE","INTRA","52W")&lt;/Q&gt;&lt;R&gt;1&lt;/R&gt;&lt;C&gt;1&lt;/C&gt;&lt;D xsi:type="xsd:double"&gt;0.9428626&lt;/D&gt;&lt;/FQL&gt;&lt;FQL&gt;&lt;Q&gt;EWN^FG_TOTAL_RETURNC(0,-6AM)&lt;/Q&gt;&lt;R&gt;1&lt;/R&gt;&lt;C&gt;1&lt;/C&gt;&lt;D xsi:type="xsd:double"&gt;1.6771674&lt;/D&gt;&lt;/FQL&gt;&lt;FQL&gt;&lt;Q&gt;EWN^FG_TOTAL_RETURNC(0,-3AM)&lt;/Q&gt;&lt;R&gt;1&lt;/R&gt;&lt;C&gt;1&lt;/C&gt;&lt;D xsi:type="xsd:double"&gt;-3.1195521&lt;/D&gt;&lt;/FQL&gt;&lt;FQL&gt;&lt;Q&gt;EWN^FG_TOTAL_RETURNC(0,-1AM)&lt;/Q&gt;&lt;R&gt;1&lt;/R&gt;&lt;C&gt;1&lt;/C&gt;&lt;D xsi:type="xsd:double"&gt;1.3993025&lt;/D&gt;&lt;/FQL&gt;&lt;FQL&gt;&lt;Q&gt;EWN^PERCENT_CHANGE(FMA_EPS(+1,0,,,,"PORTAGG","MEAN"),FMA_EPS(+1,-3AM,,,,"PORTAGG","MEAN"))&lt;/Q&gt;&lt;R&gt;1&lt;/R&gt;&lt;C&gt;1&lt;/C&gt;&lt;D xsi:type="xsd:double"&gt;1.16524642541792&lt;/D&gt;&lt;/FQL&gt;&lt;FQL&gt;&lt;Q&gt;EWN^PERCENT_CHANGE(FMA_EPS(+1,0,,,,"PORTAGG","MEAN"),FMA_EPS(+1,-1AM,,,,"PORTAGG","MEAN"))&lt;/Q&gt;&lt;R&gt;1&lt;/R&gt;&lt;C&gt;1&lt;/C&gt;&lt;D xsi:type="xsd:double"&gt;-0.583930354744956&lt;/D&gt;&lt;/FQL&gt;&lt;FQL&gt;&lt;Q&gt;EWN^FMA_PCT_ABOVE_MAVG(200,0,,,,"PORTAGG")&lt;/Q&gt;&lt;R&gt;1&lt;/R&gt;&lt;C&gt;1&lt;/C&gt;&lt;D xsi:type="xsd:double"&gt;51.8518518518518&lt;/D&gt;&lt;/FQL&gt;&lt;FQL&gt;&lt;Q&gt;EWQ^FG_TOTAL_RETURNC(0,-12AM)&lt;/Q&gt;&lt;R&gt;1&lt;/R&gt;&lt;C&gt;1&lt;/C&gt;&lt;D xsi:type="xsd:double"&gt;16.194069&lt;/D&gt;&lt;/FQL&gt;&lt;FQL&gt;&lt;Q&gt;EWQ^P_PRICE(0)/P_PRICE_LOW_PR(0,,,,,,"PRICE","INTRA","52W")-1&lt;/Q&gt;&lt;R&gt;1&lt;/R&gt;&lt;C&gt;1&lt;/C&gt;&lt;D xsi:type="xsd:double"&gt;0.16072488&lt;/D&gt;&lt;/FQL&gt;&lt;FQL&gt;&lt;Q&gt;EWQ^P_PRICE(0)/P_PRICE_HIGH_PR(0,,,,,,"PRICE","INTRA","52W")&lt;/Q&gt;&lt;R&gt;1&lt;/R&gt;&lt;C&gt;1&lt;/C&gt;&lt;D xsi:type="xsd:double"&gt;0.9171362&lt;/D&gt;&lt;/FQL&gt;&lt;FQL&gt;&lt;Q&gt;EWQ^FG_TOTAL_RETURNC(0,-6AM)&lt;/Q&gt;&lt;R&gt;1&lt;/R&gt;&lt;C&gt;1&lt;/C&gt;&lt;D xsi:type="xsd:double"&gt;-3.1080127&lt;/D&gt;&lt;/FQL&gt;&lt;FQL&gt;&lt;Q&gt;EWQ^FG_TOTAL_RETURNC(0,-3AM)&lt;/Q&gt;&lt;R&gt;1&lt;/R&gt;&lt;C&gt;1&lt;/C&gt;&lt;D xsi:type="xsd:double"&gt;0.48867464&lt;/D&gt;&lt;/FQL&gt;&lt;FQL&gt;&lt;Q&gt;EWQ^FG_TOTAL_RETURNC(0,-1AM)&lt;/Q&gt;&lt;R&gt;1&lt;/R&gt;&lt;C&gt;1&lt;/C&gt;&lt;D xsi:type="xsd:double"&gt;-0.7367909&lt;/D&gt;&lt;/FQL&gt;&lt;FQL&gt;&lt;Q&gt;EWQ^PERCENT_CHANGE(FMA_EPS(+1,0,,,,"PORTAGG","MEAN"),FMA_EPS(+1,-3AM,,,,"PORTAGG","MEAN"))&lt;/Q&gt;&lt;R&gt;1&lt;/R&gt;&lt;C&gt;1&lt;/C&gt;&lt;D xsi:type="xsd:double"&gt;-0.416662428993254&lt;/D&gt;&lt;/FQL&gt;&lt;FQL&gt;&lt;Q&gt;EWQ^PERCENT_CHANGE(FMA_EPS(+1,0,,,,"PORTAGG","MEAN"),FMA_EPS(+1,-1AM,,,,"PORTAGG","MEAN"))&lt;/Q&gt;&lt;R&gt;1&lt;/R&gt;&lt;C&gt;1&lt;/C&gt;&lt;D xsi:type="xsd:double"&gt;0.42462166481921&lt;/D&gt;&lt;/FQL&gt;&lt;FQL&gt;&lt;Q&gt;EWQ^FMA_PCT_ABOVE_MAVG(200,0,,,,"PORTAGG")&lt;/Q&gt;&lt;R&gt;1&lt;/R&gt;&lt;C&gt;1&lt;/C&gt;&lt;D xsi:type="xsd:double"&gt;54.0983606557377&lt;/D&gt;&lt;/FQL&gt;&lt;FQL&gt;&lt;Q&gt;QQQ^FG_TOTAL_RETURNC(0,-12AM)&lt;/Q&gt;&lt;R&gt;1&lt;/R&gt;&lt;C&gt;1&lt;/C&gt;&lt;D xsi:type="xsd:double"&gt;36.618782&lt;/D&gt;&lt;/FQL&gt;&lt;FQL&gt;&lt;Q&gt;QQQ^P_PRICE(0)/P_PRICE_LOW_PR(0,,,,,,"PRICE","INTRA","52W")-1&lt;/Q&gt;&lt;R&gt;1&lt;/R&gt;&lt;C&gt;1&lt;/C&gt;&lt;D xsi:type="xsd:double"&gt;0.40671825&lt;/D&gt;&lt;/FQL&gt;&lt;FQL&gt;&lt;Q&gt;QQQ^P_PRICE(0)/P_PRICE_HIGH_PR(0,,,,,,"PRICE","INTRA","52W")&lt;/Q&gt;&lt;R&gt;1&lt;/R&gt;&lt;C&gt;1&lt;/C&gt;&lt;D xsi:type="xsd:double"&gt;0.95644665&lt;/D&gt;&lt;/FQL&gt;&lt;FQL&gt;&lt;Q&gt;QQQ^FG_TOTAL_RETURNC(0,-6AM)&lt;/Q&gt;&lt;R&gt;1&lt;/R&gt;&lt;C&gt;1&lt;/C&gt;&lt;D xsi:type="xsd:double"&gt;9.260273&lt;/D&gt;&lt;/FQL&gt;&lt;FQL&gt;&lt;Q&gt;QQQ^FG_TOTAL_RETURNC(0,-3AM)&lt;/Q&gt;&lt;R&gt;1&lt;/R&gt;&lt;C&gt;1&lt;/C&gt;&lt;D xsi:type="xsd:double"&gt;-1.7870665&lt;/D&gt;&lt;/FQL&gt;&lt;FQL&gt;&lt;Q&gt;QQQ^FG_TOTAL_RETURNC(0,-1AM)&lt;/Q&gt;&lt;R&gt;1&lt;/R&gt;&lt;C&gt;1&lt;/C&gt;&lt;D xsi:type="xsd:double"&gt;4.429269&lt;/D&gt;&lt;/FQL&gt;&lt;FQL&gt;&lt;Q&gt;QQQ^PERCENT_CHANGE(FMA_EPS(+1,0,,,,"PORTAGG","MEAN"),FMA_EPS(+1,-3AM,,,,"PORTAGG","MEAN"))&lt;/Q&gt;&lt;R&gt;1&lt;/R&gt;&lt;C&gt;1&lt;/C&gt;&lt;D xsi:type="xsd:double"&gt;-2.66121860427843&lt;/D&gt;&lt;/FQL&gt;&lt;FQL&gt;&lt;Q&gt;QQQ^PERCENT_CHANGE(FMA_EPS(+1,0,,,,"PORTAGG","MEAN"),FMA_EPS(+1,-1AM,,,,"PORTAGG","MEAN"))&lt;/Q&gt;&lt;R&gt;1&lt;/R&gt;&lt;C&gt;1&lt;/C&gt;&lt;D xsi:type="xsd:double"&gt;0.14427772036177&lt;/D&gt;&lt;/FQL&gt;&lt;FQL&gt;&lt;Q&gt;QQQ^FMA_PCT_ABOVE_MAVG(200,0,,,,"PORTAGG")&lt;/Q&gt;&lt;R&gt;1&lt;/R&gt;&lt;C&gt;1&lt;/C&gt;&lt;D xsi:type="xsd:double"&gt;58.8235294117647&lt;/D&gt;&lt;/FQL&gt;&lt;FQL&gt;&lt;Q&gt;EWU^FG_TOTAL_RETURNC(0,-12AM)&lt;/Q&gt;&lt;R&gt;1&lt;/R&gt;&lt;C&gt;1&lt;/C&gt;&lt;D xsi:type="xsd:double"&gt;24.443615&lt;/D&gt;&lt;/FQL&gt;&lt;FQL&gt;&lt;Q&gt;EWU^P_PRICE(0)/P_PRICE_LOW_PR(0,,,,,,"PRICE","INTRA","52W")-1&lt;/Q&gt;&lt;R&gt;1&lt;/R&gt;&lt;C&gt;1&lt;/C&gt;&lt;D xsi:type="xsd:double"&gt;0.22196424&lt;/D&gt;&lt;/FQL&gt;&lt;FQL&gt;&lt;Q&gt;EWU^P_PRICE(0)/P_PRICE_HIGH_PR(0,,,,,,"PRICE","INTRA","52W")&lt;/Q&gt;&lt;R&gt;1&lt;/R&gt;&lt;C&gt;1&lt;/C&gt;&lt;D xsi:type="xsd:double"&gt;0.9722809&lt;/D&gt;&lt;/FQL&gt;&lt;FQL&gt;&lt;Q&gt;EWU^FG_TOTAL_RETURNC(0,-6AM)&lt;/Q&gt;&lt;R&gt;1&lt;/R&gt;&lt;C&gt;1&lt;/C&gt;&lt;D xsi:type="xsd:double"&gt;9.863245&lt;/D&gt;&lt;/FQL&gt;&lt;FQL&gt;&lt;Q&gt;EWU^FG_TOTAL_RETURNC(0,-3AM)&lt;/Q&gt;&lt;R&gt;1&lt;/R&gt;&lt;C&gt;1&lt;/C&gt;&lt;D xsi:type="xsd:double"&gt;4.571271&lt;/D&gt;&lt;/FQL&gt;&lt;FQL&gt;&lt;Q&gt;EWU^FG_TOTAL_RETURNC(0,-1AM)&lt;/Q&gt;&lt;R&gt;1&lt;/R&gt;&lt;C&gt;1&lt;/C&gt;&lt;D xsi:type="xsd:double"&gt;0.054335594&lt;/D&gt;&lt;/FQL&gt;&lt;FQL&gt;&lt;Q&gt;EWU^PERCENT_CHANGE(FMA_EPS(+1,0,,,,"PORTAGG","MEAN"),FMA_EPS(+1,-3AM,,,,"PORTAGG","MEAN"))&lt;/Q&gt;&lt;R&gt;1&lt;/R&gt;&lt;C&gt;1&lt;/C&gt;&lt;D xsi:type="xsd:double"&gt;1.53450266717907&lt;/D&gt;&lt;/FQL&gt;&lt;FQL&gt;&lt;Q&gt;EWU^PERCENT_CHANGE(FMA_EPS(+1,0,,,,"PORTAGG","MEAN"),FMA_EPS(+1,-1AM,,,,"PORTAGG","MEAN"))&lt;/Q&gt;&lt;R&gt;1&lt;/R&gt;&lt;C&gt;1&lt;/C&gt;&lt;D xsi:type="xsd:double"&gt;0.17881538952911&lt;/D&gt;&lt;/FQL&gt;&lt;FQL&gt;&lt;Q&gt;EWU^FMA_PCT_ABOVE_MAVG(200,0,,,,"PORTAGG")&lt;/Q&gt;&lt;R&gt;1&lt;/R&gt;&lt;C&gt;1&lt;/C&gt;&lt;D xsi:type="xsd:double"&gt;61.5384615384615&lt;/D&gt;&lt;/FQL&gt;&lt;FQL&gt;&lt;Q&gt;EWL^FG_TOTAL_RETURNC(0,-12AM)&lt;/Q&gt;&lt;R&gt;1&lt;/R&gt;&lt;C&gt;1&lt;/C&gt;&lt;D xsi:type="xsd:double"&gt;22.076488&lt;/D&gt;&lt;/FQL&gt;&lt;FQL&gt;&lt;Q&gt;EWL^P_PRICE(0)/P_PRICE_LOW_PR(0,,,,,,"PRICE","INTRA","52W")-1&lt;/Q&gt;&lt;R&gt;1&lt;/R&gt;&lt;C&gt;1&lt;/C&gt;&lt;D xsi:type="xsd:double"&gt;0.22647417&lt;/D&gt;&lt;/FQL&gt;&lt;FQL&gt;&lt;Q&gt;EWL^P_PRICE(0)/P_PRICE_HIGH_PR(0,,,,,,"PRICE","INTRA","52W")&lt;/Q&gt;&lt;R&gt;1&lt;/R&gt;&lt;C&gt;1&lt;/C&gt;&lt;D xsi:type="xsd:double"&gt;0.9609655&lt;/D&gt;&lt;/FQL&gt;&lt;FQL&gt;&lt;Q&gt;EWL^FG_TOTAL_RETURNC(0,-6AM)&lt;/Q&gt;&lt;R&gt;1&lt;/R&gt;&lt;C&gt;1&lt;/C&gt;&lt;D xsi:type="xsd:double"&gt;10.817898&lt;/D&gt;&lt;/FQL&gt;&lt;FQL&gt;&lt;Q&gt;EWL^FG_TOTAL_RETURNC(0,-3AM)&lt;/Q&gt;&lt;R&gt;1&lt;/R&gt;&lt;C&gt;1&lt;/C&gt;&lt;D xsi:type="xsd:double"&gt;5.441749&lt;/D&gt;&lt;/FQL&gt;&lt;FQL&gt;&lt;Q&gt;EWL^FG_TOTAL_RETURNC(0,-1AM)&lt;/Q&gt;&lt;R&gt;1&lt;/R&gt;&lt;C&gt;1&lt;/C&gt;&lt;D xsi:type="xsd:double"&gt;-2.2256315&lt;/D&gt;&lt;/FQL&gt;&lt;FQL&gt;&lt;Q&gt;EWL^PERCENT_CHANGE(FMA_EPS(+1,0,,,,"PORTAGG","MEAN"),FMA_EPS(+1,-3AM,,,,"PORTAGG","MEAN"))&lt;/Q&gt;&lt;R&gt;1&lt;/R&gt;&lt;C&gt;1&lt;/C&gt;&lt;D xsi:type="xsd:double"&gt;4.4922693676407&lt;/D&gt;&lt;/FQL&gt;&lt;FQL&gt;&lt;Q&gt;EWL^PERCENT_CHANGE(FMA_EPS(+1,0,,,,"PORTAGG","MEAN"),FMA_EPS(+1,-1AM,,,,"PORTAGG","MEAN"))&lt;/Q&gt;&lt;R&gt;1&lt;/R&gt;&lt;C&gt;1&lt;/C&gt;&lt;D xsi:type="xsd:double"&gt;0.101852377522542&lt;/D&gt;&lt;/FQL&gt;&lt;FQL&gt;&lt;Q&gt;EWL^FMA_PCT_ABOVE_MAVG(200,0,,,,"PORTAGG")&lt;/Q&gt;&lt;R&gt;1&lt;/R&gt;&lt;C&gt;1&lt;/C&gt;&lt;D xsi:type="xsd:double"&gt;71.7391304347826&lt;/D&gt;&lt;/FQL&gt;&lt;FQL&gt;&lt;Q&gt;EWG^FG_TOTAL_RETURNC(0,-12AM)&lt;/Q&gt;&lt;R&gt;1&lt;/R&gt;&lt;C&gt;1&lt;/C&gt;&lt;D xsi:type="xsd:double"&gt;32.220566&lt;/D&gt;&lt;/FQL&gt;&lt;FQL&gt;&lt;Q&gt;EWG^P_PRICE(0)/P_PRICE_LOW_PR(0,,,,,,"PRICE","INTRA","52W")-1&lt;/Q&gt;&lt;R&gt;1&lt;/R&gt;&lt;C&gt;1&lt;/C&gt;&lt;D xsi:type="xsd:double"&gt;0.33130944&lt;/D&gt;&lt;/FQL&gt;&lt;FQL&gt;&lt;Q&gt;EWG^P_PRICE(0)/P_PRICE_HIGH_PR(0,,,,,,"PRICE","INTRA","52W")&lt;/Q&gt;&lt;R&gt;1&lt;/R&gt;&lt;C&gt;1&lt;/C&gt;&lt;D xsi:type="xsd:double"&gt;0.96395075&lt;/D&gt;&lt;/FQL&gt;&lt;FQL&gt;&lt;Q&gt;EWG^FG_TOTAL_RETURNC(0,-6AM)&lt;/Q&gt;&lt;R&gt;1&lt;/R&gt;&lt;C&gt;1&lt;/C&gt;&lt;D xsi:type="xsd:double"&gt;6.4810753&lt;/D&gt;&lt;/FQL&gt;&lt;FQL&gt;&lt;Q&gt;EWG^FG_TOTAL_RETURNC(0,-3AM)&lt;/Q&gt;&lt;R&gt;1&lt;/R&gt;&lt;C&gt;1&lt;/C&gt;&lt;D xsi:type="xsd:double"&gt;6.165266&lt;/D&gt;&lt;/FQL&gt;&lt;FQL&gt;&lt;Q&gt;EWG^FG_TOTAL_RETURNC(0,-1AM)&lt;/Q&gt;&lt;R&gt;1&lt;/R&gt;&lt;C&gt;1&lt;/C&gt;&lt;D xsi:type="xsd:double"&gt;2.2381186&lt;/D&gt;&lt;/FQL&gt;&lt;FQL&gt;&lt;Q&gt;EWG^PERCENT_CHANGE(FMA_EPS(+1,0,,,,"PORTAGG","MEAN"),FMA_EPS(+1,-3AM,,,,"PORTAGG","MEAN"))&lt;/Q&gt;&lt;R&gt;1&lt;/R&gt;&lt;C&gt;1&lt;/C&gt;&lt;D xsi:type="xsd:double"&gt;-3.12222182316567&lt;/D&gt;&lt;/FQL&gt;&lt;FQL&gt;&lt;Q&gt;EWG^PERCENT_CHANGE(FMA_EPS(+1,0,,,,"PORTAGG","MEAN"),FMA_EPS(+1,-1AM,,,,"PORTAGG","MEAN"))&lt;/Q&gt;&lt;R&gt;1&lt;/R&gt;&lt;C&gt;1&lt;/C&gt;&lt;D xsi:type="xsd:double"&gt;-2.01762479254512&lt;/D&gt;&lt;/FQL&gt;&lt;FQL&gt;&lt;Q&gt;EWG^FMA_PCT_ABOVE_MAVG(200,0,,,,"PORTAGG")&lt;/Q&gt;&lt;R&gt;1&lt;/R&gt;&lt;C&gt;1&lt;/C&gt;&lt;D xsi:type="xsd:double"&gt;64.9122807017544&lt;/D&gt;&lt;/FQL&gt;&lt;FQL&gt;&lt;Q&gt;EWC^FG_TOTAL_RETURNC(0,-12AM)&lt;/Q&gt;&lt;R&gt;1&lt;/R&gt;&lt;C&gt;1&lt;/C&gt;&lt;D xsi:type="xsd:double"&gt;31.213236&lt;/D&gt;&lt;/FQL&gt;&lt;FQL&gt;&lt;Q&gt;EWC^P_PRICE(0)/P_PRICE_LOW_PR(0,,,,,,"PRICE","INTRA","52W")-1&lt;/Q&gt;&lt;R&gt;1&lt;/R&gt;&lt;C&gt;1&lt;/C&gt;&lt;D xsi:type="xsd:double"&gt;0.31868827&lt;/D&gt;&lt;/FQL&gt;&lt;FQL&gt;&lt;Q&gt;EWC^P_PRICE(0)/P_PRICE_HIGH_PR(0,,,,,,"PRICE","INTRA","52W")&lt;/Q&gt;&lt;R&gt;1&lt;/R&gt;&lt;C&gt;1&lt;/C&gt;&lt;D xsi:type="xsd:double"&gt;0.98925245&lt;/D&gt;&lt;/FQL&gt;&lt;FQL&gt;&lt;Q&gt;EWC^FG_TOTAL_RETURNC(0,-6AM)&lt;/Q&gt;&lt;R&gt;1&lt;/R&gt;&lt;C&gt;1&lt;/C&gt;&lt;D xsi:type="xsd:double"&gt;9.4559555&lt;/D&gt;&lt;/FQL&gt;&lt;FQL&gt;&lt;Q&gt;EWC^FG_TOTAL_RETURNC(0,-3AM)&lt;/Q&gt;&lt;R&gt;1&lt;/R&gt;&lt;C&gt;1&lt;/C&gt;&lt;D xsi:type="xsd:double"&gt;9.489811&lt;/D&gt;&lt;/FQL&gt;&lt;FQL&gt;&lt;Q&gt;EWC^FG_TOTAL_RETURNC(0,-1AM)&lt;/Q&gt;&lt;R&gt;1&lt;/R&gt;&lt;C&gt;1&lt;/C&gt;&lt;D xsi:type="xsd:double"&gt;4.096496&lt;/D&gt;&lt;/FQL&gt;&lt;FQL&gt;&lt;Q&gt;EWC^PERCENT_CHANGE(FMA_EPS(+1,0,,,,"PORTAGG","MEAN"),FMA_EPS(+1,-3AM,,,,"PORTAGG","MEAN"))&lt;/Q&gt;&lt;R&gt;1&lt;/R&gt;&lt;C&gt;1&lt;/C&gt;&lt;D xsi:type="xsd:double"&gt;1.02760823918641&lt;/D&gt;&lt;/FQL&gt;&lt;FQL&gt;&lt;Q&gt;EWC^PERCENT_CHANGE(FMA_EPS(+1,0,,,,"PORTAGG","MEAN"),FMA_EPS(+1,-1AM,,,,"PORTAGG","MEAN"))&lt;/Q&gt;&lt;R&gt;1&lt;/R&gt;&lt;C&gt;1&lt;/C&gt;&lt;D xsi:type="xsd:double"&gt;-0.557934174953873&lt;/D&gt;&lt;/FQL&gt;&lt;FQL&gt;&lt;Q&gt;EWC^FMA_PCT_ABOVE_MAVG(200,0,,,,"PORTAGG")&lt;/Q&gt;&lt;R&gt;1&lt;/R&gt;&lt;C&gt;1&lt;/C&gt;&lt;D xsi:type="xsd:double"&gt;77.9069767441861&lt;/D&gt;&lt;/FQL&gt;&lt;FQL&gt;&lt;Q&gt;EWA^FG_TOTAL_RETURNC(0,-12AM)&lt;/Q&gt;&lt;R&gt;1&lt;/R&gt;&lt;C&gt;1&lt;/C&gt;&lt;D xsi:type="xsd:double"&gt;33.276917&lt;/D&gt;&lt;/FQL&gt;&lt;FQL&gt;&lt;Q&gt;EWA^P_PRICE(0)/P_PRICE_LOW_PR(0,,,,,,"PRICE","INTRA","52W")-1&lt;/Q&gt;&lt;R&gt;1&lt;/R&gt;&lt;C&gt;1&lt;/C&gt;&lt;D xsi:type="xsd:double"&gt;0.3015641&lt;/D&gt;&lt;/FQL&gt;&lt;FQL&gt;&lt;Q&gt;EWA^P_PRICE(0)/P_PRICE_HIGH_PR(0,,,,,,"PRICE","INTRA","52W")&lt;/Q&gt;&lt;R&gt;1&lt;/R&gt;&lt;C&gt;1&lt;/C&gt;&lt;D xsi:type="xsd:double"&gt;0.9779655&lt;/D&gt;&lt;/FQL&gt;&lt;FQL&gt;&lt;Q&gt;EWA^FG_TOTAL_RETURNC(0,-6AM)&lt;/Q&gt;&lt;R&gt;1&lt;/R&gt;&lt;C&gt;1&lt;/C&gt;&lt;D xsi:type="xsd:double"&gt;10.496187&lt;/D&gt;&lt;/FQL&gt;&lt;FQL&gt;&lt;Q&gt;EWA^FG_TOTAL_RETURNC(0,-3AM)&lt;/Q&gt;&lt;R&gt;1&lt;/R&gt;&lt;C&gt;1&lt;/C&gt;&lt;D xsi:type="xsd:double"&gt;7.42234&lt;/D&gt;&lt;/FQL&gt;&lt;FQL&gt;&lt;Q&gt;EWA^FG_TOTAL_RETURNC(0,-1AM)&lt;/Q&gt;&lt;R&gt;1&lt;/R&gt;&lt;C&gt;1&lt;/C&gt;&lt;D xsi:type="xsd:double"&gt;4.431367&lt;/D&gt;&lt;/FQL&gt;&lt;FQL&gt;&lt;Q&gt;EWA^PERCENT_CHANGE(FMA_EPS(+1,0,,,,"PORTAGG","MEAN"),FMA_EPS(+1,-3AM,,,,"PORTAGG","MEAN"))&lt;/Q&gt;&lt;R&gt;1&lt;/R&gt;&lt;C&gt;1&lt;/C&gt;&lt;D xsi:type="xsd:double"&gt;-0.506942072257882&lt;/D&gt;&lt;/FQL&gt;&lt;FQL&gt;&lt;Q&gt;EWA^PERCENT_CHANGE(FMA_EPS(+1,0,,,,"PORTAGG","MEAN"),FMA_EPS(+1,-1AM,,,,"PORTAGG","MEAN"))&lt;/Q&gt;&lt;R&gt;1&lt;/R&gt;&lt;C&gt;1&lt;/C&gt;&lt;D xsi:type="xsd:double"&gt;2.91341286276648&lt;/D&gt;&lt;/FQL&gt;&lt;FQL&gt;&lt;Q&gt;EWA^FMA_PCT_ABOVE_MAVG(200,0,,,,"PORTAGG")&lt;/Q&gt;&lt;R&gt;1&lt;/R&gt;&lt;C&gt;1&lt;/C&gt;&lt;D xsi:type="xsd:double"&gt;67.2413793103448&lt;/D&gt;&lt;/FQL&gt;&lt;FQL&gt;&lt;Q&gt;ENZL^FG_TOTAL_RETURNC(0,-12AM)&lt;/Q&gt;&lt;R&gt;1&lt;/R&gt;&lt;C&gt;1&lt;/C&gt;&lt;D xsi:type="xsd:double"&gt;15.889883&lt;/D&gt;&lt;/FQL&gt;&lt;FQL&gt;&lt;Q&gt;ENZL^P_PRICE(0)/P_PRICE_LOW_PR(0,,,,,,"PRICE","INTRA","52W")-1&lt;/Q&gt;&lt;R&gt;1&lt;/R&gt;&lt;C&gt;1&lt;/C&gt;&lt;D xsi:type="xsd:double"&gt;0.1925391&lt;/D&gt;&lt;/FQL&gt;&lt;FQL&gt;&lt;Q&gt;ENZL^P_PRICE(0)/P_PRICE_HIGH_PR(0,,,,,,"PRICE","INTRA","52W")&lt;/Q&gt;&lt;R&gt;1&lt;/R&gt;&lt;C&gt;1&lt;/C&gt;&lt;D xsi:type="xsd:double"&gt;0.9706408&lt;/D&gt;&lt;/FQL&gt;&lt;FQL&gt;&lt;Q&gt;ENZL^FG_TOTAL_RETURNC(0,-6AM)&lt;/Q&gt;&lt;R&gt;1&lt;/R&gt;&lt;C&gt;1&lt;/C&gt;&lt;D xsi:type="xsd:double"&gt;8.481705&lt;/D&gt;&lt;/FQL&gt;&lt;FQL&gt;&lt;Q&gt;ENZL^FG_TOTAL_RETURNC(0,-3AM)&lt;/Q&gt;&lt;R&gt;1&lt;/R&gt;&lt;C&gt;1&lt;/C&gt;&lt;D xsi:type="xsd:double"&gt;7.4204206&lt;/D&gt;&lt;/FQL&gt;&lt;FQL&gt;&lt;Q&gt;ENZL^FG_TOTAL_RETURNC(0,-1AM)&lt;/Q&gt;&lt;R&gt;1&lt;/R&gt;&lt;C&gt;1&lt;/C&gt;&lt;D xsi:type="xsd:double"&gt;0.3898263&lt;/D&gt;&lt;/FQL&gt;&lt;FQL&gt;&lt;Q&gt;ENZL^PERCENT_CHANGE(FMA_EPS(+1,0,,,,"PORTAGG","MEAN"),FMA_EPS(+1,-3AM,,,,"PORTAGG","MEAN"))&lt;/Q&gt;&lt;R&gt;1&lt;/R&gt;&lt;C&gt;1&lt;/C&gt;&lt;D xsi:type="xsd:double"&gt;11.5758505975009&lt;/D&gt;&lt;/FQL&gt;&lt;FQL&gt;&lt;Q&gt;ENZL^PERCENT_CHANGE(FMA_EPS(+1,0,,,,"PORTAGG","MEAN"),FMA_EPS(+1,-1AM,,,,"PORTAGG","MEAN"))&lt;/Q&gt;&lt;R&gt;1&lt;/R&gt;&lt;C&gt;1&lt;/C&gt;&lt;D xsi:type="xsd:double"&gt;8.74948866701559&lt;/D&gt;&lt;/FQL&gt;&lt;FQL&gt;&lt;Q&gt;ENZL^FMA_PCT_ABOVE_MAVG(200,0,,,,"PORTAGG")&lt;/Q&gt;&lt;R&gt;1&lt;/R&gt;&lt;C&gt;1&lt;/C&gt;&lt;D xsi:type="xsd:double"&gt;42.3076923076923&lt;/D&gt;&lt;/FQL&gt;&lt;FQL&gt;&lt;Q&gt;FXI^SIZE(FG_CONSTITUENTS)&lt;/Q&gt;&lt;R&gt;1&lt;/R&gt;&lt;C&gt;1&lt;/C&gt;&lt;D xsi:type="xsd:long"&gt;53&lt;/D&gt;&lt;/FQL&gt;&lt;FQL&gt;&lt;Q&gt;FXI^FMA_COS_DOWN("EPS","1M",+1,0,,,"PORTAGG","MEANR")&lt;/Q&gt;&lt;R&gt;1&lt;/R&gt;&lt;C&gt;1&lt;/C&gt;&lt;D xsi:type="xsd:double"&gt;19&lt;/D&gt;&lt;/FQL&gt;&lt;FQL&gt;&lt;Q&gt;FXI^FMA_COS_UP("EPS","1M",+1,0,,,"PORTAGG","MEANR")&lt;/Q&gt;&lt;R&gt;1&lt;/R&gt;&lt;C&gt;1&lt;/C&gt;&lt;D xsi:type="xsd:double"&gt;24&lt;/D&gt;&lt;/FQL&gt;&lt;FQL&gt;&lt;Q&gt;SPY^SIZE(FG_CONSTITUENTS)&lt;/Q&gt;&lt;R&gt;1&lt;/R&gt;&lt;C&gt;1&lt;/C&gt;&lt;D xsi:type="xsd:long"&gt;503&lt;/D&gt;&lt;/FQL&gt;&lt;FQL&gt;&lt;Q&gt;SPY^FMA_COS_DOWN("EPS","1M",+1,0,,,"PORTAGG","MEANR")&lt;/Q&gt;&lt;R&gt;1&lt;/R&gt;&lt;C&gt;1&lt;/C&gt;&lt;D xsi:type="xsd:double"&gt;163&lt;/D&gt;&lt;/FQL&gt;&lt;FQL&gt;&lt;Q&gt;SPY^FMA_COS_UP("EPS","1M",+1,0,,,"PORTAGG","MEANR")&lt;/Q&gt;&lt;R&gt;1&lt;/R&gt;&lt;C&gt;1&lt;/C&gt;&lt;D xsi:type="xsd:double"&gt;148&lt;/D&gt;&lt;/FQL&gt;&lt;FQL&gt;&lt;Q&gt;EWJ^SIZE(FG_CONSTITUENTS)&lt;/Q&gt;&lt;R&gt;1&lt;/R&gt;&lt;C&gt;1&lt;/C&gt;&lt;D xsi:type="xsd:long"&gt;199&lt;/D&gt;&lt;/FQL&gt;&lt;FQL&gt;&lt;Q&gt;EWJ^FMA_COS_DOWN("EPS","1M",+1,0,,,"PORTAGG","MEANR")&lt;/Q&gt;&lt;R&gt;1&lt;/R&gt;&lt;C&gt;1&lt;/C&gt;&lt;D xsi:type="xsd:double"&gt;77&lt;/D&gt;&lt;/FQL&gt;&lt;FQL&gt;&lt;Q&gt;EWJ^FMA_COS_UP("EPS","1M",+1,0,,,"PORTAGG","MEANR")&lt;/Q&gt;&lt;R&gt;1&lt;/R&gt;&lt;C&gt;1&lt;/C&gt;&lt;D xsi:type="xsd:double"&gt;85&lt;/D&gt;&lt;/FQL&gt;&lt;FQL&gt;&lt;Q&gt;URTH^SIZE(FG_CONSTITUENTS)&lt;/Q&gt;&lt;R&gt;1&lt;/R&gt;&lt;C&gt;1&lt;/C&gt;&lt;D xsi:type="xsd:long"&gt;1414&lt;/D&gt;&lt;/FQL&gt;&lt;FQL&gt;&lt;Q&gt;URTH^FMA_COS_DOWN("EPS","1M",+1,0,,,"PORTAGG","MEANR")&lt;/Q&gt;&lt;R&gt;1&lt;/R&gt;&lt;C&gt;1&lt;/C&gt;&lt;D xsi:type="xsd:double"&gt;544&lt;/D&gt;&lt;/FQL&gt;&lt;FQL&gt;&lt;Q&gt;URTH^FMA_COS_UP("EPS","1M",+1,0,,,"PORTAGG","MEANR")&lt;/Q&gt;&lt;R&gt;1&lt;/R&gt;&lt;C&gt;1&lt;/C&gt;&lt;D xsi:type="xsd:double"&gt;430&lt;/D&gt;&lt;/FQL&gt;&lt;FQL&gt;&lt;Q&gt;VWO^SIZE(FG_CONSTITUENTS)&lt;/Q&gt;&lt;R&gt;1&lt;/R&gt;&lt;C&gt;1&lt;/C&gt;&lt;D xsi:type="xsd:long"&gt;4847&lt;/D&gt;&lt;/FQL&gt;&lt;FQL&gt;&lt;Q&gt;VWO^FMA_COS_DOWN("EPS","1M",+1,0,,,"PORTAGG","MEANR")&lt;/Q&gt;&lt;R&gt;1&lt;/R&gt;&lt;C&gt;1&lt;/C&gt;&lt;D xsi:type="xsd:double"&gt;1672&lt;/D&gt;&lt;/FQL&gt;&lt;FQL&gt;&lt;Q&gt;VWO^FMA_COS_UP("EPS","1M",+1,0,,,"PORTAGG","MEANR")&lt;/Q&gt;&lt;R&gt;1&lt;/R&gt;&lt;C&gt;1&lt;/C&gt;&lt;D xsi:type="xsd:double"&gt;1023&lt;/D&gt;&lt;/FQL&gt;&lt;FQL&gt;&lt;Q&gt;VGK^SIZE(FG_CONSTITUENTS)&lt;/Q&gt;&lt;R&gt;1&lt;/R&gt;&lt;C&gt;1&lt;/C&gt;&lt;D xsi:type="xsd:long"&gt;1284&lt;/D&gt;&lt;/FQL&gt;&lt;FQL&gt;&lt;Q&gt;VGK^FMA_COS_DOWN("EPS","1M",+1,0,,,"PORTAGG","MEANR")&lt;/Q&gt;&lt;R&gt;1&lt;/R&gt;&lt;C&gt;1&lt;/C&gt;&lt;D xsi:type="xsd:double"&gt;600&lt;/D&gt;&lt;/FQL&gt;&lt;FQL&gt;&lt;Q&gt;VGK^FMA_COS_UP("EPS","1M",+1,0,,,"PORTAGG","MEANR")&lt;/Q&gt;&lt;R&gt;1&lt;/R&gt;&lt;C&gt;1&lt;/C&gt;&lt;D xsi:type="xsd:double"&gt;427&lt;/D&gt;&lt;/FQL&gt;&lt;FQL&gt;&lt;Q&gt;EWI^SIZE(FG_CONSTITUENTS)&lt;/Q&gt;&lt;R&gt;1&lt;/R&gt;&lt;C&gt;1&lt;/C&gt;&lt;D xsi:type="xsd:long"&gt;26&lt;/D&gt;&lt;/FQL&gt;&lt;FQL&gt;&lt;Q&gt;EWI^FMA_COS_DOWN("EPS","1M",+1,0,,,"PORTAGG","MEANR")&lt;/Q&gt;&lt;R&gt;1&lt;/R&gt;&lt;C&gt;1&lt;/C&gt;&lt;D xsi:type="xsd:double"&gt;9&lt;/D&gt;&lt;/FQL&gt;&lt;FQL&gt;&lt;Q&gt;EWI^FMA_COS_UP("EPS","1M",+1,0,,,"PORTAGG","MEANR")&lt;/Q&gt;&lt;R&gt;1&lt;/R&gt;&lt;C&gt;1&lt;/C&gt;&lt;D xsi:type="xsd:double"&gt;7&lt;/D&gt;&lt;/FQL&gt;&lt;FQL&gt;&lt;Q&gt;EWD^SIZE(FG_CONSTITUENTS)&lt;/Q&gt;&lt;R&gt;1&lt;/R&gt;&lt;C&gt;1&lt;/C&gt;&lt;D xsi:type="xsd:long"&gt;46&lt;/D&gt;&lt;/FQL&gt;&lt;FQL&gt;&lt;Q&gt;EWD^FMA_COS_DOWN("EPS","1M",+1,0,,,"PORTAGG","MEANR")&lt;/Q&gt;&lt;R&gt;1&lt;/R&gt;&lt;C&gt;1&lt;/C&gt;&lt;D xsi:type="xsd:double"&gt;21&lt;/D&gt;&lt;/FQL&gt;&lt;FQL&gt;&lt;Q&gt;EWD^FMA_COS_UP("EPS","1M",+1,0,,,"PORTAGG","MEANR")&lt;/Q&gt;&lt;R&gt;1&lt;/R&gt;&lt;C&gt;1&lt;/C&gt;&lt;D xsi:type="xsd:double"&gt;6&lt;/D&gt;&lt;/FQL&gt;&lt;FQL&gt;&lt;Q&gt;EWN^SIZE(FG_CONSTITUENTS)&lt;/Q&gt;&lt;R&gt;1&lt;/R&gt;&lt;C&gt;1&lt;/C&gt;&lt;D xsi:type="xsd:long"&gt;55&lt;/D&gt;&lt;/FQL&gt;&lt;FQL&gt;&lt;Q&gt;EWN^FMA_COS_DOWN("EPS","1M",+1,0,,,"PORTAGG","MEANR")&lt;/Q&gt;&lt;R&gt;1&lt;/R&gt;&lt;C&gt;1&lt;/C&gt;&lt;D xsi:type="xsd:double"&gt;21&lt;/D&gt;&lt;/FQL&gt;&lt;FQL&gt;&lt;Q&gt;EWN^FMA_COS_UP("EPS","1M",+1,0,,,"PORTAGG","MEANR")&lt;/Q&gt;&lt;R&gt;1&lt;/R&gt;&lt;C&gt;1&lt;/C&gt;&lt;D xsi:type="xsd:double"&gt;21&lt;/D&gt;&lt;/FQL&gt;&lt;FQL&gt;&lt;Q&gt;EWQ^SIZE(FG_CONSTITUENTS)&lt;/Q&gt;&lt;R&gt;1&lt;/R&gt;&lt;C&gt;1&lt;/C&gt;&lt;D xsi:type="xsd:long"&gt;61&lt;/D&gt;&lt;/FQL&gt;&lt;FQL&gt;&lt;Q&gt;EWQ^FMA_COS_DOWN("EPS","1M",+1,0,,,"PORTAGG","MEANR")&lt;/Q&gt;&lt;R&gt;1&lt;/R&gt;&lt;C&gt;1&lt;/C&gt;&lt;D xsi:type="xsd:double"&gt;29&lt;/D&gt;&lt;/FQL&gt;&lt;FQL&gt;&lt;Q&gt;EWQ^FMA_COS_UP("EPS","1M",+1,0,,,"PORTAGG","MEANR")&lt;/Q&gt;&lt;R&gt;1&lt;/R&gt;&lt;C&gt;1&lt;/C&gt;&lt;D xsi:type="xsd:double"&gt;15&lt;/D&gt;&lt;/FQL&gt;&lt;FQL&gt;&lt;Q&gt;QQQ^SIZE(FG_CONSTITUENTS)&lt;/Q&gt;&lt;R&gt;1&lt;/R&gt;&lt;C&gt;1&lt;/C&gt;&lt;D xsi:type="xsd:long"&gt;102&lt;/D&gt;&lt;/FQL&gt;&lt;FQL&gt;&lt;Q&gt;QQQ^FMA_COS_DOWN("EPS","1M",+1,0,,,"PORTAGG","MEANR")&lt;/Q&gt;&lt;R&gt;1&lt;/R&gt;&lt;C&gt;1&lt;/C&gt;&lt;D xsi:type="xsd:double"&gt;26&lt;/D&gt;&lt;/FQL&gt;&lt;FQL&gt;&lt;Q&gt;QQQ^FMA_COS_UP("EPS","1M",+1,0,,,"PORTAGG","MEANR")&lt;/Q&gt;&lt;R&gt;1&lt;/R&gt;&lt;C&gt;1&lt;/C&gt;&lt;D xsi:type="xsd:double"&gt;34&lt;/D&gt;&lt;/FQL&gt;&lt;FQL&gt;&lt;Q&gt;EWU^SIZE(FG_CONSTITUENTS)&lt;/Q&gt;&lt;R&gt;1&lt;/R&gt;&lt;C&gt;1&lt;/C&gt;&lt;D xsi:type="xsd:long"&gt;79&lt;/D&gt;&lt;/FQL&gt;&lt;FQL&gt;&lt;Q&gt;EWU^FMA_COS_DOWN("EPS","1M",+1,0,,,"PORTAGG","MEANR")&lt;/Q&gt;&lt;R&gt;1&lt;/R&gt;&lt;C&gt;1&lt;/C&gt;&lt;D xsi:type="xsd:double"&gt;36&lt;/D&gt;&lt;/FQL&gt;&lt;FQL&gt;&lt;Q&gt;EWU^FMA_COS_UP("EPS","1M",+1,0,,,"PORTAGG","MEANR")&lt;/Q&gt;&lt;R&gt;1&lt;/R&gt;&lt;C&gt;1&lt;/C&gt;&lt;D xsi:type="xsd:double"&gt;30&lt;/D&gt;&lt;/FQL&gt;&lt;FQL&gt;&lt;Q&gt;EWL^SIZE(FG_CONSTITUENTS)&lt;/Q&gt;&lt;R&gt;1&lt;/R&gt;&lt;C&gt;1&lt;/C&gt;&lt;D xsi:type="xsd:long"&gt;47&lt;/D&gt;&lt;/FQL&gt;&lt;FQL&gt;&lt;Q&gt;EWL^FMA_COS_DOWN("EPS","1M",+1,0,,,"PORTAGG","MEANR")&lt;/Q&gt;&lt;R&gt;1&lt;/R&gt;&lt;C&gt;1&lt;/C&gt;&lt;D xsi:type="xsd:double"&gt;28&lt;/D&gt;&lt;/FQL&gt;&lt;FQL&gt;&lt;Q&gt;EWL^FMA_COS_UP("EPS","1M",+1,0,,,"PORTAGG","MEANR")&lt;/Q&gt;&lt;R&gt;1&lt;/R&gt;&lt;C&gt;1&lt;/C&gt;&lt;D xsi:type="xsd:double"&gt;14&lt;/D&gt;&lt;/FQL&gt;&lt;FQL&gt;&lt;Q&gt;EWG^SIZE(FG_CONSTITUENTS)&lt;/Q&gt;&lt;R&gt;1&lt;/R&gt;&lt;C&gt;1&lt;/C&gt;&lt;D xsi:type="xsd:long"&gt;57&lt;/D&gt;&lt;/FQL&gt;&lt;FQL&gt;&lt;Q&gt;EWG^FMA_COS_DOWN("EPS","1M",+1,0,,,"PORTAGG","MEANR")&lt;/Q&gt;&lt;R&gt;1&lt;/R&gt;&lt;C&gt;1&lt;/C&gt;&lt;D xsi:type="xsd:double"&gt;29&lt;/D&gt;&lt;/FQL&gt;&lt;FQL&gt;&lt;Q&gt;EWG^FMA_COS_UP("EPS","1M",+1,0,,,"PORTAGG","MEANR")&lt;/Q&gt;&lt;R&gt;1&lt;/R&gt;&lt;C&gt;1&lt;/C&gt;&lt;D xsi:type="xsd:double"&gt;18&lt;/D&gt;&lt;/FQL&gt;&lt;FQL&gt;&lt;Q&gt;EWC^SIZE(FG_CONSTITUENTS)&lt;/Q&gt;&lt;R&gt;1&lt;/R&gt;&lt;C&gt;1&lt;/C&gt;&lt;D xsi:type="xsd:long"&gt;87&lt;/D&gt;&lt;/FQL&gt;&lt;FQL&gt;&lt;Q&gt;EWC^FMA_COS_DOWN("EPS","1M",+1,0,,,"PORTAGG","MEANR")&lt;/Q&gt;&lt;R&gt;1&lt;/R&gt;&lt;C&gt;1&lt;/C&gt;&lt;D xsi:type="xsd:double"&gt;44&lt;/D&gt;&lt;/FQL&gt;&lt;FQL&gt;&lt;Q&gt;EWC^FMA_COS_UP("EPS","1M",+1,0,,,"PORTAGG","MEANR")&lt;/Q&gt;&lt;R&gt;1&lt;/R&gt;&lt;C&gt;1&lt;/C&gt;&lt;D xsi:type="xsd:double"&gt;8&lt;/D&gt;&lt;/FQL&gt;&lt;FQL&gt;&lt;Q&gt;EWA^SIZE(FG_CONSTITUENTS)&lt;/Q&gt;&lt;R&gt;1&lt;/R&gt;&lt;C&gt;1&lt;/C&gt;&lt;D xsi:type="xsd:long"&gt;59&lt;/D&gt;&lt;/FQL&gt;&lt;FQL&gt;&lt;Q&gt;EWA^FMA_COS_DOWN("EPS","1M",+1,0,,,"PORTAGG","MEANR")&lt;/Q&gt;&lt;R&gt;1&lt;/R&gt;&lt;C&gt;1&lt;/C&gt;&lt;D xsi:type="xsd:double"&gt;18&lt;/D&gt;&lt;/FQL&gt;&lt;FQL&gt;&lt;Q&gt;EWA^FMA_COS_UP("EPS","1M",+1,0,,,"PORTAGG","MEANR")&lt;/Q&gt;&lt;R&gt;1&lt;/R&gt;&lt;C&gt;1&lt;/C&gt;&lt;D xsi:type="xsd:double"&gt;19&lt;/D&gt;&lt;/FQL&gt;&lt;FQL&gt;&lt;Q&gt;ENZL^SIZE(FG_CONSTITUENTS)&lt;/Q&gt;&lt;R&gt;1&lt;/R&gt;&lt;C&gt;1&lt;/C&gt;&lt;D xsi:type="xsd:long"&gt;27&lt;/D&gt;&lt;/FQL&gt;&lt;FQL&gt;&lt;Q&gt;ENZL^FMA_COS_DOWN("EPS","1M",+1,0,,,"PORTAGG","MEANR")&lt;/Q&gt;&lt;R&gt;1&lt;/R&gt;&lt;C&gt;1&lt;/C&gt;&lt;D xsi:type="xsd:double"&gt;9&lt;/D&gt;&lt;/FQL&gt;&lt;FQL&gt;&lt;Q&gt;ENZL^FMA_COS_UP("EPS","1M",+1,0,,,"PORTAGG","MEANR")&lt;/Q&gt;&lt;R&gt;1&lt;/R&gt;&lt;C&gt;1&lt;/C&gt;&lt;D xsi:type="xsd:double"&gt;7&lt;/D&gt;&lt;/FQL&gt;&lt;FQL&gt;&lt;Q&gt;EWI^FMA_RBICS_REV_CURRENT(30, LOC, "PORTAGG")&lt;/Q&gt;&lt;R&gt;1&lt;/R&gt;&lt;C&gt;1&lt;/C&gt;&lt;D xsi:type="xsd:double"&gt;39.9503615126749&lt;/D&gt;&lt;/FQL&gt;&lt;FQL&gt;&lt;Q&gt;EWD^FMA_RBICS_REV_CURRENT(30, LOC, "PORTAGG")&lt;/Q&gt;&lt;R&gt;1&lt;/R&gt;&lt;C&gt;1&lt;/C&gt;&lt;D xsi:type="xsd:double"&gt;26.7323231015912&lt;/D&gt;&lt;/FQL&gt;&lt;FQL&gt;&lt;Q&gt;EWN^FMA_RBICS_REV_CURRENT(30, LOC, "PORTAGG")&lt;/Q&gt;&lt;R&gt;1&lt;/R&gt;&lt;C&gt;1&lt;/C&gt;&lt;D xsi:type="xsd:double"&gt;26.680073368061&lt;/D&gt;&lt;/FQL&gt;&lt;FQL&gt;&lt;Q&gt;EWQ^FMA_RBICS_REV_CURRENT(30, LOC, "PORTAGG")&lt;/Q&gt;&lt;R&gt;1&lt;/R&gt;&lt;C&gt;1&lt;/C&gt;&lt;D xsi:type="xsd:double"&gt;11.5124215499027&lt;/D&gt;&lt;/FQL&gt;&lt;FQL&gt;&lt;Q&gt;SPY^FMA_RBICS_REV_CURRENT(30, LOC, "PORTAGG")&lt;/Q&gt;&lt;R&gt;1&lt;/R&gt;&lt;C&gt;1&lt;/C&gt;&lt;D xsi:type="xsd:double"&gt;12.4668204376818&lt;/D&gt;&lt;/FQL&gt;&lt;FQL&gt;&lt;Q&gt;QQQ^FMA_RBICS_REV_CURRENT(30, LOC, "PORTAGG")&lt;/Q&gt;&lt;R&gt;1&lt;/R&gt;&lt;C&gt;1&lt;/C&gt;&lt;D xsi:type="xsd:double"&gt;0.944515959592099&lt;/D&gt;&lt;/FQL&gt;&lt;FQL&gt;&lt;Q&gt;EWU^FMA_RBICS_REV_CURRENT(30, LOC, "PORTAGG")&lt;/Q&gt;&lt;R&gt;1&lt;/R&gt;&lt;C&gt;1&lt;/C&gt;&lt;D xsi:type="xsd:double"&gt;19.9116441469539&lt;/D&gt;&lt;/FQL&gt;&lt;FQL&gt;&lt;Q&gt;EWL^FMA_RBICS_REV_CURRENT(30, LOC, "PORTAGG")&lt;/Q&gt;&lt;R&gt;1&lt;/R&gt;&lt;C&gt;1&lt;/C&gt;&lt;D xsi:type="xsd:double"&gt;18.3792371327833&lt;/D&gt;&lt;/FQL&gt;&lt;FQL&gt;&lt;Q&gt;EWJ^FMA_RBICS_REV_CURRENT(30, LOC, "PORTAGG")&lt;/Q&gt;&lt;R&gt;1&lt;/R&gt;&lt;C&gt;1&lt;/C&gt;&lt;D xsi:type="xsd:double"&gt;18.3724530578501&lt;/D&gt;&lt;/FQL&gt;&lt;FQL&gt;&lt;Q&gt;EWG^FMA_RBICS_REV_CURRENT(30, LOC, "PORTAGG")&lt;/Q&gt;&lt;R&gt;1&lt;/R&gt;&lt;C&gt;1&lt;/C&gt;&lt;D xsi:type="xsd:double"&gt;23.5276247083657&lt;/D&gt;&lt;/FQL&gt;&lt;FQL&gt;&lt;Q&gt;EWC^FMA_RBICS_REV_CURRENT(30, LOC, "PORTAGG")&lt;/Q&gt;&lt;R&gt;1&lt;/R&gt;&lt;C&gt;1&lt;/C&gt;&lt;D xsi:type="xsd:double"&gt;42.3593959954102&lt;/D&gt;&lt;/FQL&gt;&lt;FQL&gt;&lt;Q&gt;EWA^FMA_RBICS_REV_CURRENT(30, LOC, "PORTAGG")&lt;/Q&gt;&lt;R&gt;1&lt;/R&gt;&lt;C&gt;1&lt;/C&gt;&lt;D xsi:type="xsd:double"&gt;43.296210954324&lt;/D&gt;&lt;/FQL&gt;&lt;FQL&gt;&lt;Q&gt;ENZL^FMA_RBICS_REV_CURRENT(30, LOC, "PORTAGG")&lt;/Q&gt;&lt;R&gt;1&lt;/R&gt;&lt;C&gt;1&lt;/C&gt;&lt;D xsi:type="xsd:double"&gt;25.6286998493894&lt;/D&gt;&lt;/FQL&gt;&lt;FQL&gt;&lt;Q&gt;EWI^FG_ROE(0)&lt;/Q&gt;&lt;R&gt;1&lt;/R&gt;&lt;C&gt;1&lt;/C&gt;&lt;D xsi:type="xsd:double"&gt;13.3649531035831&lt;/D&gt;&lt;/FQL&gt;&lt;FQL&gt;&lt;Q&gt;EWD^FG_ROE(0)&lt;/Q&gt;&lt;R&gt;1&lt;/R&gt;&lt;C&gt;1&lt;/C&gt;&lt;D xsi:type="xsd:double"&gt;16.9957752024726&lt;/D&gt;&lt;/FQL&gt;&lt;FQL&gt;&lt;Q&gt;EWN^FG_ROE(0)&lt;/Q&gt;&lt;R&gt;1&lt;/R&gt;&lt;C&gt;1&lt;/C&gt;&lt;D xsi:type="xsd:double"&gt;11.0108325036414&lt;/D&gt;&lt;/FQL&gt;&lt;FQL&gt;&lt;Q&gt;EWQ^FG_ROE(0)&lt;/Q&gt;&lt;R&gt;1&lt;/R&gt;&lt;C&gt;1&lt;/C&gt;&lt;D xsi:type="xsd:double"&gt;12.1334530908553&lt;/D&gt;&lt;/FQL&gt;&lt;FQL&gt;&lt;Q&gt;SPY^FG_ROE(0)&lt;/Q&gt;&lt;R&gt;1&lt;/R&gt;&lt;C&gt;1&lt;/C&gt;&lt;D xsi:type="xsd:double"&gt;18.6236292712097&lt;/D&gt;&lt;/FQL&gt;&lt;FQL&gt;&lt;Q&gt;QQQ^FG_ROE(0)&lt;/Q&gt;&lt;R&gt;1&lt;/R&gt;&lt;C&gt;1&lt;/C&gt;&lt;D xsi:type="xsd:double"&gt;22.2797836547382&lt;/D&gt;&lt;/FQL&gt;&lt;FQL&gt;&lt;Q&gt;EWU^FG_ROE(0)&lt;/Q&gt;&lt;R&gt;1&lt;/R&gt;&lt;C&gt;1&lt;/C&gt;&lt;D xsi:type="xsd:double"&gt;13.8460968694687&lt;/D&gt;&lt;/FQL&gt;&lt;FQL&gt;&lt;Q&gt;EWL^FG_ROE(0)&lt;/Q&gt;&lt;R&gt;1&lt;/R&gt;&lt;C&gt;1&lt;/C&gt;&lt;D xsi:type="xsd:double"&gt;18.6849419085777&lt;/D&gt;&lt;/FQL&gt;&lt;FQL&gt;&lt;Q&gt;EWJ^FG_ROE(0)&lt;/Q&gt;&lt;R&gt;1&lt;/R&gt;&lt;C&gt;1&lt;/C&gt;&lt;D xsi:type="xsd:double"&gt;8.70085219505394&lt;/D&gt;&lt;/FQL&gt;&lt;FQL&gt;&lt;Q&gt;EWG^FG_ROE(0)&lt;/Q&gt;&lt;R&gt;1&lt;/R&gt;&lt;C&gt;1&lt;/C&gt;&lt;D xsi:type="xsd:double"&gt;10.8267163545814&lt;/D&gt;&lt;/FQL&gt;&lt;FQL&gt;&lt;Q&gt;EWC^FG_ROE(0)&lt;/Q&gt;&lt;R&gt;1&lt;/R&gt;&lt;C&gt;1&lt;/C&gt;&lt;D xsi:type="xsd:double"&gt;10.7759993981547&lt;/D&gt;&lt;/FQL&gt;&lt;FQL&gt;&lt;Q&gt;EWA^FG_ROE(0)&lt;/Q&gt;&lt;R&gt;1&lt;/R&gt;&lt;C&gt;1&lt;/C&gt;&lt;D xsi:type="xsd:double"&gt;13.1396648283051&lt;/D&gt;&lt;/FQL&gt;&lt;FQL&gt;&lt;Q&gt;ENZL^FG_ROE(0)&lt;/Q&gt;&lt;R&gt;1&lt;/R&gt;&lt;C&gt;1&lt;/C&gt;&lt;D xsi:type="xsd:double"&gt;3.42466056544476&lt;/D&gt;&lt;/FQL&gt;&lt;FQL&gt;&lt;Q&gt;TRYIT10Y-FDS^FG_YIELD_NAME&lt;/Q&gt;&lt;R&gt;1&lt;/R&gt;&lt;C&gt;1&lt;/C&gt;&lt;D xsi:type="xsd:string"&gt;Italy Benchmark Bond - 10 Year&lt;/D&gt;&lt;/FQL&gt;&lt;FQL&gt;&lt;Q&gt;TRYSE10Y-FDS^FG_YIELD_NAME&lt;/Q&gt;&lt;R&gt;1&lt;/R&gt;&lt;C&gt;1&lt;/C&gt;&lt;D xsi:type="xsd:string"&gt;Sweden Benchmark Bond - 10 Year&lt;/D&gt;&lt;/FQL&gt;&lt;FQL&gt;&lt;Q&gt;TRYNL10Y-FDS^FG_YIELD_NAME&lt;/Q&gt;&lt;R&gt;1&lt;/R&gt;&lt;C&gt;1&lt;/C&gt;&lt;D xsi:type="xsd:string"&gt;Netherlands Benchmark Bond - 10 Year&lt;/D&gt;&lt;/FQL&gt;&lt;FQL&gt;&lt;Q&gt;TRYFR10Y-FDS^FG_YIELD_NAME&lt;/Q&gt;&lt;R&gt;1&lt;/R&gt;&lt;C&gt;1&lt;/C&gt;&lt;D xsi:type="xsd:string"&gt;France Benchmark Bond - 10 Year&lt;/D&gt;&lt;/FQL&gt;&lt;FQL&gt;&lt;Q&gt;TRYUS10Y-FDS^FG_YIELD_NAME&lt;/Q&gt;&lt;R&gt;1&lt;/R&gt;&lt;C&gt;1&lt;/C&gt;&lt;D xsi:type="xsd:string"&gt;US Benchmark Bond - 10 Year&lt;/D&gt;&lt;/FQL&gt;&lt;FQL&gt;&lt;Q&gt;TRYGB10Y-FDS^FG_YIELD_NAME&lt;/Q&gt;&lt;R&gt;1&lt;/R&gt;&lt;C&gt;1&lt;/C&gt;&lt;D xsi:type="xsd:string"&gt;United Kingdom Benchmark Bond - 10 Year&lt;/D&gt;&lt;/FQL&gt;&lt;FQL&gt;&lt;Q&gt;TRYCH10Y-FDS^FG_YIELD_NAME&lt;/Q&gt;&lt;R&gt;1&lt;/R&gt;&lt;C&gt;1&lt;/C&gt;&lt;D xsi:type="xsd:string"&gt;Treasury - Switzerland Benchmark Bond 10Y&lt;/D&gt;&lt;/FQL&gt;&lt;FQL&gt;&lt;Q&gt;TRYJP10Y-FDS^FG_YIELD_NAME&lt;/Q&gt;&lt;R&gt;1&lt;/R&gt;&lt;C&gt;1&lt;/C&gt;&lt;D xsi:type="xsd:string"&gt;Japan Benchmark Bond - 10 Year&lt;/D&gt;&lt;/FQL&gt;&lt;FQL&gt;&lt;Q&gt;TRYDE10Y-FDS^FG_YIELD_NAME&lt;/Q&gt;&lt;R&gt;1&lt;/R&gt;&lt;C&gt;1&lt;/C&gt;&lt;D xsi:type="xsd:string"&gt;Germany Benchmark Bond - 10 Year&lt;/D&gt;&lt;/FQL&gt;&lt;FQL&gt;&lt;Q&gt;TRYCA10Y-FDS^FG_YIELD_NAME&lt;/Q&gt;&lt;R&gt;1&lt;/R&gt;&lt;C&gt;1&lt;/C&gt;&lt;D xsi:type="xsd:string"&gt;Canada Benchmark Bond - 10 Year&lt;/D&gt;&lt;/FQL&gt;&lt;FQL&gt;&lt;Q&gt;TRYAU10Y-FDS^FG_YIELD_NAME&lt;/Q&gt;&lt;R&gt;1&lt;/R&gt;&lt;C&gt;1&lt;/C&gt;&lt;D xsi:type="xsd:string"&gt;Australia Benchmark Bond - 10 Year&lt;/D&gt;&lt;/FQL&gt;&lt;FQL&gt;&lt;Q&gt;TRYNZ10Y-FDS^FG_YIELD_NAME&lt;/Q&gt;&lt;R&gt;1&lt;/R&gt;&lt;C&gt;1&lt;/C&gt;&lt;D xsi:type="xsd:string"&gt;New Zealand Benchmark Bond - 10 Year&lt;/D&gt;&lt;/FQL&gt;&lt;FQL&gt;&lt;Q&gt;REFEUREFI-FDS^(SUBARRAY(NOT_NA(NO_REPEAT_F(FG_YIELD(NOW,-10AY,D))),0,1)-SUBARRAY(NOT_NA(NO_REPEAT_F(FG_YIELD(NOW,-10AY,D))),1,1))*100&lt;/Q&gt;&lt;R&gt;1&lt;/R&gt;&lt;C&gt;1&lt;/C&gt;&lt;D xsi:type="xsd:double"&gt;-60&lt;/D&gt;&lt;/FQL&gt;&lt;FQL&gt;&lt;Q&gt;REFEUREFI-FDS^FG_YIELD(NOW,,,0)&lt;/Q&gt;&lt;R&gt;1&lt;/R&gt;&lt;C&gt;1&lt;/C&gt;&lt;D xsi:type="xsd:double"&gt;3.65&lt;/D&gt;&lt;/FQL&gt;&lt;FQL&gt;&lt;Q&gt;REFEUREFI-FDS^PROPER_NAME(0,,,"SECURITY","NAME")&lt;/Q&gt;&lt;R&gt;1&lt;/R&gt;&lt;C&gt;1&lt;/C&gt;&lt;D xsi:type="xsd:string"&gt;Eurozone Main Refinancing Operations Minimum Bid Rate&lt;/D&gt;&lt;/FQL&gt;&lt;FQL&gt;&lt;Q&gt;REFSEREPO-FDS^(SUBARRAY(NOT_NA(NO_REPEAT_F(FG_YIELD(NOW,-10AY,D))),0,1)-SUBARRAY(NOT_NA(NO_REPEAT_F(FG_YIELD(NOW,-10AY,D))),1,1))*100&lt;/Q&gt;&lt;R&gt;1&lt;/R&gt;&lt;C&gt;1&lt;/C&gt;&lt;D xsi:type="xsd:double"&gt;-25&lt;/D&gt;&lt;/FQL&gt;&lt;FQL&gt;&lt;Q&gt;REFSEREPO-FDS^FG_YIELD(NOW,,,0)&lt;/Q&gt;&lt;R&gt;1&lt;/R&gt;&lt;C&gt;1&lt;/C&gt;&lt;D xsi:type="xsd:double"&gt;3.25&lt;/D&gt;&lt;/FQL&gt;&lt;FQL&gt;&lt;Q&gt;REFSEREPO-FDS^PROPER_NAME(0,,,"SECURITY","NAME")&lt;/Q&gt;&lt;R&gt;1&lt;/R&gt;&lt;C&gt;1&lt;/C&gt;&lt;D xsi:type="xsd:string"&gt;Sweden Repo Rate&lt;/D&gt;&lt;/FQL&gt;&lt;FQL&gt;&lt;Q&gt;REFFFUND-FDS^(SUBARRAY(NOT_NA(NO_REPEAT_F(FG_YIELD(NOW,-10AY,D))),0,1)-SUBARRAY(NOT_NA(NO_REPEAT_F(FG_YIELD(NOW,-10AY,D))),1,1))*100&lt;/Q&gt;&lt;R&gt;1&lt;/R&gt;&lt;C&gt;1&lt;/C&gt;&lt;D xsi:type="xsd:double"&gt;-50&lt;/D&gt;&lt;/FQL&gt;&lt;FQL&gt;&lt;Q&gt;REFFFUND-FDS^FG_YIELD(NOW,,,0)&lt;/Q&gt;&lt;R&gt;1&lt;/R&gt;&lt;C&gt;1&lt;/C&gt;&lt;D xsi:type="xsd:double"&gt;5&lt;/D&gt;&lt;/FQL&gt;&lt;FQL&gt;&lt;Q&gt;REFFFUND-FDS^PROPER_NAME(0,,,"SECURITY","NAME")&lt;/Q&gt;&lt;R&gt;1&lt;/R&gt;&lt;C&gt;1&lt;/C&gt;&lt;D xsi:type="xsd:string"&gt;US Federal Funds Target Rate&lt;/D&gt;&lt;/FQL&gt;&lt;FQL&gt;&lt;Q&gt;REFGBBANK-FDS^(SUBARRAY(NOT_NA(NO_REPEAT_F(FG_YIELD(NOW,-10AY,D))),0,1)-SUBARRAY(NOT_NA(NO_REPEAT_F(FG_YIELD(NOW,-10AY,D))),1,1))*100&lt;/Q&gt;&lt;R&gt;1&lt;/R&gt;&lt;C&gt;1&lt;/C&gt;&lt;D xsi:type="xsd:double"&gt;-25&lt;/D&gt;&lt;/FQL&gt;&lt;FQL&gt;&lt;Q&gt;REFGBBANK-FDS^FG_YIELD(NOW,,,0)&lt;/Q&gt;&lt;R&gt;1&lt;/R&gt;&lt;C&gt;1&lt;/C&gt;&lt;D xsi:type="xsd:double"&gt;5&lt;/D&gt;&lt;/FQL&gt;&lt;FQL&gt;&lt;Q&gt;REFGBBANK-FDS^PROPER_NAME(0,,,"SECURITY","NAME")&lt;/Q&gt;&lt;R&gt;1&lt;/R&gt;&lt;C&gt;1&lt;/C&gt;&lt;D xsi:type="xsd:string"&gt;UK Bank Rate&lt;/D&gt;&lt;/FQL&gt;&lt;FQL&gt;&lt;Q&gt;REFCHMPR-FDS^(SUBARRAY(NOT_NA(NO_REPEAT_F(FG_YIELD(NOW,-10AY,D))),0,1)-SUBARRAY(NOT_NA(NO_REPEAT_F(FG_YIELD(NOW,-10AY,D))),1,1))*100&lt;/Q&gt;&lt;R&gt;1&lt;/R&gt;&lt;C&gt;1&lt;/C&gt;&lt;D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xsi:type="xsd:double"&gt;-25&lt;/D&gt;&lt;/FQL&gt;&lt;FQL&gt;&lt;Q&gt;REFCHMPR-FDS^FG_YIELD(NOW,,,0)&lt;/Q&gt;&lt;R&gt;1&lt;/R&gt;&lt;C&gt;1&lt;/C&gt;&lt;D xsi:type="xsd:double"&gt;1&lt;/D&gt;&lt;/FQL&gt;&lt;FQL&gt;&lt;Q&gt;REFCHMPR-FDS^PROPER_NAME(0,,,"SECURITY","NAME")&lt;/Q&gt;&lt;R&gt;1&lt;/R&gt;&lt;C&gt;1&lt;/C&gt;&lt;D xsi:type="xsd:string"&gt;Swiss Policy Rate - Sight Deposit Rate&lt;/D&gt;&lt;/FQL&gt;&lt;FQL&gt;&lt;Q&gt;REFJPTON-FDS^(SUBARRAY(NOT_NA(NO_REPEAT_F(FG_YIELD(NOW,-10AY,D))),0,1)-SUBARRAY(NOT_NA(NO_REPEAT_F(FG_YIELD(NOW,-10AY,D))),1,1))*100&lt;/Q&gt;&lt;R&gt;1&lt;/R&gt;&lt;C&gt;1&lt;/C&gt;&lt;D xsi:type="xsd:double"&gt;15&lt;/D&gt;&lt;/FQL&gt;&lt;FQL&gt;&lt;Q&gt;REFJPTON-FDS^FG_YIELD(NOW,,,0)&lt;/Q&gt;&lt;R&gt;1&lt;/R&gt;&lt;C&gt;1&lt;/C&gt;&lt;D xsi:type="xsd:double"&gt;0.25&lt;/D&gt;&lt;/FQL&gt;&lt;FQL&gt;&lt;Q&gt;REFJPTON-FDS^PROPER_NAME(0,,,"SECURITY","NAME")&lt;/Q&gt;&lt;R&gt;1&lt;/R&gt;&lt;C&gt;1&lt;/C&gt;&lt;D xsi:type="xsd:string"&gt;Japan Policy Rate&lt;/D&gt;&lt;/FQL&gt;&lt;FQL&gt;&lt;Q&gt;REFCATARG-FDS^(SUBARRAY(NOT_NA(NO_REPEAT_F(FG_YIELD(NOW,-10AY,D))),0,1)-SUBARRAY(NOT_NA(NO_REPEAT_F(FG_YIELD(NOW,-10AY,D))),1,1))*100&lt;/Q&gt;&lt;R&gt;1&lt;/R&gt;&lt;C&gt;1&lt;/C&gt;&lt;D xsi:type="xsd:double"&gt;-25&lt;/D&gt;&lt;/FQL&gt;&lt;FQL&gt;&lt;Q&gt;REFCATARG-FDS^FG_YIELD(NOW,,,0)&lt;/Q&gt;&lt;R&gt;1&lt;/R&gt;&lt;C&gt;1&lt;/C&gt;&lt;D xsi:type="xsd:double"&gt;4.25&lt;/D&gt;&lt;/FQL&gt;&lt;FQL&gt;&lt;Q&gt;REFCATARG-FDS^PROPER_NAME(0,,,"SECURITY","NAME")&lt;/Q&gt;&lt;R&gt;1&lt;/R&gt;&lt;C&gt;1&lt;/C&gt;&lt;D xsi:type="xsd:string"&gt;Canada Target Rate&lt;/D&gt;&lt;/FQL&gt;&lt;FQL&gt;&lt;Q&gt;REFAUCASH-FDS^(SUBARRAY(NOT_NA(NO_REPEAT_F(FG_YIELD(NOW,-10AY,D))),0,1)-SUBARRAY(NOT_NA(NO_REPEAT_F(FG_YIELD(NOW,-10AY,D))),1,1))*100&lt;/Q&gt;&lt;R&gt;1&lt;/R&gt;&lt;C&gt;1&lt;/C&gt;&lt;D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xsi:type="xsd:double"&gt;25&lt;/D&gt;&lt;/FQL&gt;&lt;FQL&gt;&lt;Q&gt;REFAUCASH-FDS^FG_YIELD(NOW,,,0)&lt;/Q&gt;&lt;R&gt;1&lt;/R&gt;&lt;C&gt;1&lt;/C&gt;&lt;D xsi:type="xsd:double"&gt;4.35&lt;/D&gt;&lt;/FQL&gt;&lt;FQL&gt;&lt;Q&gt;REFAUCASH-FDS^PROPER_NAME(0,,,"SECURITY","NAME")&lt;/Q&gt;&lt;R&gt;1&lt;/R&gt;&lt;C&gt;1&lt;/C&gt;&lt;D xsi:type="xsd:string"&gt;Australia Target Cash Rate&lt;/D&gt;&lt;/FQL&gt;&lt;FQL&gt;&lt;Q&gt;REFNZOCR-FDS^(SUBARRAY(NOT_NA(NO_REPEAT_F(FG_YIELD(NOW,-10AY,D))),0,1)-SUBARRAY(NOT_NA(NO_REPEAT_F(FG_YIELD(NOW,-10AY,D))),1,1))*100&lt;/Q&gt;&lt;R&gt;1&lt;/R&gt;&lt;C&gt;1&lt;/C&gt;&lt;D xsi:type="xsd:double"&gt;-25&lt;/D&gt;&lt;/FQL&gt;&lt;FQL&gt;&lt;Q&gt;REFNZOCR-FDS^FG_YIELD(NOW,,,0)&lt;/Q&gt;&lt;R&gt;1&lt;/R&gt;&lt;C&gt;1&lt;/C&gt;&lt;D xsi:type="xsd:double"&gt;5.25&lt;/D&gt;&lt;/FQL&gt;&lt;FQL&gt;&lt;Q&gt;REFNZOCR-FDS^PROPER_NAME(0,,,"SECURITY","NAME")&lt;/Q&gt;&lt;R&gt;1&lt;/R&gt;&lt;C&gt;1&lt;/C&gt;&lt;D xsi:type="xsd:string"&gt;New Zealand Official Cash Rate&lt;/D&gt;&lt;/FQL&gt;&lt;FQL&gt;&lt;Q&gt;TRYIT10Y-FDS^PCTCHG(FG_YIELD(0,,,,"YTM"),FG_YIELD(-3AM,,,,"YTM"))&lt;/Q&gt;&lt;R&gt;1&lt;/R&gt;&lt;C&gt;1&lt;/C&gt;&lt;D xsi:type="xsd:double"&gt;-12.887891&lt;/D&gt;&lt;/FQL&gt;&lt;FQL&gt;&lt;Q&gt;TRYIT10Y-FDS^PCTCHG(FG_YIELD(0,,,,"YTM"),FG_YIELD(-1AM,,,,"YTM"))&lt;/Q&gt;&lt;R&gt;1&lt;/R&gt;&lt;C&gt;1&lt;/C&gt;&lt;D xsi:type</t>
        </r>
      </text>
    </comment>
    <comment ref="A15" authorId="0" shapeId="0" xr:uid="{6F7A6E59-8EA8-411E-A5EC-B0C10E092C84}">
      <text>
        <r>
          <rPr>
            <b/>
            <sz val="9"/>
            <color indexed="81"/>
            <rFont val="Tahoma"/>
            <charset val="1"/>
          </rPr>
          <t>="xsd:double"&gt;-4.656261&lt;/D&gt;&lt;/FQL&gt;&lt;FQL&gt;&lt;Q&gt;TRYSE10Y-FDS^PCTCHG(FG_YIELD(0,,,,"YTM"),FG_YIELD(-3AM,,,,"YTM"))&lt;/Q&gt;&lt;R&gt;1&lt;/R&gt;&lt;C&gt;1&lt;/C&gt;&lt;D xsi:type="xsd:double"&gt;-11.641139&lt;/D&gt;&lt;/FQL&gt;&lt;FQL&gt;&lt;Q&gt;TRYSE10Y-FDS^PCTCHG(FG_YIELD(0,,,,"YTM"),FG_YIELD(-1AM,,,,"YTM"))&lt;/Q&gt;&lt;R&gt;1&lt;/R&gt;&lt;C&gt;1&lt;/C&gt;&lt;D xsi:type="xsd:double"&gt;-2.3694403&lt;/D&gt;&lt;/FQL&gt;&lt;FQL&gt;&lt;Q&gt;TRYNL10Y-FDS^PCTCHG(FG_YIELD(0,,,,"YTM"),FG_YIELD(-3AM,,,,"YTM"))&lt;/Q&gt;&lt;R&gt;1&lt;/R&gt;&lt;C&gt;1&lt;/C&gt;&lt;D xsi:type="xsd:double"&gt;-15.003484&lt;/D&gt;&lt;/FQL&gt;&lt;FQL&gt;&lt;Q&gt;TRYNL10Y-FDS^PCTCHG(FG_YIELD(0,,,,"YTM"),FG_YIELD(-1AM,,,,"YTM"))&lt;/Q&gt;&lt;R&gt;1&lt;/R&gt;&lt;C&gt;1&lt;/C&gt;&lt;D xsi:type="xsd:double"&gt;-4.3204985&lt;/D&gt;&lt;/FQL&gt;&lt;FQL&gt;&lt;Q&gt;TRYFR10Y-FDS^PCTCHG(FG_YIELD(0,,,,"YTM"),FG_YIELD(-3AM,,,,"YTM"))&lt;/Q&gt;&lt;R&gt;1&lt;/R&gt;&lt;C&gt;1&lt;/C&gt;&lt;D xsi:type="xsd:double"&gt;-8.760487&lt;/D&gt;&lt;/FQL&gt;&lt;FQL&gt;&lt;Q&gt;TRYFR10Y-FDS^PCTCHG(FG_YIELD(0,,,,"YTM"),FG_YIELD(-1AM,,,,"YTM"))&lt;/Q&gt;&lt;R&gt;1&lt;/R&gt;&lt;C&gt;1&lt;/C&gt;&lt;D xsi:type="xsd:double"&gt;-1.310485&lt;/D&gt;&lt;/FQL&gt;&lt;FQL&gt;&lt;Q&gt;TRYUS10Y-FDS^PCTCHG(FG_YIELD(0,,,,"YTM"),FG_YIELD(-3AM,,,,"YTM"))&lt;/Q&gt;&lt;R&gt;1&lt;/R&gt;&lt;C&gt;1&lt;/C&gt;&lt;D xsi:type="xsd:double"&gt;-11.73111&lt;/D&gt;&lt;/FQL&gt;&lt;FQL&gt;&lt;Q&gt;TRYUS10Y-FDS^PCTCHG(FG_YIELD(0,,,,"YTM"),FG_YIELD(-1AM,,,,"YTM"))&lt;/Q&gt;&lt;R&gt;1&lt;/R&gt;&lt;C&gt;1&lt;/C&gt;&lt;D xsi:type="xsd:double"&gt;0.3624711&lt;/D&gt;&lt;/FQL&gt;&lt;FQL&gt;&lt;Q&gt;TRYGB10Y-FDS^PCTCHG(FG_YIELD(0,,,,"YTM"),FG_YIELD(-3AM,,,,"YTM"))&lt;/Q&gt;&lt;R&gt;1&lt;/R&gt;&lt;C&gt;1&lt;/C&gt;&lt;D xsi:type="xsd:double"&gt;-3.5037177&lt;/D&gt;&lt;/FQL&gt;&lt;FQL&gt;&lt;Q&gt;TRYGB10Y-FDS^PCTCHG(FG_YIELD(0,,,,"YTM"),FG_YIELD(-1AM,,,,"YTM"))&lt;/Q&gt;&lt;R&gt;1&lt;/R&gt;&lt;C&gt;1&lt;/C&gt;&lt;D xsi:type="xsd:double"&gt;2.1595478&lt;/D&gt;&lt;/FQL&gt;&lt;FQL&gt;&lt;Q&gt;TRYCH10Y-FDS^PCTCHG(FG_YIELD(0,,,,"YTM"),FG_YIELD(-3AM,,,,"YTM"))&lt;/Q&gt;&lt;R&gt;1&lt;/R&gt;&lt;C&gt;1&lt;/C&gt;&lt;D xsi:type="xsd:double"&gt;-36.939724&lt;/D&gt;&lt;/FQL&gt;&lt;FQL&gt;&lt;Q&gt;TRYCH10Y-FDS^PCTCHG(FG_YIELD(0,,,,"YTM"),FG_YIELD(-1AM,,,,"YTM"))&lt;/Q&gt;&lt;R&gt;1&lt;/R&gt;&lt;C&gt;1&lt;/C&gt;&lt;D xsi:type="xsd:double"&gt;-9.53437&lt;/D&gt;&lt;/FQL&gt;&lt;FQL&gt;&lt;Q&gt;TRYJP10Y-FDS^PCTCHG(FG_YIELD(0,,,,"YTM"),FG_YIELD(-3AM,,,,"YTM"))&lt;/Q&gt;&lt;R&gt;1&lt;/R&gt;&lt;C&gt;1&lt;/C&gt;&lt;D xsi:type="xsd:double"&gt;-25.631208&lt;/D&gt;&lt;/FQL&gt;&lt;FQL&gt;&lt;Q&gt;TRYJP10Y-FDS^PCTCHG(FG_YIELD(0,,,,"YTM"),FG_YIELD(-1AM,,,,"YTM"))&lt;/Q&gt;&lt;R&gt;1&lt;/R&gt;&lt;C&gt;1&lt;/C&gt;&lt;D xsi:type="xsd:double"&gt;-11.593887&lt;/D&gt;&lt;/FQL&gt;&lt;FQL&gt;&lt;Q&gt;TRYDE10Y-FDS^PCTCHG(FG_YIELD(0,,,,"YTM"),FG_YIELD(-3AM,,,,"YTM"))&lt;/Q&gt;&lt;R&gt;1&lt;/R&gt;&lt;C&gt;1&lt;/C&gt;&lt;D xsi:type="xsd:double"&gt;-15.830723&lt;/D&gt;&lt;/FQL&gt;&lt;FQL&gt;&lt;Q&gt;TRYDE10Y-FDS^PCTCHG(FG_YIELD(0,,,,"YTM"),FG_YIELD(-1AM,,,,"YTM"))&lt;/Q&gt;&lt;R&gt;1&lt;/R&gt;&lt;C&gt;1&lt;/C&gt;&lt;D xsi:type="xsd:double"&gt;-5.0817504&lt;/D&gt;&lt;/FQL&gt;&lt;FQL&gt;&lt;Q&gt;TRYCA10Y-FDS^PCTCHG(FG_YIELD(0,,,,"YTM"),FG_YIELD(-3AM,,,,"YTM"))&lt;/Q&gt;&lt;R&gt;1&lt;/R&gt;&lt;C&gt;1&lt;/C&gt;&lt;D xsi:type="xsd:double"&gt;-12.893776&lt;/D&gt;&lt;/FQL&gt;&lt;FQL&gt;&lt;Q&gt;TRYCA10Y-FDS^PCTCHG(FG_YIELD(0,,,,"YTM"),FG_YIELD(-1AM,,,,"YTM"))&lt;/Q&gt;&lt;R&gt;1&lt;/R&gt;&lt;C&gt;1&lt;/C&gt;&lt;D xsi:type="xsd:double"&gt;0.2204479&lt;/D&gt;&lt;/FQL&gt;&lt;FQL&gt;&lt;Q&gt;TRYAU10Y-FDS^PCTCHG(FG_YIELD(0,,,,"YTM"),FG_YIELD(-3AM,,,,"YTM"))&lt;/Q&gt;&lt;R&gt;1&lt;/R&gt;&lt;C&gt;1&lt;/C&gt;&lt;D xsi:type="xsd:double"&gt;-9.91418&lt;/D&gt;&lt;/FQL&gt;&lt;FQL&gt;&lt;Q&gt;TRYAU10Y-FDS^PCTCHG(FG_YIELD(0,,,,"YTM"),FG_YIELD(-1AM,,,,"YTM"))&lt;/Q&gt;&lt;R&gt;1&lt;/R&gt;&lt;C&gt;1&lt;/C&gt;&lt;D xsi:type="xsd:double"&gt;-0.3497302&lt;/D&gt;&lt;/FQL&gt;&lt;FQL&gt;&lt;Q&gt;TRYNZ10Y-FDS^PCTCHG(FG_YIELD(0,,,,"YTM"),FG_YIELD(-3AM,,,,"YTM"))&lt;/Q&gt;&lt;R&gt;1&lt;/R&gt;&lt;C&gt;1&lt;/C&gt;&lt;D xsi:type="xsd:double"&gt;-9.238034&lt;/D&gt;&lt;/FQL&gt;&lt;FQL&gt;&lt;Q&gt;TRYNZ10Y-FDS^PCTCHG(FG_YIELD(0,,,,"YTM"),FG_YIELD(-1AM,,,,"YTM"))&lt;/Q&gt;&lt;R&gt;1&lt;/R&gt;&lt;C&gt;1&lt;/C&gt;&lt;D xsi:type="xsd:double"&gt;-0.82723796&lt;/D&gt;&lt;/FQL&gt;&lt;FQL&gt;&lt;Q&gt;TRYUS10Y-FDS^FG_YIELD(0,,,,"YTM")&lt;/Q&gt;&lt;R&gt;1&lt;/R&gt;&lt;C&gt;1&lt;/C&gt;&lt;D xsi:type="xsd:double"&gt;3.8487&lt;/D&gt;&lt;/FQL&gt;&lt;FQL&gt;&lt;Q&gt;TRYIT10Y-FDS^FG_YIELD(0,,,,"YTM")&lt;/Q&gt;&lt;R&gt;1&lt;/R&gt;&lt;C&gt;1&lt;/C&gt;&lt;D xsi:type="xsd:double"&gt;3.481&lt;/D&gt;&lt;/FQL&gt;&lt;FQL&gt;&lt;Q&gt;TRYSE10Y-FDS^FG_YIELD(0,,,,"YTM")&lt;/Q&gt;&lt;R&gt;1&lt;/R&gt;&lt;C&gt;1&lt;/C&gt;&lt;D xsi:type="xsd:double"&gt;2.019&lt;/D&gt;&lt;/FQL&gt;&lt;FQL&gt;&lt;Q&gt;TRYNL10Y-FDS^FG_YIELD(0,,,,"YTM")&lt;/Q&gt;&lt;R&gt;1&lt;/R&gt;&lt;C&gt;1&lt;/C&gt;&lt;D xsi:type="xsd:double"&gt;2.436&lt;/D&gt;&lt;/FQL&gt;&lt;FQL&gt;&lt;Q&gt;TRYFR10Y-FDS^FG_YIELD(0,,,,"YTM")&lt;/Q&gt;&lt;R&gt;1&lt;/R&gt;&lt;C&gt;1&lt;/C&gt;&lt;D xsi:type="xsd:double"&gt;2.937&lt;/D&gt;&lt;/FQL&gt;&lt;FQL&gt;&lt;Q&gt;TRYGB10Y-FDS^FG_YIELD(0,,,,"YTM")&lt;/Q&gt;&lt;R&gt;1&lt;/R&gt;&lt;C&gt;1&lt;/C&gt;&lt;D xsi:type="xsd:double"&gt;4.021&lt;/D&gt;&lt;/FQL&gt;&lt;FQL&gt;&lt;Q&gt;TRYCH10Y-FDS^FG_YIELD(0,,,,"YTM")&lt;/Q&gt;&lt;R&gt;1&lt;/R&gt;&lt;C&gt;1&lt;/C&gt;&lt;D xsi:type="xsd:double"&gt;0.408&lt;/D&gt;&lt;/FQL&gt;&lt;FQL&gt;&lt;Q&gt;TRYJP10Y-FDS^FG_YIELD(0,,,,"YTM")&lt;/Q&gt;&lt;R&gt;1&lt;/R&gt;&lt;C&gt;1&lt;/C&gt;&lt;D xsi:type="xsd:double"&gt;0.8159&lt;/D&gt;&lt;/FQL&gt;&lt;FQL&gt;&lt;Q&gt;TRYDE10Y-FDS^FG_YIELD(0,,,,"YTM")&lt;/Q&gt;&lt;R&gt;1&lt;/R&gt;&lt;C&gt;1&lt;/C&gt;&lt;D xsi:type="xsd:double"&gt;2.148&lt;/D&gt;&lt;/FQL&gt;&lt;FQL&gt;&lt;Q&gt;TRYCA10Y-FDS^FG_YIELD(0,,,,"YTM")&lt;/Q&gt;&lt;R&gt;1&lt;/R&gt;&lt;C&gt;1&lt;/C&gt;&lt;D xsi:type="xsd:double"&gt;3.0914&lt;/D&gt;&lt;/FQL&gt;&lt;FQL&gt;&lt;Q&gt;TRYAU10Y-FDS^FG_YIELD(0,,,,"YTM")&lt;/Q&gt;&lt;R&gt;1&lt;/R&gt;&lt;C&gt;1&lt;/C&gt;&lt;D xsi:type="xsd:double"&gt;3.989&lt;/D&gt;&lt;/FQL&gt;&lt;FQL&gt;&lt;Q&gt;TRYNZ10Y-FDS^FG_YIELD(0,,,,"YTM")&lt;/Q&gt;&lt;R&gt;1&lt;/R&gt;&lt;C&gt;1&lt;/C&gt;&lt;D xsi:type="xsd:double"&gt;4.2679&lt;/D&gt;&lt;/FQL&gt;&lt;FQL&gt;&lt;Q&gt;CC_IT^IMF_IFS_RCPI_Q(0)&lt;/Q&gt;&lt;R&gt;1&lt;/R&gt;&lt;C&gt;1&lt;/C&gt;&lt;D xsi:type="xsd:double"&gt;0.80847347&lt;/D&gt;&lt;/FQL&gt;&lt;FQL&gt;&lt;Q&gt;CC_SE^IMF_IFS_RCPI_Q(0)&lt;/Q&gt;&lt;R&gt;1&lt;/R&gt;&lt;C&gt;1&lt;/C&gt;&lt;D xsi:type="xsd:double"&gt;3.39215&lt;/D&gt;&lt;/FQL&gt;&lt;FQL&gt;&lt;Q&gt;CC_NL^IMF_IFS_RCPI_Q(0)&lt;/Q&gt;&lt;R&gt;1&lt;/R&gt;&lt;C&gt;1&lt;/C&gt;&lt;D xsi:type="xsd:double"&gt;2.888117&lt;/D&gt;&lt;/FQL&gt;&lt;FQL&gt;&lt;Q&gt;CC_FR^IMF_IFS_RCPI_Q(0)&lt;/Q&gt;&lt;R&gt;1&lt;/R&gt;&lt;C&gt;1&lt;/C&gt;&lt;D xsi:type="xsd:double"&gt;2.2093682&lt;/D&gt;&lt;/FQL&gt;&lt;FQL&gt;&lt;Q&gt;CC_US^IMF_IFS_RCPI_Q(0)&lt;/Q&gt;&lt;R&gt;1&lt;/R&gt;&lt;C&gt;1&lt;/C&gt;&lt;D xsi:type="xsd:double"&gt;3.19889&lt;/D&gt;&lt;/FQL&gt;&lt;FQL&gt;&lt;Q&gt;CC_GB^IMF_IFS_RCPI_Q(0)&lt;/Q&gt;&lt;R&gt;1&lt;/R&gt;&lt;C&gt;1&lt;/C&gt;&lt;D xsi:type="xsd:double"&gt;2.8697004&lt;/D&gt;&lt;/FQL&gt;&lt;FQL&gt;&lt;Q&gt;CC_CH^IMF_IFS_RCPI_Q(0)&lt;/Q&gt;&lt;R&gt;1&lt;/R&gt;&lt;C&gt;1&lt;/C&gt;&lt;D xsi:type="xsd:double"&gt;1.3619826&lt;/D&gt;&lt;/FQL&gt;&lt;FQL&gt;&lt;Q&gt;CC_JP^IMF_IFS_RCPI_Q(0)&lt;/Q&gt;&lt;R&gt;1&lt;/R&gt;&lt;C&gt;1&lt;/C&gt;&lt;D xsi:type="xsd:double"&gt;2.7266946&lt;/D&gt;&lt;/FQL&gt;&lt;FQL&gt;&lt;Q&gt;CC_DE^IMF_IFS_RCPI_Q(0)&lt;/Q&gt;&lt;R&gt;1&lt;/R&gt;&lt;C&gt;1&lt;/C&gt;&lt;D xsi:type="xsd:double"&gt;2.2863681&lt;/D&gt;&lt;/FQL&gt;&lt;FQL&gt;&lt;Q&gt;CC_CA^IMF_IFS_RCPI_Q(0)&lt;/Q&gt;&lt;R&gt;1&lt;/R&gt;&lt;C&gt;1&lt;/C&gt;&lt;D xsi:type="xsd:double"&gt;2.7411842&lt;/D&gt;&lt;/FQL&gt;&lt;FQL&gt;&lt;Q&gt;CC_AU^IMF_IFS_RCPI_Q(0)&lt;/Q&gt;&lt;R&gt;1&lt;/R&gt;&lt;C&gt;1&lt;/C&gt;&lt;D xsi:type="xsd:double"&gt;3.81451&lt;/D&gt;&lt;/FQL&gt;&lt;FQL&gt;&lt;Q&gt;CC_NZ^IMF_IFS_RCPI_Q(0)&lt;/Q&gt;&lt;R&gt;1&lt;/R&gt;&lt;C&gt;1&lt;/C&gt;&lt;D xsi:type="xsd:double"&gt;3.330626&lt;/D&gt;&lt;/FQL&gt;&lt;FQL&gt;&lt;Q&gt;VWO^FMA_EVAL_EBIT(LTMA,NOW,NOW,M,"PORTAGG","MEANR")&lt;/Q&gt;&lt;R&gt;1&lt;/R&gt;&lt;C&gt;1&lt;/C&gt;&lt;D xsi:type="xsd:double"&gt;14.5167318800948&lt;/D&gt;&lt;/FQL&gt;&lt;FQL&gt;&lt;Q&gt;VWO^FMA_EVAL_EBITDA(NTMA,0,,,"PORTAGG","MEANR")&lt;/Q&gt;&lt;R&gt;1&lt;/R&gt;&lt;C&gt;1&lt;/C&gt;&lt;D xsi:type="xsd:double"&gt;8.91821151434893&lt;/D&gt;&lt;/FQL&gt;&lt;FQL&gt;&lt;Q&gt;VWO^FG_FCF_YIELD_NTM(0)&lt;/Q&gt;&lt;R&gt;1&lt;/R&gt;&lt;C&gt;1&lt;/C&gt;&lt;D xsi:type="xsd:double"&gt;5.38251240390823&lt;/D&gt;&lt;/FQL&gt;&lt;FQL&gt;&lt;Q&gt;VWO^FMA_DIV_YLD(NTMA,NOW,NOW,M,"PORTAGG","MEANR")&lt;/Q&gt;&lt;R&gt;1&lt;/R&gt;&lt;C&gt;1&lt;/C&gt;&lt;D xsi:type="xsd:double"&gt;2.98179074531232&lt;/D&gt;&lt;/FQL&gt;&lt;FQL&gt;&lt;Q&gt;VWO^FG_PE_NTM(0,,,90,0)&lt;/Q&gt;&lt;R&gt;1&lt;/R&gt;&lt;C&gt;1&lt;/C&gt;&lt;D xsi:type="xsd:double"&gt;12.8369112640014&lt;/D&gt;&lt;/FQL&gt;&lt;FQL&gt;&lt;Q&gt;VWO^FG_PE(0)&lt;/Q&gt;&lt;R&gt;1&lt;/R&gt;&lt;C&gt;1&lt;/C&gt;&lt;D xsi:type="xsd:double"&gt;15.2556336992576&lt;/D&gt;&lt;/FQL&gt;&lt;FQL&gt;&lt;Q&gt;VWO^JULIAN(FMA_DIV_YLD(NTMA,NOW,NOW,M,"PORTAGG","MEANR").DATES)&lt;/Q&gt;&lt;R&gt;1&lt;/R&gt;&lt;C&gt;1&lt;/C&gt;&lt;D xsi:type="xsd:long"&gt;45534&lt;/D&gt;&lt;/FQL&gt;&lt;FQL&gt;&lt;Q&gt;VGK^FMA_EVAL_EBIT(LTMA,NOW,NOW,M,"PORTAGG","MEANR")&lt;/Q&gt;&lt;R&gt;1&lt;/R&gt;&lt;C&gt;1&lt;/C&gt;&lt;D xsi:type="xsd:double"&gt;13.5312683758444&lt;/D&gt;&lt;/FQL&gt;&lt;FQL&gt;&lt;Q&gt;VGK^FMA_EVAL_EBITDA(NTMA,0,,,"PORTAGG","MEANR")&lt;/Q&gt;&lt;R&gt;1&lt;/R&gt;&lt;C&gt;1&lt;/C&gt;&lt;D xsi:type="xsd:double"&gt;9.05757657013508&lt;/D&gt;&lt;/FQL&gt;&lt;FQL&gt;&lt;Q&gt;VGK^FG_FCF_YIELD_NTM(0)&lt;/Q&gt;&lt;R&gt;1&lt;/R&gt;&lt;C&gt;1&lt;/C&gt;&lt;D xsi:type="xsd:double"&gt;5.28323894400439&lt;/D&gt;&lt;/FQL&gt;&lt;FQL&gt;&lt;Q&gt;VGK^FMA_DIV_YLD(NTMA,NOW,NOW,M,"PORTAGG","MEANR")&lt;/Q&gt;&lt;R&gt;1&lt;/R&gt;&lt;C&gt;1&lt;/C&gt;&lt;D xsi:type="xsd:double"&gt;3.48209895975682&lt;/D&gt;&lt;/FQL&gt;&lt;FQL&gt;&lt;Q&gt;VGK^FG_PE_NTM(0,,,90,0)&lt;/Q&gt;&lt;R&gt;1&lt;/R&gt;&lt;C&gt;1&lt;/C&gt;&lt;D xsi:type="xsd:double"&gt;13.350862223615&lt;/D&gt;&lt;/FQL&gt;&lt;FQL&gt;&lt;Q&gt;VGK^FG_PE(0)&lt;/Q&gt;&lt;R&gt;1&lt;/R&gt;&lt;C&gt;1&lt;/C&gt;&lt;D xsi:type="xsd:double"&gt;15.528971407231&lt;/D&gt;&lt;/FQL&gt;&lt;FQL&gt;&lt;Q&gt;VGK^JULIAN(FMA_DIV_YLD(NTMA,NOW,NOW,M,"PORTAGG","MEANR").DATES)&lt;/Q&gt;&lt;R&gt;1&lt;/R&gt;&lt;C&gt;1&lt;/C&gt;&lt;D xsi:type="xsd:long"&gt;45504&lt;/D&gt;&lt;/FQL&gt;&lt;FQL&gt;&lt;Q&gt;EWI^FMA_EVAL_EBIT(LTMA,NOW,NOW,M,"PORTAGG","MEANR")&lt;/Q&gt;&lt;R&gt;1&lt;/R&gt;&lt;C&gt;1&lt;/C&gt;&lt;D xsi:type="xsd:double"&gt;11.8914128116274&lt;/D&gt;&lt;/FQL&gt;&lt;FQL&gt;&lt;Q&gt;EWI^FMA_EVAL_EBITDA(NTMA,0,,,"PORTAGG","MEANR")&lt;/Q&gt;&lt;R&gt;1&lt;/R&gt;&lt;C&gt;1&lt;/C&gt;&lt;D xsi:type="xsd:double"&gt;7.66244364419875&lt;/D&gt;&lt;/FQL&gt;&lt;FQL&gt;&lt;Q&gt;EWI^FG_FCF_YIELD_NTM(0)&lt;/Q&gt;&lt;R&gt;1&lt;/R&gt;&lt;C&gt;1&lt;/C&gt;&lt;D xsi:type="xsd:double"&gt;4.9761368729988&lt;/D&gt;&lt;/FQL&gt;&lt;FQL&gt;&lt;Q&gt;EWI^FMA_DIV_YLD(NTMA,NOW,NOW,M,"PORTAGG","MEANR")&lt;/Q&gt;&lt;R&gt;1&lt;/R&gt;&lt;C&gt;1&lt;/C&gt;&lt;D xsi:type="xsd:double"&gt;5.3171715976799&lt;/D&gt;&lt;/FQL&gt;&lt;FQL&gt;&lt;Q&gt;EWI^FMA_PE(NTMA,0,,,"PORTAGG","MEANR")&lt;/Q&gt;&lt;R&gt;1&lt;/R&gt;&lt;C&gt;1&lt;/C&gt;&lt;D xsi:type="xsd:double"&gt;10.1852349509356&lt;/D&gt;&lt;/FQL&gt;&lt;FQL&gt;&lt;Q&gt;EWI^FMA_PE(LTM,0,,,"PORTAGG","MEANR")&lt;/Q&gt;&lt;R&gt;1&lt;/R&gt;&lt;C&gt;1&lt;/C&gt;&lt;D xsi:type="xsd:double"&gt;11.3075101105051&lt;/D&gt;&lt;/FQL&gt;&lt;FQL&gt;&lt;Q&gt;EWI^JULIAN(FMA_DIV_YLD(NTMA,NOW,NOW,M,"PORTAGG","MEANR").DATES)&lt;/Q&gt;&lt;R&gt;1&lt;/R&gt;&lt;C&gt;1&lt;/C&gt;&lt;D xsi:type="xsd:long"&gt;45565&lt;/D&gt;&lt;/FQL&gt;&lt;FQL&gt;&lt;Q&gt;EWD^FMA_EVAL_EBIT(LTMA,NOW,NOW,M,"PORTAGG","MEANR")&lt;/Q&gt;&lt;R&gt;1&lt;/R&gt;&lt;C&gt;1&lt;/C&gt;&lt;D xsi:type="xsd:double"&gt;16.3844555598538&lt;/D&gt;&lt;/FQL&gt;&lt;FQL&gt;&lt;Q&gt;EWD^FMA_EVAL_EBITDA(NTMA,0,,,"PORTAGG","MEANR")&lt;/Q&gt;&lt;R&gt;1&lt;/R&gt;&lt;C&gt;1&lt;/C&gt;&lt;D xsi:type="xsd:double"&gt;11.2641819658081&lt;/D&gt;&lt;/FQL&gt;&lt;FQL&gt;&lt;Q&gt;EWD^FG_FCF_YIELD_NTM(0)&lt;/Q&gt;&lt;R&gt;1&lt;/R&gt;&lt;C&gt;1&lt;/C&gt;&lt;D xsi:type="xsd:double"&gt;4.88658365080546&lt;/D&gt;&lt;/FQL&gt;&lt;FQL&gt;&lt;Q&gt;EWD^FMA_DIV_YLD(NTMA,NOW,NOW,M,"PORTAGG","MEANR")&lt;/Q&gt;&lt;R&gt;1&lt;/R&gt;&lt;C&gt;1&lt;/C&gt;&lt;D xsi:type="xsd:double"&gt;3.12328948102815&lt;/D&gt;&lt;/FQL&gt;&lt;FQL&gt;&lt;Q&gt;EWD^FMA_PE(NTMA,0,,,"PORTAGG","MEANR")&lt;/Q&gt;&lt;R&gt;1&lt;/R&gt;&lt;C&gt;1&lt;/C&gt;&lt;D xsi:type="xsd:double"&gt;16.5744423167657&lt;/D&gt;&lt;/FQL&gt;&lt;FQL&gt;&lt;Q&gt;EWD^FMA_PE(LTM,0,,,"PORTAGG","MEANR")&lt;/Q&gt;&lt;R&gt;1&lt;/R&gt;&lt;C&gt;1&lt;/C&gt;&lt;D xsi:type="xsd:double"&gt;15.3519987673276&lt;/D&gt;&lt;/FQL&gt;&lt;FQL&gt;&lt;Q&gt;EWD^JULIAN(FMA_DIV_YLD(NTMA,NOW,NOW,M,"PORTAGG","MEANR").DATES)&lt;/Q&gt;&lt;R&gt;1&lt;/R&gt;&lt;C&gt;1&lt;/C&gt;&lt;D xsi:type="xsd:long"&gt;45565&lt;/D&gt;&lt;/FQL&gt;&lt;FQL&gt;&lt;Q&gt;EWN^FMA_EVAL_EBIT(LTMA,NOW,NOW,M,"PORTAGG","MEANR")&lt;/Q&gt;&lt;R&gt;1&lt;/R&gt;&lt;C&gt;1&lt;/C&gt;&lt;D xsi:type="xsd:double"&gt;20.9895705369418&lt;/D&gt;&lt;/FQL&gt;&lt;FQL&gt;&lt;Q&gt;EWN^FMA_EVAL_EBITDA(NTMA,0,,,"PORTAGG","MEANR")&lt;/Q&gt;&lt;R&gt;1&lt;/R&gt;&lt;C&gt;1&lt;/C&gt;&lt;D xsi:type="xsd:double"&gt;12.0207374355756&lt;/D&gt;&lt;/FQL&gt;&lt;FQL&gt;&lt;Q&gt;EWN^FG_FCF_YIELD_NTM(0)&lt;/Q&gt;&lt;R&gt;1&lt;/R&gt;&lt;C&gt;1&lt;/C&gt;&lt;D xsi:type="xsd:double"&gt;4.05210524582539&lt;/D&gt;&lt;/FQL&gt;&lt;FQL&gt;&lt;Q&gt;EWN^FMA_DIV_YLD(NTMA,NOW,NOW,M,"PORTAGG","MEANR")&lt;/Q&gt;&lt;R&gt;1&lt;/R&gt;&lt;C&gt;1&lt;/C&gt;&lt;D xsi:type="xsd:double"&gt;2.60530924757682&lt;/D&gt;&lt;/FQL&gt;&lt;FQL&gt;&lt;Q&gt;EWN^FMA_PE(NTMA,0,,,"PORTAGG","MEANR")&lt;/Q&gt;&lt;R&gt;1&lt;/R&gt;&lt;C&gt;1&lt;/C&gt;&lt;D xsi:type="xsd:double"&gt;15.0981842698514&lt;/D&gt;&lt;/FQL&gt;&lt;FQL&gt;&lt;Q&gt;EWN^FMA_PE(LTM,0,,,"PORTAGG","MEANR")&lt;/Q&gt;&lt;R&gt;1&lt;/R&gt;&lt;C&gt;1&lt;/C&gt;&lt;D xsi:type="xsd:double"&gt;21.6257412876513&lt;/D&gt;&lt;/FQL&gt;&lt;FQL&gt;&lt;Q&gt;EWN^JULIAN(FMA_DIV_YLD(NTMA,NOW,NOW,M,"PORTAGG","MEANR").DATES)&lt;/Q&gt;&lt;R&gt;1&lt;/R&gt;&lt;C&gt;1&lt;/C&gt;&lt;D xsi:type="xsd:long"&gt;45565&lt;/D&gt;&lt;/FQL&gt;&lt;FQL&gt;&lt;Q&gt;EWQ^FMA_EVAL_EBIT(LTMA,NOW,NOW,M,"PORTAGG","MEANR")&lt;/Q&gt;&lt;R&gt;1&lt;/R&gt;&lt;C&gt;1&lt;/C&gt;&lt;D xsi:type="xsd:double"&gt;13.5824281506307&lt;/D&gt;&lt;/FQL&gt;&lt;FQL&gt;&lt;Q&gt;EWQ^FMA_EVAL_EBITDA(NTMA,0,,,"PORTAGG","MEANR")&lt;/Q&gt;&lt;R&gt;1&lt;/R&gt;&lt;C&gt;1&lt;/C&gt;&lt;D xsi:type="xsd:double"&gt;9.3057659360648&lt;/D&gt;&lt;/FQL&gt;&lt;FQL&gt;&lt;Q&gt;EWQ^FG_FCF_YIELD_NTM(0)&lt;/Q&gt;&lt;R&gt;1&lt;/R&gt;&lt;C&gt;1&lt;/C&gt;&lt;D xsi:type="xsd:double"&gt;5.76919147625228&lt;/D&gt;&lt;/FQL&gt;&lt;FQL&gt;&lt;Q&gt;EWQ^FMA_DIV_YLD(NTMA,NOW,NOW,M,"PORTAGG","MEANR")&lt;/Q&gt;&lt;R&gt;1&lt;/R&gt;&lt;C&gt;1&lt;/C&gt;&lt;D xsi:type="xsd:double"&gt;3.33313857682194&lt;/D&gt;&lt;/FQL&gt;&lt;FQL&gt;&lt;Q&gt;EWQ^FMA_PE(NTMA,0,,,"PORTAGG","MEANR")&lt;/Q&gt;&lt;R&gt;1&lt;/R&gt;&lt;C&gt;1&lt;/C&gt;&lt;D xsi:type="xsd:double"&gt;13.9989231374953&lt;/D&gt;&lt;/FQL&gt;&lt;FQL&gt;&lt;Q&gt;EWQ^FMA_PE(LTM,0,,,"PORTAGG","MEANR")&lt;/Q&gt;&lt;R&gt;1&lt;/R&gt;&lt;C&gt;1&lt;/C&gt;&lt;D xsi:type="xsd:double"&gt;17.1397955475624&lt;/D&gt;&lt;/FQL&gt;&lt;FQL&gt;&lt;Q&gt;EWQ^JULIAN(FMA_DIV_YLD(NTMA,NOW,NOW,M,"PORTAGG","MEANR").DATES)&lt;/Q&gt;&lt;R&gt;1&lt;/R&gt;&lt;C&gt;1&lt;/C&gt;&lt;D xsi:type="xsd:long"&gt;45565&lt;/D&gt;&lt;/FQL&gt;&lt;FQL&gt;&lt;Q&gt;SPY^FMA_EVAL_EBIT(LTMA,NOW,NOW,M,"PORTAGG","MEANR")&lt;/Q&gt;&lt;R&gt;1&lt;/R&gt;&lt;C&gt;1&lt;/C&gt;&lt;D xsi:type="xsd:double"&gt;21.5272171990654&lt;/D&gt;&lt;/FQL&gt;&lt;FQL&gt;&lt;Q&gt;SPY^FMA_EVAL_EBITDA(NTMA,0,,,"PORTAGG","MEANR")&lt;/Q&gt;&lt;R&gt;1&lt;/R&gt;&lt;C&gt;1&lt;/C&gt;&lt;D xsi:type="xsd:double"&gt;14.7456915631299&lt;/D&gt;&lt;/FQL&gt;&lt;FQL&gt;&lt;Q&gt;SPY^FG_FCF_YIELD_NTM(0)&lt;/Q&gt;&lt;R&gt;1&lt;/R&gt;&lt;C&gt;1&lt;/C&gt;&lt;D xsi:type="xsd:double"&gt;3.98100051366318&lt;/D&gt;&lt;/FQL&gt;&lt;FQL&gt;&lt;Q&gt;SPY^FMA_DIV_YLD(NTMA,NOW,NOW,M,"PORTAGG","MEANR")&lt;/Q&gt;&lt;R&gt;1&lt;/R&gt;&lt;C&gt;1&lt;/C&gt;&lt;D xsi:type="xsd:double"&gt;1.34601007706055&lt;/D&gt;&lt;/FQL&gt;&lt;FQL&gt;&lt;Q&gt;SPY^FMA_PE(NTMA,0,,,"PORTAGG","MEANR")&lt;/Q&gt;&lt;R&gt;1&lt;/R&gt;&lt;C&gt;1&lt;/C&gt;&lt;D xsi:type="xsd:double"&gt;21.428460143057&lt;/D&gt;&lt;/FQL&gt;&lt;FQL&gt;&lt;Q&gt;SPY^FMA_PE(LTM,0,,,"PORTAGG","MEANR")&lt;/Q&gt;&lt;R&gt;1&lt;/R&gt;&lt;C&gt;1&lt;/C&gt;&lt;D xsi:type="xsd:double"&gt;26.7835318525045&lt;/D&gt;&lt;/FQL&gt;&lt;FQL&gt;&lt;Q&gt;SPY^JULIAN(FMA_DIV_YLD(NTMA,NOW,NOW,M,"PORTAGG","MEANR").DATES)&lt;/Q&gt;&lt;R&gt;1&lt;/R&gt;&lt;C&gt;1&lt;/C&gt;&lt;D xsi:type="xsd:long"&gt;45565&lt;/D&gt;&lt;/FQL&gt;&lt;FQL&gt;&lt;Q&gt;QQQ^FMA_EVAL_EBIT(LTMA,NOW,NOW,M,"PORTAGG","MEANR")&lt;/Q&gt;&lt;R&gt;1&lt;/R&gt;&lt;C&gt;1&lt;/C&gt;&lt;D xsi:type="xsd:double"&gt;25.1714969861137&lt;/D&gt;&lt;/FQL&gt;&lt;FQL&gt;&lt;Q&gt;QQQ^FMA_EVAL_EBITDA(NTMA,0,,,"PORTAGG","MEANR")&lt;/Q&gt;&lt;R&gt;1&lt;/R&gt;&lt;C&gt;1&lt;/C&gt;&lt;D xsi:type="xsd:double"&gt;16.4857658410254&lt;/D&gt;&lt;/FQL&gt;&lt;FQL&gt;&lt;Q&gt;QQQ^FG_FCF_YIELD_NTM(0)&lt;/Q&gt;&lt;R&gt;1&lt;/R&gt;&lt;C&gt;1&lt;/C&gt;&lt;D xsi:type="xsd:double"&gt;3.58382994740792&lt;/D&gt;&lt;/FQL&gt;&lt;FQL&gt;&lt;Q&gt;QQQ^FMA_DIV_YLD(NTMA,NOW,NOW,M,"PORTAGG","MEANR")&lt;/Q&gt;&lt;R&gt;1&lt;/R&gt;&lt;C&gt;1&lt;/C&gt;&lt;D xsi:type="xsd:double"&gt;0.817336538798677&lt;/D&gt;&lt;/FQL&gt;&lt;FQL&gt;&lt;Q&gt;QQQ^FMA_PE(NTMA,0,,,"PORTAGG","MEANR")&lt;/Q&gt;&lt;R&gt;1&lt;/R&gt;&lt;C&gt;1&lt;/C&gt;&lt;D xsi:type="xsd:double"&gt;26.1040696840838&lt;/D&gt;&lt;/FQL&gt;&lt;FQL&gt;&lt;Q&gt;QQQ^FMA_PE(LTM,0,,,"PORTAGG","MEANR")&lt;/Q&gt;&lt;R&gt;1&lt;/R&gt;&lt;C&gt;1&lt;/C&gt;&lt;D xsi:type="xsd:double"&gt;35.8575771207708&lt;/D&gt;&lt;/FQL&gt;&lt;FQL&gt;&lt;Q&gt;QQQ^JULIAN(FMA_DIV_YLD(NTMA,NOW,NOW,M,"PORTAGG","MEANR").DATES)&lt;/Q&gt;&lt;R&gt;1&lt;/R&gt;&lt;C&gt;1&lt;/C&gt;&lt;D xsi:type="xsd:long"&gt;45565&lt;/D&gt;&lt;/FQL&gt;&lt;FQL&gt;&lt;Q&gt;EWU^FMA_EVAL_EBIT(LTMA,NOW,NOW,M,"PORTAGG","MEANR")&lt;/Q&gt;&lt;R&gt;1&lt;/R&gt;&lt;C&gt;1&lt;/C&gt;&lt;D xsi:type="xsd:double"&gt;10.953552023465&lt;/D&gt;&lt;/FQL&gt;&lt;FQL&gt;&lt;Q&gt;EWU^FMA_EVAL_EBITDA(NTMA,0,,,"PORTAGG","MEANR")&lt;/Q&gt;&lt;R&gt;1&lt;/R&gt;&lt;C&gt;1&lt;/C&gt;&lt;D xsi:type="xsd:double"&gt;7.66470534821935&lt;/D&gt;&lt;/FQL&gt;&lt;FQL&gt;&lt;Q&gt;EWU^FG_FCF_YIELD_NTM(0)&lt;/Q&gt;&lt;R&gt;1&lt;/R&gt;&lt;C&gt;1&lt;/C&gt;&lt;D xsi:type="xsd:double"&gt;6.0924761738348&lt;/D&gt;&lt;/FQL&gt;&lt;FQL&gt;&lt;Q&gt;EWU^FMA_DIV_YLD(NTMA,NOW,NOW,M,"PORTAGG","MEANR")&lt;/Q&gt;&lt;R&gt;1&lt;/R&gt;&lt;C&gt;1&lt;/C&gt;&lt;D xsi:type="xsd:double"&gt;3.87281371347721&lt;/D&gt;&lt;/FQL&gt;&lt;FQL&gt;&lt;Q&gt;EWU^FMA_PE(NTMA,0,,,"PORTAGG","MEANR")&lt;/Q&gt;&lt;R&gt;1&lt;/R&gt;&lt;C&gt;1&lt;/C&gt;&lt;D xsi:type="xsd:double"&gt;11.7873202892321&lt;/D&gt;&lt;/FQL&gt;&lt;FQL&gt;&lt;Q&gt;EWU^FMA_PE(LTM,0,,,"PORTAGG","MEANR")&lt;/Q&gt;&lt;R&gt;1&lt;/R&gt;&lt;C&gt;1&lt;/C&gt;&lt;D xsi:type="xsd:double"&gt;14.1051571381183&lt;/D&gt;&lt;/FQL&gt;&lt;FQL&gt;&lt;Q&gt;EWU^JULIAN(FMA_DIV_YLD(NTMA,NOW,NOW,M,"PORTAGG","MEANR").DATES)&lt;/Q&gt;&lt;R&gt;1&lt;/R&gt;&lt;C&gt;1&lt;/C&gt;&lt;D xsi:type="xsd:long"&gt;45565&lt;/D&gt;&lt;/FQL&gt;&lt;FQL&gt;&lt;Q&gt;EWL^FMA_EVAL_EBIT(LTMA,NOW,NOW,M,"PORTAGG","MEANR")&lt;/Q&gt;&lt;R&gt;1&lt;/R&gt;&lt;C&gt;1&lt;/C&gt;&lt;D xsi:type="xsd:double"&gt;16.9419199105708&lt;/D&gt;&lt;/FQL&gt;&lt;FQL&gt;&lt;Q&gt;EWL^FMA_EVAL_EBITDA(NTMA,0,,,"PORTAGG","MEANR")&lt;/Q&gt;&lt;R&gt;1&lt;/R&gt;&lt;C&gt;1&lt;/C&gt;&lt;D xsi:type="xsd:double"&gt;13.2483075989012&lt;/D&gt;&lt;/FQL&gt;&lt;FQL&gt;&lt;Q&gt;EWL^FG_FCF_YIELD_NTM(0)&lt;/Q&gt;&lt;R&gt;1&lt;/R&gt;&lt;C&gt;1&lt;/C&gt;&lt;D xsi:type="xsd:double"&gt;4.62621914731444&lt;/D&gt;&lt;/FQL&gt;&lt;FQL&gt;&lt;Q&gt;EWL^FMA_DIV_YLD(NTMA,NOW,NOW,M,"PORTAGG","MEANR")&lt;/Q&gt;&lt;R&gt;1&lt;/R&gt;&lt;C&gt;1&lt;/C&gt;&lt;D xsi:type="xsd:double"&gt;3.13384844501219&lt;/D&gt;&lt;/FQL&gt;&lt;FQL&gt;&lt;Q&gt;EWL^FMA_PE(NTMA,0,,,"PORTAGG","MEANR")&lt;/Q&gt;&lt;R&gt;1&lt;/R&gt;&lt;C&gt;1&lt;/C&gt;&lt;D xsi:type="xsd:double"&gt;17.4159937168573&lt;/D&gt;&lt;/FQL&gt;&lt;FQL&gt;&lt;Q&gt;EWL^FMA_PE(LTM,0,,,"PORTAGG","MEANR")&lt;/Q&gt;&lt;R&gt;1&lt;/R&gt;&lt;C&gt;1&lt;/C&gt;&lt;D xsi:type="xsd:double"&gt;22.0725639883918&lt;/D&gt;&lt;/FQL&gt;&lt;FQL&gt;&lt;Q&gt;EWL^JULIAN(FMA_DIV_YLD(NTMA,NOW,NOW,M,"PORTAGG","MEANR").DATES)&lt;/Q&gt;&lt;R&gt;1&lt;/R&gt;&lt;C&gt;1&lt;/C&gt;&lt;D xsi:type="xsd:long"&gt;45565&lt;/D&gt;&lt;/FQL&gt;&lt;FQL&gt;&lt;Q&gt;EWJ^FMA_EVAL_EBIT(LTMA,NOW,NOW,M,"PORTAGG","MEANR")&lt;/Q&gt;&lt;R&gt;1&lt;/R&gt;&lt;C&gt;1&lt;/C&gt;&lt;D xsi:type="xsd:double"&gt;16.8117668330666&lt;/D&gt;&lt;/FQL&gt;&lt;FQL&gt;&lt;Q&gt;EWJ^FMA_EVAL_EBITDA(NTMA,0,,,"PORTAGG","MEANR")&lt;/Q&gt;&lt;R&gt;1&lt;/R&gt;&lt;C&gt;1&lt;/C&gt;&lt;D xsi:type="xsd:double"&gt;9.91249756596425&lt;/D&gt;&lt;/FQL&gt;&lt;FQL&gt;&lt;Q&gt;EWJ^FG_FCF_YIELD_NTM(0)&lt;/Q&gt;&lt;R&gt;1&lt;/R&gt;&lt;C&gt;1&lt;/C&gt;&lt;D xsi:type="xsd:double"&gt;4.26719469499303&lt;/D&gt;&lt;/FQL&gt;&lt;FQL&gt;&lt;Q&gt;EWJ^FMA_DIV_YLD(NTMA,NOW,NOW,M,"PORTAGG","MEANR")&lt;/Q&gt;&lt;R&gt;1&lt;/R&gt;&lt;C&gt;1&lt;/C&gt;&lt;D xsi:type="xsd:double"&gt;2.46283559316199&lt;/D&gt;&lt;/FQL&gt;&lt;FQL&gt;&lt;Q&gt;EWJ^FMA_PE(NTMA,0,,,"PORTAGG","MEANR")&lt;/Q&gt;&lt;R&gt;1&lt;/R&gt;&lt;C&gt;1&lt;/C&gt;&lt;D xsi:type="xsd:double"&gt;14.0998668801423&lt;/D&gt;&lt;/FQL&gt;&lt;FQL&gt;&lt;Q&gt;EWJ^FMA_PE(LTM,0,,,"PORTAGG","MEANR")&lt;/Q&gt;&lt;R&gt;1&lt;/R&gt;&lt;C&gt;1&lt;/C&gt;&lt;D xsi:type="xsd:double"&gt;17.4758508804571&lt;/D&gt;&lt;/FQL&gt;&lt;FQL&gt;&lt;Q&gt;EWJ^JULIAN(FMA_DIV_YLD(NTMA,NOW,NOW,M,"PORTAGG","MEANR").DATES)&lt;/Q&gt;&lt;R&gt;1&lt;/R&gt;&lt;C&gt;1&lt;/C&gt;&lt;D xsi:type="xsd:long"&gt;45565&lt;/D&gt;&lt;/FQL&gt;&lt;FQL&gt;&lt;Q&gt;EWG^FMA_EVAL_EBIT(LTMA,NOW,NOW,M,"PORTAGG","MEANR")&lt;/Q&gt;&lt;R&gt;1&lt;/R&gt;&lt;C&gt;1&lt;/C&gt;&lt;D xsi:type="xsd:double"&gt;14.6996288865786&lt;/D&gt;&lt;/FQL&gt;&lt;FQL&gt;&lt;Q&gt;EWG^FMA_EVAL_EBITDA(NTMA,0,,,"PORTAGG","MEANR")&lt;/Q&gt;&lt;R&gt;1&lt;/R&gt;&lt;C&gt;1&lt;/C&gt;&lt;D xsi:type="xsd:double"&gt;8.8229742415721&lt;/D&gt;&lt;/FQL&gt;&lt;FQL&gt;&lt;Q&gt;EWG^FG_FCF_YIELD_NTM(0)&lt;/Q&gt;&lt;R&gt;1&lt;/R&gt;&lt;C&gt;1&lt;/C&gt;&lt;D xsi:type="xsd:double"&gt;5.62638961324891&lt;/D&gt;&lt;/FQL&gt;&lt;FQL&gt;&lt;Q&gt;EWG^FMA_DIV_YLD(NTMA,NOW,NOW,M,"PORTAGG","MEANR")&lt;/Q&gt;&lt;R&gt;1&lt;/R&gt;&lt;C&gt;1&lt;/C&gt;&lt;D xsi:type="xsd:double"&gt;3.18327234619462&lt;/D&gt;&lt;/FQL&gt;&lt;FQL&gt;&lt;Q&gt;EWG^FMA_PE(NTMA,0,,,"PORTAGG","MEANR")&lt;/Q&gt;&lt;R&gt;1&lt;/R&gt;&lt;C&gt;1&lt;/C&gt;&lt;D xsi:type="xsd:double"&gt;12.8348380089753&lt;/D&gt;&lt;/FQL&gt;&lt;FQL&gt;&lt;Q&gt;EWG^FMA_PE(LTM,0,,,"PORTAGG","MEANR")&lt;/Q&gt;&lt;R&gt;1&lt;/R&gt;&lt;C&gt;1&lt;/C&gt;&lt;D xsi:type="xsd:double"&gt;16.006495714132&lt;/D&gt;&lt;/FQL&gt;&lt;FQL&gt;&lt;Q&gt;EWG^JULIAN(FMA_DIV_YLD(NTMA,NOW,NOW,M,"PORTAGG","MEANR").DATES)&lt;/Q&gt;&lt;R&gt;1&lt;/R&gt;&lt;C&gt;1&lt;/C&gt;&lt;D xsi:type="xsd:long"&gt;45565&lt;/D&gt;&lt;/FQL&gt;&lt;FQL&gt;&lt;Q&gt;EWC^FMA_EVAL_EBIT(LTMA,NOW,NOW,M,"PORTAGG","MEANR")&lt;/Q&gt;&lt;R&gt;1&lt;/R&gt;&lt;C&gt;1&lt;/C&gt;&lt;D xsi:type="xsd:double"&gt;16.2947148318906&lt;/D&gt;&lt;/FQL&gt;&lt;FQL&gt;&lt;Q&gt;EWC^FMA_EVAL_EBITDA(NTMA,0,,,"PORTAGG","MEANR")&lt;/Q&gt;&lt;R&gt;1&lt;/R&gt;&lt;C&gt;1&lt;/C&gt;&lt;D xsi:type="xsd:double"&gt;9.98244161533762&lt;/D&gt;&lt;/FQL&gt;&lt;FQL&gt;&lt;Q&gt;EWC^FG_FCF_YIELD_NTM(0)&lt;/Q&gt;&lt;R&gt;1&lt;/R&gt;&lt;C&gt;1&lt;/C&gt;&lt;D xsi:type="xsd:double"&gt;4.76316517860281&lt;/D&gt;&lt;/FQL&gt;&lt;FQL&gt;&lt;Q&gt;EWC^FMA_DIV_YLD(NTMA,NOW,NOW,M,"PORTAGG","MEANR")&lt;/Q&gt;&lt;R&gt;1&lt;/R&gt;&lt;C&gt;1&lt;/C&gt;&lt;D xsi:type="xsd:double"&gt;3.05960889813768&lt;/D&gt;&lt;/FQL&gt;&lt;FQL&gt;&lt;Q&gt;EWC^FMA_PE(NTMA,0,,,"PORTAGG","MEANR")&lt;/Q&gt;&lt;R&gt;1&lt;/R&gt;&lt;C&gt;1&lt;/C&gt;&lt;D xsi:type="xsd:double"&gt;15.1477767925165&lt;/D&gt;&lt;/FQL&gt;&lt;FQL&gt;&lt;Q&gt;EWC^FMA_PE(LTM,0,,,"PORTAGG","MEANR")&lt;/Q&gt;&lt;R&gt;1&lt;/R&gt;&lt;C&gt;1&lt;/C&gt;&lt;D xsi:type="xsd:double"&gt;19.1888822164518&lt;/D&gt;&lt;/FQL&gt;&lt;FQL&gt;&lt;Q&gt;EWC^JULIAN(FMA_DIV_YLD(NTMA,NOW,NOW,M,"PORTAGG","MEANR").DATES)&lt;/Q&gt;&lt;R&gt;1&lt;/R&gt;&lt;C&gt;1&lt;/C&gt;&lt;D xsi:type="xsd:long"&gt;45565&lt;/D&gt;&lt;/FQL&gt;&lt;FQL&gt;&lt;Q&gt;EWA^FMA_EVAL_EBIT(LTMA,NOW,NOW,M,"PORTAGG","MEANR")&lt;/Q&gt;&lt;R&gt;1&lt;/R&gt;&lt;C&gt;1&lt;/C&gt;&lt;D xsi:type="xsd:double"&gt;13.4435335898006&lt;/D&gt;&lt;/FQL&gt;&lt;FQL&gt;&lt;Q&gt;EWA^FMA_EVAL_EBITDA(NTMA,0,,,"PORTAGG","MEANR")&lt;/Q&gt;&lt;R&gt;1&lt;/R&gt;&lt;C&gt;1&lt;/C&gt;&lt;D xsi:type="xsd:double"&gt;9.26676632157195&lt;/D&gt;&lt;/FQL&gt;&lt;FQL&gt;&lt;Q&gt;EWA^FG_FCF_YIELD_NTM(0)&lt;/Q&gt;&lt;R&gt;1&lt;/R&gt;&lt;C&gt;1&lt;/C&gt;&lt;D xsi:type="xsd:double"&gt;4.4819954283297&lt;/D&gt;&lt;/FQL&gt;&lt;FQL&gt;&lt;Q&gt;EWA^FMA_DIV_YLD(NTMA,NOW,NOW,M,"PORTAGG","MEANR")&lt;/Q&gt;&lt;R&gt;1&lt;/R&gt;&lt;C&gt;1&lt;/C&gt;&lt;D xsi:type="xsd:double"&gt;3.56200524104349&lt;/D&gt;&lt;/FQL&gt;&lt;FQL&gt;&lt;Q&gt;EWA^FMA_PE(NTMA,0,,,"PORTAGG","MEANR")&lt;/Q&gt;&lt;R&gt;1&lt;/R&gt;&lt;C&gt;1&lt;/C&gt;&lt;D xsi:type="xsd:double"&gt;18.3938682757726&lt;/D&gt;&lt;/FQL&gt;&lt;FQL&gt;&lt;Q&gt;EWA^FMA_PE(LTM,0,,,"PORTAGG","MEANR")&lt;/Q&gt;&lt;R&gt;1&lt;/R&gt;&lt;C&gt;1&lt;/C&gt;&lt;D xsi:type="xsd:double"&gt;19.7134932781463&lt;/D&gt;&lt;/FQL&gt;&lt;FQL&gt;&lt;Q&gt;EWA^JULIAN(FMA_DIV_YLD(NTMA,NOW,NOW,M,"PORTAGG","MEANR").DATES)&lt;/Q&gt;&lt;R&gt;1&lt;/R&gt;&lt;C&gt;1&lt;/C&gt;&lt;D xsi:type="xsd:long"&gt;45565&lt;/D&gt;&lt;/FQL&gt;&lt;FQL&gt;&lt;Q&gt;ENZL^FMA_EVAL_EBIT(LTMA,NOW,NOW,M,"PORTAGG","MEANR")&lt;/Q&gt;&lt;R&gt;1&lt;/R&gt;&lt;C&gt;1&lt;/C&gt;&lt;D xsi:type="xsd:double"&gt;19.7849457837534&lt;/D&gt;&lt;/FQL&gt;&lt;FQL&gt;&lt;Q&gt;ENZL^FMA_EVAL_EBITDA(NTMA,0,,,"PORTAGG","MEANR")&lt;/Q&gt;&lt;R&gt;1&lt;/R&gt;&lt;C&gt;1&lt;/C&gt;&lt;D xsi:type="xsd:double"&gt;12.6630230740037&lt;/D&gt;&lt;/FQL&gt;&lt;FQL&gt;&lt;Q&gt;ENZL^FG_FCF_YIELD_NTM(0)&lt;/Q&gt;&lt;R&gt;1&lt;/R&gt;&lt;C&gt;1&lt;/C&gt;&lt;D xsi:type="xsd:double"&gt;1.91235617449862&lt;/D&gt;&lt;/FQL&gt;&lt;FQL&gt;&lt;Q&gt;ENZL^FMA_DIV_YLD(NTMA,NOW,NOW,M,"PORTAGG","MEANR")&lt;/Q&gt;&lt;R&gt;1&lt;/R&gt;&lt;C&gt;1&lt;/C&gt;&lt;D xsi:type="xsd:double"&gt;3.10558619759125&lt;/D&gt;&lt;/FQL&gt;&lt;FQL&gt;&lt;Q&gt;ENZL^FMA_PE(NTMA,0,,,"PORTAGG","MEANR")&lt;/Q&gt;&lt;R&gt;1&lt;/R&gt;&lt;C&gt;1&lt;/C&gt;&lt;D xsi:type="xsd:double"&gt;23.9859692680043&lt;/D&gt;&lt;/FQL&gt;&lt;FQL&gt;&lt;Q&gt;ENZL^FMA_PE(LTM,0,,,"PORTAGG","MEANR")&lt;/Q&gt;&lt;R&gt;1&lt;/R&gt;&lt;C&gt;1&lt;/C&gt;&lt;D xsi:type="xsd:double"&gt;50.2259006218484&lt;/D&gt;&lt;/FQL&gt;&lt;FQL&gt;&lt;Q&gt;ENZL^JULIAN(FMA_DIV_YLD(NTMA,NOW,NOW,M,"PORTAGG","MEANR").DATES)&lt;/Q&gt;&lt;R&gt;1&lt;/R&gt;&lt;C&gt;1&lt;/C&gt;&lt;D xsi:type="xsd:long"&gt;45565&lt;/D&gt;&lt;/FQL&gt;&lt;FQL&gt;&lt;Q&gt;EWJ^P_PRICE(0)/P_PRICE_HIGH_PR(0,,,USD,,,"PRICE","INTRA","52W")&lt;/Q&gt;&lt;R&gt;1&lt;/R&gt;&lt;C&gt;1&lt;/C&gt;&lt;D xsi:type="xsd:double"&gt;0.9687329&lt;/D&gt;&lt;/FQL&gt;&lt;FQL&gt;&lt;Q&gt;VGK^P_PRICE(0)/P_PRICE_HIGH_PR(0,,,USD,,,"PRICE","INTRA","52W")&lt;/Q&gt;&lt;R&gt;1&lt;/R&gt;&lt;C&gt;1&lt;/C&gt;&lt;D xsi:type="xsd:double"&gt;0.961293&lt;/D&gt;&lt;/FQL&gt;&lt;FQL&gt;&lt;Q&gt;TLT^P_PRICE(0)/P_PRICE_HIGH_PR(0,,,USD,,,"PRICE","INTRA","52W")&lt;/Q&gt;&lt;R&gt;1&lt;/R&gt;&lt;C&gt;1&lt;/C&gt;&lt;D xsi:type="xsd:double"&gt;0.95179063&lt;/D&gt;&lt;/FQL&gt;&lt;FQL&gt;&lt;Q&gt;TLT^FG_TOTAL_RETURNC(0,-6AM)&lt;/Q&gt;&lt;R&gt;1&lt;/R&gt;&lt;C&gt;1&lt;/C&gt;&lt;D xsi:type="xsd:double"&gt;7.226801&lt;/D&gt;&lt;/FQL&gt;&lt;FQL&gt;&lt;Q&gt;TLT^FG_TOTAL_RETURNC(0,-3AM)&lt;/Q&gt;&lt;R&gt;1&lt;/R&gt;&lt;C&gt;1&lt;/C&gt;&lt;D xsi:type="xsd:double"&gt;6.4077377&lt;/D&gt;&lt;/FQL&gt;&lt;FQL&gt;&lt;Q&gt;TLT^FG_TOTAL_RETURNC(0,-1AM)&lt;/Q&gt;&lt;R&gt;1&lt;/R&gt;&lt;C&gt;1&lt;/C&gt;&lt;D xsi:type="xsd:double"&gt;-0.715971&lt;/D&gt;&lt;/FQL&gt;&lt;FQL&gt;&lt;Q&gt;USO^P_PRICE(0)/P_PRICE_HIGH_PR(0,,,USD,,,"PRICE","INTRA","52W")&lt;/Q&gt;&lt;R&gt;1&lt;/R&gt;&lt;C&gt;1&lt;/C&gt;&lt;D xsi:type="xsd:double"&gt;0.9079247&lt;/D&gt;&lt;/FQL&gt;&lt;FQL&gt;&lt;Q&gt;USO^FG_TOTAL_RETURNC(0,-6AM)&lt;/Q&gt;&lt;R&gt;1&lt;/R&gt;&lt;C&gt;1&lt;/C&gt;&lt;D xsi:type="xsd:double"&gt;-6.7938447&lt;/D&gt;&lt;/FQL&gt;&lt;FQL&gt;&lt;Q&gt;USO^FG_TOTAL_RETURNC(0,-3AM)&lt;/Q&gt;&lt;R&gt;1&lt;/R&gt;&lt;C&gt;1&lt;/C&gt;&lt;D xsi:type="xsd:double"&gt;-6.8167744&lt;/D&gt;&lt;/FQL&gt;&lt;FQL&gt;&lt;Q&gt;USO^FG_TOTAL_RETURNC(0,-1AM)&lt;/Q&gt;&lt;R&gt;1&lt;/R&gt;&lt;C&gt;1&lt;/C&gt;&lt;D xsi:type="xsd:double"&gt;6.526947&lt;/D&gt;&lt;/FQL&gt;&lt;FQL&gt;&lt;Q&gt;DBA^P_PRICE(0)/P_PRICE_HIGH_PR(0,,,USD,,,"PRICE","INTRA","52W")&lt;/Q&gt;&lt;R&gt;1&lt;/R&gt;&lt;C&gt;1&lt;/C&gt;&lt;D xsi:type="xsd:double"&gt;0.9428044&lt;/D&gt;&lt;/FQL&gt;&lt;FQL&gt;&lt;Q&gt;DBA^FG_TOTAL_RETURNC(0,-6AM)&lt;/Q&gt;&lt;R&gt;1&lt;/R&gt;&lt;C&gt;1&lt;/C&gt;&lt;D xsi:type="xsd:double"&gt;3.441286&lt;/D&gt;&lt;/FQL&gt;&lt;FQL&gt;&lt;Q&gt;DBA^FG_TOTAL_RETURNC(0,-3AM)&lt;/Q&gt;&lt;R&gt;1&lt;/R&gt;&lt;C&gt;1&lt;/C&gt;&lt;D xsi:type="xsd:double"&gt;6.3254237&lt;/D&gt;&lt;/FQL&gt;&lt;FQL&gt;&lt;Q&gt;DBA^FG_TOTAL_RETURNC(0,-1AM)&lt;/Q&gt;&lt;R&gt;1&lt;/R&gt;&lt;C&gt;1&lt;/C&gt;&lt;D xsi:type="xsd:double"&gt;3.525114&lt;/D&gt;&lt;/FQL&gt;&lt;FQL&gt;&lt;Q&gt;QQQ^P_PRICE(0)/P_PRICE_HIGH_PR(0,,,USD,,,"PRICE","INTRA","52W")&lt;/Q&gt;&lt;R&gt;1&lt;/R&gt;&lt;C&gt;1&lt;/C&gt;&lt;D xsi:type="xsd:double"&gt;0.95644665&lt;/D&gt;&lt;/FQL&gt;&lt;FQL&gt;&lt;Q&gt;UUP^P_PRICE(0)/P_PRICE_HIGH_PR(0,,,USD,,,"PRICE","INTRA","52W")&lt;/Q&gt;&lt;R&gt;1&lt;/R&gt;&lt;C&gt;1&lt;/C&gt;&lt;D xsi:type="xsd:double"&gt;0.94513506&lt;/D&gt;&lt;/FQL&gt;&lt;FQL&gt;&lt;Q&gt;UUP^FG_TOTAL_RETURNC(0,-6AM)&lt;/Q&gt;&lt;R&gt;1&lt;/R&gt;&lt;C&gt;1&lt;/C&gt;&lt;D xsi:type="xsd:double"&gt;0.70647&lt;/D&gt;&lt;/FQL&gt;&lt;FQL&gt;&lt;Q&gt;UUP^FG_TOTAL_RETURNC(0,-3AM)&lt;/Q&gt;&lt;R&gt;1&lt;/R&gt;&lt;C&gt;1&lt;/C&gt;&lt;D xsi:type="xsd:double"&gt;-1.6218066&lt;/D&gt;&lt;/FQL&gt;&lt;FQL&gt;&lt;Q&gt;UUP^FG_TOTAL_RETURNC(0,-1AM)&lt;/Q&gt;&lt;R&gt;1&lt;/R&gt;&lt;C&gt;1&lt;/C&gt;&lt;D xsi:type="xsd:double"&gt;0.6709099&lt;/D&gt;&lt;/FQL&gt;&lt;FQL&gt;&lt;Q&gt;GLD^P_PRICE(0)/P_PRICE_HIGH_PR(0,,,USD,,,"PRICE","INTRA","52W")&lt;/Q&gt;&lt;R&gt;1&lt;/R&gt;&lt;C&gt;1&lt;/C&gt;&lt;D xsi:type="xsd:double"&gt;0.9924001&lt;/D&gt;&lt;/FQL&gt;&lt;FQL&gt;&lt;Q&gt;GLD^FG_TOTAL_RETURNC(0,-6AM)&lt;/Q&gt;&lt;R&gt;1&lt;/R&gt;&lt;C&gt;1&lt;/C&gt;&lt;D xsi:type="xsd:double"&gt;15.394378&lt;/D&gt;&lt;/FQL&gt;&lt;FQL&gt;&lt;Q&gt;GLD^FG_TOTAL_RETURNC(0,-3AM)&lt;/Q&gt;&lt;R&gt;1&lt;/R&gt;&lt;C&gt;1&lt;/C&gt;&lt;D xsi:type="xsd:double"&gt;12.615252&lt;/D&gt;&lt;/FQL&gt;&lt;FQL&gt;&lt;Q&gt;GLD^FG_TOTAL_RETURNC(0,-1AM)&lt;/Q&gt;&lt;R&gt;1&lt;/R&gt;&lt;C&gt;1&lt;/C&gt;&lt;D xsi:type="xsd:double"&gt;6.60038&lt;/D&gt;&lt;/FQL&gt;&lt;FQL&gt;&lt;Q&gt;SPY^P_PRICE(0)/P_PRICE_HIGH_PR(0,,,USD,,,"PRICE","INTRA","52W")&lt;/Q&gt;&lt;R&gt;1&lt;/R&gt;&lt;C&gt;1&lt;/C&gt;&lt;D xsi:type="xsd:double"&gt;0.9880113&lt;/D&gt;&lt;/FQL&gt;&lt;FQL&gt;&lt;Q&gt;VWO^P_PRICE(0)/P_PRICE_HIGH_PR(0,,,USD,,,"PRICE","INTRA","52W")&lt;/Q&gt;&lt;R&gt;1&lt;/R&gt;&lt;C&gt;1&lt;/C&gt;&lt;D xsi:type="xsd:double"&gt;0.98496246&lt;/D&gt;&lt;/FQL&gt;&lt;FQL&gt;&lt;Q&gt;DUMMY^ECON_DATE(45447,,, 'MM/YYYY')&lt;/Q&gt;&lt;R&gt;1&lt;/R&gt;&lt;C&gt;1&lt;/C&gt;&lt;D xsi:type="xsd:string"&gt;06/2024&lt;/D&gt;&lt;/FQL&gt;&lt;FQL&gt;&lt;Q&gt;DUMMY^ECON_DATE(45539,,, 'MM/YYYY')&lt;/Q&gt;&lt;R&gt;1&lt;/R&gt;&lt;C&gt;1&lt;/C&gt;&lt;D xsi:type="xsd:string"&gt;09/2024&lt;/D&gt;&lt;/FQL&gt;&lt;FQL&gt;&lt;Q&gt;DUMMY^ECON_EXPR_DATA('FDS_ECON[PMIDMMANHE]',09/2024,,Q)&lt;/Q&gt;&lt;R&gt;1&lt;/R&gt;&lt;C&gt;1&lt;/C&gt;&lt;D xsi:type="xsd:double"&gt;48.213497&lt;/D&gt;&lt;/FQL&gt;&lt;FQL&gt;&lt;Q&gt;DUMMY^ECON_EXPR_DATA('FDS_ECON[PMIDMMANHE]',06/2024,,Q)&lt;/Q&gt;&lt;R&gt;1&lt;/R&gt;&lt;C&gt;1&lt;/C&gt;&lt;D xsi:type="xsd:double"&gt;49.418636&lt;/D&gt;&lt;/FQL&gt;&lt;FQL&gt;&lt;Q&gt;DUMMY^ECON_EXPR_DATA('FDS_ECON[NTCPMIMFGSA@EME]',09/2024,,Q)&lt;/Q&gt;&lt;R&gt;1&lt;/R&gt;&lt;C&gt;1&lt;/C&gt;&lt;D xsi:type="xsd:double"&gt;50.418407&lt;/D&gt;&lt;/FQL&gt;&lt;FQL&gt;&lt;Q&gt;DUMMY^ECON_EXPR_DATA('FDS_ECON[NTCPMIMFGSA@EME]',06/2024,,Q)&lt;/Q&gt;&lt;R&gt;1&lt;/R&gt;&lt;C&gt;1&lt;/C&gt;&lt;D xsi:type="xsd:double"&gt;51.999874&lt;/D&gt;&lt;/FQL&gt;&lt;FQL&gt;&lt;Q&gt;DUMMY^ECON_EXPR_DATA('FDS_ECON[NTCPMIMFGSA@NZ]',09/2024,,Q)&lt;/Q&gt;&lt;R&gt;0&lt;/R&gt;&lt;C&gt;0&lt;/C&gt;&lt;/FQL&gt;&lt;FQL&gt;&lt;Q&gt;DUMMY^ECON_EXPR_DATA('FDS_ECON[NTCPMIMFGSA@NZ]',06/2024,,Q)&lt;/Q&gt;&lt;R&gt;1&lt;/R&gt;&lt;C&gt;1&lt;/C&gt;&lt;D xsi:type="xsd:double"&gt;45.525333&lt;/D&gt;&lt;/FQL&gt;&lt;FQL&gt;&lt;Q&gt;DUMMY^ECON_EXPR_DATA('FDS_ECON[NTCPMIMFGSA@AU]',09/2024,,Q)&lt;/Q&gt;&lt;R&gt;1&lt;/R&gt;&lt;C&gt;1&lt;/C&gt;&lt;D xsi:type="xsd:double"&gt;47.56789&lt;/D&gt;&lt;/FQL&gt;&lt;FQL&gt;&lt;Q&gt;DUMMY^ECON_EXPR_DATA('FDS_ECON[NTCPMIMFGSA@AU]',06/2024,,Q)&lt;/Q&gt;&lt;R&gt;1&lt;/R&gt;&lt;C&gt;1&lt;/C&gt;&lt;D xsi:type="xsd:double"&gt;48.811333&lt;/D&gt;&lt;/FQL&gt;&lt;FQL&gt;&lt;Q&gt;DUMMY^ECON_EXPR_DATA('FDS_ECON[NTCPMIMFGSA@CA]',09/2024,,Q)&lt;/Q&gt;&lt;R&gt;1&lt;/R&gt;&lt;C&gt;1&lt;/C&gt;&lt;D xsi:type="xsd:double"&gt;49.193687&lt;/D&gt;&lt;/FQL&gt;&lt;FQL&gt;&lt;Q&gt;DUMMY^ECON_EXPR_DATA('FDS_ECON[NTCPMIMFGSA@CA]',06/2024,,Q)&lt;/Q&gt;&lt;R&gt;1&lt;/R&gt;&lt;C&gt;1&lt;/C&gt;&lt;D xsi:type="xsd:double"&gt;49.331886&lt;/D&gt;&lt;/FQL&gt;&lt;FQL&gt;&lt;Q&gt;DUMMY^ECON_EXPR_DATA('FDS_ECON[NTCPMIMFGSA@DE]',09/2024,,Q)&lt;/Q&gt;&lt;R&gt;1&lt;/R&gt;&lt;C&gt;1&lt;/C&gt;&lt;D xsi:type="xsd:double"&gt;42.06591&lt;/D&gt;&lt;/FQL&gt;&lt;FQL&gt;&lt;Q&gt;DUMMY^ECON_EXPR_DATA('FDS_ECON[NTCPMIMFGSA@DE]',06/2024,,Q)&lt;/Q&gt;&lt;R&gt;1&lt;/R&gt;&lt;C&gt;1&lt;/C&gt;&lt;D xsi:type="xsd:double"&gt;43.782&lt;/D&gt;&lt;/FQL&gt;&lt;FQL&gt;&lt;Q&gt;DUMMY^ECON_EXPR_DATA('FDS_ECON[NTCPMIMFGSA@JP]',09/2024,,Q)&lt;/Q&gt;&lt;R&gt;1&lt;/R&gt;&lt;C&gt;1&lt;/C&gt;&lt;D xsi:type="xsd:double"&gt;49.560066&lt;/D&gt;&lt;/FQL&gt;&lt;FQL&gt;&lt;Q&gt;DUMMY^ECON_EXPR_DATA('FDS_ECON[NTCPMIMFGSA@JP]',06/2024,,Q)&lt;/Q&gt;&lt;R&gt;1&lt;/R&gt;&lt;C&gt;1&lt;/C&gt;&lt;D xsi:type="xsd:double"&gt;49.991356&lt;/D&gt;&lt;/FQL&gt;&lt;FQL&gt;&lt;Q&gt;DUMMY^ECON_EXPR_DATA('FDS_ECON[NTCPMIMFGSA@CH]',09/2024,,Q)&lt;/Q&gt;&lt;R&gt;1&lt;/R&gt;&lt;C&gt;1&lt;/C&gt;&lt;D xsi:type="xsd:double"&gt;47.458324&lt;/D&gt;&lt;/FQL&gt;&lt;FQL&gt;&lt;Q&gt;DUMMY^ECON_EXPR_DATA('FDS_ECON[NTCPMIMFGSA@CH]',06/2024,,Q)&lt;/Q&gt;&lt;R&gt;1&lt;/R&gt;&lt;C&gt;1&lt;/C&gt;&lt;D xsi:type="xsd:double"&gt;43.896877&lt;/D&gt;&lt;/FQL&gt;&lt;FQL&gt;&lt;Q&gt;DUMMY^ECON_EXPR_DATA('FDS_ECON[NTCPMIMFGSA@GB]',09/2024,,Q)&lt;/Q&gt;&lt;R&gt;1&lt;/R&gt;&lt;C&gt;1&lt;/C&gt;&lt;D xsi:type="xsd:double"&gt;52.055466&lt;/D&gt;&lt;/FQL&gt;&lt;FQL&gt;&lt;Q&gt;DUMMY^ECON_EXPR_DATA('FDS_ECON[NTCPMIMFGSA@GB]',06/2024,,Q)&lt;/Q&gt;&lt;R&gt;1&lt;/R&gt;&lt;C&gt;1&lt;/C&gt;&lt;D xsi:type="xsd:double"&gt;50.395269999999996&lt;/D&gt;&lt;/FQL&gt;&lt;FQL&gt;&lt;Q&gt;DUMMY^ECON_EXPR_DATA('FDS_ECON[NTCPMIMFGMESA@US]',09/2024,,Q)&lt;/Q&gt;&lt;R&gt;1&lt;/R&gt;&lt;C&gt;1&lt;/C&gt;&lt;D xsi:type="xsd:double"&gt;48.26175&lt;/D&gt;&lt;/FQL&gt;&lt;FQL&gt;&lt;Q&gt;DUMMY^ECON_EXPR_DATA('FDS_ECON[NTCPMIMFGMESA@US]',06/2024,,Q)&lt;/Q&gt;&lt;R&gt;1&lt;/R&gt;&lt;C&gt;1&lt;/C&gt;&lt;D xsi:type="xsd:double"&gt;50.939392&lt;/D&gt;&lt;/FQL&gt;&lt;FQL&gt;&lt;Q&gt;DUMMY^ECON_EXPR_DATA('FDS_ECON[NTCPMIMFGSA@FR]',09/2024,,Q)&lt;/Q&gt;&lt;R&gt;1&lt;/R&gt;&lt;C&gt;1&lt;/C&gt;&lt;D xsi:type="xsd:double"&gt;44.15712&lt;/D&gt;&lt;/FQL&gt;&lt;FQL&gt;&lt;Q&gt;DUMMY^ECON_EXPR_DATA('FDS_ECON[NTCPMIMFGSA@FR]',06/2024,,Q)&lt;/Q&gt;&lt;R&gt;1&lt;/R&gt;&lt;C&gt;1&lt;/C&gt;&lt;D xsi:type="xsd:double"&gt;45.684513&lt;/D&gt;&lt;/FQL&gt;&lt;FQL&gt;&lt;Q&gt;DUMMY^ECON_EXPR_DATA('FDS_ECON[NTCPMIMFGSA@NL]',09/2024,,Q)&lt;/Q&gt;&lt;R&gt;1&lt;/R&gt;&lt;C&gt;1&lt;/C&gt;&lt;D xsi:type="xsd:double"&gt;48.353455&lt;/D&gt;&lt;/FQL&gt;&lt;FQL&gt;&lt;Q&gt;DUMMY^ECON_EXPR_DATA('FDS_ECON[NTCPMIMFGSA@NL]',06/2024,,Q)&lt;/Q&gt;&lt;R&gt;1&lt;/R&gt;&lt;C&gt;1&lt;/C&gt;&lt;D xsi:type="xsd:double"&gt;51.49388&lt;/D&gt;&lt;/FQL&gt;&lt;FQL&gt;&lt;Q&gt;DUMMY^ECON_EXPR_DATA('FDS_ECON[]',09/2024,,Q)&lt;/Q&gt;&lt;R&gt;0&lt;/R&gt;&lt;C&gt;0&lt;/C&gt;&lt;/FQL&gt;&lt;FQL&gt;&lt;Q&gt;DUMMY^ECON_EXPR_DATA('FDS_ECON[]',06/2024,,Q)&lt;/Q&gt;&lt;R&gt;0&lt;/R&gt;&lt;C&gt;0&lt;/C&gt;&lt;/FQL&gt;&lt;FQL&gt;&lt;Q&gt;DUMMY^ECON_EXPR_DATA('FDS_ECON[NTCPMIMFGSA@IT]',09/2024,,Q)&lt;/Q&gt;&lt;R&gt;1&lt;/R&gt;&lt;C&gt;1&lt;/C&gt;&lt;D xsi:type="xsd:double"&gt;48.375774&lt;/D&gt;&lt;/FQL&gt;&lt;FQL&gt;&lt;Q&gt;DUMMY^ECON_EXPR_DATA('FDS_ECON[NTCPMIMFGSA@IT]',06/2024,,Q)&lt;/Q&gt;&lt;R&gt;1&lt;/R&gt;&lt;C&gt;1&lt;/C&gt;&lt;D xsi:type="xsd:double"&gt;46.215786&lt;/D&gt;&lt;/FQL&gt;&lt;/Schema&gt;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<sst xmlns="http://schemas.openxmlformats.org/spreadsheetml/2006/main" count="2053" uniqueCount="915">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</sst>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H20" sqref="H20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5" thickBot="1" x14ac:dyDescent="0.4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5" thickBot="1" x14ac:dyDescent="0.4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4.6666909023045614E-2</v>
      </c>
      <c r="O13" s="55">
        <f>N13*(1+N9)</f>
        <v>4.9466923564428354E-2</v>
      </c>
    </row>
    <row r="14" spans="3:19" x14ac:dyDescent="0.3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3.7336375408103285E-2</v>
      </c>
      <c r="O14" s="58"/>
    </row>
    <row r="15" spans="3:19" x14ac:dyDescent="0.3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5" thickBot="1" x14ac:dyDescent="0.4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0.05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3.8487E-2</v>
      </c>
      <c r="O17" s="58"/>
    </row>
    <row r="18" spans="3:22" x14ac:dyDescent="0.3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3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5" thickBot="1" x14ac:dyDescent="0.4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-3.3330909769543893E-3</v>
      </c>
      <c r="O21" s="57">
        <f>O13-O16</f>
        <v>4.4669235644283559E-3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8.1799090230456131E-3</v>
      </c>
      <c r="O22" s="57"/>
    </row>
    <row r="23" spans="3:22" x14ac:dyDescent="0.3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5" thickBot="1" x14ac:dyDescent="0.4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35">
      <c r="D27" s="189" t="s">
        <v>82</v>
      </c>
      <c r="E27" s="66">
        <v>0.6</v>
      </c>
      <c r="F27" s="196">
        <v>0.4</v>
      </c>
    </row>
    <row r="28" spans="3:22" ht="15" thickBot="1" x14ac:dyDescent="0.4">
      <c r="D28" s="191" t="s">
        <v>81</v>
      </c>
      <c r="E28" s="17">
        <f>E27*$I$34</f>
        <v>0</v>
      </c>
      <c r="F28" s="151">
        <f>F27*$I$34</f>
        <v>0</v>
      </c>
    </row>
    <row r="29" spans="3:22" ht="15" thickBot="1" x14ac:dyDescent="0.4"/>
    <row r="30" spans="3:22" x14ac:dyDescent="0.35">
      <c r="C30" t="s">
        <v>859</v>
      </c>
      <c r="D30" s="15" t="s">
        <v>860</v>
      </c>
      <c r="E30" s="198">
        <v>0.2</v>
      </c>
    </row>
    <row r="31" spans="3:22" ht="15" thickBot="1" x14ac:dyDescent="0.4">
      <c r="D31" s="12"/>
      <c r="E31" s="151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912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913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778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815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886</v>
      </c>
    </row>
    <row r="7" spans="3:9" ht="15" thickBot="1" x14ac:dyDescent="0.4">
      <c r="D7" t="s">
        <v>887</v>
      </c>
      <c r="H7" s="1" t="s">
        <v>902</v>
      </c>
    </row>
    <row r="8" spans="3:9" ht="15" thickBot="1" x14ac:dyDescent="0.4">
      <c r="C8" s="62" t="s">
        <v>6</v>
      </c>
      <c r="D8" s="10">
        <f>'Asset class'!S3</f>
        <v>2</v>
      </c>
      <c r="E8" s="11">
        <f t="shared" ref="E8:E17" si="0">D8</f>
        <v>2</v>
      </c>
    </row>
    <row r="9" spans="3:9" x14ac:dyDescent="0.35">
      <c r="C9" s="56" t="s">
        <v>1</v>
      </c>
      <c r="D9">
        <f>'Asset class'!S4</f>
        <v>3</v>
      </c>
      <c r="E9" s="58">
        <f t="shared" si="0"/>
        <v>3</v>
      </c>
      <c r="H9" s="62" t="s">
        <v>903</v>
      </c>
      <c r="I9" s="171">
        <f>Timing!L22</f>
        <v>0.61538461538461542</v>
      </c>
    </row>
    <row r="10" spans="3:9" x14ac:dyDescent="0.35">
      <c r="C10" s="56" t="s">
        <v>888</v>
      </c>
      <c r="D10">
        <f>'Asset class'!S5</f>
        <v>1</v>
      </c>
      <c r="E10" s="58">
        <f t="shared" si="0"/>
        <v>1</v>
      </c>
      <c r="H10" s="56" t="s">
        <v>904</v>
      </c>
      <c r="I10" s="57">
        <f>Timing!M22</f>
        <v>0.92307692307692313</v>
      </c>
    </row>
    <row r="11" spans="3:9" ht="15" thickBot="1" x14ac:dyDescent="0.4">
      <c r="C11" s="56" t="s">
        <v>889</v>
      </c>
      <c r="D11">
        <f>'Asset class'!S6</f>
        <v>9</v>
      </c>
      <c r="E11" s="58">
        <f t="shared" si="0"/>
        <v>9</v>
      </c>
      <c r="H11" s="12" t="s">
        <v>905</v>
      </c>
      <c r="I11" s="59">
        <f>Timing!N22</f>
        <v>0.92307692307692313</v>
      </c>
    </row>
    <row r="12" spans="3:9" x14ac:dyDescent="0.35">
      <c r="C12" s="56" t="s">
        <v>51</v>
      </c>
      <c r="D12">
        <f>'Asset class'!S7</f>
        <v>7</v>
      </c>
      <c r="E12" s="58">
        <f t="shared" si="0"/>
        <v>7</v>
      </c>
    </row>
    <row r="13" spans="3:9" x14ac:dyDescent="0.35">
      <c r="C13" s="56" t="s">
        <v>890</v>
      </c>
      <c r="D13">
        <f>'Asset class'!S8</f>
        <v>8</v>
      </c>
      <c r="E13" s="58">
        <f t="shared" si="0"/>
        <v>8</v>
      </c>
    </row>
    <row r="14" spans="3:9" ht="15" thickBot="1" x14ac:dyDescent="0.4">
      <c r="C14" s="12" t="s">
        <v>457</v>
      </c>
      <c r="D14">
        <f>'Asset class'!S9</f>
        <v>10</v>
      </c>
      <c r="E14" s="14">
        <f t="shared" si="0"/>
        <v>10</v>
      </c>
    </row>
    <row r="15" spans="3:9" ht="15" thickBot="1" x14ac:dyDescent="0.4">
      <c r="C15" s="144" t="s">
        <v>891</v>
      </c>
      <c r="D15">
        <f>'Asset class'!S10</f>
        <v>4</v>
      </c>
      <c r="E15" s="14">
        <f t="shared" si="0"/>
        <v>4</v>
      </c>
    </row>
    <row r="16" spans="3:9" ht="15" thickBot="1" x14ac:dyDescent="0.4">
      <c r="C16" s="178" t="s">
        <v>536</v>
      </c>
      <c r="D16">
        <f>'Asset class'!S11</f>
        <v>5</v>
      </c>
      <c r="E16" s="14">
        <f t="shared" si="0"/>
        <v>5</v>
      </c>
    </row>
    <row r="17" spans="2:15" ht="15" thickBot="1" x14ac:dyDescent="0.4">
      <c r="C17" s="148" t="s">
        <v>46</v>
      </c>
      <c r="D17">
        <f>'Asset class'!S12</f>
        <v>6</v>
      </c>
      <c r="E17" s="14">
        <f t="shared" si="0"/>
        <v>6</v>
      </c>
    </row>
    <row r="20" spans="2:15" x14ac:dyDescent="0.35">
      <c r="C20" s="1" t="s">
        <v>892</v>
      </c>
    </row>
    <row r="22" spans="2:15" ht="15" thickBot="1" x14ac:dyDescent="0.4">
      <c r="C22" s="1" t="s">
        <v>893</v>
      </c>
      <c r="D22" s="1"/>
      <c r="E22" s="1" t="s">
        <v>894</v>
      </c>
    </row>
    <row r="23" spans="2:15" x14ac:dyDescent="0.35">
      <c r="B23" s="62" t="s">
        <v>1</v>
      </c>
      <c r="C23" s="170">
        <f>'Momnetum ranking'!H22</f>
        <v>0.29423459244532801</v>
      </c>
      <c r="D23" s="170"/>
      <c r="E23" s="171">
        <f>'Momnetum ranking'!I22</f>
        <v>0.32405566600397612</v>
      </c>
    </row>
    <row r="24" spans="2:15" x14ac:dyDescent="0.35">
      <c r="B24" s="56" t="s">
        <v>51</v>
      </c>
      <c r="C24" s="9">
        <f>'Momnetum ranking'!H10</f>
        <v>0.33333333333333331</v>
      </c>
      <c r="D24" s="9"/>
      <c r="E24" s="57">
        <f>'Momnetum ranking'!I10</f>
        <v>0.25490196078431371</v>
      </c>
    </row>
    <row r="25" spans="2:15" x14ac:dyDescent="0.35">
      <c r="B25" s="56" t="s">
        <v>895</v>
      </c>
      <c r="C25" s="9">
        <f>'Momnetum ranking'!H23</f>
        <v>0.45283018867924529</v>
      </c>
      <c r="D25" s="9"/>
      <c r="E25" s="57">
        <f>'Momnetum ranking'!I23</f>
        <v>0.35849056603773582</v>
      </c>
    </row>
    <row r="26" spans="2:15" x14ac:dyDescent="0.35">
      <c r="B26" s="56" t="s">
        <v>46</v>
      </c>
      <c r="C26" s="9">
        <f>'Momnetum ranking'!H21</f>
        <v>0.42713567839195982</v>
      </c>
      <c r="D26" s="9"/>
      <c r="E26" s="57">
        <f>'Momnetum ranking'!I21</f>
        <v>0.38693467336683418</v>
      </c>
    </row>
    <row r="27" spans="2:15" ht="15" thickBot="1" x14ac:dyDescent="0.4">
      <c r="B27" s="12" t="s">
        <v>536</v>
      </c>
      <c r="C27" s="172">
        <f>'Momnetum ranking'!H18</f>
        <v>0.3325545171339564</v>
      </c>
      <c r="D27" s="172"/>
      <c r="E27" s="59">
        <f>'Momnetum ranking'!I18</f>
        <v>0.46728971962616822</v>
      </c>
    </row>
    <row r="28" spans="2:15" x14ac:dyDescent="0.35">
      <c r="B28" s="62" t="s">
        <v>6</v>
      </c>
      <c r="C28" s="170">
        <f>'Momnetum ranking'!H19</f>
        <v>0.2110583866309057</v>
      </c>
      <c r="D28" s="170"/>
      <c r="E28" s="171">
        <f>'Momnetum ranking'!I19</f>
        <v>0.34495564266556633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-0.13473520249221183</v>
      </c>
      <c r="F35" s="5">
        <f>'Momnetum ranking'!K18</f>
        <v>0.63370253164557</v>
      </c>
      <c r="G35" s="9">
        <f>'Momnetum ranking'!Q18</f>
        <v>0.96129299999999995</v>
      </c>
      <c r="H35" s="3">
        <f>'Momnetum ranking'!O18</f>
        <v>2.4023652000000002</v>
      </c>
      <c r="K35">
        <f>_xlfn.RANK.EQ(E35,$E$35:$E$39)</f>
        <v>5</v>
      </c>
      <c r="L35">
        <f>_xlfn.RANK.EQ(F35,$F$35:$F$39)</f>
        <v>3</v>
      </c>
      <c r="M35">
        <f>_xlfn.RANK.EQ(G35,$G$35:$G$39)</f>
        <v>5</v>
      </c>
      <c r="N35">
        <f>_xlfn.RANK.EQ(H35,$H$35:$H$39)</f>
        <v>4</v>
      </c>
      <c r="O35" s="58">
        <f>MEDIAN(K35:N35)</f>
        <v>4.5</v>
      </c>
    </row>
    <row r="36" spans="3:15" x14ac:dyDescent="0.35">
      <c r="C36" s="56" t="s">
        <v>749</v>
      </c>
      <c r="E36" s="9">
        <f>'Momnetum ranking'!J19</f>
        <v>-0.13389725603466063</v>
      </c>
      <c r="F36" s="5">
        <f>'Momnetum ranking'!K19</f>
        <v>0.36883336862163901</v>
      </c>
      <c r="G36" s="9">
        <f>'Momnetum ranking'!Q19</f>
        <v>0.98496245999999998</v>
      </c>
      <c r="H36" s="3">
        <f>'Momnetum ranking'!O19</f>
        <v>8.8288309999999992</v>
      </c>
      <c r="K36">
        <f t="shared" ref="K36:K39" si="1">_xlfn.RANK.EQ(E36,$E$35:$E$39)</f>
        <v>4</v>
      </c>
      <c r="L36">
        <f t="shared" ref="L36:L39" si="2">_xlfn.RANK.EQ(F36,$F$35:$F$39)</f>
        <v>5</v>
      </c>
      <c r="M36">
        <f t="shared" ref="M36:M39" si="3">_xlfn.RANK.EQ(G36,$G$35:$G$39)</f>
        <v>3</v>
      </c>
      <c r="N36">
        <f t="shared" ref="N36:N39" si="4">_xlfn.RANK.EQ(H36,$H$35:$H$39)</f>
        <v>1</v>
      </c>
      <c r="O36" s="58">
        <f t="shared" ref="O36:O39" si="5">MEDIAN(K36:N36)</f>
        <v>3.5</v>
      </c>
    </row>
    <row r="37" spans="3:15" x14ac:dyDescent="0.35">
      <c r="C37" s="56" t="s">
        <v>781</v>
      </c>
      <c r="E37" s="9">
        <f>'Momnetum ranking'!J20</f>
        <v>-8.0622347949080631E-2</v>
      </c>
      <c r="F37" s="5">
        <f>'Momnetum ranking'!K20</f>
        <v>0.70149253731343297</v>
      </c>
      <c r="G37" s="9">
        <f>'Momnetum ranking'!Q20</f>
        <v>0.98510019999999998</v>
      </c>
      <c r="H37" s="3">
        <f>'Momnetum ranking'!O20</f>
        <v>3.6432861999999999</v>
      </c>
      <c r="K37">
        <f t="shared" si="1"/>
        <v>3</v>
      </c>
      <c r="L37">
        <f t="shared" si="2"/>
        <v>2</v>
      </c>
      <c r="M37">
        <f t="shared" si="3"/>
        <v>2</v>
      </c>
      <c r="N37">
        <f t="shared" si="4"/>
        <v>2</v>
      </c>
      <c r="O37" s="58">
        <f t="shared" si="5"/>
        <v>2</v>
      </c>
    </row>
    <row r="38" spans="3:15" x14ac:dyDescent="0.35">
      <c r="C38" s="56" t="s">
        <v>816</v>
      </c>
      <c r="E38" s="9">
        <f>'Momnetum ranking'!J21</f>
        <v>4.0201005025125636E-2</v>
      </c>
      <c r="F38" s="5">
        <f>'Momnetum ranking'!K21</f>
        <v>0.49748743718592997</v>
      </c>
      <c r="G38" s="9">
        <f>'Momnetum ranking'!Q21</f>
        <v>0.96873290000000001</v>
      </c>
      <c r="H38" s="3">
        <f>'Momnetum ranking'!O21</f>
        <v>2.101016</v>
      </c>
      <c r="K38">
        <f t="shared" si="1"/>
        <v>1</v>
      </c>
      <c r="L38">
        <f t="shared" si="2"/>
        <v>4</v>
      </c>
      <c r="M38">
        <f t="shared" si="3"/>
        <v>4</v>
      </c>
      <c r="N38">
        <f t="shared" si="4"/>
        <v>5</v>
      </c>
      <c r="O38" s="58">
        <f t="shared" si="5"/>
        <v>4</v>
      </c>
    </row>
    <row r="39" spans="3:15" ht="15" thickBot="1" x14ac:dyDescent="0.4">
      <c r="C39" s="12" t="s">
        <v>119</v>
      </c>
      <c r="D39" s="13"/>
      <c r="E39" s="172">
        <f>'Momnetum ranking'!J22</f>
        <v>-2.9821073558648103E-2</v>
      </c>
      <c r="F39" s="17">
        <f>'Momnetum ranking'!K22</f>
        <v>0.75800000000000001</v>
      </c>
      <c r="G39" s="172">
        <f>'Momnetum ranking'!Q22</f>
        <v>0.98801130000000004</v>
      </c>
      <c r="H39" s="175">
        <f>'Momnetum ranking'!O22</f>
        <v>3.2829641999999999</v>
      </c>
      <c r="I39" s="13"/>
      <c r="J39" s="13"/>
      <c r="K39" s="13">
        <f t="shared" si="1"/>
        <v>2</v>
      </c>
      <c r="L39" s="13">
        <f t="shared" si="2"/>
        <v>1</v>
      </c>
      <c r="M39" s="13">
        <f t="shared" si="3"/>
        <v>1</v>
      </c>
      <c r="N39" s="13">
        <f t="shared" si="4"/>
        <v>3</v>
      </c>
      <c r="O39" s="14">
        <f t="shared" si="5"/>
        <v>1.5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5" thickBot="1" x14ac:dyDescent="0.4">
      <c r="A2" s="21"/>
      <c r="K2" s="176">
        <v>0.33</v>
      </c>
      <c r="L2" s="176">
        <v>0.33</v>
      </c>
      <c r="M2" s="176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10.3856325</v>
      </c>
      <c r="F3" s="3" cm="1">
        <f t="array" ref="F3">_xll.FDS(C3,"FG_TOTAL_RETURNC(0,-3AM)")</f>
        <v>8.8288309999999992</v>
      </c>
      <c r="G3" s="3" cm="1">
        <f t="array" ref="G3">_xll.FDS(C3,"FG_TOTAL_RETURNC(0,-6AM)")</f>
        <v>15.809965</v>
      </c>
      <c r="H3" s="9" cm="1">
        <f t="array" ref="H3">_xll.FDS(C3,"P_PRICE(0)/P_PRICE_HIGH_PR(0,,,USD,,,""PRICE"",""INTRA"",""52W"")")</f>
        <v>0.98496245999999998</v>
      </c>
      <c r="K3" s="4">
        <f>_xlfn.RANK.EQ(H3,H$3:H$12)</f>
        <v>3</v>
      </c>
      <c r="L3" s="4">
        <f>_xlfn.RANK.EQ(F3,F$3:F$12)</f>
        <v>2</v>
      </c>
      <c r="M3" s="4">
        <f>_xlfn.RANK.EQ(G3,G$3:G$12)</f>
        <v>1</v>
      </c>
      <c r="N3" s="4"/>
      <c r="P3" s="3">
        <f t="shared" ref="P3:P12" si="0">SUMPRODUCT($K$2:$M$2,K3:M3)</f>
        <v>1.98</v>
      </c>
      <c r="Q3">
        <f t="shared" ref="Q3:Q12" si="1">COUNTIF(K3:N3,"&gt;70")</f>
        <v>0</v>
      </c>
      <c r="S3" s="3">
        <f>11-_xlfn.RANK.EQ(P3,$P$3:$P$12)</f>
        <v>2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3.1669735999999999</v>
      </c>
      <c r="F4" s="3" cm="1">
        <f t="array" ref="F4">_xll.FDS(C4,"FG_TOTAL_RETURNC(0,-3AM)")</f>
        <v>3.2829641999999999</v>
      </c>
      <c r="G4" s="3" cm="1">
        <f t="array" ref="G4">_xll.FDS(C4,"FG_TOTAL_RETURNC(0,-6AM)")</f>
        <v>10.010242</v>
      </c>
      <c r="H4" s="9" cm="1">
        <f t="array" ref="H4">_xll.FDS(C4,"P_PRICE(0)/P_PRICE_HIGH_PR(0,,,USD,,,""PRICE"",""INTRA"",""52W"")")</f>
        <v>0.98801130000000004</v>
      </c>
      <c r="I4" s="177"/>
      <c r="K4" s="4">
        <f t="shared" ref="K4:K12" si="3">_xlfn.RANK.EQ(H4,H$3:H$12)</f>
        <v>2</v>
      </c>
      <c r="L4" s="4">
        <f t="shared" ref="L4:M12" si="4">_xlfn.RANK.EQ(F4,F$3:F$12)</f>
        <v>5</v>
      </c>
      <c r="M4" s="4">
        <f t="shared" si="4"/>
        <v>3</v>
      </c>
      <c r="N4" s="4"/>
      <c r="P4" s="3">
        <f t="shared" si="0"/>
        <v>3.3</v>
      </c>
      <c r="Q4">
        <f t="shared" si="1"/>
        <v>0</v>
      </c>
      <c r="S4" s="3">
        <f t="shared" ref="S4:S12" si="5">11-_xlfn.RANK.EQ(P4,$P$3:$P$12)</f>
        <v>3</v>
      </c>
    </row>
    <row r="5" spans="1:19" x14ac:dyDescent="0.35">
      <c r="A5" t="s">
        <v>888</v>
      </c>
      <c r="C5" t="str">
        <f t="shared" si="2"/>
        <v>GLD</v>
      </c>
      <c r="E5" s="3" cm="1">
        <f t="array" ref="E5">_xll.FDS(C5,"FG_TOTAL_RETURNC(0,-1AM)")</f>
        <v>6.6003800000000004</v>
      </c>
      <c r="F5" s="3" cm="1">
        <f t="array" ref="F5">_xll.FDS(C5,"FG_TOTAL_RETURNC(0,-3AM)")</f>
        <v>12.615252</v>
      </c>
      <c r="G5" s="3" cm="1">
        <f t="array" ref="G5">_xll.FDS(C5,"FG_TOTAL_RETURNC(0,-6AM)")</f>
        <v>15.394378</v>
      </c>
      <c r="H5" s="9" cm="1">
        <f t="array" ref="H5">_xll.FDS(C5,"P_PRICE(0)/P_PRICE_HIGH_PR(0,,,USD,,,""PRICE"",""INTRA"",""52W"")")</f>
        <v>0.99240010000000001</v>
      </c>
      <c r="I5" s="177"/>
      <c r="K5" s="4">
        <f t="shared" si="3"/>
        <v>1</v>
      </c>
      <c r="L5" s="4">
        <f t="shared" si="4"/>
        <v>1</v>
      </c>
      <c r="M5" s="4">
        <f t="shared" si="4"/>
        <v>2</v>
      </c>
      <c r="N5" s="4"/>
      <c r="P5" s="3">
        <f t="shared" si="0"/>
        <v>1.32</v>
      </c>
      <c r="Q5">
        <f t="shared" si="1"/>
        <v>0</v>
      </c>
      <c r="S5" s="3">
        <f t="shared" si="5"/>
        <v>1</v>
      </c>
    </row>
    <row r="6" spans="1:19" x14ac:dyDescent="0.35">
      <c r="A6" t="s">
        <v>889</v>
      </c>
      <c r="C6" t="str">
        <f t="shared" si="2"/>
        <v>UUP</v>
      </c>
      <c r="E6" s="3" cm="1">
        <f t="array" ref="E6">_xll.FDS(C6,"FG_TOTAL_RETURNC(0,-1AM)")</f>
        <v>0.67090989999999995</v>
      </c>
      <c r="F6" s="3" cm="1">
        <f t="array" ref="F6">_xll.FDS(C6,"FG_TOTAL_RETURNC(0,-3AM)")</f>
        <v>-1.6218066</v>
      </c>
      <c r="G6" s="3" cm="1">
        <f t="array" ref="G6">_xll.FDS(C6,"FG_TOTAL_RETURNC(0,-6AM)")</f>
        <v>0.70647000000000004</v>
      </c>
      <c r="H6" s="9" cm="1">
        <f t="array" ref="H6">_xll.FDS(C6,"P_PRICE(0)/P_PRICE_HIGH_PR(0,,,USD,,,""PRICE"",""INTRA"",""52W"")")</f>
        <v>0.94513506000000003</v>
      </c>
      <c r="I6" s="177"/>
      <c r="K6" s="4">
        <f t="shared" si="3"/>
        <v>8</v>
      </c>
      <c r="L6" s="4">
        <f t="shared" si="4"/>
        <v>8</v>
      </c>
      <c r="M6" s="4">
        <f t="shared" si="4"/>
        <v>9</v>
      </c>
      <c r="N6" s="4"/>
      <c r="P6" s="3">
        <f t="shared" si="0"/>
        <v>8.25</v>
      </c>
      <c r="Q6">
        <f t="shared" si="1"/>
        <v>0</v>
      </c>
      <c r="S6" s="3">
        <f t="shared" si="5"/>
        <v>9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4.4292689999999997</v>
      </c>
      <c r="F7" s="3" cm="1">
        <f t="array" ref="F7">_xll.FDS(C7,"FG_TOTAL_RETURNC(0,-3AM)")</f>
        <v>-1.7870664999999999</v>
      </c>
      <c r="G7" s="3" cm="1">
        <f t="array" ref="G7">_xll.FDS(C7,"FG_TOTAL_RETURNC(0,-6AM)")</f>
        <v>9.2602729999999998</v>
      </c>
      <c r="H7" s="9" cm="1">
        <f t="array" ref="H7">_xll.FDS(C7,"P_PRICE(0)/P_PRICE_HIGH_PR(0,,,USD,,,""PRICE"",""INTRA"",""52W"")")</f>
        <v>0.95644664999999995</v>
      </c>
      <c r="I7" s="1"/>
      <c r="K7" s="4">
        <f t="shared" si="3"/>
        <v>6</v>
      </c>
      <c r="L7" s="4">
        <f t="shared" si="4"/>
        <v>9</v>
      </c>
      <c r="M7" s="4">
        <f t="shared" si="4"/>
        <v>4</v>
      </c>
      <c r="N7" s="4"/>
      <c r="P7" s="3">
        <f t="shared" si="0"/>
        <v>6.2700000000000005</v>
      </c>
      <c r="Q7">
        <f t="shared" si="1"/>
        <v>0</v>
      </c>
      <c r="S7" s="3">
        <f t="shared" si="5"/>
        <v>7</v>
      </c>
    </row>
    <row r="8" spans="1:19" x14ac:dyDescent="0.35">
      <c r="A8" t="s">
        <v>890</v>
      </c>
      <c r="C8" t="str">
        <f t="shared" si="2"/>
        <v>DBA</v>
      </c>
      <c r="E8" s="3" cm="1">
        <f t="array" ref="E8">_xll.FDS(C8,"FG_TOTAL_RETURNC(0,-1AM)")</f>
        <v>3.5251139999999999</v>
      </c>
      <c r="F8" s="3" cm="1">
        <f t="array" ref="F8">_xll.FDS(C8,"FG_TOTAL_RETURNC(0,-3AM)")</f>
        <v>6.3254237</v>
      </c>
      <c r="G8" s="3" cm="1">
        <f t="array" ref="G8">_xll.FDS(C8,"FG_TOTAL_RETURNC(0,-6AM)")</f>
        <v>3.4412859999999998</v>
      </c>
      <c r="H8" s="9" cm="1">
        <f t="array" ref="H8">_xll.FDS(C8,"P_PRICE(0)/P_PRICE_HIGH_PR(0,,,USD,,,""PRICE"",""INTRA"",""52W"")")</f>
        <v>0.94280439999999999</v>
      </c>
      <c r="I8" s="1"/>
      <c r="K8" s="4">
        <f t="shared" si="3"/>
        <v>9</v>
      </c>
      <c r="L8" s="4">
        <f t="shared" si="4"/>
        <v>4</v>
      </c>
      <c r="M8" s="4">
        <f t="shared" si="4"/>
        <v>7</v>
      </c>
      <c r="N8" s="4"/>
      <c r="P8" s="3">
        <f t="shared" si="0"/>
        <v>6.6</v>
      </c>
      <c r="Q8">
        <f t="shared" si="1"/>
        <v>0</v>
      </c>
      <c r="S8" s="3">
        <f t="shared" si="5"/>
        <v>8</v>
      </c>
    </row>
    <row r="9" spans="1:19" x14ac:dyDescent="0.35">
      <c r="A9" t="s">
        <v>901</v>
      </c>
      <c r="C9" t="str">
        <f t="shared" si="2"/>
        <v>USO</v>
      </c>
      <c r="E9" s="3" cm="1">
        <f t="array" ref="E9">_xll.FDS(C9,"FG_TOTAL_RETURNC(0,-1AM)")</f>
        <v>6.5269469999999998</v>
      </c>
      <c r="F9" s="3" cm="1">
        <f t="array" ref="F9">_xll.FDS(C9,"FG_TOTAL_RETURNC(0,-3AM)")</f>
        <v>-6.8167743999999999</v>
      </c>
      <c r="G9" s="3" cm="1">
        <f t="array" ref="G9">_xll.FDS(C9,"FG_TOTAL_RETURNC(0,-6AM)")</f>
        <v>-6.7938447000000002</v>
      </c>
      <c r="H9" s="9" cm="1">
        <f t="array" ref="H9">_xll.FDS(C9,"P_PRICE(0)/P_PRICE_HIGH_PR(0,,,USD,,,""PRICE"",""INTRA"",""52W"")")</f>
        <v>0.90792470000000003</v>
      </c>
      <c r="I9" s="1"/>
      <c r="K9" s="4">
        <f t="shared" si="3"/>
        <v>10</v>
      </c>
      <c r="L9" s="4">
        <f t="shared" si="4"/>
        <v>10</v>
      </c>
      <c r="M9" s="4">
        <f t="shared" si="4"/>
        <v>10</v>
      </c>
      <c r="N9" s="4"/>
      <c r="P9" s="3">
        <f t="shared" si="0"/>
        <v>9.9</v>
      </c>
      <c r="Q9">
        <f t="shared" si="1"/>
        <v>0</v>
      </c>
      <c r="S9" s="3">
        <f t="shared" si="5"/>
        <v>10</v>
      </c>
    </row>
    <row r="10" spans="1:19" x14ac:dyDescent="0.35">
      <c r="A10" t="s">
        <v>891</v>
      </c>
      <c r="C10" t="str">
        <f t="shared" si="2"/>
        <v>TLT</v>
      </c>
      <c r="E10" s="3" cm="1">
        <f t="array" ref="E10">_xll.FDS(C10,"FG_TOTAL_RETURNC(0,-1AM)")</f>
        <v>-0.71597100000000002</v>
      </c>
      <c r="F10" s="3" cm="1">
        <f t="array" ref="F10">_xll.FDS(C10,"FG_TOTAL_RETURNC(0,-3AM)")</f>
        <v>6.4077377000000002</v>
      </c>
      <c r="G10" s="3" cm="1">
        <f t="array" ref="G10">_xll.FDS(C10,"FG_TOTAL_RETURNC(0,-6AM)")</f>
        <v>7.226801</v>
      </c>
      <c r="H10" s="9" cm="1">
        <f t="array" ref="H10">_xll.FDS(C10,"P_PRICE(0)/P_PRICE_HIGH_PR(0,,,USD,,,""PRICE"",""INTRA"",""52W"")")</f>
        <v>0.95179062999999997</v>
      </c>
      <c r="K10" s="4">
        <f t="shared" si="3"/>
        <v>7</v>
      </c>
      <c r="L10" s="4">
        <f t="shared" si="4"/>
        <v>3</v>
      </c>
      <c r="M10" s="4">
        <f t="shared" si="4"/>
        <v>5</v>
      </c>
      <c r="N10" s="4"/>
      <c r="P10" s="3">
        <f t="shared" si="0"/>
        <v>4.95</v>
      </c>
      <c r="Q10">
        <f t="shared" si="1"/>
        <v>0</v>
      </c>
      <c r="S10" s="3">
        <f t="shared" si="5"/>
        <v>4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-0.20182728999999999</v>
      </c>
      <c r="F11" s="3" cm="1">
        <f t="array" ref="F11">_xll.FDS(C11,"FG_TOTAL_RETURNC(0,-3AM)")</f>
        <v>2.4023652000000002</v>
      </c>
      <c r="G11" s="3" cm="1">
        <f t="array" ref="G11">_xll.FDS(C11,"FG_TOTAL_RETURNC(0,-6AM)")</f>
        <v>5.0933359999999999</v>
      </c>
      <c r="H11" s="9" cm="1">
        <f t="array" ref="H11">_xll.FDS(C11,"P_PRICE(0)/P_PRICE_HIGH_PR(0,,,USD,,,""PRICE"",""INTRA"",""52W"")")</f>
        <v>0.96129299999999995</v>
      </c>
      <c r="K11" s="4">
        <f t="shared" si="3"/>
        <v>5</v>
      </c>
      <c r="L11" s="4">
        <f t="shared" si="4"/>
        <v>6</v>
      </c>
      <c r="M11" s="4">
        <f t="shared" si="4"/>
        <v>6</v>
      </c>
      <c r="P11" s="3">
        <f t="shared" si="0"/>
        <v>5.6099999999999994</v>
      </c>
      <c r="Q11">
        <f t="shared" si="1"/>
        <v>0</v>
      </c>
      <c r="S11" s="3">
        <f t="shared" si="5"/>
        <v>5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8.4638595999999996E-2</v>
      </c>
      <c r="F12" s="3" cm="1">
        <f t="array" ref="F12">_xll.FDS(C12,"FG_TOTAL_RETURNC(0,-3AM)")</f>
        <v>2.101016</v>
      </c>
      <c r="G12" s="3" cm="1">
        <f t="array" ref="G12">_xll.FDS(C12,"FG_TOTAL_RETURNC(0,-6AM)")</f>
        <v>1.5344262</v>
      </c>
      <c r="H12" s="9" cm="1">
        <f t="array" ref="H12">_xll.FDS(C12,"P_PRICE(0)/P_PRICE_HIGH_PR(0,,,USD,,,""PRICE"",""INTRA"",""52W"")")</f>
        <v>0.96873290000000001</v>
      </c>
      <c r="K12" s="4">
        <f t="shared" si="3"/>
        <v>4</v>
      </c>
      <c r="L12" s="4">
        <f t="shared" si="4"/>
        <v>7</v>
      </c>
      <c r="M12" s="4">
        <f t="shared" si="4"/>
        <v>8</v>
      </c>
      <c r="P12" s="3">
        <f t="shared" si="0"/>
        <v>6.27</v>
      </c>
      <c r="Q12">
        <f t="shared" si="1"/>
        <v>0</v>
      </c>
      <c r="S12" s="3">
        <f t="shared" si="5"/>
        <v>6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abSelected="1" topLeftCell="C1" zoomScale="85" zoomScaleNormal="85" workbookViewId="0">
      <selection activeCell="H29" sqref="H29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4.1796875" customWidth="1"/>
    <col min="13" max="13" width="18.1796875" customWidth="1"/>
    <col min="14" max="14" width="17.1796875" customWidth="1"/>
  </cols>
  <sheetData>
    <row r="2" spans="2:16" ht="18.75" customHeight="1" x14ac:dyDescent="0.3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3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3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3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57.099999999999994</v>
      </c>
      <c r="E6" s="120">
        <f>VLOOKUP(B6,'Quality - 2'!$B$2:$S$14,18,FALSE)</f>
        <v>85.7</v>
      </c>
      <c r="F6" s="153">
        <f>VLOOKUP(B6,Safety!$B$4:$R$16,17,FALSE)</f>
        <v>78.5</v>
      </c>
      <c r="G6" s="179">
        <f t="shared" ref="G6:G18" si="0">(D6*$D$2 +E6*$E$2 +F6*$F$2)/($D$2+$E$2+$F$2)</f>
        <v>73.76666666666668</v>
      </c>
      <c r="H6" s="124" cm="1">
        <f t="array" ref="H6">_xlfn.PERCENTRANK.EXC(_xlfn._xlws.FILTER($G$6:G$18, ISNUMBER($G$6:G$18)),G6)*100</f>
        <v>92.800000000000011</v>
      </c>
      <c r="I6" s="153">
        <f>VLOOKUP(B6,'LIQIDITY 2'!$A$3:$X$15,24,FALSE)</f>
        <v>50</v>
      </c>
      <c r="J6" s="120">
        <f ca="1">VLOOKUP(B6,'Momnetum ranking'!$A$3:$AJ$15,36,FALSE)</f>
        <v>57.099999999999994</v>
      </c>
      <c r="K6" s="163">
        <f>VLOOKUP(B6,'Momnetum ranking'!$A$3:$H$15,8,FALSE)</f>
        <v>0.2978723404255319</v>
      </c>
      <c r="L6" s="120">
        <f>VLOOKUP(B6,'Currency- 2'!$A$3:$U$15,21,FALSE)</f>
        <v>92.800000000000011</v>
      </c>
      <c r="M6" s="162">
        <f t="shared" ref="M6:M18" ca="1" si="1">D6*$D$2 + E6*$E$2 + F6*$F$2 + I6*$I$2 + J6*$J$2 + L6*$L$2</f>
        <v>64.247787000000002</v>
      </c>
      <c r="N6" s="120" cm="1">
        <f t="array" aca="1" ref="N6" ca="1">_xlfn.PERCENTRANK.EXC(_xlfn._xlws.FILTER($M$6:M$18, ISNUMBER($M$6:M$18)),M6)*100</f>
        <v>92.800000000000011</v>
      </c>
    </row>
    <row r="7" spans="2:16" x14ac:dyDescent="0.3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50</v>
      </c>
      <c r="E7" s="121">
        <f>VLOOKUP(B7,'Quality - 2'!$B$2:$S$14,18,FALSE)</f>
        <v>57.099999999999994</v>
      </c>
      <c r="F7" s="159">
        <f>VLOOKUP(B7,Safety!$B$4:$R$16,17,FALSE)</f>
        <v>64.2</v>
      </c>
      <c r="G7" s="180">
        <f t="shared" si="0"/>
        <v>57.099999999999994</v>
      </c>
      <c r="H7" s="125" cm="1">
        <f t="array" ref="H7">_xlfn.PERCENTRANK.EXC(_xlfn._xlws.FILTER($G$6:G$18, ISNUMBER($G$6:G$18)),G7)*100</f>
        <v>64.2</v>
      </c>
      <c r="I7" s="159">
        <f>VLOOKUP(B7,'LIQIDITY 2'!$A$3:$X$15,24,FALSE)</f>
        <v>7.1</v>
      </c>
      <c r="J7" s="121">
        <f ca="1">VLOOKUP(B7,'Momnetum ranking'!$A$3:$AJ$15,36,FALSE)</f>
        <v>35.699999999999996</v>
      </c>
      <c r="K7" s="161">
        <f>VLOOKUP(B7,'Momnetum ranking'!$A$3:$H$15,8,FALSE)</f>
        <v>0.42713567839195982</v>
      </c>
      <c r="L7" s="121">
        <f>VLOOKUP(B7,'Currency- 2'!$A$3:$U$15,21,FALSE)</f>
        <v>42.8</v>
      </c>
      <c r="M7" s="160">
        <f t="shared" ca="1" si="1"/>
        <v>37.108286999999997</v>
      </c>
      <c r="N7" s="121" cm="1">
        <f t="array" aca="1" ref="N7" ca="1">_xlfn.PERCENTRANK.EXC(_xlfn._xlws.FILTER($M$6:M$18, ISNUMBER($M$6:M$18)),M7)*100</f>
        <v>21.4</v>
      </c>
    </row>
    <row r="8" spans="2:16" x14ac:dyDescent="0.3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14.2</v>
      </c>
      <c r="E8" s="121">
        <f>VLOOKUP(B8,'Quality - 2'!$B$2:$S$14,18,FALSE)</f>
        <v>78.5</v>
      </c>
      <c r="F8" s="159">
        <f>VLOOKUP(B8,Safety!$B$4:$R$16,17,FALSE)</f>
        <v>71.399999999999991</v>
      </c>
      <c r="G8" s="180">
        <f t="shared" si="0"/>
        <v>54.699999999999996</v>
      </c>
      <c r="H8" s="125" cm="1">
        <f t="array" ref="H8">_xlfn.PERCENTRANK.EXC(_xlfn._xlws.FILTER($G$6:G$18, ISNUMBER($G$6:G$18)),G8)*100</f>
        <v>57.099999999999994</v>
      </c>
      <c r="I8" s="159">
        <f>VLOOKUP(B8,'LIQIDITY 2'!$A$3:$X$15,24,FALSE)</f>
        <v>21.4</v>
      </c>
      <c r="J8" s="121">
        <f ca="1">VLOOKUP(B8,'Momnetum ranking'!$A$3:$AJ$15,36,FALSE)</f>
        <v>28.499999999999996</v>
      </c>
      <c r="K8" s="161">
        <f>VLOOKUP(B8,'Momnetum ranking'!$A$3:$H$15,8,FALSE)</f>
        <v>0.33333333333333331</v>
      </c>
      <c r="L8" s="121">
        <f>VLOOKUP(B8,'Currency- 2'!$A$3:$U$15,21,FALSE)</f>
        <v>21.4</v>
      </c>
      <c r="M8" s="160">
        <f t="shared" ca="1" si="1"/>
        <v>34.228358999999998</v>
      </c>
      <c r="N8" s="121" cm="1">
        <f t="array" aca="1" ref="N8" ca="1">_xlfn.PERCENTRANK.EXC(_xlfn._xlws.FILTER($M$6:M$18, ISNUMBER($M$6:M$18)),M8)*100</f>
        <v>7.1</v>
      </c>
    </row>
    <row r="9" spans="2:16" x14ac:dyDescent="0.3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28.499999999999996</v>
      </c>
      <c r="E9" s="121">
        <f>VLOOKUP(B9,'Quality - 2'!$B$2:$S$14,18,FALSE)</f>
        <v>92.800000000000011</v>
      </c>
      <c r="F9" s="159">
        <f>VLOOKUP(B9,Safety!$B$4:$R$16,17,FALSE)</f>
        <v>57.099999999999994</v>
      </c>
      <c r="G9" s="180">
        <f t="shared" si="0"/>
        <v>59.466666666666669</v>
      </c>
      <c r="H9" s="125" cm="1">
        <f t="array" ref="H9">_xlfn.PERCENTRANK.EXC(_xlfn._xlws.FILTER($G$6:G$18, ISNUMBER($G$6:G$18)),G9)*100</f>
        <v>78.5</v>
      </c>
      <c r="I9" s="159">
        <f>VLOOKUP(B9,'LIQIDITY 2'!$A$3:$X$15,24,FALSE)</f>
        <v>21.4</v>
      </c>
      <c r="J9" s="121">
        <f ca="1">VLOOKUP(B9,'Momnetum ranking'!$A$3:$AJ$15,36,FALSE)</f>
        <v>78.5</v>
      </c>
      <c r="K9" s="161">
        <f>VLOOKUP(B9,'Momnetum ranking'!$A$3:$H$15,8,FALSE)</f>
        <v>0.29423459244532801</v>
      </c>
      <c r="L9" s="121">
        <f>VLOOKUP(B9,'Currency- 2'!$A$3:$U$15,21,FALSE)</f>
        <v>21.4</v>
      </c>
      <c r="M9" s="160">
        <f t="shared" ca="1" si="1"/>
        <v>55.658216000000003</v>
      </c>
      <c r="N9" s="121" cm="1">
        <f t="array" aca="1" ref="N9" ca="1">_xlfn.PERCENTRANK.EXC(_xlfn._xlws.FILTER($M$6:M$18, ISNUMBER($M$6:M$18)),M9)*100</f>
        <v>71.399999999999991</v>
      </c>
    </row>
    <row r="10" spans="2:16" x14ac:dyDescent="0.3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78.5</v>
      </c>
      <c r="E10" s="121">
        <f>VLOOKUP(B10,'Quality - 2'!$B$2:$S$14,18,FALSE)</f>
        <v>42.8</v>
      </c>
      <c r="F10" s="159">
        <f>VLOOKUP(B10,Safety!$B$4:$R$16,17,FALSE)</f>
        <v>7.1</v>
      </c>
      <c r="G10" s="180">
        <f t="shared" si="0"/>
        <v>42.800000000000004</v>
      </c>
      <c r="H10" s="125" cm="1">
        <f t="array" ref="H10">_xlfn.PERCENTRANK.EXC(_xlfn._xlws.FILTER($G$6:G$18, ISNUMBER($G$6:G$18)),G10)*100</f>
        <v>35.699999999999996</v>
      </c>
      <c r="I10" s="159">
        <f>VLOOKUP(B10,'LIQIDITY 2'!$A$3:$X$15,24,FALSE)</f>
        <v>50</v>
      </c>
      <c r="J10" s="121">
        <f ca="1">VLOOKUP(B10,'Momnetum ranking'!$A$3:$AJ$15,36,FALSE)</f>
        <v>50</v>
      </c>
      <c r="K10" s="161">
        <f>VLOOKUP(B10,'Momnetum ranking'!$A$3:$H$15,8,FALSE)</f>
        <v>0.31578947368421051</v>
      </c>
      <c r="L10" s="121">
        <f>VLOOKUP(B10,'Currency- 2'!$A$3:$U$15,21,FALSE)</f>
        <v>78.5</v>
      </c>
      <c r="M10" s="160">
        <f t="shared" ca="1" si="1"/>
        <v>50.688715999999999</v>
      </c>
      <c r="N10" s="121" cm="1">
        <f t="array" aca="1" ref="N10" ca="1">_xlfn.PERCENTRANK.EXC(_xlfn._xlws.FILTER($M$6:M$18, ISNUMBER($M$6:M$18)),M10)*100</f>
        <v>64.2</v>
      </c>
    </row>
    <row r="11" spans="2:16" x14ac:dyDescent="0.3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92.800000000000011</v>
      </c>
      <c r="E11" s="121">
        <f>VLOOKUP(B11,'Quality - 2'!$B$2:$S$14,18,FALSE)</f>
        <v>42.8</v>
      </c>
      <c r="F11" s="159">
        <f>VLOOKUP(B11,Safety!$B$4:$R$16,17,FALSE)</f>
        <v>35.699999999999996</v>
      </c>
      <c r="G11" s="180">
        <f t="shared" si="0"/>
        <v>57.100000000000009</v>
      </c>
      <c r="H11" s="125" cm="1">
        <f t="array" ref="H11">_xlfn.PERCENTRANK.EXC(_xlfn._xlws.FILTER($G$6:G$18, ISNUMBER($G$6:G$18)),G11)*100</f>
        <v>71.399999999999991</v>
      </c>
      <c r="I11" s="159">
        <f>VLOOKUP(B11,'LIQIDITY 2'!$A$3:$X$15,24,FALSE)</f>
        <v>21.4</v>
      </c>
      <c r="J11" s="121">
        <f ca="1">VLOOKUP(B11,'Momnetum ranking'!$A$3:$AJ$15,36,FALSE)</f>
        <v>71.399999999999991</v>
      </c>
      <c r="K11" s="161">
        <f>VLOOKUP(B11,'Momnetum ranking'!$A$3:$H$15,8,FALSE)</f>
        <v>0.379746835443038</v>
      </c>
      <c r="L11" s="121">
        <f>VLOOKUP(B11,'Currency- 2'!$A$3:$U$15,21,FALSE)</f>
        <v>64.2</v>
      </c>
      <c r="M11" s="160">
        <f t="shared" ca="1" si="1"/>
        <v>56.388287000000005</v>
      </c>
      <c r="N11" s="121" cm="1">
        <f t="array" aca="1" ref="N11" ca="1">_xlfn.PERCENTRANK.EXC(_xlfn._xlws.FILTER($M$6:M$18, ISNUMBER($M$6:M$18)),M11)*100</f>
        <v>78.5</v>
      </c>
    </row>
    <row r="12" spans="2:16" x14ac:dyDescent="0.3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42.8</v>
      </c>
      <c r="E12" s="121">
        <f>VLOOKUP(B12,'Quality - 2'!$B$2:$S$14,18,FALSE)</f>
        <v>57.099999999999994</v>
      </c>
      <c r="F12" s="159">
        <f>VLOOKUP(B12,Safety!$B$4:$R$16,17,FALSE)</f>
        <v>42.8</v>
      </c>
      <c r="G12" s="180">
        <f t="shared" si="0"/>
        <v>47.56666666666667</v>
      </c>
      <c r="H12" s="125" cm="1">
        <f t="array" ref="H12">_xlfn.PERCENTRANK.EXC(_xlfn._xlws.FILTER($G$6:G$18, ISNUMBER($G$6:G$18)),G12)*100</f>
        <v>50</v>
      </c>
      <c r="I12" s="159">
        <f>VLOOKUP(B12,'LIQIDITY 2'!$A$3:$X$15,24,FALSE)</f>
        <v>21.4</v>
      </c>
      <c r="J12" s="121">
        <f ca="1">VLOOKUP(B12,'Momnetum ranking'!$A$3:$AJ$15,36,FALSE)</f>
        <v>92.800000000000011</v>
      </c>
      <c r="K12" s="161">
        <f>VLOOKUP(B12,'Momnetum ranking'!$A$3:$H$15,8,FALSE)</f>
        <v>9.1954022988505746E-2</v>
      </c>
      <c r="L12" s="121">
        <f>VLOOKUP(B12,'Currency- 2'!$A$3:$U$15,21,FALSE)</f>
        <v>14.2</v>
      </c>
      <c r="M12" s="160">
        <f t="shared" ca="1" si="1"/>
        <v>57.088573000000004</v>
      </c>
      <c r="N12" s="121" cm="1">
        <f t="array" aca="1" ref="N12" ca="1">_xlfn.PERCENTRANK.EXC(_xlfn._xlws.FILTER($M$6:M$18, ISNUMBER($M$6:M$18)),M12)*100</f>
        <v>85.7</v>
      </c>
    </row>
    <row r="13" spans="2:16" x14ac:dyDescent="0.3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21.4</v>
      </c>
      <c r="E13" s="121">
        <f>VLOOKUP(B13,'Quality - 2'!$B$2:$S$14,18,FALSE)</f>
        <v>14.2</v>
      </c>
      <c r="F13" s="159">
        <f>VLOOKUP(B13,Safety!$B$4:$R$16,17,FALSE)</f>
        <v>21.4</v>
      </c>
      <c r="G13" s="180">
        <f t="shared" si="0"/>
        <v>19</v>
      </c>
      <c r="H13" s="125" cm="1">
        <f t="array" ref="H13">_xlfn.PERCENTRANK.EXC(_xlfn._xlws.FILTER($G$6:G$18, ISNUMBER($G$6:G$18)),G13)*100</f>
        <v>7.1</v>
      </c>
      <c r="I13" s="159">
        <f>VLOOKUP(B13,'LIQIDITY 2'!$A$3:$X$15,24,FALSE)</f>
        <v>7.1</v>
      </c>
      <c r="J13" s="121">
        <f ca="1">VLOOKUP(B13,'Momnetum ranking'!$A$3:$AJ$15,36,FALSE)</f>
        <v>85.7</v>
      </c>
      <c r="K13" s="161">
        <f>VLOOKUP(B13,'Momnetum ranking'!$A$3:$H$15,8,FALSE)</f>
        <v>0.32203389830508472</v>
      </c>
      <c r="L13" s="121">
        <f>VLOOKUP(B13,'Currency- 2'!$A$3:$U$15,21,FALSE)</f>
        <v>50</v>
      </c>
      <c r="M13" s="160">
        <f t="shared" ca="1" si="1"/>
        <v>46.399430000000002</v>
      </c>
      <c r="N13" s="121" cm="1">
        <f t="array" aca="1" ref="N13" ca="1">_xlfn.PERCENTRANK.EXC(_xlfn._xlws.FILTER($M$6:M$18, ISNUMBER($M$6:M$18)),M13)*100</f>
        <v>50</v>
      </c>
    </row>
    <row r="14" spans="2:16" x14ac:dyDescent="0.3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7.1</v>
      </c>
      <c r="F14" s="159">
        <f>VLOOKUP(B14,Safety!$B$4:$R$16,17,FALSE)</f>
        <v>92.800000000000011</v>
      </c>
      <c r="G14" s="180">
        <f t="shared" si="0"/>
        <v>35.666666666666671</v>
      </c>
      <c r="H14" s="125" cm="1">
        <f t="array" ref="H14">_xlfn.PERCENTRANK.EXC(_xlfn._xlws.FILTER($G$6:G$18, ISNUMBER($G$6:G$18)),G14)*100</f>
        <v>14.2</v>
      </c>
      <c r="I14" s="159">
        <f>VLOOKUP(B14,'LIQIDITY 2'!$A$3:$X$15,24,FALSE)</f>
        <v>50</v>
      </c>
      <c r="J14" s="121">
        <f ca="1">VLOOKUP(B14,'Momnetum ranking'!$A$3:$AJ$15,36,FALSE)</f>
        <v>64.2</v>
      </c>
      <c r="K14" s="161">
        <f>VLOOKUP(B14,'Momnetum ranking'!$A$3:$H$15,8,FALSE)</f>
        <v>0.25925925925925924</v>
      </c>
      <c r="L14" s="121">
        <f>VLOOKUP(B14,'Currency- 2'!$A$3:$U$15,21,FALSE)</f>
        <v>7.1</v>
      </c>
      <c r="M14" s="160">
        <f t="shared" ca="1" si="1"/>
        <v>47.088930000000005</v>
      </c>
      <c r="N14" s="121" cm="1">
        <f t="array" aca="1" ref="N14" ca="1">_xlfn.PERCENTRANK.EXC(_xlfn._xlws.FILTER($M$6:M$18, ISNUMBER($M$6:M$18)),M14)*100</f>
        <v>57.099999999999994</v>
      </c>
    </row>
    <row r="15" spans="2:16" x14ac:dyDescent="0.3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64.2</v>
      </c>
      <c r="E15" s="121">
        <f>VLOOKUP(B15,'Quality - 2'!$B$2:$S$14,18,FALSE)</f>
        <v>71.399999999999991</v>
      </c>
      <c r="F15" s="159">
        <f>VLOOKUP(B15,Safety!$B$4:$R$16,17,FALSE)</f>
        <v>85.7</v>
      </c>
      <c r="G15" s="180">
        <f t="shared" si="0"/>
        <v>73.766666666666666</v>
      </c>
      <c r="H15" s="125" cm="1">
        <f t="array" ref="H15">_xlfn.PERCENTRANK.EXC(_xlfn._xlws.FILTER($G$6:G$18, ISNUMBER($G$6:G$18)),G15)*100</f>
        <v>85.7</v>
      </c>
      <c r="I15" s="159">
        <f>VLOOKUP(B15,'LIQIDITY 2'!$A$3:$X$15,24,FALSE)</f>
        <v>50</v>
      </c>
      <c r="J15" s="121">
        <f ca="1">VLOOKUP(B15,'Momnetum ranking'!$A$3:$AJ$15,36,FALSE)</f>
        <v>7.1</v>
      </c>
      <c r="K15" s="161">
        <f>VLOOKUP(B15,'Momnetum ranking'!$A$3:$H$15,8,FALSE)</f>
        <v>0.24590163934426229</v>
      </c>
      <c r="L15" s="121">
        <f>VLOOKUP(B15,'Currency- 2'!$A$3:$U$15,21,FALSE)</f>
        <v>85.7</v>
      </c>
      <c r="M15" s="160">
        <f t="shared" ca="1" si="1"/>
        <v>43.537787000000002</v>
      </c>
      <c r="N15" s="121" cm="1">
        <f t="array" aca="1" ref="N15" ca="1">_xlfn.PERCENTRANK.EXC(_xlfn._xlws.FILTER($M$6:M$18, ISNUMBER($M$6:M$18)),M15)*100</f>
        <v>42.8</v>
      </c>
    </row>
    <row r="16" spans="2:16" x14ac:dyDescent="0.3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35.699999999999996</v>
      </c>
      <c r="E16" s="121">
        <f>VLOOKUP(B16,'Quality - 2'!$B$2:$S$14,18,FALSE)</f>
        <v>35.699999999999996</v>
      </c>
      <c r="F16" s="159">
        <f>VLOOKUP(B16,Safety!$B$4:$R$16,17,FALSE)</f>
        <v>50</v>
      </c>
      <c r="G16" s="180">
        <f t="shared" si="0"/>
        <v>40.466666666666669</v>
      </c>
      <c r="H16" s="125" cm="1">
        <f t="array" ref="H16">_xlfn.PERCENTRANK.EXC(_xlfn._xlws.FILTER($G$6:G$18, ISNUMBER($G$6:G$18)),G16)*100</f>
        <v>28.499999999999996</v>
      </c>
      <c r="I16" s="159">
        <f>VLOOKUP(B16,'LIQIDITY 2'!$A$3:$X$15,24,FALSE)</f>
        <v>50</v>
      </c>
      <c r="J16" s="121">
        <f ca="1">VLOOKUP(B16,'Momnetum ranking'!$A$3:$AJ$15,36,FALSE)</f>
        <v>14.2</v>
      </c>
      <c r="K16" s="161">
        <f>VLOOKUP(B16,'Momnetum ranking'!$A$3:$H$15,8,FALSE)</f>
        <v>0.38181818181818183</v>
      </c>
      <c r="L16" s="121">
        <f>VLOOKUP(B16,'Currency- 2'!$A$3:$U$15,21,FALSE)</f>
        <v>71.399999999999991</v>
      </c>
      <c r="M16" s="160">
        <f t="shared" ca="1" si="1"/>
        <v>34.958785999999996</v>
      </c>
      <c r="N16" s="121" cm="1">
        <f t="array" aca="1" ref="N16" ca="1">_xlfn.PERCENTRANK.EXC(_xlfn._xlws.FILTER($M$6:M$18, ISNUMBER($M$6:M$18)),M16)*100</f>
        <v>14.2</v>
      </c>
    </row>
    <row r="17" spans="2:14" x14ac:dyDescent="0.3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71.399999999999991</v>
      </c>
      <c r="E17" s="121">
        <f>VLOOKUP(B17,'Quality - 2'!$B$2:$S$14,18,FALSE)</f>
        <v>28.499999999999996</v>
      </c>
      <c r="F17" s="159">
        <f>VLOOKUP(B17,Safety!$B$4:$R$16,17,FALSE)</f>
        <v>14.2</v>
      </c>
      <c r="G17" s="180">
        <f t="shared" si="0"/>
        <v>38.033333333333331</v>
      </c>
      <c r="H17" s="125" cm="1">
        <f t="array" ref="H17">_xlfn.PERCENTRANK.EXC(_xlfn._xlws.FILTER($G$6:G$18, ISNUMBER($G$6:G$18)),G17)*100</f>
        <v>21.4</v>
      </c>
      <c r="I17" s="159">
        <f>VLOOKUP(B17,'LIQIDITY 2'!$A$3:$X$15,24,FALSE)</f>
        <v>50</v>
      </c>
      <c r="J17" s="121">
        <f ca="1">VLOOKUP(B17,'Momnetum ranking'!$A$3:$AJ$15,36,FALSE)</f>
        <v>42.8</v>
      </c>
      <c r="K17" s="161">
        <f>VLOOKUP(B17,'Momnetum ranking'!$A$3:$H$15,8,FALSE)</f>
        <v>0.13043478260869565</v>
      </c>
      <c r="L17" s="121">
        <f>VLOOKUP(B17,'Currency- 2'!$A$3:$U$15,21,FALSE)</f>
        <v>21.4</v>
      </c>
      <c r="M17" s="160">
        <f t="shared" ca="1" si="1"/>
        <v>40.668858999999998</v>
      </c>
      <c r="N17" s="121" cm="1">
        <f t="array" aca="1" ref="N17" ca="1">_xlfn.PERCENTRANK.EXC(_xlfn._xlws.FILTER($M$6:M$18, ISNUMBER($M$6:M$18)),M17)*100</f>
        <v>35.699999999999996</v>
      </c>
    </row>
    <row r="18" spans="2:14" x14ac:dyDescent="0.3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85.7</v>
      </c>
      <c r="E18" s="122">
        <f>VLOOKUP(B18,'Quality - 2'!$B$2:$S$14,18,FALSE)</f>
        <v>14.2</v>
      </c>
      <c r="F18" s="154">
        <f>VLOOKUP(B18,Safety!$B$4:$R$16,17,FALSE)</f>
        <v>28.499999999999996</v>
      </c>
      <c r="G18" s="181">
        <f t="shared" si="0"/>
        <v>42.800000000000004</v>
      </c>
      <c r="H18" s="126" cm="1">
        <f t="array" ref="H18">_xlfn.PERCENTRANK.EXC(_xlfn._xlws.FILTER($G$6:G$18, ISNUMBER($G$6:G$18)),G18)*100</f>
        <v>35.699999999999996</v>
      </c>
      <c r="I18" s="154">
        <f>VLOOKUP(B18,'LIQIDITY 2'!$A$3:$X$15,24,FALSE)</f>
        <v>50</v>
      </c>
      <c r="J18" s="122">
        <f ca="1">VLOOKUP(B18,'Momnetum ranking'!$A$3:$AJ$15,36,FALSE)</f>
        <v>21.4</v>
      </c>
      <c r="K18" s="165">
        <f>VLOOKUP(B18,'Momnetum ranking'!$A$3:$H$15,8,FALSE)</f>
        <v>0.26923076923076922</v>
      </c>
      <c r="L18" s="122">
        <f>VLOOKUP(B18,'Currency- 2'!$A$3:$U$15,21,FALSE)</f>
        <v>57.099999999999994</v>
      </c>
      <c r="M18" s="164">
        <f t="shared" ca="1" si="1"/>
        <v>37.108716000000001</v>
      </c>
      <c r="N18" s="122" cm="1">
        <f t="array" aca="1" ref="N18" ca="1">_xlfn.PERCENTRANK.EXC(_xlfn._xlws.FILTER($M$6:M$18, ISNUMBER($M$6:M$18)),M18)*100</f>
        <v>28.499999999999996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5" thickBot="1" x14ac:dyDescent="0.4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7</v>
      </c>
      <c r="S3" s="148">
        <f ca="1">COUNTIF(S9:S17,"&gt;0")</f>
        <v>7</v>
      </c>
    </row>
    <row r="4" spans="2:21" ht="15" thickBot="1" x14ac:dyDescent="0.4">
      <c r="C4" s="131" t="s">
        <v>825</v>
      </c>
      <c r="D4" s="133">
        <v>0.3</v>
      </c>
      <c r="E4" s="56" t="s">
        <v>831</v>
      </c>
      <c r="F4" s="128">
        <v>0.1</v>
      </c>
    </row>
    <row r="5" spans="2:21" ht="15" thickBot="1" x14ac:dyDescent="0.4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5" thickBot="1" x14ac:dyDescent="0.4">
      <c r="Q6" s="12" t="s">
        <v>850</v>
      </c>
      <c r="R6" s="147">
        <v>0.01</v>
      </c>
    </row>
    <row r="7" spans="2:21" ht="15" thickBot="1" x14ac:dyDescent="0.4"/>
    <row r="8" spans="2:21" x14ac:dyDescent="0.3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0.18413490169949134</v>
      </c>
      <c r="F9">
        <f ca="1">VLOOKUP(B9,OUTPUT_COUNTRY!$B$6:$N$18, 9, FALSE)</f>
        <v>64.2</v>
      </c>
      <c r="G9" s="47">
        <f>IFERROR(VLOOKUP(B9,OUTPUT_COUNTRY!$B$6:$N$18, 7, FALSE),0)</f>
        <v>14.2</v>
      </c>
      <c r="H9">
        <f>VLOOKUP(B9,OUTPUT_COUNTRY!$B$6:$N$18, 8, FALSE)</f>
        <v>50</v>
      </c>
      <c r="I9">
        <f>VLOOKUP(B9,OUTPUT_COUNTRY!$B$6:$N$18, 11, FALSE)</f>
        <v>7.1</v>
      </c>
      <c r="J9" s="47">
        <f t="shared" ref="J9:J21" ca="1" si="0">IF(F9&gt;=$D$3,1/E9,0)</f>
        <v>0</v>
      </c>
      <c r="K9" s="136">
        <f ca="1">J9/$J$22</f>
        <v>0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5.4308009550085332</v>
      </c>
      <c r="O9" s="136">
        <f>N9/$N$22</f>
        <v>0.16434223119081701</v>
      </c>
      <c r="P9">
        <f t="shared" ref="P9:P21" si="3">IF(I9&gt;=$F$5,1/E9,0)</f>
        <v>0</v>
      </c>
      <c r="Q9" s="136">
        <f>P9/$P$22</f>
        <v>0</v>
      </c>
      <c r="R9" s="156">
        <f t="shared" ref="R9:R21" ca="1" si="4">IF($D$2*K9+$D$4*M9+$F$2*O9+$F$4*Q9 = 0,"",$D$2*K9+$D$4*M9+$F$2*O9+$F$4*Q9)</f>
        <v>1.6434223119081701E-2</v>
      </c>
      <c r="S9" s="156">
        <f t="shared" ref="S9:S21" ca="1" si="5">IFERROR(IF(R9&gt;=$R$6, R9/SUMIF($R$9:$R$17,"&gt;="&amp;$R$6), ""),"")</f>
        <v>1.9287347114401082E-2</v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0.22052634713665306</v>
      </c>
      <c r="F10">
        <f ca="1">VLOOKUP(B10,OUTPUT_COUNTRY!$B$6:$N$18, 9, FALSE)</f>
        <v>85.7</v>
      </c>
      <c r="G10" s="47">
        <f>IFERROR(VLOOKUP(B10,OUTPUT_COUNTRY!$B$6:$N$18, 7, FALSE),0)</f>
        <v>7.1</v>
      </c>
      <c r="H10">
        <f>VLOOKUP(B10,OUTPUT_COUNTRY!$B$6:$N$18, 8, FALSE)</f>
        <v>7.1</v>
      </c>
      <c r="I10">
        <f>VLOOKUP(B10,OUTPUT_COUNTRY!$B$6:$N$18, 11, FALSE)</f>
        <v>50</v>
      </c>
      <c r="J10" s="47">
        <f t="shared" ca="1" si="0"/>
        <v>4.5346055606695028</v>
      </c>
      <c r="K10" s="136">
        <f t="shared" ref="K10:K21" ca="1" si="6">J10/$J$22</f>
        <v>0.21847327850227227</v>
      </c>
      <c r="L10">
        <f t="shared" si="1"/>
        <v>0</v>
      </c>
      <c r="M10" s="136">
        <f t="shared" ref="M10:M21" si="7">L10/$L$22</f>
        <v>0</v>
      </c>
      <c r="N10">
        <f t="shared" si="2"/>
        <v>0</v>
      </c>
      <c r="O10" s="136">
        <f t="shared" ref="O10:O21" si="8">N10/$N$22</f>
        <v>0</v>
      </c>
      <c r="P10">
        <f t="shared" si="3"/>
        <v>0</v>
      </c>
      <c r="Q10" s="136">
        <f t="shared" ref="Q10:Q21" si="9">P10/$P$22</f>
        <v>0</v>
      </c>
      <c r="R10" s="156">
        <f t="shared" ca="1" si="4"/>
        <v>0.10923663925113614</v>
      </c>
      <c r="S10" s="156">
        <f t="shared" ca="1" si="5"/>
        <v>0.12820106941355677</v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0.19002731959864086</v>
      </c>
      <c r="F11">
        <f ca="1">VLOOKUP(B11,OUTPUT_COUNTRY!$B$6:$N$18, 9, FALSE)</f>
        <v>92.800000000000011</v>
      </c>
      <c r="G11" s="47">
        <f>IFERROR(VLOOKUP(B11,OUTPUT_COUNTRY!$B$6:$N$18, 7, FALSE),0)</f>
        <v>50</v>
      </c>
      <c r="H11">
        <f>VLOOKUP(B11,OUTPUT_COUNTRY!$B$6:$N$18, 8, FALSE)</f>
        <v>21.4</v>
      </c>
      <c r="I11">
        <f>VLOOKUP(B11,OUTPUT_COUNTRY!$B$6:$N$18, 11, FALSE)</f>
        <v>14.2</v>
      </c>
      <c r="J11" s="47">
        <f t="shared" ca="1" si="0"/>
        <v>5.2624012279503436</v>
      </c>
      <c r="K11" s="136">
        <f t="shared" ca="1" si="6"/>
        <v>0.25353782896498517</v>
      </c>
      <c r="L11">
        <f t="shared" si="1"/>
        <v>0</v>
      </c>
      <c r="M11" s="136">
        <f t="shared" si="7"/>
        <v>0</v>
      </c>
      <c r="N11">
        <f t="shared" si="2"/>
        <v>0</v>
      </c>
      <c r="O11" s="136">
        <f t="shared" si="8"/>
        <v>0</v>
      </c>
      <c r="P11">
        <f t="shared" si="3"/>
        <v>0</v>
      </c>
      <c r="Q11" s="136">
        <f t="shared" si="9"/>
        <v>0</v>
      </c>
      <c r="R11" s="156">
        <f t="shared" ca="1" si="4"/>
        <v>0.12676891448249258</v>
      </c>
      <c r="S11" s="156">
        <f t="shared" ca="1" si="5"/>
        <v>0.14877710003223341</v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0.23542729417532929</v>
      </c>
      <c r="F12">
        <f ca="1">VLOOKUP(B12,OUTPUT_COUNTRY!$B$6:$N$18, 9, FALSE)</f>
        <v>50</v>
      </c>
      <c r="G12" s="47">
        <f>IFERROR(VLOOKUP(B12,OUTPUT_COUNTRY!$B$6:$N$18, 7, FALSE),0)</f>
        <v>35.699999999999996</v>
      </c>
      <c r="H12">
        <f>VLOOKUP(B12,OUTPUT_COUNTRY!$B$6:$N$18, 8, FALSE)</f>
        <v>50</v>
      </c>
      <c r="I12">
        <f>VLOOKUP(B12,OUTPUT_COUNTRY!$B$6:$N$18, 11, FALSE)</f>
        <v>78.5</v>
      </c>
      <c r="J12" s="47">
        <f t="shared" ca="1" si="0"/>
        <v>0</v>
      </c>
      <c r="K12" s="136">
        <f t="shared" ca="1" si="6"/>
        <v>0</v>
      </c>
      <c r="L12">
        <f t="shared" si="1"/>
        <v>0</v>
      </c>
      <c r="M12" s="136">
        <f t="shared" si="7"/>
        <v>0</v>
      </c>
      <c r="N12">
        <f t="shared" si="2"/>
        <v>4.2475958597021126</v>
      </c>
      <c r="O12" s="136">
        <f t="shared" si="8"/>
        <v>0.12853709546039235</v>
      </c>
      <c r="P12">
        <f t="shared" si="3"/>
        <v>4.2475958597021126</v>
      </c>
      <c r="Q12" s="136">
        <f t="shared" si="9"/>
        <v>0.17068456719218328</v>
      </c>
      <c r="R12" s="156">
        <f t="shared" ca="1" si="4"/>
        <v>2.9922166265257566E-2</v>
      </c>
      <c r="S12" s="156">
        <f t="shared" ca="1" si="5"/>
        <v>3.5116914440741318E-2</v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0.1589304094442649</v>
      </c>
      <c r="F13">
        <f ca="1">VLOOKUP(B13,OUTPUT_COUNTRY!$B$6:$N$18, 9, FALSE)</f>
        <v>35.699999999999996</v>
      </c>
      <c r="G13" s="47">
        <f>IFERROR(VLOOKUP(B13,OUTPUT_COUNTRY!$B$6:$N$18, 7, FALSE),0)</f>
        <v>64.2</v>
      </c>
      <c r="H13">
        <f>VLOOKUP(B13,OUTPUT_COUNTRY!$B$6:$N$18, 8, FALSE)</f>
        <v>7.1</v>
      </c>
      <c r="I13">
        <f>VLOOKUP(B13,OUTPUT_COUNTRY!$B$6:$N$18, 11, FALSE)</f>
        <v>42.8</v>
      </c>
      <c r="J13" s="47">
        <f t="shared" ca="1" si="0"/>
        <v>0</v>
      </c>
      <c r="K13" s="136">
        <f t="shared" ca="1" si="6"/>
        <v>0</v>
      </c>
      <c r="L13">
        <f t="shared" si="1"/>
        <v>0</v>
      </c>
      <c r="M13" s="136">
        <f t="shared" si="7"/>
        <v>0</v>
      </c>
      <c r="N13">
        <f t="shared" si="2"/>
        <v>0</v>
      </c>
      <c r="O13" s="136">
        <f t="shared" si="8"/>
        <v>0</v>
      </c>
      <c r="P13">
        <f t="shared" si="3"/>
        <v>0</v>
      </c>
      <c r="Q13" s="136">
        <f t="shared" si="9"/>
        <v>0</v>
      </c>
      <c r="R13" s="156" t="str">
        <f t="shared" ca="1" si="4"/>
        <v/>
      </c>
      <c r="S13" s="156" t="str">
        <f t="shared" ca="1" si="5"/>
        <v/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0.15406382872188082</v>
      </c>
      <c r="F14">
        <f ca="1">VLOOKUP(B14,OUTPUT_COUNTRY!$B$6:$N$18, 9, FALSE)</f>
        <v>57.099999999999994</v>
      </c>
      <c r="G14" s="47">
        <f>IFERROR(VLOOKUP(B14,OUTPUT_COUNTRY!$B$6:$N$18, 7, FALSE),0)</f>
        <v>92.800000000000011</v>
      </c>
      <c r="H14">
        <f>VLOOKUP(B14,OUTPUT_COUNTRY!$B$6:$N$18, 8, FALSE)</f>
        <v>50</v>
      </c>
      <c r="I14">
        <f>VLOOKUP(B14,OUTPUT_COUNTRY!$B$6:$N$18, 11, FALSE)</f>
        <v>92.800000000000011</v>
      </c>
      <c r="J14" s="47">
        <f t="shared" ca="1" si="0"/>
        <v>0</v>
      </c>
      <c r="K14" s="136">
        <f t="shared" ca="1" si="6"/>
        <v>0</v>
      </c>
      <c r="L14">
        <f t="shared" si="1"/>
        <v>6.4908162304937944</v>
      </c>
      <c r="M14" s="136">
        <f t="shared" si="7"/>
        <v>0.29537042862536206</v>
      </c>
      <c r="N14">
        <f t="shared" si="2"/>
        <v>6.4908162304937944</v>
      </c>
      <c r="O14" s="136">
        <f t="shared" si="8"/>
        <v>0.19641950246494394</v>
      </c>
      <c r="P14">
        <f t="shared" si="3"/>
        <v>6.4908162304937944</v>
      </c>
      <c r="Q14" s="136">
        <f t="shared" si="9"/>
        <v>0.26082569896457347</v>
      </c>
      <c r="R14" s="156">
        <f t="shared" ca="1" si="4"/>
        <v>0.13433564873056036</v>
      </c>
      <c r="S14" s="156">
        <f t="shared" ca="1" si="5"/>
        <v>0.15765748512299302</v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0.18456064200045683</v>
      </c>
      <c r="F15">
        <f ca="1">VLOOKUP(B15,OUTPUT_COUNTRY!$B$6:$N$18, 9, FALSE)</f>
        <v>71.399999999999991</v>
      </c>
      <c r="G15" s="47">
        <f>IFERROR(VLOOKUP(B15,OUTPUT_COUNTRY!$B$6:$N$18, 7, FALSE),0)</f>
        <v>71.399999999999991</v>
      </c>
      <c r="H15">
        <f>VLOOKUP(B15,OUTPUT_COUNTRY!$B$6:$N$18, 8, FALSE)</f>
        <v>21.4</v>
      </c>
      <c r="I15">
        <f>VLOOKUP(B15,OUTPUT_COUNTRY!$B$6:$N$18, 11, FALSE)</f>
        <v>64.2</v>
      </c>
      <c r="J15" s="47">
        <f t="shared" ca="1" si="0"/>
        <v>5.4182733065998159</v>
      </c>
      <c r="K15" s="136">
        <f t="shared" ca="1" si="6"/>
        <v>0.26104760762023965</v>
      </c>
      <c r="L15">
        <f t="shared" si="1"/>
        <v>5.4182733065998159</v>
      </c>
      <c r="M15" s="136">
        <f t="shared" si="7"/>
        <v>0.24656339852314596</v>
      </c>
      <c r="N15">
        <f t="shared" si="2"/>
        <v>0</v>
      </c>
      <c r="O15" s="136">
        <f t="shared" si="8"/>
        <v>0</v>
      </c>
      <c r="P15">
        <f t="shared" si="3"/>
        <v>5.4182733065998159</v>
      </c>
      <c r="Q15" s="136">
        <f t="shared" si="9"/>
        <v>0.21772684238627338</v>
      </c>
      <c r="R15" s="156">
        <f t="shared" ca="1" si="4"/>
        <v>0.22626550760569092</v>
      </c>
      <c r="S15" s="156">
        <f t="shared" ca="1" si="5"/>
        <v>0.26554716664032796</v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0.23472138877995943</v>
      </c>
      <c r="F16">
        <f ca="1">VLOOKUP(B16,OUTPUT_COUNTRY!$B$6:$N$18, 9, FALSE)</f>
        <v>28.499999999999996</v>
      </c>
      <c r="G16" s="47">
        <f>IFERROR(VLOOKUP(B16,OUTPUT_COUNTRY!$B$6:$N$18, 7, FALSE),0)</f>
        <v>57.099999999999994</v>
      </c>
      <c r="H16">
        <f>VLOOKUP(B16,OUTPUT_COUNTRY!$B$6:$N$18, 8, FALSE)</f>
        <v>21.4</v>
      </c>
      <c r="I16">
        <f>VLOOKUP(B16,OUTPUT_COUNTRY!$B$6:$N$18, 11, FALSE)</f>
        <v>21.4</v>
      </c>
      <c r="J16" s="47">
        <f t="shared" ca="1" si="0"/>
        <v>0</v>
      </c>
      <c r="K16" s="136">
        <f t="shared" ca="1" si="6"/>
        <v>0</v>
      </c>
      <c r="L16">
        <f t="shared" si="1"/>
        <v>0</v>
      </c>
      <c r="M16" s="136">
        <f t="shared" si="7"/>
        <v>0</v>
      </c>
      <c r="N16">
        <f t="shared" si="2"/>
        <v>0</v>
      </c>
      <c r="O16" s="136">
        <f t="shared" si="8"/>
        <v>0</v>
      </c>
      <c r="P16">
        <f t="shared" si="3"/>
        <v>0</v>
      </c>
      <c r="Q16" s="136">
        <f t="shared" si="9"/>
        <v>0</v>
      </c>
      <c r="R16" s="156" t="str">
        <f t="shared" ca="1" si="4"/>
        <v/>
      </c>
      <c r="S16" s="156" t="str">
        <f t="shared" ca="1" si="5"/>
        <v/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0.18048581009440617</v>
      </c>
      <c r="F17">
        <f ca="1">VLOOKUP(B17,OUTPUT_COUNTRY!$B$6:$N$18, 9, FALSE)</f>
        <v>78.5</v>
      </c>
      <c r="G17" s="47">
        <f>IFERROR(VLOOKUP(B17,OUTPUT_COUNTRY!$B$6:$N$18, 7, FALSE),0)</f>
        <v>78.5</v>
      </c>
      <c r="H17">
        <f>VLOOKUP(B17,OUTPUT_COUNTRY!$B$6:$N$18, 8, FALSE)</f>
        <v>21.4</v>
      </c>
      <c r="I17">
        <f>VLOOKUP(B17,OUTPUT_COUNTRY!$B$6:$N$18, 11, FALSE)</f>
        <v>21.4</v>
      </c>
      <c r="J17" s="47">
        <f t="shared" ca="1" si="0"/>
        <v>5.5406017762666933</v>
      </c>
      <c r="K17" s="136">
        <f t="shared" ca="1" si="6"/>
        <v>0.26694128491250291</v>
      </c>
      <c r="L17">
        <f t="shared" si="1"/>
        <v>5.5406017762666933</v>
      </c>
      <c r="M17" s="136">
        <f t="shared" si="7"/>
        <v>0.25213006552395267</v>
      </c>
      <c r="N17">
        <f t="shared" si="2"/>
        <v>0</v>
      </c>
      <c r="O17" s="136">
        <f t="shared" si="8"/>
        <v>0</v>
      </c>
      <c r="P17">
        <f t="shared" si="3"/>
        <v>0</v>
      </c>
      <c r="Q17" s="136">
        <f t="shared" si="9"/>
        <v>0</v>
      </c>
      <c r="R17" s="156">
        <f t="shared" ca="1" si="4"/>
        <v>0.20910966211343723</v>
      </c>
      <c r="S17" s="156">
        <f t="shared" ca="1" si="5"/>
        <v>0.24541291723574651</v>
      </c>
      <c r="U17" s="50"/>
    </row>
    <row r="18" spans="2:21" x14ac:dyDescent="0.3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0.22097095898229077</v>
      </c>
      <c r="F18">
        <f ca="1">VLOOKUP(B18,OUTPUT_COUNTRY!$B$6:$N$18, 9, FALSE)</f>
        <v>7.1</v>
      </c>
      <c r="G18" s="47">
        <f>IFERROR(VLOOKUP(B18,OUTPUT_COUNTRY!$B$6:$N$18, 7, FALSE),0)</f>
        <v>85.7</v>
      </c>
      <c r="H18">
        <f>VLOOKUP(B18,OUTPUT_COUNTRY!$B$6:$N$18, 8, FALSE)</f>
        <v>50</v>
      </c>
      <c r="I18">
        <f>VLOOKUP(B18,OUTPUT_COUNTRY!$B$6:$N$18, 11, FALSE)</f>
        <v>85.7</v>
      </c>
      <c r="J18" s="47">
        <f t="shared" ca="1" si="0"/>
        <v>0</v>
      </c>
      <c r="K18" s="136">
        <f t="shared" ca="1" si="6"/>
        <v>0</v>
      </c>
      <c r="L18">
        <f t="shared" si="1"/>
        <v>4.5254815592312418</v>
      </c>
      <c r="M18" s="136">
        <f t="shared" si="7"/>
        <v>0.20593610732753925</v>
      </c>
      <c r="N18">
        <f t="shared" si="2"/>
        <v>4.5254815592312418</v>
      </c>
      <c r="O18" s="136">
        <f t="shared" si="8"/>
        <v>0.13694623368051448</v>
      </c>
      <c r="P18">
        <f t="shared" si="3"/>
        <v>4.5254815592312418</v>
      </c>
      <c r="Q18" s="136">
        <f t="shared" si="9"/>
        <v>0.18185107217986654</v>
      </c>
      <c r="R18" s="156">
        <f t="shared" ca="1" si="4"/>
        <v>9.3660562784299878E-2</v>
      </c>
      <c r="S18" s="156">
        <f t="shared" ca="1" si="5"/>
        <v>0.10992085067005516</v>
      </c>
    </row>
    <row r="19" spans="2:21" x14ac:dyDescent="0.3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0.23789812923405029</v>
      </c>
      <c r="F19">
        <f ca="1">VLOOKUP(B19,OUTPUT_COUNTRY!$B$6:$N$18, 9, FALSE)</f>
        <v>14.2</v>
      </c>
      <c r="G19" s="47">
        <f>IFERROR(VLOOKUP(B19,OUTPUT_COUNTRY!$B$6:$N$18, 7, FALSE),0)</f>
        <v>28.499999999999996</v>
      </c>
      <c r="H19">
        <f>VLOOKUP(B19,OUTPUT_COUNTRY!$B$6:$N$18, 8, FALSE)</f>
        <v>50</v>
      </c>
      <c r="I19">
        <f>VLOOKUP(B19,OUTPUT_COUNTRY!$B$6:$N$18, 11, FALSE)</f>
        <v>71.399999999999991</v>
      </c>
      <c r="J19" s="47">
        <f t="shared" ca="1" si="0"/>
        <v>0</v>
      </c>
      <c r="K19" s="136">
        <f t="shared" ca="1" si="6"/>
        <v>0</v>
      </c>
      <c r="L19">
        <f t="shared" si="1"/>
        <v>0</v>
      </c>
      <c r="M19" s="136">
        <f t="shared" si="7"/>
        <v>0</v>
      </c>
      <c r="N19">
        <f t="shared" si="2"/>
        <v>4.2034798811560821</v>
      </c>
      <c r="O19" s="136">
        <f t="shared" si="8"/>
        <v>0.12720209563154858</v>
      </c>
      <c r="P19">
        <f t="shared" si="3"/>
        <v>4.2034798811560821</v>
      </c>
      <c r="Q19" s="136">
        <f t="shared" si="9"/>
        <v>0.16891181927710339</v>
      </c>
      <c r="R19" s="156">
        <f t="shared" ca="1" si="4"/>
        <v>2.96113914908652E-2</v>
      </c>
      <c r="S19" s="156">
        <f t="shared" ca="1" si="5"/>
        <v>3.4752186463965481E-2</v>
      </c>
    </row>
    <row r="20" spans="2:21" x14ac:dyDescent="0.3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0.25468533762533602</v>
      </c>
      <c r="F20">
        <f ca="1">VLOOKUP(B20,OUTPUT_COUNTRY!$B$6:$N$18, 9, FALSE)</f>
        <v>42.8</v>
      </c>
      <c r="G20" s="47">
        <f>IFERROR(VLOOKUP(B20,OUTPUT_COUNTRY!$B$6:$N$18, 7, FALSE),0)</f>
        <v>21.4</v>
      </c>
      <c r="H20">
        <f>VLOOKUP(B20,OUTPUT_COUNTRY!$B$6:$N$18, 8, FALSE)</f>
        <v>50</v>
      </c>
      <c r="I20">
        <f>VLOOKUP(B20,OUTPUT_COUNTRY!$B$6:$N$18, 11, FALSE)</f>
        <v>21.4</v>
      </c>
      <c r="J20" s="47">
        <f t="shared" ca="1" si="0"/>
        <v>0</v>
      </c>
      <c r="K20" s="136">
        <f t="shared" ca="1" si="6"/>
        <v>0</v>
      </c>
      <c r="L20">
        <f t="shared" si="1"/>
        <v>0</v>
      </c>
      <c r="M20" s="136">
        <f t="shared" si="7"/>
        <v>0</v>
      </c>
      <c r="N20">
        <f t="shared" si="2"/>
        <v>3.9264137045497525</v>
      </c>
      <c r="O20" s="136">
        <f t="shared" si="8"/>
        <v>0.11881775710980624</v>
      </c>
      <c r="P20">
        <f t="shared" si="3"/>
        <v>0</v>
      </c>
      <c r="Q20" s="136">
        <f t="shared" si="9"/>
        <v>0</v>
      </c>
      <c r="R20" s="156">
        <f t="shared" ca="1" si="4"/>
        <v>1.1881775710980626E-2</v>
      </c>
      <c r="S20" s="156">
        <f t="shared" ca="1" si="5"/>
        <v>1.3944555262065124E-2</v>
      </c>
    </row>
    <row r="21" spans="2:21" ht="15" thickBot="1" x14ac:dyDescent="0.4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0.23690547286093436</v>
      </c>
      <c r="F21" s="13">
        <f ca="1">VLOOKUP(B21,OUTPUT_COUNTRY!$B$6:$N$18, 9, FALSE)</f>
        <v>21.4</v>
      </c>
      <c r="G21" s="138">
        <f>IFERROR(VLOOKUP(B21,OUTPUT_COUNTRY!$B$6:$N$18, 7, FALSE),0)</f>
        <v>35.699999999999996</v>
      </c>
      <c r="H21" s="13">
        <f>VLOOKUP(B21,OUTPUT_COUNTRY!$B$6:$N$18, 8, FALSE)</f>
        <v>50</v>
      </c>
      <c r="I21" s="13">
        <f>VLOOKUP(B21,OUTPUT_COUNTRY!$B$6:$N$18, 11, FALSE)</f>
        <v>57.099999999999994</v>
      </c>
      <c r="J21" s="138">
        <f t="shared" ca="1" si="0"/>
        <v>0</v>
      </c>
      <c r="K21" s="137">
        <f t="shared" ca="1" si="6"/>
        <v>0</v>
      </c>
      <c r="L21" s="13">
        <f t="shared" si="1"/>
        <v>0</v>
      </c>
      <c r="M21" s="137">
        <f t="shared" si="7"/>
        <v>0</v>
      </c>
      <c r="N21" s="13">
        <f t="shared" si="2"/>
        <v>4.221092860049751</v>
      </c>
      <c r="O21" s="137">
        <f t="shared" si="8"/>
        <v>0.12773508446197751</v>
      </c>
      <c r="P21" s="13">
        <f t="shared" si="3"/>
        <v>0</v>
      </c>
      <c r="Q21" s="137">
        <f t="shared" si="9"/>
        <v>0</v>
      </c>
      <c r="R21" s="157">
        <f t="shared" ca="1" si="4"/>
        <v>1.2773508446197752E-2</v>
      </c>
      <c r="S21" s="157">
        <f t="shared" ca="1" si="5"/>
        <v>1.4991100551902231E-2</v>
      </c>
    </row>
    <row r="22" spans="2:21" x14ac:dyDescent="0.35">
      <c r="J22" s="47">
        <f ca="1">SUM(J9:J21)</f>
        <v>20.755881871486356</v>
      </c>
      <c r="K22" s="169"/>
      <c r="L22">
        <f>SUM(L9:L21)</f>
        <v>21.975172872591546</v>
      </c>
      <c r="N22">
        <f>SUM(N9:N21)</f>
        <v>33.045681050191263</v>
      </c>
      <c r="P22">
        <f>SUM(P9:P21)</f>
        <v>24.885646837183046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1" zoomScale="95" zoomScaleNormal="95" workbookViewId="0">
      <selection activeCell="D21" sqref="D21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3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3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+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-</v>
      </c>
      <c r="J4" s="120" t="str">
        <f ca="1">IF(VLOOKUP(C4,OUTPUT_COUNTRY!$B$6:$N$18,9,FALSE)&gt;75,"++",(IF(VLOOKUP(C4,OUTPUT_COUNTRY!$B$6:$N$18,9,FALSE)&gt;50,"+",(IF(VLOOKUP(C4,OUTPUT_COUNTRY!$B$6:$N$18,9,FALSE)&gt;25,"-","--")))))</f>
        <v>+</v>
      </c>
      <c r="K4" s="153" t="str">
        <f>IF(VLOOKUP(C4,OUTPUT_COUNTRY!$B$6:$N$18,11,FALSE)&gt;75,"++",(IF(VLOOKUP(C4,OUTPUT_COUNTRY!$B$6:$N$18,11,FALSE)&gt;50,"+",(IF(VLOOKUP(C4,OUTPUT_COUNTRY!$B$6:$N$18,11,FALSE)&gt;25,"-","--")))))</f>
        <v>++</v>
      </c>
      <c r="L4" s="120" t="str">
        <f ca="1">IF(VLOOKUP(C4,OUTPUT_COUNTRY!$B$6:$N$18,13,FALSE)&gt;75,"++",(IF(VLOOKUP(C4,OUTPUT_COUNTRY!$B$6:$N$18,13,FALSE)&gt;50,"+",(IF(VLOOKUP(C4,OUTPUT_COUNTRY!$B$6:$N$18,13,FALSE)&gt;25,"-","--")))))</f>
        <v>++</v>
      </c>
    </row>
    <row r="5" spans="3:12" x14ac:dyDescent="0.3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-</v>
      </c>
      <c r="F5" s="121" t="str">
        <f>IF(VLOOKUP(C5,OUTPUT_COUNTRY!$B$6:$N$18,4,FALSE)&gt;75,"++",(IF(VLOOKUP(C5,OUTPUT_COUNTRY!$B$6:$N$18,4,FALSE)&gt;50,"+",(IF(VLOOKUP(C5,OUTPUT_COUNTRY!$B$6:$N$18,4,FALSE)&gt;25,"-","--")))))</f>
        <v>+</v>
      </c>
      <c r="G5" s="159" t="str">
        <f>IF(VLOOKUP(C5,OUTPUT_COUNTRY!$B$6:$N$18,5,FALSE)&gt;75,"++",(IF(VLOOKUP(C5,OUTPUT_COUNTRY!$B$6:$N$18,5,FALSE)&gt;50,"+",(IF(VLOOKUP(C5,OUTPUT_COUNTRY!$B$6:$N$18,5,FALSE)&gt;25,"-","--")))))</f>
        <v>+</v>
      </c>
      <c r="H5" s="121" t="str">
        <f>IF(VLOOKUP(C5,OUTPUT_COUNTRY!$B$6:$N$18,7,FALSE)&gt;75,"++",(IF(VLOOKUP(C5,OUTPUT_COUNTRY!$B$6:$N$18,7,FALSE)&gt;50,"+",(IF(VLOOKUP(C5,OUTPUT_COUNTRY!$B$6:$N$18,7,FALSE)&gt;25,"-","--")))))</f>
        <v>+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-</v>
      </c>
      <c r="K5" s="159" t="str">
        <f>IF(VLOOKUP(C5,OUTPUT_COUNTRY!$B$6:$N$18,11,FALSE)&gt;75,"++",(IF(VLOOKUP(C5,OUTPUT_COUNTRY!$B$6:$N$18,11,FALSE)&gt;50,"+",(IF(VLOOKUP(C5,OUTPUT_COUNTRY!$B$6:$N$18,11,FALSE)&gt;25,"-","--")))))</f>
        <v>-</v>
      </c>
      <c r="L5" s="121" t="str">
        <f ca="1">IF(VLOOKUP(C5,OUTPUT_COUNTRY!$B$6:$N$18,13,FALSE)&gt;75,"++",(IF(VLOOKUP(C5,OUTPUT_COUNTRY!$B$6:$N$18,13,FALSE)&gt;50,"+",(IF(VLOOKUP(C5,OUTPUT_COUNTRY!$B$6:$N$18,13,FALSE)&gt;25,"-","--")))))</f>
        <v>--</v>
      </c>
    </row>
    <row r="6" spans="3:12" x14ac:dyDescent="0.3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+</v>
      </c>
      <c r="H6" s="121" t="str">
        <f>IF(VLOOKUP(C6,OUTPUT_COUNTRY!$B$6:$N$18,7,FALSE)&gt;75,"++",(IF(VLOOKUP(C6,OUTPUT_COUNTRY!$B$6:$N$18,7,FALSE)&gt;50,"+",(IF(VLOOKUP(C6,OUTPUT_COUNTRY!$B$6:$N$18,7,FALSE)&gt;25,"-","--")))))</f>
        <v>+</v>
      </c>
      <c r="I6" s="159" t="str">
        <f>IF(VLOOKUP(C6,OUTPUT_COUNTRY!$B$6:$N$18,8,FALSE)&gt;75,"++",(IF(VLOOKUP(C6,OUTPUT_COUNTRY!$B$6:$N$18,8,FALSE)&gt;50,"+",(IF(VLOOKUP(C6,OUTPUT_COUNTRY!$B$6:$N$18,8,FALSE)&gt;25,"-","--")))))</f>
        <v>--</v>
      </c>
      <c r="J6" s="121" t="str">
        <f ca="1">IF(VLOOKUP(C6,OUTPUT_COUNTRY!$B$6:$N$18,9,FALSE)&gt;75,"++",(IF(VLOOKUP(C6,OUTPUT_COUNTRY!$B$6:$N$18,9,FALSE)&gt;50,"+",(IF(VLOOKUP(C6,OUTPUT_COUNTRY!$B$6:$N$18,9,FALSE)&gt;25,"-","--")))))</f>
        <v>-</v>
      </c>
      <c r="K6" s="159" t="str">
        <f>IF(VLOOKUP(C6,OUTPUT_COUNTRY!$B$6:$N$18,11,FALSE)&gt;75,"++",(IF(VLOOKUP(C6,OUTPUT_COUNTRY!$B$6:$N$18,11,FALSE)&gt;50,"+",(IF(VLOOKUP(C6,OUTPUT_COUNTRY!$B$6:$N$18,11,FALSE)&gt;25,"-","--")))))</f>
        <v>--</v>
      </c>
      <c r="L6" s="121" t="str">
        <f ca="1">IF(VLOOKUP(C6,OUTPUT_COUNTRY!$B$6:$N$18,13,FALSE)&gt;75,"++",(IF(VLOOKUP(C6,OUTPUT_COUNTRY!$B$6:$N$18,13,FALSE)&gt;50,"+",(IF(VLOOKUP(C6,OUTPUT_COUNTRY!$B$6:$N$18,13,FALSE)&gt;25,"-","--")))))</f>
        <v>--</v>
      </c>
    </row>
    <row r="7" spans="3:12" x14ac:dyDescent="0.3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+</v>
      </c>
      <c r="H7" s="121" t="str">
        <f>IF(VLOOKUP(C7,OUTPUT_COUNTRY!$B$6:$N$18,7,FALSE)&gt;75,"++",(IF(VLOOKUP(C7,OUTPUT_COUNTRY!$B$6:$N$18,7,FALSE)&gt;50,"+",(IF(VLOOKUP(C7,OUTPUT_COUNTRY!$B$6:$N$18,7,FALSE)&gt;25,"-","--")))))</f>
        <v>++</v>
      </c>
      <c r="I7" s="159" t="str">
        <f>IF(VLOOKUP(C7,OUTPUT_COUNTRY!$B$6:$N$18,8,FALSE)&gt;75,"++",(IF(VLOOKUP(C7,OUTPUT_COUNTRY!$B$6:$N$18,8,FALSE)&gt;50,"+",(IF(VLOOKUP(C7,OUTPUT_COUNTRY!$B$6:$N$18,8,FALSE)&gt;25,"-","--")))))</f>
        <v>--</v>
      </c>
      <c r="J7" s="121" t="str">
        <f ca="1">IF(VLOOKUP(C7,OUTPUT_COUNTRY!$B$6:$N$18,9,FALSE)&gt;75,"++",(IF(VLOOKUP(C7,OUTPUT_COUNTRY!$B$6:$N$18,9,FALSE)&gt;50,"+",(IF(VLOOKUP(C7,OUTPUT_COUNTRY!$B$6:$N$18,9,FALSE)&gt;25,"-","--")))))</f>
        <v>++</v>
      </c>
      <c r="K7" s="159" t="str">
        <f>IF(VLOOKUP(C7,OUTPUT_COUNTRY!$B$6:$N$18,11,FALSE)&gt;75,"++",(IF(VLOOKUP(C7,OUTPUT_COUNTRY!$B$6:$N$18,11,FALSE)&gt;50,"+",(IF(VLOOKUP(C7,OUTPUT_COUNTRY!$B$6:$N$18,11,FALSE)&gt;25,"-","--")))))</f>
        <v>--</v>
      </c>
      <c r="L7" s="121" t="str">
        <f ca="1">IF(VLOOKUP(C7,OUTPUT_COUNTRY!$B$6:$N$18,13,FALSE)&gt;75,"++",(IF(VLOOKUP(C7,OUTPUT_COUNTRY!$B$6:$N$18,13,FALSE)&gt;50,"+",(IF(VLOOKUP(C7,OUTPUT_COUNTRY!$B$6:$N$18,13,FALSE)&gt;25,"-","--")))))</f>
        <v>+</v>
      </c>
    </row>
    <row r="8" spans="3:12" x14ac:dyDescent="0.3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++</v>
      </c>
      <c r="F8" s="121" t="str">
        <f>IF(VLOOKUP(C8,OUTPUT_COUNTRY!$B$6:$N$18,4,FALSE)&gt;75,"++",(IF(VLOOKUP(C8,OUTPUT_COUNTRY!$B$6:$N$18,4,FALSE)&gt;50,"+",(IF(VLOOKUP(C8,OUTPUT_COUNTRY!$B$6:$N$18,4,FALSE)&gt;25,"-","--")))))</f>
        <v>-</v>
      </c>
      <c r="G8" s="159" t="str">
        <f>IF(VLOOKUP(C8,OUTPUT_COUNTRY!$B$6:$N$18,5,FALSE)&gt;75,"++",(IF(VLOOKUP(C8,OUTPUT_COUNTRY!$B$6:$N$18,5,FALSE)&gt;50,"+",(IF(VLOOKUP(C8,OUTPUT_COUNTRY!$B$6:$N$18,5,FALSE)&gt;25,"-","--")))))</f>
        <v>--</v>
      </c>
      <c r="H8" s="121" t="str">
        <f>IF(VLOOKUP(C8,OUTPUT_COUNTRY!$B$6:$N$18,7,FALSE)&gt;75,"++",(IF(VLOOKUP(C8,OUTPUT_COUNTRY!$B$6:$N$18,7,FALSE)&gt;50,"+",(IF(VLOOKUP(C8,OUTPUT_COUNTRY!$B$6:$N$18,7,FALSE)&gt;25,"-","--")))))</f>
        <v>-</v>
      </c>
      <c r="I8" s="159" t="str">
        <f>IF(VLOOKUP(C8,OUTPUT_COUNTRY!$B$6:$N$18,8,FALSE)&gt;75,"++",(IF(VLOOKUP(C8,OUTPUT_COUNTRY!$B$6:$N$18,8,FALSE)&gt;50,"+",(IF(VLOOKUP(C8,OUTPUT_COUNTRY!$B$6:$N$18,8,FALSE)&gt;25,"-","--")))))</f>
        <v>-</v>
      </c>
      <c r="J8" s="121" t="str">
        <f ca="1">IF(VLOOKUP(C8,OUTPUT_COUNTRY!$B$6:$N$18,9,FALSE)&gt;75,"++",(IF(VLOOKUP(C8,OUTPUT_COUNTRY!$B$6:$N$18,9,FALSE)&gt;50,"+",(IF(VLOOKUP(C8,OUTPUT_COUNTRY!$B$6:$N$18,9,FALSE)&gt;25,"-","--")))))</f>
        <v>-</v>
      </c>
      <c r="K8" s="159" t="str">
        <f>IF(VLOOKUP(C8,OUTPUT_COUNTRY!$B$6:$N$18,11,FALSE)&gt;75,"++",(IF(VLOOKUP(C8,OUTPUT_COUNTRY!$B$6:$N$18,11,FALSE)&gt;50,"+",(IF(VLOOKUP(C8,OUTPUT_COUNTRY!$B$6:$N$18,11,FALSE)&gt;25,"-","--")))))</f>
        <v>++</v>
      </c>
      <c r="L8" s="121" t="str">
        <f ca="1">IF(VLOOKUP(C8,OUTPUT_COUNTRY!$B$6:$N$18,13,FALSE)&gt;75,"++",(IF(VLOOKUP(C8,OUTPUT_COUNTRY!$B$6:$N$18,13,FALSE)&gt;50,"+",(IF(VLOOKUP(C8,OUTPUT_COUNTRY!$B$6:$N$18,13,FALSE)&gt;25,"-","--")))))</f>
        <v>+</v>
      </c>
    </row>
    <row r="9" spans="3:12" x14ac:dyDescent="0.3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++</v>
      </c>
      <c r="F9" s="121" t="str">
        <f>IF(VLOOKUP(C9,OUTPUT_COUNTRY!$B$6:$N$18,4,FALSE)&gt;75,"++",(IF(VLOOKUP(C9,OUTPUT_COUNTRY!$B$6:$N$18,4,FALSE)&gt;50,"+",(IF(VLOOKUP(C9,OUTPUT_COUNTRY!$B$6:$N$18,4,FALSE)&gt;25,"-","--")))))</f>
        <v>-</v>
      </c>
      <c r="G9" s="159" t="str">
        <f>IF(VLOOKUP(C9,OUTPUT_COUNTRY!$B$6:$N$18,5,FALSE)&gt;75,"++",(IF(VLOOKUP(C9,OUTPUT_COUNTRY!$B$6:$N$18,5,FALSE)&gt;50,"+",(IF(VLOOKUP(C9,OUTPUT_COUNTRY!$B$6:$N$18,5,FALSE)&gt;25,"-","--")))))</f>
        <v>-</v>
      </c>
      <c r="H9" s="121" t="str">
        <f>IF(VLOOKUP(C9,OUTPUT_COUNTRY!$B$6:$N$18,7,FALSE)&gt;75,"++",(IF(VLOOKUP(C9,OUTPUT_COUNTRY!$B$6:$N$18,7,FALSE)&gt;50,"+",(IF(VLOOKUP(C9,OUTPUT_COUNTRY!$B$6:$N$18,7,FALSE)&gt;25,"-","--")))))</f>
        <v>+</v>
      </c>
      <c r="I9" s="159" t="str">
        <f>IF(VLOOKUP(C9,OUTPUT_COUNTRY!$B$6:$N$18,8,FALSE)&gt;75,"++",(IF(VLOOKUP(C9,OUTPUT_COUNTRY!$B$6:$N$18,8,FALSE)&gt;50,"+",(IF(VLOOKUP(C9,OUTPUT_COUNTRY!$B$6:$N$18,8,FALSE)&gt;25,"-","--")))))</f>
        <v>--</v>
      </c>
      <c r="J9" s="121" t="str">
        <f ca="1">IF(VLOOKUP(C9,OUTPUT_COUNTRY!$B$6:$N$18,9,FALSE)&gt;75,"++",(IF(VLOOKUP(C9,OUTPUT_COUNTRY!$B$6:$N$18,9,FALSE)&gt;50,"+",(IF(VLOOKUP(C9,OUTPUT_COUNTRY!$B$6:$N$18,9,FALSE)&gt;25,"-","--")))))</f>
        <v>+</v>
      </c>
      <c r="K9" s="159" t="str">
        <f>IF(VLOOKUP(C9,OUTPUT_COUNTRY!$B$6:$N$18,11,FALSE)&gt;75,"++",(IF(VLOOKUP(C9,OUTPUT_COUNTRY!$B$6:$N$18,11,FALSE)&gt;50,"+",(IF(VLOOKUP(C9,OUTPUT_COUNTRY!$B$6:$N$18,11,FALSE)&gt;25,"-","--")))))</f>
        <v>+</v>
      </c>
      <c r="L9" s="121" t="str">
        <f ca="1">IF(VLOOKUP(C9,OUTPUT_COUNTRY!$B$6:$N$18,13,FALSE)&gt;75,"++",(IF(VLOOKUP(C9,OUTPUT_COUNTRY!$B$6:$N$18,13,FALSE)&gt;50,"+",(IF(VLOOKUP(C9,OUTPUT_COUNTRY!$B$6:$N$18,13,FALSE)&gt;25,"-","--")))))</f>
        <v>++</v>
      </c>
    </row>
    <row r="10" spans="3:12" x14ac:dyDescent="0.3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-</v>
      </c>
      <c r="F10" s="121" t="str">
        <f>IF(VLOOKUP(C10,OUTPUT_COUNTRY!$B$6:$N$18,4,FALSE)&gt;75,"++",(IF(VLOOKUP(C10,OUTPUT_COUNTRY!$B$6:$N$18,4,FALSE)&gt;50,"+",(IF(VLOOKUP(C10,OUTPUT_COUNTRY!$B$6:$N$18,4,FALSE)&gt;25,"-","--")))))</f>
        <v>+</v>
      </c>
      <c r="G10" s="159" t="str">
        <f>IF(VLOOKUP(C10,OUTPUT_COUNTRY!$B$6:$N$18,5,FALSE)&gt;75,"++",(IF(VLOOKUP(C10,OUTPUT_COUNTRY!$B$6:$N$18,5,FALSE)&gt;50,"+",(IF(VLOOKUP(C10,OUTPUT_COUNTRY!$B$6:$N$18,5,FALSE)&gt;25,"-","--")))))</f>
        <v>-</v>
      </c>
      <c r="H10" s="121" t="str">
        <f>IF(VLOOKUP(C10,OUTPUT_COUNTRY!$B$6:$N$18,7,FALSE)&gt;75,"++",(IF(VLOOKUP(C10,OUTPUT_COUNTRY!$B$6:$N$18,7,FALSE)&gt;50,"+",(IF(VLOOKUP(C10,OUTPUT_COUNTRY!$B$6:$N$18,7,FALSE)&gt;25,"-","--")))))</f>
        <v>-</v>
      </c>
      <c r="I10" s="159" t="str">
        <f>IF(VLOOKUP(C10,OUTPUT_COUNTRY!$B$6:$N$18,8,FALSE)&gt;75,"++",(IF(VLOOKUP(C10,OUTPUT_COUNTRY!$B$6:$N$18,8,FALSE)&gt;50,"+",(IF(VLOOKUP(C10,OUTPUT_COUNTRY!$B$6:$N$18,8,FALSE)&gt;25,"-","--")))))</f>
        <v>--</v>
      </c>
      <c r="J10" s="121" t="str">
        <f ca="1">IF(VLOOKUP(C10,OUTPUT_COUNTRY!$B$6:$N$18,9,FALSE)&gt;75,"++",(IF(VLOOKUP(C10,OUTPUT_COUNTRY!$B$6:$N$18,9,FALSE)&gt;50,"+",(IF(VLOOKUP(C10,OUTPUT_COUNTRY!$B$6:$N$18,9,FALSE)&gt;25,"-","--")))))</f>
        <v>++</v>
      </c>
      <c r="K10" s="159" t="str">
        <f>IF(VLOOKUP(C10,OUTPUT_COUNTRY!$B$6:$N$18,11,FALSE)&gt;75,"++",(IF(VLOOKUP(C10,OUTPUT_COUNTRY!$B$6:$N$18,11,FALSE)&gt;50,"+",(IF(VLOOKUP(C10,OUTPUT_COUNTRY!$B$6:$N$18,11,FALSE)&gt;25,"-","--")))))</f>
        <v>--</v>
      </c>
      <c r="L10" s="121" t="str">
        <f ca="1">IF(VLOOKUP(C10,OUTPUT_COUNTRY!$B$6:$N$18,13,FALSE)&gt;75,"++",(IF(VLOOKUP(C10,OUTPUT_COUNTRY!$B$6:$N$18,13,FALSE)&gt;50,"+",(IF(VLOOKUP(C10,OUTPUT_COUNTRY!$B$6:$N$18,13,FALSE)&gt;25,"-","--")))))</f>
        <v>++</v>
      </c>
    </row>
    <row r="11" spans="3:12" x14ac:dyDescent="0.3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--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--</v>
      </c>
      <c r="J11" s="121" t="str">
        <f ca="1">IF(VLOOKUP(C11,OUTPUT_COUNTRY!$B$6:$N$18,9,FALSE)&gt;75,"++",(IF(VLOOKUP(C11,OUTPUT_COUNTRY!$B$6:$N$18,9,FALSE)&gt;50,"+",(IF(VLOOKUP(C11,OUTPUT_COUNTRY!$B$6:$N$18,9,FALSE)&gt;25,"-","--")))))</f>
        <v>++</v>
      </c>
      <c r="K11" s="159" t="str">
        <f>IF(VLOOKUP(C11,OUTPUT_COUNTRY!$B$6:$N$18,11,FALSE)&gt;75,"++",(IF(VLOOKUP(C11,OUTPUT_COUNTRY!$B$6:$N$18,11,FALSE)&gt;50,"+",(IF(VLOOKUP(C11,OUTPUT_COUNTRY!$B$6:$N$18,11,FALSE)&gt;25,"-","--")))))</f>
        <v>-</v>
      </c>
      <c r="L11" s="121" t="str">
        <f ca="1">IF(VLOOKUP(C11,OUTPUT_COUNTRY!$B$6:$N$18,13,FALSE)&gt;75,"++",(IF(VLOOKUP(C11,OUTPUT_COUNTRY!$B$6:$N$18,13,FALSE)&gt;50,"+",(IF(VLOOKUP(C11,OUTPUT_COUNTRY!$B$6:$N$18,13,FALSE)&gt;25,"-","--")))))</f>
        <v>-</v>
      </c>
    </row>
    <row r="12" spans="3:12" x14ac:dyDescent="0.3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++</v>
      </c>
      <c r="H12" s="121" t="str">
        <f>IF(VLOOKUP(C12,OUTPUT_COUNTRY!$B$6:$N$18,7,FALSE)&gt;75,"++",(IF(VLOOKUP(C12,OUTPUT_COUNTRY!$B$6:$N$18,7,FALSE)&gt;50,"+",(IF(VLOOKUP(C12,OUTPUT_COUNTRY!$B$6:$N$18,7,FALSE)&gt;25,"-","--")))))</f>
        <v>--</v>
      </c>
      <c r="I12" s="159" t="str">
        <f>IF(VLOOKUP(C12,OUTPUT_COUNTRY!$B$6:$N$18,8,FALSE)&gt;75,"++",(IF(VLOOKUP(C12,OUTPUT_COUNTRY!$B$6:$N$18,8,FALSE)&gt;50,"+",(IF(VLOOKUP(C12,OUTPUT_COUNTRY!$B$6:$N$18,8,FALSE)&gt;25,"-","--")))))</f>
        <v>-</v>
      </c>
      <c r="J12" s="121" t="str">
        <f ca="1">IF(VLOOKUP(C12,OUTPUT_COUNTRY!$B$6:$N$18,9,FALSE)&gt;75,"++",(IF(VLOOKUP(C12,OUTPUT_COUNTRY!$B$6:$N$18,9,FALSE)&gt;50,"+",(IF(VLOOKUP(C12,OUTPUT_COUNTRY!$B$6:$N$18,9,FALSE)&gt;25,"-","--")))))</f>
        <v>+</v>
      </c>
      <c r="K12" s="159" t="str">
        <f>IF(VLOOKUP(C12,OUTPUT_COUNTRY!$B$6:$N$18,11,FALSE)&gt;75,"++",(IF(VLOOKUP(C12,OUTPUT_COUNTRY!$B$6:$N$18,11,FALSE)&gt;50,"+",(IF(VLOOKUP(C12,OUTPUT_COUNTRY!$B$6:$N$18,11,FALSE)&gt;25,"-","--")))))</f>
        <v>--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+</v>
      </c>
    </row>
    <row r="13" spans="3:12" x14ac:dyDescent="0.3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+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-</v>
      </c>
      <c r="J13" s="121" t="str">
        <f ca="1">IF(VLOOKUP(C13,OUTPUT_COUNTRY!$B$6:$N$18,9,FALSE)&gt;75,"++",(IF(VLOOKUP(C13,OUTPUT_COUNTRY!$B$6:$N$18,9,FALSE)&gt;50,"+",(IF(VLOOKUP(C13,OUTPUT_COUNTRY!$B$6:$N$18,9,FALSE)&gt;25,"-","--")))))</f>
        <v>--</v>
      </c>
      <c r="K13" s="159" t="str">
        <f>IF(VLOOKUP(C13,OUTPUT_COUNTRY!$B$6:$N$18,11,FALSE)&gt;75,"++",(IF(VLOOKUP(C13,OUTPUT_COUNTRY!$B$6:$N$18,11,FALSE)&gt;50,"+",(IF(VLOOKUP(C13,OUTPUT_COUNTRY!$B$6:$N$18,11,FALSE)&gt;25,"-","--")))))</f>
        <v>++</v>
      </c>
      <c r="L13" s="121" t="str">
        <f ca="1">IF(VLOOKUP(C13,OUTPUT_COUNTRY!$B$6:$N$18,13,FALSE)&gt;75,"++",(IF(VLOOKUP(C13,OUTPUT_COUNTRY!$B$6:$N$18,13,FALSE)&gt;50,"+",(IF(VLOOKUP(C13,OUTPUT_COUNTRY!$B$6:$N$18,13,FALSE)&gt;25,"-","--")))))</f>
        <v>-</v>
      </c>
    </row>
    <row r="14" spans="3:12" x14ac:dyDescent="0.3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-</v>
      </c>
      <c r="H14" s="121" t="str">
        <f>IF(VLOOKUP(C14,OUTPUT_COUNTRY!$B$6:$N$18,7,FALSE)&gt;75,"++",(IF(VLOOKUP(C14,OUTPUT_COUNTRY!$B$6:$N$18,7,FALSE)&gt;50,"+",(IF(VLOOKUP(C14,OUTPUT_COUNTRY!$B$6:$N$18,7,FALSE)&gt;25,"-","--")))))</f>
        <v>-</v>
      </c>
      <c r="I14" s="159" t="str">
        <f>IF(VLOOKUP(C14,OUTPUT_COUNTRY!$B$6:$N$18,8,FALSE)&gt;75,"++",(IF(VLOOKUP(C14,OUTPUT_COUNTRY!$B$6:$N$18,8,FALSE)&gt;50,"+",(IF(VLOOKUP(C14,OUTPUT_COUNTRY!$B$6:$N$18,8,FALSE)&gt;25,"-","--")))))</f>
        <v>-</v>
      </c>
      <c r="J14" s="121" t="str">
        <f ca="1">IF(VLOOKUP(C14,OUTPUT_COUNTRY!$B$6:$N$18,9,FALSE)&gt;75,"++",(IF(VLOOKUP(C14,OUTPUT_COUNTRY!$B$6:$N$18,9,FALSE)&gt;50,"+",(IF(VLOOKUP(C14,OUTPUT_COUNTRY!$B$6:$N$18,9,FALSE)&gt;25,"-","--")))))</f>
        <v>--</v>
      </c>
      <c r="K14" s="159" t="str">
        <f>IF(VLOOKUP(C14,OUTPUT_COUNTRY!$B$6:$N$18,11,FALSE)&gt;75,"++",(IF(VLOOKUP(C14,OUTPUT_COUNTRY!$B$6:$N$18,11,FALSE)&gt;50,"+",(IF(VLOOKUP(C14,OUTPUT_COUNTRY!$B$6:$N$18,11,FALSE)&gt;25,"-","--")))))</f>
        <v>+</v>
      </c>
      <c r="L14" s="121" t="str">
        <f ca="1">IF(VLOOKUP(C14,OUTPUT_COUNTRY!$B$6:$N$18,13,FALSE)&gt;75,"++",(IF(VLOOKUP(C14,OUTPUT_COUNTRY!$B$6:$N$18,13,FALSE)&gt;50,"+",(IF(VLOOKUP(C14,OUTPUT_COUNTRY!$B$6:$N$18,13,FALSE)&gt;25,"-","--")))))</f>
        <v>--</v>
      </c>
    </row>
    <row r="15" spans="3:12" x14ac:dyDescent="0.3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</v>
      </c>
      <c r="F15" s="121" t="str">
        <f>IF(VLOOKUP(C15,OUTPUT_COUNTRY!$B$6:$N$18,4,FALSE)&gt;75,"++",(IF(VLOOKUP(C15,OUTPUT_COUNTRY!$B$6:$N$18,4,FALSE)&gt;50,"+",(IF(VLOOKUP(C15,OUTPUT_COUNTRY!$B$6:$N$18,4,FALSE)&gt;25,"-","--")))))</f>
        <v>-</v>
      </c>
      <c r="G15" s="159" t="str">
        <f>IF(VLOOKUP(C15,OUTPUT_COUNTRY!$B$6:$N$18,5,FALSE)&gt;75,"++",(IF(VLOOKUP(C15,OUTPUT_COUNTRY!$B$6:$N$18,5,FALSE)&gt;50,"+",(IF(VLOOKUP(C15,OUTPUT_COUNTRY!$B$6:$N$18,5,FALSE)&gt;25,"-","--")))))</f>
        <v>--</v>
      </c>
      <c r="H15" s="121" t="str">
        <f>IF(VLOOKUP(C15,OUTPUT_COUNTRY!$B$6:$N$18,7,FALSE)&gt;75,"++",(IF(VLOOKUP(C15,OUTPUT_COUNTRY!$B$6:$N$18,7,FALSE)&gt;50,"+",(IF(VLOOKUP(C15,OUTPUT_COUNTRY!$B$6:$N$18,7,FALSE)&gt;25,"-","--")))))</f>
        <v>--</v>
      </c>
      <c r="I15" s="159" t="str">
        <f>IF(VLOOKUP(C15,OUTPUT_COUNTRY!$B$6:$N$18,8,FALSE)&gt;75,"++",(IF(VLOOKUP(C15,OUTPUT_COUNTRY!$B$6:$N$18,8,FALSE)&gt;50,"+",(IF(VLOOKUP(C15,OUTPUT_COUNTRY!$B$6:$N$18,8,FALSE)&gt;25,"-","--")))))</f>
        <v>-</v>
      </c>
      <c r="J15" s="121" t="str">
        <f ca="1">IF(VLOOKUP(C15,OUTPUT_COUNTRY!$B$6:$N$18,9,FALSE)&gt;75,"++",(IF(VLOOKUP(C15,OUTPUT_COUNTRY!$B$6:$N$18,9,FALSE)&gt;50,"+",(IF(VLOOKUP(C15,OUTPUT_COUNTRY!$B$6:$N$18,9,FALSE)&gt;25,"-","--")))))</f>
        <v>-</v>
      </c>
      <c r="K15" s="159" t="str">
        <f>IF(VLOOKUP(C15,OUTPUT_COUNTRY!$B$6:$N$18,11,FALSE)&gt;75,"++",(IF(VLOOKUP(C15,OUTPUT_COUNTRY!$B$6:$N$18,11,FALSE)&gt;50,"+",(IF(VLOOKUP(C15,OUTPUT_COUNTRY!$B$6:$N$18,11,FALSE)&gt;25,"-","--")))))</f>
        <v>--</v>
      </c>
      <c r="L15" s="121" t="str">
        <f ca="1">IF(VLOOKUP(C15,OUTPUT_COUNTRY!$B$6:$N$18,13,FALSE)&gt;75,"++",(IF(VLOOKUP(C15,OUTPUT_COUNTRY!$B$6:$N$18,13,FALSE)&gt;50,"+",(IF(VLOOKUP(C15,OUTPUT_COUNTRY!$B$6:$N$18,13,FALSE)&gt;25,"-","--")))))</f>
        <v>-</v>
      </c>
    </row>
    <row r="16" spans="3:12" x14ac:dyDescent="0.3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</v>
      </c>
      <c r="H16" s="122" t="str">
        <f>IF(VLOOKUP(C16,OUTPUT_COUNTRY!$B$6:$N$18,7,FALSE)&gt;75,"++",(IF(VLOOKUP(C16,OUTPUT_COUNTRY!$B$6:$N$18,7,FALSE)&gt;50,"+",(IF(VLOOKUP(C16,OUTPUT_COUNTRY!$B$6:$N$18,7,FALSE)&gt;25,"-","--")))))</f>
        <v>-</v>
      </c>
      <c r="I16" s="154" t="str">
        <f>IF(VLOOKUP(C16,OUTPUT_COUNTRY!$B$6:$N$18,8,FALSE)&gt;75,"++",(IF(VLOOKUP(C16,OUTPUT_COUNTRY!$B$6:$N$18,8,FALSE)&gt;50,"+",(IF(VLOOKUP(C16,OUTPUT_COUNTRY!$B$6:$N$18,8,FALSE)&gt;25,"-","--")))))</f>
        <v>-</v>
      </c>
      <c r="J16" s="122" t="str">
        <f ca="1">IF(VLOOKUP(C16,OUTPUT_COUNTRY!$B$6:$N$18,9,FALSE)&gt;75,"++",(IF(VLOOKUP(C16,OUTPUT_COUNTRY!$B$6:$N$18,9,FALSE)&gt;50,"+",(IF(VLOOKUP(C16,OUTPUT_COUNTRY!$B$6:$N$18,9,FALSE)&gt;25,"-","--")))))</f>
        <v>--</v>
      </c>
      <c r="K16" s="154" t="str">
        <f>IF(VLOOKUP(C16,OUTPUT_COUNTRY!$B$6:$N$18,11,FALSE)&gt;75,"++",(IF(VLOOKUP(C16,OUTPUT_COUNTRY!$B$6:$N$18,11,FALSE)&gt;50,"+",(IF(VLOOKUP(C16,OUTPUT_COUNTRY!$B$6:$N$18,11,FALSE)&gt;25,"-","--")))))</f>
        <v>+</v>
      </c>
      <c r="L16" s="122" t="str">
        <f ca="1">IF(VLOOKUP(C16,OUTPUT_COUNTRY!$B$6:$N$18,13,FALSE)&gt;75,"++",(IF(VLOOKUP(C16,OUTPUT_COUNTRY!$B$6:$N$18,13,FALSE)&gt;50,"+",(IF(VLOOKUP(C16,OUTPUT_COUNTRY!$B$6:$N$18,13,FALSE)&gt;25,"-","--")))))</f>
        <v>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869</v>
      </c>
      <c r="D75" s="26" t="s">
        <v>163</v>
      </c>
    </row>
    <row r="76" spans="1:4" x14ac:dyDescent="0.35">
      <c r="A76" t="s">
        <v>875</v>
      </c>
      <c r="B76" t="s">
        <v>870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16" sqref="O16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45565</v>
      </c>
      <c r="G3" s="4" cm="1">
        <f t="array" ref="G3">_xll.FDS(D3,"FMA_PE(LTM,0,,,""PORTAGG"",""MEANR"")")</f>
        <v>50.225900621848403</v>
      </c>
      <c r="H3" s="4" cm="1">
        <f t="array" ref="H3">_xll.FDS(D3,"FMA_PE(NTMA,0,,,""PORTAGG"",""MEANR"")")</f>
        <v>23.9859692680043</v>
      </c>
      <c r="I3" cm="1">
        <f t="array" ref="I3">_xll.FDS(D3,"FMA_DIV_YLD(NTMA,NOW,NOW,M,""PORTAGG"",""MEANR"")")</f>
        <v>3.1055861975912502</v>
      </c>
      <c r="J3" s="52" cm="1">
        <f t="array" ref="J3">IFERROR(_xll.FDS(D3,"FG_FCF_YIELD_NTM(0)"),(1/G3*100))</f>
        <v>1.9123561744986199</v>
      </c>
      <c r="K3" s="3" cm="1">
        <f t="array" ref="K3">_xll.FDS(D3,"FMA_EVAL_EBITDA(NTMA,0,,,""PORTAGG"",""MEANR"")")</f>
        <v>12.6630230740037</v>
      </c>
      <c r="L3" cm="1">
        <f t="array" ref="L3">_xll.FDS(D3,"FMA_EVAL_EBIT(LTMA,NOW,NOW,M,""PORTAGG"",""MEANR"")")</f>
        <v>19.7849457837534</v>
      </c>
      <c r="M3">
        <f>HLOOKUP(D3,'Index ROE'!$A$1:$N$25,25,FALSE)</f>
        <v>6.5791075223619204</v>
      </c>
      <c r="N3">
        <f>VLOOKUP(A3,'LIQIDITY 2'!$A$3:$E$16,5,FALSE)</f>
        <v>4.2679</v>
      </c>
      <c r="O3" cm="1">
        <f t="array" ref="O3">IFERROR(IFERROR(IFERROR(IFERROR(_xll.FDS(B3,"IMF_IFS_RCPI_Q(0)"),_xll.FDS(B3,"IMF_IFS_RCPI_Q(-1AM)")),_xll.FDS(B3,"IMF_IFS_RCPI_Q(-2AM)")),_xll.FDS(B3,"IMF_IFS_RCPI_Q(-3AM)")),$D$31)</f>
        <v>3.3306260000000001</v>
      </c>
      <c r="P3">
        <f>VLOOKUP(E3,GDP_GROWTH!$B$10:$W$165,22,FALSE)</f>
        <v>2.7196134550164452</v>
      </c>
      <c r="Q3">
        <f t="shared" ref="Q3:Q11" si="0">I3-N3</f>
        <v>-1.1623138024087498</v>
      </c>
      <c r="R3" s="52">
        <f t="shared" ref="R3:R11" si="1">J3-N3</f>
        <v>-2.3555438255013801</v>
      </c>
      <c r="S3">
        <f t="shared" ref="S3:S11" si="2">M3-N3</f>
        <v>2.3112075223619204</v>
      </c>
      <c r="T3">
        <f t="shared" ref="T3:T11" si="3">M3-O3</f>
        <v>3.2484815223619203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7.1999999999999957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9.64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45565</v>
      </c>
      <c r="G4" s="4" cm="1">
        <f t="array" ref="G4">_xll.FDS(D4,"FMA_PE(LTM,0,,,""PORTAGG"",""MEANR"")")</f>
        <v>19.713493278146299</v>
      </c>
      <c r="H4" s="4" cm="1">
        <f t="array" ref="H4">_xll.FDS(D4,"FMA_PE(NTMA,0,,,""PORTAGG"",""MEANR"")")</f>
        <v>18.393868275772601</v>
      </c>
      <c r="I4" cm="1">
        <f t="array" ref="I4">_xll.FDS(D4,"FMA_DIV_YLD(NTMA,NOW,NOW,M,""PORTAGG"",""MEANR"")")</f>
        <v>3.5620052410434901</v>
      </c>
      <c r="J4" s="52" cm="1">
        <f t="array" ref="J4">IFERROR(_xll.FDS(D4,"FG_FCF_YIELD_NTM(0)"),(1/G4*100))</f>
        <v>4.4819954283297001</v>
      </c>
      <c r="K4" s="3" cm="1">
        <f t="array" ref="K4">_xll.FDS(D4,"FMA_EVAL_EBITDA(NTMA,0,,,""PORTAGG"",""MEANR"")")</f>
        <v>9.26676632157195</v>
      </c>
      <c r="L4" cm="1">
        <f t="array" ref="L4">_xll.FDS(D4,"FMA_EVAL_EBIT(LTMA,NOW,NOW,M,""PORTAGG"",""MEANR"")")</f>
        <v>13.4435335898006</v>
      </c>
      <c r="M4">
        <f>HLOOKUP(D4,'Index ROE'!$A$1:$N$25,25,FALSE)</f>
        <v>13.226394097123199</v>
      </c>
      <c r="N4">
        <f>VLOOKUP(A4,'LIQIDITY 2'!$A$3:$E$16,5,FALSE)</f>
        <v>3.9889999999999999</v>
      </c>
      <c r="O4" cm="1">
        <f t="array" ref="O4">IFERROR(IFERROR(IFERROR(IFERROR(_xll.FDS(B4,"IMF_IFS_RCPI_Q(0)"),_xll.FDS(B4,"IMF_IFS_RCPI_Q(-1AM)")),_xll.FDS(B4,"IMF_IFS_RCPI_Q(-2AM)")),_xll.FDS(B4,"IMF_IFS_RCPI_Q(-3AM)")),$D$31)</f>
        <v>3.8145099999999998</v>
      </c>
      <c r="P4">
        <f>VLOOKUP(E4,GDP_GROWTH!$B$10:$W$165,22,FALSE)</f>
        <v>2.0879441195558623</v>
      </c>
      <c r="Q4">
        <f t="shared" si="0"/>
        <v>-0.42699475895650973</v>
      </c>
      <c r="R4" s="52">
        <f t="shared" si="1"/>
        <v>0.49299542832970022</v>
      </c>
      <c r="S4">
        <f t="shared" si="2"/>
        <v>9.2373940971232003</v>
      </c>
      <c r="T4">
        <f t="shared" si="3"/>
        <v>9.411884097123199</v>
      </c>
      <c r="U4" cm="1">
        <f t="array" ref="U4">_xlfn.PERCENTRANK.EXC(_xlfn._xlws.FILTER(Q$3:Q$15, ISNUMBER(Q$3:Q$15)),Q4)*100</f>
        <v>28.499999999999996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42.900000000000006</v>
      </c>
      <c r="Y4" cm="1">
        <f t="array" ref="Y4">(1-_xlfn.PERCENTRANK.EXC(_xlfn._xlws.FILTER(H$3:H$15, ISNUMBER(H$3:H$15)),H4))*100</f>
        <v>28.6</v>
      </c>
      <c r="Z4" cm="1">
        <f t="array" ref="Z4">_xlfn.PERCENTRANK.EXC(_xlfn._xlws.FILTER(T$3:T$15, ISNUMBER(T$3:T$15)),T4)*100</f>
        <v>21.4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30.704999999999998</v>
      </c>
      <c r="AC4" cm="1">
        <f t="array" ref="AC4">_xlfn.PERCENTRANK.EXC(_xlfn._xlws.FILTER(AB$3:AB$15, ISNUMBER(AB$3:AB$15)),AB4)*100</f>
        <v>21.4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45565</v>
      </c>
      <c r="G5" s="4" cm="1">
        <f t="array" ref="G5">_xll.FDS(D5,"FMA_PE(LTM,0,,,""PORTAGG"",""MEANR"")")</f>
        <v>19.188882216451798</v>
      </c>
      <c r="H5" s="4" cm="1">
        <f t="array" ref="H5">_xll.FDS(D5,"FMA_PE(NTMA,0,,,""PORTAGG"",""MEANR"")")</f>
        <v>15.147776792516501</v>
      </c>
      <c r="I5" cm="1">
        <f t="array" ref="I5">_xll.FDS(D5,"FMA_DIV_YLD(NTMA,NOW,NOW,M,""PORTAGG"",""MEANR"")")</f>
        <v>3.0596088981376801</v>
      </c>
      <c r="J5" s="52" cm="1">
        <f t="array" ref="J5">IFERROR(_xll.FDS(D5,"FG_FCF_YIELD_NTM(0)"),(1/G5*100))</f>
        <v>4.7631651786028097</v>
      </c>
      <c r="K5" s="3" cm="1">
        <f t="array" ref="K5">_xll.FDS(D5,"FMA_EVAL_EBITDA(NTMA,0,,,""PORTAGG"",""MEANR"")")</f>
        <v>9.9824416153376205</v>
      </c>
      <c r="L5" cm="1">
        <f t="array" ref="L5">_xll.FDS(D5,"FMA_EVAL_EBIT(LTMA,NOW,NOW,M,""PORTAGG"",""MEANR"")")</f>
        <v>16.294714831890602</v>
      </c>
      <c r="M5">
        <f>HLOOKUP(D5,'Index ROE'!$A$1:$N$25,25,FALSE)</f>
        <v>13.1491479008301</v>
      </c>
      <c r="N5">
        <f>VLOOKUP(A5,'LIQIDITY 2'!$A$3:$E$16,5,FALSE)</f>
        <v>3.0914000000000001</v>
      </c>
      <c r="O5" cm="1">
        <f t="array" ref="O5">IFERROR(IFERROR(IFERROR(IFERROR(_xll.FDS(B5,"IMF_IFS_RCPI_Q(0)"),_xll.FDS(B5,"IMF_IFS_RCPI_Q(-1AM)")),_xll.FDS(B5,"IMF_IFS_RCPI_Q(-2AM)")),_xll.FDS(B5,"IMF_IFS_RCPI_Q(-3AM)")),$D$31)</f>
        <v>2.7411842000000002</v>
      </c>
      <c r="P5">
        <f>VLOOKUP(E5,GDP_GROWTH!$B$10:$W$165,22,FALSE)</f>
        <v>1.4598842535213041</v>
      </c>
      <c r="Q5">
        <f t="shared" si="0"/>
        <v>-3.1791101862320037E-2</v>
      </c>
      <c r="R5" s="52">
        <f t="shared" si="1"/>
        <v>1.6717651786028096</v>
      </c>
      <c r="S5">
        <f t="shared" si="2"/>
        <v>10.057747900830099</v>
      </c>
      <c r="T5">
        <f t="shared" si="3"/>
        <v>10.407963700830098</v>
      </c>
      <c r="U5" cm="1">
        <f t="array" ref="U5">_xlfn.PERCENTRANK.EXC(_xlfn._xlws.FILTER(Q$3:Q$15, ISNUMBER(Q$3:Q$15)),Q5)*100</f>
        <v>42.8</v>
      </c>
      <c r="V5" cm="1">
        <f t="array" ref="V5">_xlfn.PERCENTRANK.EXC(_xlfn._xlws.FILTER(R$3:R$15, ISNUMBER(R$3:R$15)),R5)*100</f>
        <v>50</v>
      </c>
      <c r="W5" cm="1">
        <f t="array" ref="W5">_xlfn.PERCENTRANK.EXC(_xlfn._xlws.FILTER(S$3:S$15, ISNUMBER(S$3:S$15)),S5)*100</f>
        <v>42.8</v>
      </c>
      <c r="X5" cm="1">
        <f t="array" ref="X5">(1-_xlfn.PERCENTRANK.EXC(_xlfn._xlws.FILTER(G$3:G$15, ISNUMBER(G$3:G$15)),G5))*100</f>
        <v>50</v>
      </c>
      <c r="Y5" cm="1">
        <f t="array" ref="Y5">(1-_xlfn.PERCENTRANK.EXC(_xlfn._xlws.FILTER(H$3:H$15, ISNUMBER(H$3:H$15)),H5))*100</f>
        <v>50</v>
      </c>
      <c r="Z5" cm="1">
        <f t="array" ref="Z5">_xlfn.PERCENTRANK.EXC(_xlfn._xlws.FILTER(T$3:T$15, ISNUMBER(T$3:T$15)),T5)*100</f>
        <v>42.8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48.2</v>
      </c>
      <c r="AC5" cm="1">
        <f t="array" ref="AC5">_xlfn.PERCENTRANK.EXC(_xlfn._xlws.FILTER(AB$3:AB$15, ISNUMBER(AB$3:AB$15)),AB5)*100</f>
        <v>42.8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45565</v>
      </c>
      <c r="G6" s="4" cm="1">
        <f t="array" ref="G6">_xll.FDS(D6,"FMA_PE(LTM,0,,,""PORTAGG"",""MEANR"")")</f>
        <v>16.006495714132001</v>
      </c>
      <c r="H6" s="4" cm="1">
        <f t="array" ref="H6">_xll.FDS(D6,"FMA_PE(NTMA,0,,,""PORTAGG"",""MEANR"")")</f>
        <v>12.8348380089753</v>
      </c>
      <c r="I6" cm="1">
        <f t="array" ref="I6">_xll.FDS(D6,"FMA_DIV_YLD(NTMA,NOW,NOW,M,""PORTAGG"",""MEANR"")")</f>
        <v>3.1832723461946202</v>
      </c>
      <c r="J6" s="52" cm="1">
        <f t="array" ref="J6">IFERROR(_xll.FDS(D6,"FG_FCF_YIELD_NTM(0)"),(1/G6*100))</f>
        <v>5.62638961324891</v>
      </c>
      <c r="K6" s="3" cm="1">
        <f t="array" ref="K6">_xll.FDS(D6,"FMA_EVAL_EBITDA(NTMA,0,,,""PORTAGG"",""MEANR"")")</f>
        <v>8.8229742415720995</v>
      </c>
      <c r="L6" cm="1">
        <f t="array" ref="L6">_xll.FDS(D6,"FMA_EVAL_EBIT(LTMA,NOW,NOW,M,""PORTAGG"",""MEANR"")")</f>
        <v>14.6996288865786</v>
      </c>
      <c r="M6">
        <f>HLOOKUP(D6,'Index ROE'!$A$1:$N$25,25,FALSE)</f>
        <v>11.93889064433</v>
      </c>
      <c r="N6">
        <f>VLOOKUP(A6,'LIQIDITY 2'!$A$3:$E$16,5,FALSE)</f>
        <v>2.1480000000000001</v>
      </c>
      <c r="O6" cm="1">
        <f t="array" ref="O6">IFERROR(IFERROR(IFERROR(IFERROR(_xll.FDS(B6,"IMF_IFS_RCPI_Q(0)"),_xll.FDS(B6,"IMF_IFS_RCPI_Q(-1AM)")),_xll.FDS(B6,"IMF_IFS_RCPI_Q(-2AM)")),_xll.FDS(B6,"IMF_IFS_RCPI_Q(-3AM)")),$D$31)</f>
        <v>2.2863680999999998</v>
      </c>
      <c r="P6">
        <f>VLOOKUP(E6,GDP_GROWTH!$B$10:$W$165,22,FALSE)</f>
        <v>0.863192929992318</v>
      </c>
      <c r="Q6">
        <f t="shared" si="0"/>
        <v>1.0352723461946201</v>
      </c>
      <c r="R6" s="52">
        <f t="shared" si="1"/>
        <v>3.4783896132489098</v>
      </c>
      <c r="S6">
        <f t="shared" si="2"/>
        <v>9.7908906443300001</v>
      </c>
      <c r="T6">
        <f t="shared" si="3"/>
        <v>9.6525225443300009</v>
      </c>
      <c r="U6" cm="1">
        <f t="array" ref="U6">_xlfn.PERCENTRANK.EXC(_xlfn._xlws.FILTER(Q$3:Q$15, ISNUMBER(Q$3:Q$15)),Q6)*100</f>
        <v>64.2</v>
      </c>
      <c r="V6" cm="1">
        <f t="array" ref="V6">_xlfn.PERCENTRANK.EXC(_xlfn._xlws.FILTER(R$3:R$15, ISNUMBER(R$3:R$15)),R6)*100</f>
        <v>85.7</v>
      </c>
      <c r="W6" cm="1">
        <f t="array" ref="W6">_xlfn.PERCENTRANK.EXC(_xlfn._xlws.FILTER(S$3:S$15, ISNUMBER(S$3:S$15)),S6)*100</f>
        <v>28.499999999999996</v>
      </c>
      <c r="X6" cm="1">
        <f t="array" ref="X6">(1-_xlfn.PERCENTRANK.EXC(_xlfn._xlws.FILTER(G$3:G$15, ISNUMBER(G$3:G$15)),G6))*100</f>
        <v>71.500000000000014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28.499999999999996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67.86</v>
      </c>
      <c r="AC6" cm="1">
        <f t="array" ref="AC6">_xlfn.PERCENTRANK.EXC(_xlfn._xlws.FILTER(AB$3:AB$15, ISNUMBER(AB$3:AB$15)),AB6)*100</f>
        <v>78.5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45565</v>
      </c>
      <c r="G7" s="4" cm="1">
        <f t="array" ref="G7">_xll.FDS(D7,"FMA_PE(LTM,0,,,""PORTAGG"",""MEANR"")")</f>
        <v>17.475850880457099</v>
      </c>
      <c r="H7" s="4" cm="1">
        <f t="array" ref="H7">_xll.FDS(D7,"FMA_PE(NTMA,0,,,""PORTAGG"",""MEANR"")")</f>
        <v>14.099866880142301</v>
      </c>
      <c r="I7" cm="1">
        <f t="array" ref="I7">_xll.FDS(D7,"FMA_DIV_YLD(NTMA,NOW,NOW,M,""PORTAGG"",""MEANR"")")</f>
        <v>2.4628355931619899</v>
      </c>
      <c r="J7" s="52" cm="1">
        <f t="array" ref="J7">IFERROR(_xll.FDS(D7,"FG_FCF_YIELD_NTM(0)"),(1/G7*100))</f>
        <v>4.2671946949930302</v>
      </c>
      <c r="K7" s="3" cm="1">
        <f t="array" ref="K7">_xll.FDS(D7,"FMA_EVAL_EBITDA(NTMA,0,,,""PORTAGG"",""MEANR"")")</f>
        <v>9.9124975659642498</v>
      </c>
      <c r="L7" cm="1">
        <f t="array" ref="L7">_xll.FDS(D7,"FMA_EVAL_EBIT(LTMA,NOW,NOW,M,""PORTAGG"",""MEANR"")")</f>
        <v>16.811766833066599</v>
      </c>
      <c r="M7">
        <f>HLOOKUP(D7,'Index ROE'!$A$1:$N$25,25,FALSE)</f>
        <v>9.2808345396733305</v>
      </c>
      <c r="N7">
        <f>VLOOKUP(A7,'LIQIDITY 2'!$A$3:$E$16,5,FALSE)</f>
        <v>0.81589999999999996</v>
      </c>
      <c r="O7" cm="1">
        <f t="array" ref="O7">IFERROR(IFERROR(IFERROR(IFERROR(_xll.FDS(B7,"IMF_IFS_RCPI_Q(0)"),_xll.FDS(B7,"IMF_IFS_RCPI_Q(-1AM)")),_xll.FDS(B7,"IMF_IFS_RCPI_Q(-2AM)")),_xll.FDS(B7,"IMF_IFS_RCPI_Q(-3AM)")),$D$31)</f>
        <v>2.7266946000000001</v>
      </c>
      <c r="P7">
        <f>VLOOKUP(E7,GDP_GROWTH!$B$10:$W$165,22,FALSE)</f>
        <v>0.31456851442112077</v>
      </c>
      <c r="Q7">
        <f t="shared" si="0"/>
        <v>1.6469355931619898</v>
      </c>
      <c r="R7" s="52">
        <f t="shared" si="1"/>
        <v>3.4512946949930301</v>
      </c>
      <c r="S7">
        <f t="shared" si="2"/>
        <v>8.4649345396733313</v>
      </c>
      <c r="T7">
        <f t="shared" si="3"/>
        <v>6.5541399396733304</v>
      </c>
      <c r="U7" cm="1">
        <f t="array" ref="U7">_xlfn.PERCENTRANK.EXC(_xlfn._xlws.FILTER(Q$3:Q$15, ISNUMBER(Q$3:Q$15)),Q7)*100</f>
        <v>78.5</v>
      </c>
      <c r="V7" cm="1">
        <f t="array" ref="V7">_xlfn.PERCENTRANK.EXC(_xlfn._xlws.FILTER(R$3:R$15, ISNUMBER(R$3:R$15)),R7)*100</f>
        <v>78.5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57.2</v>
      </c>
      <c r="Y7" cm="1">
        <f t="array" ref="Y7">(1-_xlfn.PERCENTRANK.EXC(_xlfn._xlws.FILTER(H$3:H$15, ISNUMBER(H$3:H$15)),H7))*100</f>
        <v>64.3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56.765000000000001</v>
      </c>
      <c r="AC7" cm="1">
        <f t="array" ref="AC7">_xlfn.PERCENTRANK.EXC(_xlfn._xlws.FILTER(AB$3:AB$15, ISNUMBER(AB$3:AB$15)),AB7)*100</f>
        <v>50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45565</v>
      </c>
      <c r="G8" s="4" cm="1">
        <f t="array" ref="G8">_xll.FDS(D8,"FMA_PE(LTM,0,,,""PORTAGG"",""MEANR"")")</f>
        <v>22.072563988391799</v>
      </c>
      <c r="H8" s="4" cm="1">
        <f t="array" ref="H8">_xll.FDS(D8,"FMA_PE(NTMA,0,,,""PORTAGG"",""MEANR"")")</f>
        <v>17.415993716857301</v>
      </c>
      <c r="I8" cm="1">
        <f t="array" ref="I8">_xll.FDS(D8,"FMA_DIV_YLD(NTMA,NOW,NOW,M,""PORTAGG"",""MEANR"")")</f>
        <v>3.1338484450121902</v>
      </c>
      <c r="J8" s="52" cm="1">
        <f t="array" ref="J8">IFERROR(_xll.FDS(D8,"FG_FCF_YIELD_NTM(0)"),(1/G8*100))</f>
        <v>4.6262191473144396</v>
      </c>
      <c r="K8" s="3" cm="1">
        <f t="array" ref="K8">_xll.FDS(D8,"FMA_EVAL_EBITDA(NTMA,0,,,""PORTAGG"",""MEANR"")")</f>
        <v>13.248307598901199</v>
      </c>
      <c r="L8" cm="1">
        <f t="array" ref="L8">_xll.FDS(D8,"FMA_EVAL_EBIT(LTMA,NOW,NOW,M,""PORTAGG"",""MEANR"")")</f>
        <v>16.9419199105708</v>
      </c>
      <c r="M8">
        <f>HLOOKUP(D8,'Index ROE'!$A$1:$N$25,25,FALSE)</f>
        <v>19.302463641340701</v>
      </c>
      <c r="N8">
        <f>VLOOKUP(A8,'LIQIDITY 2'!$A$3:$E$16,5,FALSE)</f>
        <v>0.40799999999999997</v>
      </c>
      <c r="O8" cm="1">
        <f t="array" ref="O8">IFERROR(IFERROR(IFERROR(IFERROR(_xll.FDS(B8,"IMF_IFS_RCPI_Q(0)"),_xll.FDS(B8,"IMF_IFS_RCPI_Q(-1AM)")),_xll.FDS(B8,"IMF_IFS_RCPI_Q(-2AM)")),_xll.FDS(B8,"IMF_IFS_RCPI_Q(-3AM)")),$D$31)</f>
        <v>1.3619825999999999</v>
      </c>
      <c r="P8">
        <f>VLOOKUP(E8,GDP_GROWTH!$B$10:$W$165,22,FALSE)</f>
        <v>2.077185911672963</v>
      </c>
      <c r="Q8">
        <f t="shared" si="0"/>
        <v>2.7258484450121903</v>
      </c>
      <c r="R8" s="52">
        <f t="shared" si="1"/>
        <v>4.2182191473144393</v>
      </c>
      <c r="S8">
        <f t="shared" si="2"/>
        <v>18.8944636413407</v>
      </c>
      <c r="T8">
        <f t="shared" si="3"/>
        <v>17.9404810413407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28.6</v>
      </c>
      <c r="Y8" cm="1">
        <f t="array" ref="Y8">(1-_xlfn.PERCENTRANK.EXC(_xlfn._xlws.FILTER(H$3:H$15, ISNUMBER(H$3:H$15)),H8))*100</f>
        <v>35.799999999999997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61.08</v>
      </c>
      <c r="AC8" cm="1">
        <f t="array" ref="AC8">_xlfn.PERCENTRANK.EXC(_xlfn._xlws.FILTER(AB$3:AB$15, ISNUMBER(AB$3:AB$15)),AB8)*100</f>
        <v>57.099999999999994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45565</v>
      </c>
      <c r="G9" s="4" cm="1">
        <f t="array" ref="G9">_xll.FDS(D9,"FMA_PE(LTM,0,,,""PORTAGG"",""MEANR"")")</f>
        <v>14.105157138118299</v>
      </c>
      <c r="H9" s="4" cm="1">
        <f t="array" ref="H9">_xll.FDS(D9,"FMA_PE(NTMA,0,,,""PORTAGG"",""MEANR"")")</f>
        <v>11.787320289232101</v>
      </c>
      <c r="I9" cm="1">
        <f t="array" ref="I9">_xll.FDS(D9,"FMA_DIV_YLD(NTMA,NOW,NOW,M,""PORTAGG"",""MEANR"")")</f>
        <v>3.87281371347721</v>
      </c>
      <c r="J9" s="52" cm="1">
        <f t="array" ref="J9">IFERROR(_xll.FDS(D9,"FG_FCF_YIELD_NTM(0)"),(1/G9*100))</f>
        <v>6.0924761738348003</v>
      </c>
      <c r="K9" s="3" cm="1">
        <f t="array" ref="K9">_xll.FDS(D9,"FMA_EVAL_EBITDA(NTMA,0,,,""PORTAGG"",""MEANR"")")</f>
        <v>7.6647053482193499</v>
      </c>
      <c r="L9" cm="1">
        <f t="array" ref="L9">_xll.FDS(D9,"FMA_EVAL_EBIT(LTMA,NOW,NOW,M,""PORTAGG"",""MEANR"")")</f>
        <v>10.953552023465001</v>
      </c>
      <c r="M9">
        <f>HLOOKUP(D9,'Index ROE'!$A$1:$N$25,25,FALSE)</f>
        <v>14.7202942014685</v>
      </c>
      <c r="N9">
        <f>VLOOKUP(A9,'LIQIDITY 2'!$A$3:$E$16,5,FALSE)</f>
        <v>4.0209999999999999</v>
      </c>
      <c r="O9" cm="1">
        <f t="array" ref="O9">IFERROR(IFERROR(IFERROR(IFERROR(_xll.FDS(B9,"IMF_IFS_RCPI_Q(0)"),_xll.FDS(B9,"IMF_IFS_RCPI_Q(-1AM)")),_xll.FDS(B9,"IMF_IFS_RCPI_Q(-2AM)")),_xll.FDS(B9,"IMF_IFS_RCPI_Q(-3AM)")),$D$31)</f>
        <v>2.8697004000000002</v>
      </c>
      <c r="P9">
        <f>VLOOKUP(E9,GDP_GROWTH!$B$10:$W$165,22,FALSE)</f>
        <v>1.0976426250664972</v>
      </c>
      <c r="Q9">
        <f t="shared" si="0"/>
        <v>-0.14818628652278987</v>
      </c>
      <c r="R9" s="52">
        <f t="shared" si="1"/>
        <v>2.0714761738348004</v>
      </c>
      <c r="S9">
        <f t="shared" si="2"/>
        <v>10.699294201468501</v>
      </c>
      <c r="T9">
        <f t="shared" si="3"/>
        <v>11.850593801468499</v>
      </c>
      <c r="U9" cm="1">
        <f t="array" ref="U9">_xlfn.PERCENTRANK.EXC(_xlfn._xlws.FILTER(Q$3:Q$15, ISNUMBER(Q$3:Q$15)),Q9)*100</f>
        <v>35.699999999999996</v>
      </c>
      <c r="V9" cm="1">
        <f t="array" ref="V9">_xlfn.PERCENTRANK.EXC(_xlfn._xlws.FILTER(R$3:R$15, ISNUMBER(R$3:R$15)),R9)*100</f>
        <v>57.099999999999994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85.8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57.099999999999994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71.089999999999989</v>
      </c>
      <c r="AC9" cm="1">
        <f t="array" ref="AC9">_xlfn.PERCENTRANK.EXC(_xlfn._xlws.FILTER(AB$3:AB$15, ISNUMBER(AB$3:AB$15)),AB9)*100</f>
        <v>92.800000000000011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45565</v>
      </c>
      <c r="G10" s="4" cm="1">
        <f t="array" ref="G10">_xll.FDS(D10,"FMA_PE(LTM,0,,,""PORTAGG"",""MEANR"")")</f>
        <v>35.857577120770799</v>
      </c>
      <c r="H10" s="4" cm="1">
        <f t="array" ref="H10">_xll.FDS(D10,"FMA_PE(NTMA,0,,,""PORTAGG"",""MEANR"")")</f>
        <v>26.1040696840838</v>
      </c>
      <c r="I10" cm="1">
        <f t="array" ref="I10">_xll.FDS(D10,"FMA_DIV_YLD(NTMA,NOW,NOW,M,""PORTAGG"",""MEANR"")")</f>
        <v>0.81733653879867696</v>
      </c>
      <c r="J10" s="52" cm="1">
        <f t="array" ref="J10">IFERROR(_xll.FDS(D10,"FG_FCF_YIELD_NTM(0)"),(1/G10*100))</f>
        <v>3.5838299474079198</v>
      </c>
      <c r="K10" s="3" cm="1">
        <f t="array" ref="K10">_xll.FDS(D10,"FMA_EVAL_EBITDA(NTMA,0,,,""PORTAGG"",""MEANR"")")</f>
        <v>16.485765841025401</v>
      </c>
      <c r="L10" cm="1">
        <f t="array" ref="L10">_xll.FDS(D10,"FMA_EVAL_EBIT(LTMA,NOW,NOW,M,""PORTAGG"",""MEANR"")")</f>
        <v>25.171496986113699</v>
      </c>
      <c r="M10">
        <f>HLOOKUP(D10,'Index ROE'!$A$1:$N$25,25,FALSE)</f>
        <v>25.3040632207851</v>
      </c>
      <c r="N10">
        <f>VLOOKUP(A10,'LIQIDITY 2'!$A$3:$E$16,5,FALSE)</f>
        <v>3.8487</v>
      </c>
      <c r="O10" cm="1">
        <f t="array" ref="O10">IFERROR(IFERROR(IFERROR(IFERROR(_xll.FDS(B10,"IMF_IFS_RCPI_Q(0)"),_xll.FDS(B10,"IMF_IFS_RCPI_Q(-1AM)")),_xll.FDS(B10,"IMF_IFS_RCPI_Q(-2AM)")),_xll.FDS(B10,"IMF_IFS_RCPI_Q(-3AM)")),$D$31)</f>
        <v>3.19889</v>
      </c>
      <c r="P10">
        <f>VLOOKUP(E10,GDP_GROWTH!$B$10:$W$165,22,FALSE)</f>
        <v>2.0868572594445189</v>
      </c>
      <c r="Q10">
        <f t="shared" si="0"/>
        <v>-3.0313634612013232</v>
      </c>
      <c r="R10" s="52">
        <f t="shared" si="1"/>
        <v>-0.26487005259208019</v>
      </c>
      <c r="S10">
        <f t="shared" si="2"/>
        <v>21.455363220785099</v>
      </c>
      <c r="T10">
        <f t="shared" si="3"/>
        <v>22.105173220785101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14.3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27.840000000000003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45565</v>
      </c>
      <c r="G11" s="4" cm="1">
        <f t="array" ref="G11">_xll.FDS(D11,"FMA_PE(LTM,0,,,""PORTAGG"",""MEANR"")")</f>
        <v>26.783531852504499</v>
      </c>
      <c r="H11" s="4" cm="1">
        <f t="array" ref="H11">_xll.FDS(D11,"FMA_PE(NTMA,0,,,""PORTAGG"",""MEANR"")")</f>
        <v>21.428460143056999</v>
      </c>
      <c r="I11" cm="1">
        <f t="array" ref="I11">_xll.FDS(D11,"FMA_DIV_YLD(NTMA,NOW,NOW,M,""PORTAGG"",""MEANR"")")</f>
        <v>1.3460100770605501</v>
      </c>
      <c r="J11" s="52" cm="1">
        <f t="array" ref="J11">IFERROR(_xll.FDS(D11,"FG_FCF_YIELD_NTM(0)"),(1/G11*100))</f>
        <v>3.9810005136631799</v>
      </c>
      <c r="K11" s="3" cm="1">
        <f t="array" ref="K11">_xll.FDS(D11,"FMA_EVAL_EBITDA(NTMA,0,,,""PORTAGG"",""MEANR"")")</f>
        <v>14.745691563129901</v>
      </c>
      <c r="L11" cm="1">
        <f t="array" ref="L11">_xll.FDS(D11,"FMA_EVAL_EBIT(LTMA,NOW,NOW,M,""PORTAGG"",""MEANR"")")</f>
        <v>21.527217199065401</v>
      </c>
      <c r="M11">
        <f>HLOOKUP(D11,'Index ROE'!$A$1:$N$25,25,FALSE)</f>
        <v>20.344034086765099</v>
      </c>
      <c r="N11">
        <f>VLOOKUP(A11,'LIQIDITY 2'!$A$3:$E$16,5,FALSE)</f>
        <v>3.8487</v>
      </c>
      <c r="O11" cm="1">
        <f t="array" ref="O11">IFERROR(IFERROR(IFERROR(IFERROR(_xll.FDS(B11,"IMF_IFS_RCPI_Q(0)"),_xll.FDS(B11,"IMF_IFS_RCPI_Q(-1AM)")),_xll.FDS(B11,"IMF_IFS_RCPI_Q(-2AM)")),_xll.FDS(B11,"IMF_IFS_RCPI_Q(-3AM)")),$D$31)</f>
        <v>3.19889</v>
      </c>
      <c r="P11">
        <f>VLOOKUP(E11,GDP_GROWTH!$B$10:$W$165,22,FALSE)</f>
        <v>2.0868572594445189</v>
      </c>
      <c r="Q11">
        <f t="shared" si="0"/>
        <v>-2.5026899229394499</v>
      </c>
      <c r="R11" s="52">
        <f t="shared" si="1"/>
        <v>0.13230051366317985</v>
      </c>
      <c r="S11">
        <f t="shared" si="2"/>
        <v>16.495334086765098</v>
      </c>
      <c r="T11">
        <f t="shared" si="3"/>
        <v>17.1451440867651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32.51</v>
      </c>
      <c r="AC11" cm="1">
        <f t="array" ref="AC11">_xlfn.PERCENTRANK.EXC(_xlfn._xlws.FILTER(AB$3:AB$15, ISNUMBER(AB$3:AB$15)),AB11)*100</f>
        <v>28.499999999999996</v>
      </c>
    </row>
    <row r="12" spans="1:29" x14ac:dyDescent="0.3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45565</v>
      </c>
      <c r="G12" s="4" cm="1">
        <f t="array" ref="G12">_xll.FDS(D12,"FMA_PE(LTM,0,,,""PORTAGG"",""MEANR"")")</f>
        <v>17.1397955475624</v>
      </c>
      <c r="H12" s="4" cm="1">
        <f t="array" ref="H12">_xll.FDS(D12,"FMA_PE(NTMA,0,,,""PORTAGG"",""MEANR"")")</f>
        <v>13.9989231374953</v>
      </c>
      <c r="I12" cm="1">
        <f t="array" ref="I12">_xll.FDS(D12,"FMA_DIV_YLD(NTMA,NOW,NOW,M,""PORTAGG"",""MEANR"")")</f>
        <v>3.3331385768219399</v>
      </c>
      <c r="J12" s="52" cm="1">
        <f t="array" ref="J12">IFERROR(_xll.FDS(D12,"FG_FCF_YIELD_NTM(0)"),(1/G12*100))</f>
        <v>5.7691914762522796</v>
      </c>
      <c r="K12" s="3" cm="1">
        <f t="array" ref="K12">_xll.FDS(D12,"FMA_EVAL_EBITDA(NTMA,0,,,""PORTAGG"",""MEANR"")")</f>
        <v>9.3057659360648</v>
      </c>
      <c r="L12" cm="1">
        <f t="array" ref="L12">_xll.FDS(D12,"FMA_EVAL_EBIT(LTMA,NOW,NOW,M,""PORTAGG"",""MEANR"")")</f>
        <v>13.582428150630699</v>
      </c>
      <c r="M12">
        <f>HLOOKUP(D12,'Index ROE'!$A$1:$N$25,25,FALSE)</f>
        <v>13.2312741384504</v>
      </c>
      <c r="N12">
        <f>VLOOKUP(A12,'LIQIDITY 2'!$A$3:$E$16,5,FALSE)</f>
        <v>2.9369999999999998</v>
      </c>
      <c r="O12" cm="1">
        <f t="array" ref="O12">IFERROR(IFERROR(IFERROR(IFERROR(_xll.FDS(B12,"IMF_IFS_RCPI_Q(0)"),_xll.FDS(B12,"IMF_IFS_RCPI_Q(-1AM)")),_xll.FDS(B12,"IMF_IFS_RCPI_Q(-2AM)")),_xll.FDS(B12,"IMF_IFS_RCPI_Q(-3AM)")),$D$31)</f>
        <v>2.2093682000000001</v>
      </c>
      <c r="P12">
        <f>VLOOKUP(E12,GDP_GROWTH!$B$10:$W$165,22,FALSE)</f>
        <v>0.9426946158151317</v>
      </c>
      <c r="Q12">
        <f t="shared" ref="Q12:Q15" si="4">I12-N12</f>
        <v>0.39613857682194009</v>
      </c>
      <c r="R12" s="52">
        <f t="shared" ref="R12:R15" si="5">J12-N12</f>
        <v>2.8321914762522797</v>
      </c>
      <c r="S12">
        <f t="shared" ref="S12:S15" si="6">M12-N12</f>
        <v>10.294274138450401</v>
      </c>
      <c r="T12">
        <f t="shared" ref="T12:T15" si="7">M12-O12</f>
        <v>11.0219059384504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64.2</v>
      </c>
      <c r="W12" cm="1">
        <f t="array" ref="W12">_xlfn.PERCENTRANK.EXC(_xlfn._xlws.FILTER(S$3:S$15, ISNUMBER(S$3:S$15)),S12)*100</f>
        <v>50</v>
      </c>
      <c r="X12" cm="1">
        <f t="array" ref="X12">(1-_xlfn.PERCENTRANK.EXC(_xlfn._xlws.FILTER(G$3:G$15, ISNUMBER(G$3:G$15)),G12))*100</f>
        <v>64.3</v>
      </c>
      <c r="Y12" cm="1">
        <f t="array" ref="Y12">(1-_xlfn.PERCENTRANK.EXC(_xlfn._xlws.FILTER(H$3:H$15, ISNUMBER(H$3:H$15)),H12))*100</f>
        <v>71.500000000000014</v>
      </c>
      <c r="Z12" cm="1">
        <f t="array" ref="Z12">_xlfn.PERCENTRANK.EXC(_xlfn._xlws.FILTER(T$3:T$15, ISNUMBER(T$3:T$15)),T12)*100</f>
        <v>50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62.855000000000004</v>
      </c>
      <c r="AC12" cm="1">
        <f t="array" ref="AC12">_xlfn.PERCENTRANK.EXC(_xlfn._xlws.FILTER(AB$3:AB$15, ISNUMBER(AB$3:AB$15)),AB12)*100</f>
        <v>64.2</v>
      </c>
    </row>
    <row r="13" spans="1:29" x14ac:dyDescent="0.3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45565</v>
      </c>
      <c r="G13" s="4" cm="1">
        <f t="array" ref="G13">_xll.FDS(D13,"FMA_PE(LTM,0,,,""PORTAGG"",""MEANR"")")</f>
        <v>21.625741287651302</v>
      </c>
      <c r="H13" s="4" cm="1">
        <f t="array" ref="H13">_xll.FDS(D13,"FMA_PE(NTMA,0,,,""PORTAGG"",""MEANR"")")</f>
        <v>15.0981842698514</v>
      </c>
      <c r="I13" cm="1">
        <f t="array" ref="I13">_xll.FDS(D13,"FMA_DIV_YLD(NTMA,NOW,NOW,M,""PORTAGG"",""MEANR"")")</f>
        <v>2.60530924757682</v>
      </c>
      <c r="J13" s="52" cm="1">
        <f t="array" ref="J13">IFERROR(_xll.FDS(D13,"FG_FCF_YIELD_NTM(0)"),(1/G13*100))</f>
        <v>4.0521052458253903</v>
      </c>
      <c r="K13" s="3" cm="1">
        <f t="array" ref="K13">_xll.FDS(D13,"FMA_EVAL_EBITDA(NTMA,0,,,""PORTAGG"",""MEANR"")")</f>
        <v>12.020737435575599</v>
      </c>
      <c r="L13" cm="1">
        <f t="array" ref="L13">_xll.FDS(D13,"FMA_EVAL_EBIT(LTMA,NOW,NOW,M,""PORTAGG"",""MEANR"")")</f>
        <v>20.989570536941802</v>
      </c>
      <c r="M13">
        <f>HLOOKUP(D13,'Index ROE'!$A$1:$N$25,25,FALSE)</f>
        <v>12.750726724682799</v>
      </c>
      <c r="N13">
        <f>VLOOKUP(A13,'LIQIDITY 2'!$A$3:$E$16,5,FALSE)</f>
        <v>2.4359999999999999</v>
      </c>
      <c r="O13" cm="1">
        <f t="array" ref="O13">IFERROR(IFERROR(IFERROR(IFERROR(_xll.FDS(B13,"IMF_IFS_RCPI_Q(0)"),_xll.FDS(B13,"IMF_IFS_RCPI_Q(-1AM)")),_xll.FDS(B13,"IMF_IFS_RCPI_Q(-2AM)")),_xll.FDS(B13,"IMF_IFS_RCPI_Q(-3AM)")),$D$31)</f>
        <v>2.8881169999999998</v>
      </c>
      <c r="P13">
        <f>VLOOKUP(E13,GDP_GROWTH!$B$10:$W$165,22,FALSE)</f>
        <v>1.7793785730007783</v>
      </c>
      <c r="Q13">
        <f t="shared" si="4"/>
        <v>0.16930924757682009</v>
      </c>
      <c r="R13" s="52">
        <f t="shared" si="5"/>
        <v>1.6161052458253904</v>
      </c>
      <c r="S13">
        <f t="shared" si="6"/>
        <v>10.314726724682799</v>
      </c>
      <c r="T13">
        <f t="shared" si="7"/>
        <v>9.8626097246827999</v>
      </c>
      <c r="U13" cm="1">
        <f t="array" ref="U13">_xlfn.PERCENTRANK.EXC(_xlfn._xlws.FILTER(Q$3:Q$15, ISNUMBER(Q$3:Q$15)),Q13)*100</f>
        <v>50</v>
      </c>
      <c r="V13" cm="1">
        <f t="array" ref="V13">_xlfn.PERCENTRANK.EXC(_xlfn._xlws.FILTER(R$3:R$15, ISNUMBER(R$3:R$15)),R13)*100</f>
        <v>42.8</v>
      </c>
      <c r="W13" cm="1">
        <f t="array" ref="W13">_xlfn.PERCENTRANK.EXC(_xlfn._xlws.FILTER(S$3:S$15, ISNUMBER(S$3:S$15)),S13)*100</f>
        <v>57.099999999999994</v>
      </c>
      <c r="X13" cm="1">
        <f t="array" ref="X13">(1-_xlfn.PERCENTRANK.EXC(_xlfn._xlws.FILTER(G$3:G$15, ISNUMBER(G$3:G$15)),G13))*100</f>
        <v>35.799999999999997</v>
      </c>
      <c r="Y13" cm="1">
        <f t="array" ref="Y13">(1-_xlfn.PERCENTRANK.EXC(_xlfn._xlws.FILTER(H$3:H$15, ISNUMBER(H$3:H$15)),H13))*100</f>
        <v>57.2</v>
      </c>
      <c r="Z13" cm="1">
        <f t="array" ref="Z13">_xlfn.PERCENTRANK.EXC(_xlfn._xlws.FILTER(T$3:T$15, ISNUMBER(T$3:T$15)),T13)*100</f>
        <v>35.699999999999996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45.730000000000004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45565</v>
      </c>
      <c r="G14" s="4" cm="1">
        <f t="array" ref="G14">_xll.FDS(D14,"FMA_PE(LTM,0,,,""PORTAGG"",""MEANR"")")</f>
        <v>15.351998767327601</v>
      </c>
      <c r="H14" s="4" cm="1">
        <f t="array" ref="H14">_xll.FDS(D14,"FMA_PE(NTMA,0,,,""PORTAGG"",""MEANR"")")</f>
        <v>16.574442316765701</v>
      </c>
      <c r="I14" cm="1">
        <f t="array" ref="I14">_xll.FDS(D14,"FMA_DIV_YLD(NTMA,NOW,NOW,M,""PORTAGG"",""MEANR"")")</f>
        <v>3.12328948102815</v>
      </c>
      <c r="J14" s="52" cm="1">
        <f t="array" ref="J14">IFERROR(_xll.FDS(D14,"FG_FCF_YIELD_NTM(0)"),(1/G14*100))</f>
        <v>4.8865836508054601</v>
      </c>
      <c r="K14" s="3" cm="1">
        <f t="array" ref="K14">_xll.FDS(D14,"FMA_EVAL_EBITDA(NTMA,0,,,""PORTAGG"",""MEANR"")")</f>
        <v>11.264181965808101</v>
      </c>
      <c r="L14" cm="1">
        <f t="array" ref="L14">_xll.FDS(D14,"FMA_EVAL_EBIT(LTMA,NOW,NOW,M,""PORTAGG"",""MEANR"")")</f>
        <v>16.384455559853802</v>
      </c>
      <c r="M14">
        <f>HLOOKUP(D14,'Index ROE'!$A$1:$N$25,25,FALSE)</f>
        <v>15.368050598586001</v>
      </c>
      <c r="N14">
        <f>VLOOKUP(A14,'LIQIDITY 2'!$A$3:$E$16,5,FALSE)</f>
        <v>2.0190000000000001</v>
      </c>
      <c r="O14" cm="1">
        <f t="array" ref="O14">IFERROR(IFERROR(IFERROR(IFERROR(_xll.FDS(B14,"IMF_IFS_RCPI_Q(0)"),_xll.FDS(B14,"IMF_IFS_RCPI_Q(-1AM)")),_xll.FDS(B14,"IMF_IFS_RCPI_Q(-2AM)")),_xll.FDS(B14,"IMF_IFS_RCPI_Q(-3AM)")),$D$31)</f>
        <v>3.39215</v>
      </c>
      <c r="P14">
        <f>VLOOKUP(E14,GDP_GROWTH!$B$10:$W$165,22,FALSE)</f>
        <v>1.8182767577278436</v>
      </c>
      <c r="Q14">
        <f t="shared" si="4"/>
        <v>1.1042894810281498</v>
      </c>
      <c r="R14" s="52">
        <f t="shared" si="5"/>
        <v>2.86758365080546</v>
      </c>
      <c r="S14">
        <f t="shared" si="6"/>
        <v>13.349050598586</v>
      </c>
      <c r="T14">
        <f t="shared" si="7"/>
        <v>11.975900598586001</v>
      </c>
      <c r="U14" cm="1">
        <f t="array" ref="U14">_xlfn.PERCENTRANK.EXC(_xlfn._xlws.FILTER(Q$3:Q$15, ISNUMBER(Q$3:Q$15)),Q14)*100</f>
        <v>71.399999999999991</v>
      </c>
      <c r="V14" cm="1">
        <f t="array" ref="V14">_xlfn.PERCENTRANK.EXC(_xlfn._xlws.FILTER(R$3:R$15, ISNUMBER(R$3:R$15)),R14)*100</f>
        <v>71.399999999999991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78.600000000000009</v>
      </c>
      <c r="Y14" cm="1">
        <f t="array" ref="Y14">(1-_xlfn.PERCENTRANK.EXC(_xlfn._xlws.FILTER(H$3:H$15, ISNUMBER(H$3:H$15)),H14))*100</f>
        <v>42.900000000000006</v>
      </c>
      <c r="Z14" cm="1">
        <f t="array" ref="Z14">_xlfn.PERCENTRANK.EXC(_xlfn._xlws.FILTER(T$3:T$15, ISNUMBER(T$3:T$15)),T14)*100</f>
        <v>64.2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65.355000000000004</v>
      </c>
      <c r="AC14" cm="1">
        <f t="array" ref="AC14">_xlfn.PERCENTRANK.EXC(_xlfn._xlws.FILTER(AB$3:AB$15, ISNUMBER(AB$3:AB$15)),AB14)*100</f>
        <v>71.399999999999991</v>
      </c>
    </row>
    <row r="15" spans="1:29" x14ac:dyDescent="0.3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45565</v>
      </c>
      <c r="G15" s="4" cm="1">
        <f t="array" ref="G15">_xll.FDS(D15,"FMA_PE(LTM,0,,,""PORTAGG"",""MEANR"")")</f>
        <v>11.307510110505101</v>
      </c>
      <c r="H15" s="4" cm="1">
        <f t="array" ref="H15">_xll.FDS(D15,"FMA_PE(NTMA,0,,,""PORTAGG"",""MEANR"")")</f>
        <v>10.1852349509356</v>
      </c>
      <c r="I15" cm="1">
        <f t="array" ref="I15">_xll.FDS(D15,"FMA_DIV_YLD(NTMA,NOW,NOW,M,""PORTAGG"",""MEANR"")")</f>
        <v>5.3171715976799003</v>
      </c>
      <c r="J15" s="52" cm="1">
        <f t="array" ref="J15">IFERROR(_xll.FDS(D15,"FG_FCF_YIELD_NTM(0)"),(1/G15*100))</f>
        <v>4.9761368729987998</v>
      </c>
      <c r="K15" s="3" cm="1">
        <f t="array" ref="K15">_xll.FDS(D15,"FMA_EVAL_EBITDA(NTMA,0,,,""PORTAGG"",""MEANR"")")</f>
        <v>7.66244364419875</v>
      </c>
      <c r="L15" cm="1">
        <f t="array" ref="L15">_xll.FDS(D15,"FMA_EVAL_EBIT(LTMA,NOW,NOW,M,""PORTAGG"",""MEANR"")")</f>
        <v>11.891412811627401</v>
      </c>
      <c r="M15">
        <f>HLOOKUP(D15,'Index ROE'!$A$1:$N$25,25,FALSE)</f>
        <v>13.3572149047324</v>
      </c>
      <c r="N15">
        <f>VLOOKUP(A15,'LIQIDITY 2'!$A$3:$E$16,5,FALSE)</f>
        <v>3.4809999999999999</v>
      </c>
      <c r="O15" cm="1">
        <f t="array" ref="O15">IFERROR(IFERROR(IFERROR(IFERROR(_xll.FDS(B15,"IMF_IFS_RCPI_Q(0)"),_xll.FDS(B15,"IMF_IFS_RCPI_Q(-1AM)")),_xll.FDS(B15,"IMF_IFS_RCPI_Q(-2AM)")),_xll.FDS(B15,"IMF_IFS_RCPI_Q(-3AM)")),$D$31)</f>
        <v>0.80847347000000003</v>
      </c>
      <c r="P15">
        <f>VLOOKUP(E15,GDP_GROWTH!$B$10:$W$165,22,FALSE)</f>
        <v>0.32855305426654491</v>
      </c>
      <c r="Q15">
        <f t="shared" si="4"/>
        <v>1.8361715976799005</v>
      </c>
      <c r="R15" s="52">
        <f t="shared" si="5"/>
        <v>1.4951368729987999</v>
      </c>
      <c r="S15">
        <f t="shared" si="6"/>
        <v>9.8762149047324002</v>
      </c>
      <c r="T15">
        <f t="shared" si="7"/>
        <v>12.548741434732399</v>
      </c>
      <c r="U15" cm="1">
        <f t="array" ref="U15">_xlfn.PERCENTRANK.EXC(_xlfn._xlws.FILTER(Q$3:Q$15, ISNUMBER(Q$3:Q$15)),Q15)*100</f>
        <v>85.7</v>
      </c>
      <c r="V15" cm="1">
        <f t="array" ref="V15">_xlfn.PERCENTRANK.EXC(_xlfn._xlws.FILTER(R$3:R$15, ISNUMBER(R$3:R$15)),R15)*100</f>
        <v>35.699999999999996</v>
      </c>
      <c r="W15" cm="1">
        <f t="array" ref="W15">_xlfn.PERCENTRANK.EXC(_xlfn._xlws.FILTER(S$3:S$15, ISNUMBER(S$3:S$15)),S15)*100</f>
        <v>35.699999999999996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70.37</v>
      </c>
      <c r="AC15" cm="1">
        <f t="array" ref="AC15">_xlfn.PERCENTRANK.EXC(_xlfn._xlws.FILTER(AB$3:AB$15, ISNUMBER(AB$3:AB$15)),AB15)*100</f>
        <v>85.7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45504</v>
      </c>
      <c r="G19" s="4" cm="1">
        <f t="array" ref="G19">_xll.FDS(D19,"FG_PE(0)")</f>
        <v>15.528971407230999</v>
      </c>
      <c r="H19" s="4" cm="1">
        <f t="array" ref="H19">_xll.FDS(D19,"FG_PE_NTM(0,,,90,0)")</f>
        <v>13.350862223615</v>
      </c>
      <c r="I19" cm="1">
        <f t="array" ref="I19">_xll.FDS(D19,"FMA_DIV_YLD(NTMA,NOW,NOW,M,""PORTAGG"",""MEANR"")")</f>
        <v>3.4820989597568199</v>
      </c>
      <c r="J19" s="52" cm="1">
        <f t="array" ref="J19">_xll.FDS(D19,"FG_FCF_YIELD_NTM(0)")</f>
        <v>5.2832389440043901</v>
      </c>
      <c r="K19" s="3" cm="1">
        <f t="array" ref="K19">_xll.FDS(D19,"FMA_EVAL_EBITDA(NTMA,0,,,""PORTAGG"",""MEANR"")")</f>
        <v>9.0575765701350797</v>
      </c>
      <c r="L19" cm="1">
        <f t="array" ref="L19">_xll.FDS(D19,"FMA_EVAL_EBIT(LTMA,NOW,NOW,M,""PORTAGG"",""MEANR"")")</f>
        <v>13.5312683758444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45534</v>
      </c>
      <c r="G20" s="4" cm="1">
        <f t="array" ref="G20">_xll.FDS(D20,"FG_PE(0)")</f>
        <v>15.255633699257601</v>
      </c>
      <c r="H20" s="4" cm="1">
        <f t="array" ref="H20">_xll.FDS(D20,"FG_PE_NTM(0,,,90,0)")</f>
        <v>12.836911264001399</v>
      </c>
      <c r="I20" cm="1">
        <f t="array" ref="I20">_xll.FDS(D20,"FMA_DIV_YLD(NTMA,NOW,NOW,M,""PORTAGG"",""MEANR"")")</f>
        <v>2.98179074531232</v>
      </c>
      <c r="J20" s="52" cm="1">
        <f t="array" ref="J20">_xll.FDS(D20,"FG_FCF_YIELD_NTM(0)")</f>
        <v>5.3825124039082297</v>
      </c>
      <c r="K20" s="3" cm="1">
        <f t="array" ref="K20">_xll.FDS(D20,"FMA_EVAL_EBITDA(NTMA,0,,,""PORTAGG"",""MEANR"")")</f>
        <v>8.9182115143489291</v>
      </c>
      <c r="L20" cm="1">
        <f t="array" ref="L20">_xll.FDS(D20,"FMA_EVAL_EBIT(LTMA,NOW,NOW,M,""PORTAGG"",""MEANR"")")</f>
        <v>14.516731880094801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IFERROR(IFERROR(IFERROR(_xll.FDS(B23,"IMF_IFS_RCPI_Q(0)"),_xll.FDS(B23,"IMF_IFS_RCPI_Q(-1AM)")),_xll.FDS(B23,"IMF_IFS_RCPI_Q(-2AM)")),_xll.FDS(B23,"IMF_IFS_RCPI_Q(-3AM)"))</f>
        <v>3.19889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4.2679</v>
      </c>
      <c r="G3" s="26" cm="1">
        <f t="array" ref="G3">_xll.FDSB(C3,"PCTCHG(FG_YIELD(0,,,,""YTM""),FG_YIELD(-1AM,,,,""YTM""))")</f>
        <v>-0.82723796000000005</v>
      </c>
      <c r="H3" s="26" cm="1">
        <f t="array" ref="H3">_xll.FDSB(C3,"PCTCHG(FG_YIELD(0,,,,""YTM""),FG_YIELD(-3AM,,,,""YTM""))")</f>
        <v>-9.2380340000000007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5.25</v>
      </c>
      <c r="M3" s="36" cm="1">
        <f t="array" ref="M3">_xll.FDSB(J3,"(SUBARRAY(NOT_NA(NO_REPEAT_F(FG_YIELD(now,-10AY,D))),0,1)-SUBARRAY(NOT_NA(NO_REPEAT_F(FG_YIELD(now,-10AY,D))),1,1))*100")</f>
        <v>-25</v>
      </c>
      <c r="N3" s="38">
        <f t="shared" ref="N3:N15" si="0">M3*-1</f>
        <v>25</v>
      </c>
      <c r="O3" s="26">
        <f>L3-E3</f>
        <v>0.98209999999999997</v>
      </c>
      <c r="S3">
        <f t="shared" ref="S3:S15" si="1">IF(M3&gt; 0, 0, 1)</f>
        <v>1</v>
      </c>
      <c r="T3">
        <f t="shared" ref="T3:T15" si="2">IF(G3&lt;0, 1, 0)</f>
        <v>1</v>
      </c>
      <c r="U3">
        <f t="shared" ref="U3:U15" si="3">IF(H3&lt;0, 1, 0)</f>
        <v>1</v>
      </c>
      <c r="V3" s="47">
        <f t="shared" ref="V3:V15" si="4">SUMPRODUCT($S$1:$U$1,S3:U3)</f>
        <v>1</v>
      </c>
      <c r="X3">
        <f>_xlfn.PERCENTRANK.EXC($V$3:$V$15,V3)*100</f>
        <v>50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3.9889999999999999</v>
      </c>
      <c r="G4" s="26" cm="1">
        <f t="array" ref="G4">_xll.FDSB(C4,"PCTCHG(FG_YIELD(0,,,,""YTM""),FG_YIELD(-1AM,,,,""YTM""))")</f>
        <v>-0.34973019999999999</v>
      </c>
      <c r="H4" s="26" cm="1">
        <f t="array" ref="H4">_xll.FDSB(C4,"PCTCHG(FG_YIELD(0,,,,""YTM""),FG_YIELD(-3AM,,,,""YTM""))")</f>
        <v>-9.91418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0.36099999999999977</v>
      </c>
      <c r="S4">
        <f t="shared" si="1"/>
        <v>0</v>
      </c>
      <c r="T4">
        <f t="shared" si="2"/>
        <v>1</v>
      </c>
      <c r="U4">
        <f t="shared" si="3"/>
        <v>1</v>
      </c>
      <c r="V4" s="47">
        <f t="shared" si="4"/>
        <v>0.5</v>
      </c>
      <c r="X4">
        <f t="shared" ref="X4:X15" si="6">_xlfn.PERCENTRANK.EXC($V$3:$V$15,V4)*100</f>
        <v>7.1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3.0914000000000001</v>
      </c>
      <c r="G5" s="26" cm="1">
        <f t="array" ref="G5">_xll.FDSB(C5,"PCTCHG(FG_YIELD(0,,,,""YTM""),FG_YIELD(-1AM,,,,""YTM""))")</f>
        <v>0.2204479</v>
      </c>
      <c r="H5" s="26" cm="1">
        <f t="array" ref="H5">_xll.FDSB(C5,"PCTCHG(FG_YIELD(0,,,,""YTM""),FG_YIELD(-3AM,,,,""YTM""))")</f>
        <v>-12.893776000000001</v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4.25</v>
      </c>
      <c r="M5" s="36" cm="1">
        <f t="array" ref="M5">_xll.FDSB(J5,"(SUBARRAY(NOT_NA(NO_REPEAT_F(FG_YIELD(now,-10AY,D))),0,1)-SUBARRAY(NOT_NA(NO_REPEAT_F(FG_YIELD(now,-10AY,D))),1,1))*100")</f>
        <v>-25</v>
      </c>
      <c r="N5" s="38">
        <f t="shared" si="0"/>
        <v>25</v>
      </c>
      <c r="O5" s="26">
        <f t="shared" si="5"/>
        <v>1.1585999999999999</v>
      </c>
      <c r="S5">
        <f t="shared" si="1"/>
        <v>1</v>
      </c>
      <c r="T5">
        <f t="shared" si="2"/>
        <v>0</v>
      </c>
      <c r="U5">
        <f t="shared" si="3"/>
        <v>1</v>
      </c>
      <c r="V5" s="47">
        <f t="shared" si="4"/>
        <v>0.75</v>
      </c>
      <c r="X5">
        <f t="shared" si="6"/>
        <v>21.4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2.1480000000000001</v>
      </c>
      <c r="G6" s="26" cm="1">
        <f t="array" ref="G6">_xll.FDSB(C6,"PCTCHG(FG_YIELD(0,,,,""YTM""),FG_YIELD(-1AM,,,,""YTM""))")</f>
        <v>-5.0817503999999998</v>
      </c>
      <c r="H6" s="26" cm="1">
        <f t="array" ref="H6">_xll.FDSB(C6,"PCTCHG(FG_YIELD(0,,,,""YTM""),FG_YIELD(-3AM,,,,""YTM""))")</f>
        <v>-15.830723000000001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3.65</v>
      </c>
      <c r="M6" s="36" cm="1">
        <f t="array" ref="M6">_xll.FDSB(J6,"(SUBARRAY(NOT_NA(NO_REPEAT_F(FG_YIELD(now,-10AY,D))),0,1)-SUBARRAY(NOT_NA(NO_REPEAT_F(FG_YIELD(now,-10AY,D))),1,1))*100")</f>
        <v>-60</v>
      </c>
      <c r="N6" s="38">
        <f t="shared" si="0"/>
        <v>60</v>
      </c>
      <c r="O6" s="26">
        <f t="shared" si="5"/>
        <v>1.5019999999999998</v>
      </c>
      <c r="S6">
        <f t="shared" si="1"/>
        <v>1</v>
      </c>
      <c r="T6">
        <f t="shared" si="2"/>
        <v>1</v>
      </c>
      <c r="U6">
        <f t="shared" si="3"/>
        <v>1</v>
      </c>
      <c r="V6" s="47">
        <f t="shared" si="4"/>
        <v>1</v>
      </c>
      <c r="X6">
        <f t="shared" si="6"/>
        <v>50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0.81589999999999996</v>
      </c>
      <c r="G7" s="26" cm="1">
        <f t="array" ref="G7">_xll.FDSB(C7,"PCTCHG(FG_YIELD(0,,,,""YTM""),FG_YIELD(-1AM,,,,""YTM""))")</f>
        <v>-11.593887</v>
      </c>
      <c r="H7" s="26" cm="1">
        <f t="array" ref="H7">_xll.FDSB(C7,"PCTCHG(FG_YIELD(0,,,,""YTM""),FG_YIELD(-3AM,,,,""YTM""))")</f>
        <v>-25.631208000000001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0.25</v>
      </c>
      <c r="M7" s="36" cm="1">
        <f t="array" ref="M7">_xll.FDSB(J7,"(SUBARRAY(NOT_NA(NO_REPEAT_F(FG_YIELD(now,-10AY,D))),0,1)-SUBARRAY(NOT_NA(NO_REPEAT_F(FG_YIELD(now,-10AY,D))),1,1))*100")</f>
        <v>15</v>
      </c>
      <c r="N7" s="38">
        <f t="shared" si="0"/>
        <v>-15</v>
      </c>
      <c r="O7" s="26">
        <f t="shared" si="5"/>
        <v>-0.56589999999999996</v>
      </c>
      <c r="S7">
        <f t="shared" si="1"/>
        <v>0</v>
      </c>
      <c r="T7">
        <f t="shared" si="2"/>
        <v>1</v>
      </c>
      <c r="U7">
        <f t="shared" si="3"/>
        <v>1</v>
      </c>
      <c r="V7" s="47">
        <f t="shared" si="4"/>
        <v>0.5</v>
      </c>
      <c r="X7">
        <f t="shared" si="6"/>
        <v>7.1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0.40799999999999997</v>
      </c>
      <c r="G8" s="26" cm="1">
        <f t="array" ref="G8">_xll.FDSB(C8,"PCTCHG(FG_YIELD(0,,,,""YTM""),FG_YIELD(-1AM,,,,""YTM""))")</f>
        <v>-9.5343699999999991</v>
      </c>
      <c r="H8" s="26" cm="1">
        <f t="array" ref="H8">_xll.FDSB(C8,"PCTCHG(FG_YIELD(0,,,,""YTM""),FG_YIELD(-3AM,,,,""YTM""))")</f>
        <v>-36.939723999999998</v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0.59200000000000008</v>
      </c>
      <c r="S8">
        <f t="shared" si="1"/>
        <v>1</v>
      </c>
      <c r="T8">
        <f t="shared" si="2"/>
        <v>1</v>
      </c>
      <c r="U8">
        <f t="shared" si="3"/>
        <v>1</v>
      </c>
      <c r="V8" s="47">
        <f t="shared" si="4"/>
        <v>1</v>
      </c>
      <c r="X8">
        <f t="shared" si="6"/>
        <v>50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4.0209999999999999</v>
      </c>
      <c r="G9" s="26" cm="1">
        <f t="array" ref="G9">_xll.FDSB(C9,"PCTCHG(FG_YIELD(0,,,,""YTM""),FG_YIELD(-1AM,,,,""YTM""))")</f>
        <v>2.1595477999999999</v>
      </c>
      <c r="H9" s="26" cm="1">
        <f t="array" ref="H9">_xll.FDSB(C9,"PCTCHG(FG_YIELD(0,,,,""YTM""),FG_YIELD(-3AM,,,,""YTM""))")</f>
        <v>-3.5037177000000002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</v>
      </c>
      <c r="M9" s="36" cm="1">
        <f t="array" ref="M9">_xll.FDSB(J9,"(SUBARRAY(NOT_NA(NO_REPEAT_F(FG_YIELD(now,-10AY,D))),0,1)-SUBARRAY(NOT_NA(NO_REPEAT_F(FG_YIELD(now,-10AY,D))),1,1))*100")</f>
        <v>-25</v>
      </c>
      <c r="N9" s="38">
        <f t="shared" si="0"/>
        <v>25</v>
      </c>
      <c r="O9" s="26">
        <f t="shared" si="5"/>
        <v>0.97900000000000009</v>
      </c>
      <c r="S9">
        <f t="shared" si="1"/>
        <v>1</v>
      </c>
      <c r="T9">
        <f t="shared" si="2"/>
        <v>0</v>
      </c>
      <c r="U9">
        <f t="shared" si="3"/>
        <v>1</v>
      </c>
      <c r="V9" s="47">
        <f t="shared" si="4"/>
        <v>0.75</v>
      </c>
      <c r="X9">
        <f t="shared" si="6"/>
        <v>21.4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3.8487</v>
      </c>
      <c r="G10" s="26" cm="1">
        <f t="array" ref="G10">_xll.FDSB(C10,"PCTCHG(FG_YIELD(0,,,,""YTM""),FG_YIELD(-1AM,,,,""YTM""))")</f>
        <v>0.36247109999999999</v>
      </c>
      <c r="H10" s="26" cm="1">
        <f t="array" ref="H10">_xll.FDSB(C10,"PCTCHG(FG_YIELD(0,,,,""YTM""),FG_YIELD(-3AM,,,,""YTM""))")</f>
        <v>-11.731109999999999</v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</v>
      </c>
      <c r="M10" s="36" cm="1">
        <f t="array" ref="M10">_xll.FDSB(J10,"(SUBARRAY(NOT_NA(NO_REPEAT_F(FG_YIELD(now,-10AY,D))),0,1)-SUBARRAY(NOT_NA(NO_REPEAT_F(FG_YIELD(now,-10AY,D))),1,1))*100")</f>
        <v>-50</v>
      </c>
      <c r="N10" s="38">
        <f t="shared" si="0"/>
        <v>50</v>
      </c>
      <c r="O10" s="26">
        <f t="shared" si="5"/>
        <v>1.1513</v>
      </c>
      <c r="S10">
        <f t="shared" si="1"/>
        <v>1</v>
      </c>
      <c r="T10">
        <f t="shared" si="2"/>
        <v>0</v>
      </c>
      <c r="U10">
        <f t="shared" si="3"/>
        <v>1</v>
      </c>
      <c r="V10" s="47">
        <f t="shared" si="4"/>
        <v>0.75</v>
      </c>
      <c r="X10">
        <f t="shared" si="6"/>
        <v>21.4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3.8487</v>
      </c>
      <c r="G11" s="26" cm="1">
        <f t="array" ref="G11">_xll.FDSB(C11,"PCTCHG(FG_YIELD(0,,,,""YTM""),FG_YIELD(-1AM,,,,""YTM""))")</f>
        <v>0.36247109999999999</v>
      </c>
      <c r="H11" s="26" cm="1">
        <f t="array" ref="H11">_xll.FDSB(C11,"PCTCHG(FG_YIELD(0,,,,""YTM""),FG_YIELD(-3AM,,,,""YTM""))")</f>
        <v>-11.731109999999999</v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</v>
      </c>
      <c r="M11" s="36" cm="1">
        <f t="array" ref="M11">_xll.FDSB(J11,"(SUBARRAY(NOT_NA(NO_REPEAT_F(FG_YIELD(now,-10AY,D))),0,1)-SUBARRAY(NOT_NA(NO_REPEAT_F(FG_YIELD(now,-10AY,D))),1,1))*100")</f>
        <v>-50</v>
      </c>
      <c r="N11" s="38">
        <f t="shared" si="0"/>
        <v>50</v>
      </c>
      <c r="O11" s="26">
        <f t="shared" si="5"/>
        <v>1.1513</v>
      </c>
      <c r="S11">
        <f t="shared" si="1"/>
        <v>1</v>
      </c>
      <c r="T11">
        <f t="shared" si="2"/>
        <v>0</v>
      </c>
      <c r="U11">
        <f t="shared" si="3"/>
        <v>1</v>
      </c>
      <c r="V11" s="47">
        <f t="shared" si="4"/>
        <v>0.75</v>
      </c>
      <c r="X11">
        <f t="shared" si="6"/>
        <v>21.4</v>
      </c>
    </row>
    <row r="12" spans="1:24" x14ac:dyDescent="0.3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2.9369999999999998</v>
      </c>
      <c r="G12" s="26" cm="1">
        <f t="array" ref="G12">_xll.FDSB(C12,"PCTCHG(FG_YIELD(0,,,,""YTM""),FG_YIELD(-1AM,,,,""YTM""))")</f>
        <v>-1.3104849999999999</v>
      </c>
      <c r="H12" s="26" cm="1">
        <f t="array" ref="H12">_xll.FDSB(C12,"PCTCHG(FG_YIELD(0,,,,""YTM""),FG_YIELD(-3AM,,,,""YTM""))")</f>
        <v>-8.7604869999999995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3.65</v>
      </c>
      <c r="M12" s="36" cm="1">
        <f t="array" ref="M12">_xll.FDSB(J12,"(SUBARRAY(NOT_NA(NO_REPEAT_F(FG_YIELD(now,-10AY,D))),0,1)-SUBARRAY(NOT_NA(NO_REPEAT_F(FG_YIELD(now,-10AY,D))),1,1))*100")</f>
        <v>-60</v>
      </c>
      <c r="N12" s="38">
        <f t="shared" si="0"/>
        <v>60</v>
      </c>
      <c r="O12" s="26">
        <f t="shared" si="5"/>
        <v>0.71300000000000008</v>
      </c>
      <c r="S12">
        <f t="shared" si="1"/>
        <v>1</v>
      </c>
      <c r="T12">
        <f t="shared" si="2"/>
        <v>1</v>
      </c>
      <c r="U12">
        <f t="shared" si="3"/>
        <v>1</v>
      </c>
      <c r="V12" s="47">
        <f t="shared" si="4"/>
        <v>1</v>
      </c>
      <c r="X12">
        <f t="shared" si="6"/>
        <v>50</v>
      </c>
    </row>
    <row r="13" spans="1:24" x14ac:dyDescent="0.3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2.4359999999999999</v>
      </c>
      <c r="G13" s="26" cm="1">
        <f t="array" ref="G13">_xll.FDSB(C13,"PCTCHG(FG_YIELD(0,,,,""YTM""),FG_YIELD(-1AM,,,,""YTM""))")</f>
        <v>-4.3204985000000002</v>
      </c>
      <c r="H13" s="26" cm="1">
        <f t="array" ref="H13">_xll.FDSB(C13,"PCTCHG(FG_YIELD(0,,,,""YTM""),FG_YIELD(-3AM,,,,""YTM""))")</f>
        <v>-15.003484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3.65</v>
      </c>
      <c r="M13" s="36" cm="1">
        <f t="array" ref="M13">_xll.FDSB(J13,"(SUBARRAY(NOT_NA(NO_REPEAT_F(FG_YIELD(now,-10AY,D))),0,1)-SUBARRAY(NOT_NA(NO_REPEAT_F(FG_YIELD(now,-10AY,D))),1,1))*100")</f>
        <v>-60</v>
      </c>
      <c r="N13" s="38">
        <f t="shared" si="0"/>
        <v>60</v>
      </c>
      <c r="O13" s="26">
        <f t="shared" si="5"/>
        <v>1.214</v>
      </c>
      <c r="S13">
        <f t="shared" si="1"/>
        <v>1</v>
      </c>
      <c r="T13">
        <f t="shared" si="2"/>
        <v>1</v>
      </c>
      <c r="U13">
        <f t="shared" si="3"/>
        <v>1</v>
      </c>
      <c r="V13" s="47">
        <f t="shared" si="4"/>
        <v>1</v>
      </c>
      <c r="X13">
        <f t="shared" si="6"/>
        <v>50</v>
      </c>
    </row>
    <row r="14" spans="1:24" x14ac:dyDescent="0.3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2.0190000000000001</v>
      </c>
      <c r="G14" s="26" cm="1">
        <f t="array" ref="G14">_xll.FDSB(C14,"PCTCHG(FG_YIELD(0,,,,""YTM""),FG_YIELD(-1AM,,,,""YTM""))")</f>
        <v>-2.3694402999999999</v>
      </c>
      <c r="H14" s="26" cm="1">
        <f t="array" ref="H14">_xll.FDSB(C14,"PCTCHG(FG_YIELD(0,,,,""YTM""),FG_YIELD(-3AM,,,,""YTM""))")</f>
        <v>-11.641139000000001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3.25</v>
      </c>
      <c r="M14" s="36" cm="1">
        <f t="array" ref="M14">_xll.FDSB(J14,"(SUBARRAY(NOT_NA(NO_REPEAT_F(FG_YIELD(now,-10AY,D))),0,1)-SUBARRAY(NOT_NA(NO_REPEAT_F(FG_YIELD(now,-10AY,D))),1,1))*100")</f>
        <v>-25</v>
      </c>
      <c r="N14" s="38">
        <f t="shared" si="0"/>
        <v>25</v>
      </c>
      <c r="O14" s="26">
        <f t="shared" si="5"/>
        <v>1.2309999999999999</v>
      </c>
      <c r="S14">
        <f t="shared" si="1"/>
        <v>1</v>
      </c>
      <c r="T14">
        <f t="shared" si="2"/>
        <v>1</v>
      </c>
      <c r="U14">
        <f t="shared" si="3"/>
        <v>1</v>
      </c>
      <c r="V14" s="47">
        <f t="shared" si="4"/>
        <v>1</v>
      </c>
      <c r="X14">
        <f t="shared" si="6"/>
        <v>50</v>
      </c>
    </row>
    <row r="15" spans="1:24" x14ac:dyDescent="0.3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3.4809999999999999</v>
      </c>
      <c r="G15" s="26" cm="1">
        <f t="array" ref="G15">_xll.FDSB(C15,"PCTCHG(FG_YIELD(0,,,,""YTM""),FG_YIELD(-1AM,,,,""YTM""))")</f>
        <v>-4.6562609999999998</v>
      </c>
      <c r="H15" s="26" cm="1">
        <f t="array" ref="H15">_xll.FDSB(C15,"PCTCHG(FG_YIELD(0,,,,""YTM""),FG_YIELD(-3AM,,,,""YTM""))")</f>
        <v>-12.887891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3.65</v>
      </c>
      <c r="M15" s="36" cm="1">
        <f t="array" ref="M15">_xll.FDSB(J15,"(SUBARRAY(NOT_NA(NO_REPEAT_F(FG_YIELD(now,-10AY,D))),0,1)-SUBARRAY(NOT_NA(NO_REPEAT_F(FG_YIELD(now,-10AY,D))),1,1))*100")</f>
        <v>-60</v>
      </c>
      <c r="N15" s="38">
        <f t="shared" si="0"/>
        <v>60</v>
      </c>
      <c r="O15" s="26">
        <f t="shared" si="5"/>
        <v>0.16900000000000004</v>
      </c>
      <c r="S15">
        <f t="shared" si="1"/>
        <v>1</v>
      </c>
      <c r="T15">
        <f t="shared" si="2"/>
        <v>1</v>
      </c>
      <c r="U15">
        <f t="shared" si="3"/>
        <v>1</v>
      </c>
      <c r="V15" s="47">
        <f t="shared" si="4"/>
        <v>1</v>
      </c>
      <c r="X15">
        <f t="shared" si="6"/>
        <v>50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3.8487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4.2679</v>
      </c>
      <c r="H2" cm="1">
        <f t="array" ref="H2">_xll.FDS(B2,"FG_ROE(0)")</f>
        <v>3.4246605654447602</v>
      </c>
      <c r="I2">
        <f>HLOOKUP(B2,'Index ROE'!$B$1:$N$25,24,FALSE)</f>
        <v>9.8238973987983247</v>
      </c>
      <c r="J2" cm="1">
        <f t="array" ref="J2">_xll.FDS(B2, "FMA_RBICS_REV_CURRENT(30, LOC, ""PORTAGG"")")</f>
        <v>25.628699849389399</v>
      </c>
      <c r="K2" s="74">
        <f>HLOOKUP(B2,'Index earnings'!$B$1:$N$25,25,FALSE)</f>
        <v>-9.3828156139095231E-3</v>
      </c>
      <c r="L2">
        <f>HLOOKUP(A2,'Yearly returns'!$B$1:$N$128,126,FALSE)</f>
        <v>-31.343174000000001</v>
      </c>
      <c r="M2">
        <f t="shared" ref="M2:M10" si="0">I2-G2</f>
        <v>5.5559973987983247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42.900000000000006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35.699999999999996</v>
      </c>
      <c r="R2">
        <f>N2*Assumption!$F$64 + O2*Assumption!$F$61 + P2*Assumption!$F$62 + Q2*Assumption!$F$63</f>
        <v>23.200000000000003</v>
      </c>
      <c r="S2" cm="1">
        <f t="array" ref="S2">_xlfn.PERCENTRANK.EXC(_xlfn._xlws.FILTER(R$2:R$14, ISNUMBER(R$2:R$14)),R2)*100</f>
        <v>7.1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3.9889999999999999</v>
      </c>
      <c r="H3" cm="1">
        <f t="array" ref="H3">_xll.FDS(B3,"FG_ROE(0)")</f>
        <v>13.139664828305101</v>
      </c>
      <c r="I3">
        <f>HLOOKUP(B3,'Index ROE'!$B$1:$N$25,24,FALSE)</f>
        <v>13.020733299173699</v>
      </c>
      <c r="J3" cm="1">
        <f t="array" ref="J3">_xll.FDS(B3, "FMA_RBICS_REV_CURRENT(30, LOC, ""PORTAGG"")")</f>
        <v>43.296210954324003</v>
      </c>
      <c r="K3" s="74">
        <f>HLOOKUP(B3,'Index earnings'!$B$1:$N$25,25,FALSE)</f>
        <v>1.1174820218081027E-2</v>
      </c>
      <c r="L3">
        <f>HLOOKUP(A3,'Yearly returns'!$B$1:$N$128,126,FALSE)</f>
        <v>-30.607765000000001</v>
      </c>
      <c r="M3">
        <f t="shared" si="0"/>
        <v>9.0317332991736983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7.1999999999999957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42.8</v>
      </c>
      <c r="R3">
        <f>N3*Assumption!$F$64 + O3*Assumption!$F$61 + P3*Assumption!$F$62 + Q3*Assumption!$F$63</f>
        <v>28.549999999999997</v>
      </c>
      <c r="S3" cm="1">
        <f t="array" ref="S3">_xlfn.PERCENTRANK.EXC(_xlfn._xlws.FILTER(R$2:R$14, ISNUMBER(R$2:R$14)),R3)*100</f>
        <v>14.2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3.0914000000000001</v>
      </c>
      <c r="H4" cm="1">
        <f t="array" ref="H4">_xll.FDS(B4,"FG_ROE(0)")</f>
        <v>10.775999398154701</v>
      </c>
      <c r="I4">
        <f>HLOOKUP(B4,'Index ROE'!$B$1:$N$25,24,FALSE)</f>
        <v>12.7516875895064</v>
      </c>
      <c r="J4" cm="1">
        <f t="array" ref="J4">_xll.FDS(B4, "FMA_RBICS_REV_CURRENT(30, LOC, ""PORTAGG"")")</f>
        <v>42.359395995410203</v>
      </c>
      <c r="K4" s="74">
        <f>HLOOKUP(B4,'Index earnings'!$B$1:$N$25,25,FALSE)</f>
        <v>4.091721115481306E-2</v>
      </c>
      <c r="L4">
        <f>HLOOKUP(A4,'Yearly returns'!$B$1:$N$128,126,FALSE)</f>
        <v>-26.394200000000001</v>
      </c>
      <c r="M4">
        <f t="shared" si="0"/>
        <v>9.6602875895063995</v>
      </c>
      <c r="N4" cm="1">
        <f t="array" ref="N4">_xlfn.PERCENTRANK.EXC(_xlfn._xlws.FILTER(M$2:M$14, ISNUMBER(M$2:M$14)),M4)*100</f>
        <v>42.8</v>
      </c>
      <c r="O4" cm="1">
        <f t="array" ref="O4">(1-_xlfn.PERCENTRANK.EXC(_xlfn._xlws.FILTER(J$2:J$14, ISNUMBER(J$2:J$14)),J4))*100</f>
        <v>14.3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71.399999999999991</v>
      </c>
      <c r="R4">
        <f>N4*Assumption!$F$64 + O4*Assumption!$F$61 + P4*Assumption!$F$62 + Q4*Assumption!$F$63</f>
        <v>49.974999999999994</v>
      </c>
      <c r="S4" cm="1">
        <f t="array" ref="S4">_xlfn.PERCENTRANK.EXC(_xlfn._xlws.FILTER(R$2:R$14, ISNUMBER(R$2:R$14)),R4)*100</f>
        <v>57.099999999999994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2.1480000000000001</v>
      </c>
      <c r="H5" cm="1">
        <f t="array" ref="H5">_xll.FDS(B5,"FG_ROE(0)")</f>
        <v>10.8267163545814</v>
      </c>
      <c r="I5">
        <f>HLOOKUP(B5,'Index ROE'!$B$1:$N$25,24,FALSE)</f>
        <v>11.983677793053701</v>
      </c>
      <c r="J5" cm="1">
        <f t="array" ref="J5">_xll.FDS(B5, "FMA_RBICS_REV_CURRENT(30, LOC, ""PORTAGG"")")</f>
        <v>23.5276247083657</v>
      </c>
      <c r="K5" s="74">
        <f>HLOOKUP(B5,'Index earnings'!$B$1:$N$25,25,FALSE)</f>
        <v>2.8283515901657452E-2</v>
      </c>
      <c r="L5">
        <f>HLOOKUP(A5,'Yearly returns'!$B$1:$N$128,126,FALSE)</f>
        <v>-36.912260000000003</v>
      </c>
      <c r="M5">
        <f t="shared" si="0"/>
        <v>9.8356777930537014</v>
      </c>
      <c r="N5" cm="1">
        <f t="array" ref="N5">_xlfn.PERCENTRANK.EXC(_xlfn._xlws.FILTER(M$2:M$14, ISNUMBER(M$2:M$14)),M5)*100</f>
        <v>50</v>
      </c>
      <c r="O5" cm="1">
        <f t="array" ref="O5">(1-_xlfn.PERCENTRANK.EXC(_xlfn._xlws.FILTER(J$2:J$14, ISNUMBER(J$2:J$14)),J5))*100</f>
        <v>50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21.4</v>
      </c>
      <c r="R5">
        <f>N5*Assumption!$F$64 + O5*Assumption!$F$61 + P5*Assumption!$F$62 + Q5*Assumption!$F$63</f>
        <v>44.625</v>
      </c>
      <c r="S5" cm="1">
        <f t="array" ref="S5">_xlfn.PERCENTRANK.EXC(_xlfn._xlws.FILTER(R$2:R$14, ISNUMBER(R$2:R$14)),R5)*100</f>
        <v>42.8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0.81589999999999996</v>
      </c>
      <c r="H6" cm="1">
        <f t="array" ref="H6">_xll.FDS(B6,"FG_ROE(0)")</f>
        <v>8.7008521950539404</v>
      </c>
      <c r="I6">
        <f>HLOOKUP(B6,'Index ROE'!$B$1:$N$25,24,FALSE)</f>
        <v>8.994618118763011</v>
      </c>
      <c r="J6" cm="1">
        <f t="array" ref="J6">_xll.FDS(B6, "FMA_RBICS_REV_CURRENT(30, LOC, ""PORTAGG"")")</f>
        <v>18.372453057850102</v>
      </c>
      <c r="K6" s="74">
        <f>HLOOKUP(B6,'Index earnings'!$B$1:$N$25,25,FALSE)</f>
        <v>2.0540052606574433E-2</v>
      </c>
      <c r="L6">
        <f>HLOOKUP(A6,'Yearly returns'!$B$1:$N$128,126,FALSE)</f>
        <v>-27.236854999999998</v>
      </c>
      <c r="M6">
        <f t="shared" si="0"/>
        <v>8.1787181187630118</v>
      </c>
      <c r="N6" cm="1">
        <f t="array" ref="N6">_xlfn.PERCENTRANK.EXC(_xlfn._xlws.FILTER(M$2:M$14, ISNUMBER(M$2:M$14)),M6)*100</f>
        <v>21.4</v>
      </c>
      <c r="O6" cm="1">
        <f t="array" ref="O6">(1-_xlfn.PERCENTRANK.EXC(_xlfn._xlws.FILTER(J$2:J$14, ISNUMBER(J$2:J$14)),J6))*100</f>
        <v>71.500000000000014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64.2</v>
      </c>
      <c r="R6">
        <f>N6*Assumption!$F$64 + O6*Assumption!$F$61 + P6*Assumption!$F$62 + Q6*Assumption!$F$63</f>
        <v>49.974999999999994</v>
      </c>
      <c r="S6" cm="1">
        <f t="array" ref="S6">_xlfn.PERCENTRANK.EXC(_xlfn._xlws.FILTER(R$2:R$14, ISNUMBER(R$2:R$14)),R6)*100</f>
        <v>57.099999999999994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0.40799999999999997</v>
      </c>
      <c r="H7" cm="1">
        <f t="array" ref="H7">_xll.FDS(B7,"FG_ROE(0)")</f>
        <v>18.684941908577699</v>
      </c>
      <c r="I7">
        <f>HLOOKUP(B7,'Index ROE'!$B$1:$N$25,24,FALSE)</f>
        <v>15.55096443559315</v>
      </c>
      <c r="J7" cm="1">
        <f t="array" ref="J7">_xll.FDS(B7, "FMA_RBICS_REV_CURRENT(30, LOC, ""PORTAGG"")")</f>
        <v>18.379237132783299</v>
      </c>
      <c r="K7" s="74">
        <f>HLOOKUP(B7,'Index earnings'!$B$1:$N$25,25,FALSE)</f>
        <v>4.6616158051884682E-2</v>
      </c>
      <c r="L7">
        <f>HLOOKUP(A7,'Yearly returns'!$B$1:$N$128,126,FALSE)</f>
        <v>-24.103434</v>
      </c>
      <c r="M7">
        <f t="shared" si="0"/>
        <v>15.14296443559315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64.3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78.55</v>
      </c>
      <c r="S7" cm="1">
        <f t="array" ref="S7">_xlfn.PERCENTRANK.EXC(_xlfn._xlws.FILTER(R$2:R$14, ISNUMBER(R$2:R$14)),R7)*100</f>
        <v>85.7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4.0209999999999999</v>
      </c>
      <c r="H8" cm="1">
        <f t="array" ref="H8">_xll.FDS(B8,"FG_ROE(0)")</f>
        <v>13.846096869468701</v>
      </c>
      <c r="I8">
        <f>HLOOKUP(B8,'Index ROE'!$B$1:$N$25,24,FALSE)</f>
        <v>14.561964916400001</v>
      </c>
      <c r="J8" cm="1">
        <f t="array" ref="J8">_xll.FDS(B8, "FMA_RBICS_REV_CURRENT(30, LOC, ""PORTAGG"")")</f>
        <v>19.911644146953901</v>
      </c>
      <c r="K8" s="74">
        <f>HLOOKUP(B8,'Index earnings'!$B$1:$N$25,25,FALSE)</f>
        <v>3.714974898957335E-3</v>
      </c>
      <c r="L8">
        <f>HLOOKUP(A8,'Yearly returns'!$B$1:$N$128,126,FALSE)</f>
        <v>-30.456178999999999</v>
      </c>
      <c r="M8">
        <f t="shared" si="0"/>
        <v>10.5409649164</v>
      </c>
      <c r="N8" cm="1">
        <f t="array" ref="N8">_xlfn.PERCENTRANK.EXC(_xlfn._xlws.FILTER(M$2:M$14, ISNUMBER(M$2:M$14)),M8)*100</f>
        <v>57.099999999999994</v>
      </c>
      <c r="O8" cm="1">
        <f t="array" ref="O8">(1-_xlfn.PERCENTRANK.EXC(_xlfn._xlws.FILTER(J$2:J$14, ISNUMBER(J$2:J$14)),J8))*100</f>
        <v>57.2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50</v>
      </c>
      <c r="R8">
        <f>N8*Assumption!$F$64 + O8*Assumption!$F$61 + P8*Assumption!$F$62 + Q8*Assumption!$F$63</f>
        <v>44.625</v>
      </c>
      <c r="S8" cm="1">
        <f t="array" ref="S8">_xlfn.PERCENTRANK.EXC(_xlfn._xlws.FILTER(R$2:R$14, ISNUMBER(R$2:R$14)),R8)*100</f>
        <v>42.8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3.8487</v>
      </c>
      <c r="H9" cm="1">
        <f t="array" ref="H9">_xll.FDS(B9,"FG_ROE(0)")</f>
        <v>22.2797836547382</v>
      </c>
      <c r="I9">
        <f>HLOOKUP(B9,'Index ROE'!$B$1:$N$25,24,FALSE)</f>
        <v>21.036882269896502</v>
      </c>
      <c r="J9" cm="1">
        <f t="array" ref="J9">_xll.FDS(B9, "FMA_RBICS_REV_CURRENT(30, LOC, ""PORTAGG"")")</f>
        <v>0.944515959592099</v>
      </c>
      <c r="K9" s="74">
        <f>HLOOKUP(B9,'Index earnings'!$B$1:$N$25,25,FALSE)</f>
        <v>0.12988959923331223</v>
      </c>
      <c r="L9">
        <f>HLOOKUP(A9,'Yearly returns'!$B$1:$N$128,126,FALSE)</f>
        <v>-33.672829999999998</v>
      </c>
      <c r="M9">
        <f t="shared" si="0"/>
        <v>17.188182269896501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28.499999999999996</v>
      </c>
      <c r="R9">
        <f>N9*Assumption!$F$64 + O9*Assumption!$F$61 + P9*Assumption!$F$62 + Q9*Assumption!$F$63</f>
        <v>76.75</v>
      </c>
      <c r="S9" cm="1">
        <f t="array" ref="S9">_xlfn.PERCENTRANK.EXC(_xlfn._xlws.FILTER(R$2:R$14, ISNUMBER(R$2:R$14)),R9)*100</f>
        <v>78.5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3.8487</v>
      </c>
      <c r="H10" cm="1">
        <f t="array" ref="H10">_xll.FDS(B10,"FG_ROE(0)")</f>
        <v>18.623629271209701</v>
      </c>
      <c r="I10">
        <f>HLOOKUP(B10,'Index ROE'!$B$1:$N$25,24,FALSE)</f>
        <v>16.391058174766847</v>
      </c>
      <c r="J10" cm="1">
        <f t="array" ref="J10">_xll.FDS(B10, "FMA_RBICS_REV_CURRENT(30, LOC, ""PORTAGG"")")</f>
        <v>12.4668204376818</v>
      </c>
      <c r="K10" s="74">
        <f>HLOOKUP(B10,'Index earnings'!$B$1:$N$25,25,FALSE)</f>
        <v>5.9884631869629779E-2</v>
      </c>
      <c r="L10">
        <f>HLOOKUP(A10,'Yearly returns'!$B$1:$N$128,126,FALSE)</f>
        <v>-18.985240000000001</v>
      </c>
      <c r="M10">
        <f t="shared" si="0"/>
        <v>12.542358174766846</v>
      </c>
      <c r="N10" cm="1">
        <f t="array" ref="N10">_xlfn.PERCENTRANK.EXC(_xlfn._xlws.FILTER(M$2:M$14, ISNUMBER(M$2:M$14)),M10)*100</f>
        <v>78.5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83.9</v>
      </c>
      <c r="S10" cm="1">
        <f t="array" ref="S10">_xlfn.PERCENTRANK.EXC(_xlfn._xlws.FILTER(R$2:R$14, ISNUMBER(R$2:R$14)),R10)*100</f>
        <v>92.800000000000011</v>
      </c>
    </row>
    <row r="11" spans="1:19" x14ac:dyDescent="0.3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2.9369999999999998</v>
      </c>
      <c r="H11" cm="1">
        <f t="array" ref="H11">_xll.FDS(B11,"FG_ROE(0)")</f>
        <v>12.1334530908553</v>
      </c>
      <c r="I11">
        <f>HLOOKUP(B11,'Index ROE'!$B$1:$N$25,24,FALSE)</f>
        <v>11.16089938202855</v>
      </c>
      <c r="J11" cm="1">
        <f t="array" ref="J11">_xll.FDS(B11, "FMA_RBICS_REV_CURRENT(30, LOC, ""PORTAGG"")")</f>
        <v>11.512421549902699</v>
      </c>
      <c r="K11" s="74">
        <f>HLOOKUP(B11,'Index earnings'!$B$1:$N$25,25,FALSE)</f>
        <v>1.8533351250322294E-2</v>
      </c>
      <c r="L11">
        <f>HLOOKUP(A11,'Yearly returns'!$B$1:$N$128,126,FALSE)</f>
        <v>-25.598568</v>
      </c>
      <c r="M11">
        <f t="shared" ref="M11:M14" si="1">I11-G11</f>
        <v>8.2238993820285504</v>
      </c>
      <c r="N11" cm="1">
        <f t="array" ref="N11">_xlfn.PERCENTRANK.EXC(_xlfn._xlws.FILTER(M$2:M$14, ISNUMBER(M$2:M$14)),M11)*100</f>
        <v>28.499999999999996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78.5</v>
      </c>
      <c r="R11">
        <f>N11*Assumption!$F$64 + O11*Assumption!$F$61 + P11*Assumption!$F$62 + Q11*Assumption!$F$63</f>
        <v>57.125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2.4359999999999999</v>
      </c>
      <c r="H12" cm="1">
        <f t="array" ref="H12">_xll.FDS(B12,"FG_ROE(0)")</f>
        <v>11.010832503641399</v>
      </c>
      <c r="I12">
        <f>HLOOKUP(B12,'Index ROE'!$B$1:$N$25,24,FALSE)</f>
        <v>13.04966082823935</v>
      </c>
      <c r="J12" cm="1">
        <f t="array" ref="J12">_xll.FDS(B12, "FMA_RBICS_REV_CURRENT(30, LOC, ""PORTAGG"")")</f>
        <v>26.680073368060999</v>
      </c>
      <c r="K12" s="74">
        <f>HLOOKUP(B12,'Index earnings'!$B$1:$N$25,25,FALSE)</f>
        <v>3.4820198321761975E-2</v>
      </c>
      <c r="L12">
        <f>HLOOKUP(A12,'Yearly returns'!$B$1:$N$128,126,FALSE)</f>
        <v>-39.463318000000001</v>
      </c>
      <c r="M12">
        <f t="shared" si="1"/>
        <v>10.61366082823935</v>
      </c>
      <c r="N12" cm="1">
        <f t="array" ref="N12">_xlfn.PERCENTRANK.EXC(_xlfn._xlws.FILTER(M$2:M$14, ISNUMBER(M$2:M$14)),M12)*100</f>
        <v>64.2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7.1</v>
      </c>
      <c r="R12">
        <f>N12*Assumption!$F$64 + O12*Assumption!$F$61 + P12*Assumption!$F$62 + Q12*Assumption!$F$63</f>
        <v>42.824999999999996</v>
      </c>
      <c r="S12" cm="1">
        <f t="array" ref="S12">_xlfn.PERCENTRANK.EXC(_xlfn._xlws.FILTER(R$2:R$14, ISNUMBER(R$2:R$14)),R12)*100</f>
        <v>35.699999999999996</v>
      </c>
    </row>
    <row r="13" spans="1:19" x14ac:dyDescent="0.3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2.0190000000000001</v>
      </c>
      <c r="H13" cm="1">
        <f t="array" ref="H13">_xll.FDS(B13,"FG_ROE(0)")</f>
        <v>16.995775202472601</v>
      </c>
      <c r="I13">
        <f>HLOOKUP(B13,'Index ROE'!$B$1:$N$25,24,FALSE)</f>
        <v>14.442959457883401</v>
      </c>
      <c r="J13" cm="1">
        <f t="array" ref="J13">_xll.FDS(B13, "FMA_RBICS_REV_CURRENT(30, LOC, ""PORTAGG"")")</f>
        <v>26.732323101591199</v>
      </c>
      <c r="K13" s="74">
        <f>HLOOKUP(B13,'Index earnings'!$B$1:$N$25,25,FALSE)</f>
        <v>2.4305006375947347E-2</v>
      </c>
      <c r="L13">
        <f>HLOOKUP(A13,'Yearly returns'!$B$1:$N$128,126,FALSE)</f>
        <v>-37.464725000000001</v>
      </c>
      <c r="M13">
        <f t="shared" si="1"/>
        <v>12.423959457883401</v>
      </c>
      <c r="N13" cm="1">
        <f t="array" ref="N13">_xlfn.PERCENTRANK.EXC(_xlfn._xlws.FILTER(M$2:M$14, ISNUMBER(M$2:M$14)),M13)*100</f>
        <v>71.399999999999991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14.2</v>
      </c>
      <c r="R13">
        <f>N13*Assumption!$F$64 + O13*Assumption!$F$61 + P13*Assumption!$F$62 + Q13*Assumption!$F$63</f>
        <v>41.05</v>
      </c>
      <c r="S13" cm="1">
        <f t="array" ref="S13">_xlfn.PERCENTRANK.EXC(_xlfn._xlws.FILTER(R$2:R$14, ISNUMBER(R$2:R$14)),R13)*100</f>
        <v>28.499999999999996</v>
      </c>
    </row>
    <row r="14" spans="1:19" x14ac:dyDescent="0.3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3.4809999999999999</v>
      </c>
      <c r="H14" cm="1">
        <f t="array" ref="H14">_xll.FDS(B14,"FG_ROE(0)")</f>
        <v>13.364953103583099</v>
      </c>
      <c r="I14">
        <f>HLOOKUP(B14,'Index ROE'!$B$1:$N$25,24,FALSE)</f>
        <v>9.6445775045501065</v>
      </c>
      <c r="J14" cm="1">
        <f t="array" ref="J14">_xll.FDS(B14, "FMA_RBICS_REV_CURRENT(30, LOC, ""PORTAGG"")")</f>
        <v>39.950361512674903</v>
      </c>
      <c r="K14" s="74">
        <f>HLOOKUP(B14,'Index earnings'!$B$1:$N$25,25,FALSE)</f>
        <v>9.2743946932130061E-3</v>
      </c>
      <c r="L14">
        <f>HLOOKUP(A14,'Yearly returns'!$B$1:$N$128,126,FALSE)</f>
        <v>-28.361135000000001</v>
      </c>
      <c r="M14">
        <f t="shared" si="1"/>
        <v>6.1635775045501067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57.099999999999994</v>
      </c>
      <c r="R14">
        <f>N14*Assumption!$F$64 + O14*Assumption!$F$61 + P14*Assumption!$F$62 + Q14*Assumption!$F$63</f>
        <v>28.549999999999997</v>
      </c>
      <c r="S14" cm="1">
        <f t="array" ref="S14">_xlfn.PERCENTRANK.EXC(_xlfn._xlws.FILTER(R$2:R$14, ISNUMBER(R$2:R$14)),R14)*100</f>
        <v>14.2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E1" activePane="topRight" state="frozen"/>
      <selection pane="topRight" activeCell="S15" sqref="S1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100085.03</v>
      </c>
      <c r="E3" cm="1">
        <f t="array" ref="E3">_xll.FDS(C3,"FMA_COS_UP(""EPS"",""1M"",+1,0,,,""PORTAGG"",""MEANR"")")</f>
        <v>7</v>
      </c>
      <c r="F3" cm="1">
        <f t="array" ref="F3">_xll.FDS(C3,"FMA_COS_DOWN(""EPS"",""1M"",+1,0,,,""PORTAGG"",""MEANR"")")</f>
        <v>9</v>
      </c>
      <c r="G3" cm="1">
        <f t="array" ref="G3">_xll.FDS(A3,"SIZE(FG_CONSTITUENTS)")</f>
        <v>27</v>
      </c>
      <c r="H3" s="9">
        <f t="shared" ref="H3:H11" si="0">E3/$G3</f>
        <v>0.25925925925925924</v>
      </c>
      <c r="I3" s="9">
        <f t="shared" ref="I3:I11" si="1">F3/$G3</f>
        <v>0.33333333333333331</v>
      </c>
      <c r="J3" s="9">
        <f t="shared" ref="J3:J11" si="2">H3-I3</f>
        <v>-7.407407407407407E-2</v>
      </c>
      <c r="K3" s="5" cm="1">
        <f t="array" ref="K3">_xll.FDS(A3,"FMA_PCT_ABOVE_MAVG(200,0,,,,""PORTAGG"")")/100</f>
        <v>0.42307692307692302</v>
      </c>
      <c r="L3" s="41" cm="1">
        <f t="array" ref="L3">_xll.FDSB(A3,"PERCENT_CHANGE(FMA_EPS(+1,0,,,,""PORTAGG"",""MEAN""),FMA_EPS(+1,-1AM,,,,""PORTAGG"",""MEAN""))")</f>
        <v>8.7494886670155907</v>
      </c>
      <c r="M3" s="41" cm="1">
        <f t="array" ref="M3">_xll.FDSB(A3,"PERCENT_CHANGE(FMA_EPS(+1,0,,,,""PORTAGG"",""MEAN""),FMA_EPS(+1,-3AM,,,,""PORTAGG"",""MEAN""))")</f>
        <v>11.575850597500899</v>
      </c>
      <c r="N3" s="3" cm="1">
        <f t="array" ref="N3">_xll.FDS(C3,"FG_TOTAL_RETURNC(0,-1AM)")</f>
        <v>0.38982630000000001</v>
      </c>
      <c r="O3" s="3" cm="1">
        <f t="array" ref="O3">_xll.FDS(C3,"FG_TOTAL_RETURNC(0,-3AM)")</f>
        <v>7.4204205999999999</v>
      </c>
      <c r="P3" s="3" cm="1">
        <f t="array" ref="P3">_xll.FDS(C3,"FG_TOTAL_RETURNC(0,-6AM)")</f>
        <v>8.4817049999999998</v>
      </c>
      <c r="Q3" s="9" cm="1">
        <f t="array" ref="Q3">_xll.FDS(C3,"P_PRICE(0)/P_PRICE_HIGH_PR(0,,,,,,""PRICE"",""INTRA"",""52W"")")</f>
        <v>0.97064079999999997</v>
      </c>
      <c r="R3" s="9" cm="1">
        <f t="array" ref="R3">_xll.FDS(C3,"P_PRICE(0)/P_PRICE_low_PR(0,,,,,,""PRICE"",""INTRA"",""52W"")-1")</f>
        <v>0.19253909999999999</v>
      </c>
      <c r="S3" s="3" cm="1">
        <f t="array" ref="S3">_xll.FDS(C3,"FG_TOTAL_RETURNC(0,-12AM)")</f>
        <v>15.889882999999999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64.2</v>
      </c>
      <c r="W3" s="4" cm="1">
        <f t="array" ref="W3">_xlfn.PERCENTRANK.EXC(_xlfn._xlws.FILTER($O$3:$O$15, ISNUMBER($O$3:$O$15)),O3)*100</f>
        <v>78.5</v>
      </c>
      <c r="X3" s="4" cm="1">
        <f t="array" ref="X3">_xlfn.PERCENTRANK.EXC(_xlfn._xlws.FILTER($P$3:$P$15, ISNUMBER($P$3:$P$15)),P3)*100</f>
        <v>50</v>
      </c>
      <c r="Y3" s="201" cm="1">
        <f t="array" ref="Y3">_xlfn.PERCENTRANK.EXC(_xlfn._xlws.FILTER($S$3:$S$15, ISNUMBER($S$3:$S$15)),S3)*100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28.499999999999996</v>
      </c>
      <c r="AB3" s="4" cm="1">
        <f t="array" ref="AB3">_xlfn.PERCENTRANK.EXC(_xlfn._xlws.FILTER($J$3:$J$15, ISNUMBER($J$3:$J$15)),J3)*100</f>
        <v>57.099999999999994</v>
      </c>
      <c r="AC3" s="4">
        <f t="shared" ref="AC3:AC15" si="4">_xlfn.PERCENTRANK.EXC($L$3:$L$15,L3)*100</f>
        <v>85.7</v>
      </c>
      <c r="AD3" s="4">
        <f t="shared" ref="AD3:AD15" si="5">_xlfn.PERCENTRANK.EXC($M$3:$M$15,M3)*100</f>
        <v>85.7</v>
      </c>
      <c r="AE3" s="4">
        <f t="shared" ref="AE3:AE15" si="6">_xlfn.PERCENTRANK.EXC($D$3:$D$15,D3)*100</f>
        <v>7.1</v>
      </c>
      <c r="AF3" s="4">
        <f>'Economic Momentum'!Q4</f>
        <v>42.8</v>
      </c>
      <c r="AG3" s="4">
        <f ca="1">'Economic Momentum'!R4</f>
        <v>35.699999999999996</v>
      </c>
      <c r="AH3" s="4">
        <f t="shared" ref="AH3:AH15" ca="1" si="7">SUMPRODUCT($U$2:$AG$2,U3:AG3)</f>
        <v>64.23</v>
      </c>
      <c r="AJ3" s="3" cm="1">
        <f t="array" aca="1" ref="AJ3" ca="1">_xlfn.PERCENTRANK.EXC(_xlfn._xlws.FILTER($AH$3:$AH$15, ISNUMBER($AH$3:$AH$15)),AH3)*100</f>
        <v>64.2</v>
      </c>
      <c r="AK3">
        <f t="shared" ref="AK3:AK15" si="8">COUNTIF(V3:AB3,"&gt;70")</f>
        <v>1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1830910.5</v>
      </c>
      <c r="E4" cm="1">
        <f t="array" ref="E4">_xll.FDS(C4,"FMA_COS_UP(""EPS"",""1M"",+1,0,,,""PORTAGG"",""MEANR"")")</f>
        <v>19</v>
      </c>
      <c r="F4" cm="1">
        <f t="array" ref="F4">_xll.FDS(C4,"FMA_COS_DOWN(""EPS"",""1M"",+1,0,,,""PORTAGG"",""MEANR"")")</f>
        <v>18</v>
      </c>
      <c r="G4" cm="1">
        <f t="array" ref="G4">_xll.FDS(A4,"SIZE(FG_CONSTITUENTS)")</f>
        <v>59</v>
      </c>
      <c r="H4" s="9">
        <f t="shared" si="0"/>
        <v>0.32203389830508472</v>
      </c>
      <c r="I4" s="9">
        <f t="shared" si="1"/>
        <v>0.30508474576271188</v>
      </c>
      <c r="J4" s="9">
        <f t="shared" si="2"/>
        <v>1.6949152542372836E-2</v>
      </c>
      <c r="K4" s="5" cm="1">
        <f t="array" ref="K4">_xll.FDS(A4,"FMA_PCT_ABOVE_MAVG(200,0,,,,""PORTAGG"")")/100</f>
        <v>0.67241379310344795</v>
      </c>
      <c r="L4" s="41" cm="1">
        <f t="array" ref="L4">_xll.FDSB(A4,"PERCENT_CHANGE(FMA_EPS(+1,0,,,,""PORTAGG"",""MEAN""),FMA_EPS(+1,-1AM,,,,""PORTAGG"",""MEAN""))")</f>
        <v>2.9134128627664801</v>
      </c>
      <c r="M4" s="41" cm="1">
        <f t="array" ref="M4">_xll.FDSB(A4,"PERCENT_CHANGE(FMA_EPS(+1,0,,,,""PORTAGG"",""MEAN""),FMA_EPS(+1,-3AM,,,,""PORTAGG"",""MEAN""))")</f>
        <v>-0.50694207225788201</v>
      </c>
      <c r="N4" s="3" cm="1">
        <f t="array" ref="N4">_xll.FDS(C4,"FG_TOTAL_RETURNC(0,-1AM)")</f>
        <v>4.4313669999999998</v>
      </c>
      <c r="O4" s="3" cm="1">
        <f t="array" ref="O4">_xll.FDS(C4,"FG_TOTAL_RETURNC(0,-3AM)")</f>
        <v>7.4223400000000002</v>
      </c>
      <c r="P4" s="3" cm="1">
        <f t="array" ref="P4">_xll.FDS(C4,"FG_TOTAL_RETURNC(0,-6AM)")</f>
        <v>10.496187000000001</v>
      </c>
      <c r="Q4" s="9" cm="1">
        <f t="array" ref="Q4">_xll.FDS(C4,"P_PRICE(0)/P_PRICE_HIGH_PR(0,,,,,,""PRICE"",""INTRA"",""52W"")")</f>
        <v>0.97796550000000004</v>
      </c>
      <c r="R4" s="9" cm="1">
        <f t="array" ref="R4">_xll.FDS(C4,"P_PRICE(0)/P_PRICE_low_PR(0,,,,,,""PRICE"",""INTRA"",""52W"")-1")</f>
        <v>0.3015641</v>
      </c>
      <c r="S4" s="3" cm="1">
        <f t="array" ref="S4">_xll.FDS(C4,"FG_TOTAL_RETURNC(0,-12AM)")</f>
        <v>33.276916999999997</v>
      </c>
      <c r="T4" s="4" cm="1">
        <f t="array" ref="T4">_xlfn.PERCENTRANK.EXC(_xlfn._xlws.FILTER($R$3:$R$15, ISNUMBER($R$3:$R$15)),R4)*100</f>
        <v>50</v>
      </c>
      <c r="U4" s="4">
        <f t="shared" si="3"/>
        <v>50</v>
      </c>
      <c r="V4" s="4" cm="1">
        <f t="array" ref="V4">_xlfn.PERCENTRANK.EXC(_xlfn._xlws.FILTER($Q$3:$Q$15, ISNUMBER($Q$3:$Q$15)),Q4)*100</f>
        <v>78.5</v>
      </c>
      <c r="W4" s="4" cm="1">
        <f t="array" ref="W4">_xlfn.PERCENTRANK.EXC(_xlfn._xlws.FILTER($O$3:$O$15, ISNUMBER($O$3:$O$15)),O4)*100</f>
        <v>85.7</v>
      </c>
      <c r="X4" s="4" cm="1">
        <f t="array" ref="X4">_xlfn.PERCENTRANK.EXC(_xlfn._xlws.FILTER($P$3:$P$15, ISNUMBER($P$3:$P$15)),P4)*100</f>
        <v>85.7</v>
      </c>
      <c r="Y4" s="201" cm="1">
        <f t="array" ref="Y4">_xlfn.PERCENTRANK.EXC(_xlfn._xlws.FILTER($S$3:$S$15, ISNUMBER($S$3:$S$15)),S4)*100</f>
        <v>64.2</v>
      </c>
      <c r="Z4" s="4" cm="1">
        <f t="array" ref="Z4">_xlfn.PERCENTRANK.EXC(_xlfn._xlws.FILTER($K$3:$K$15, ISNUMBER($K$3:$K$15)),K4)*100</f>
        <v>64.2</v>
      </c>
      <c r="AA4" s="4" cm="1">
        <f t="array" ref="AA4">_xlfn.PERCENTRANK.EXC(_xlfn._xlws.FILTER($H$3:$H$15, ISNUMBER($H$3:$H$15)),H4)*100</f>
        <v>64.2</v>
      </c>
      <c r="AB4" s="4" cm="1">
        <f t="array" ref="AB4">_xlfn.PERCENTRANK.EXC(_xlfn._xlws.FILTER($J$3:$J$15, ISNUMBER($J$3:$J$15)),J4)*100</f>
        <v>78.5</v>
      </c>
      <c r="AC4" s="4">
        <f t="shared" si="4"/>
        <v>78.5</v>
      </c>
      <c r="AD4" s="4">
        <f t="shared" si="5"/>
        <v>42.8</v>
      </c>
      <c r="AE4" s="4">
        <f t="shared" si="6"/>
        <v>35.699999999999996</v>
      </c>
      <c r="AF4" s="4">
        <f>'Economic Momentum'!Q5</f>
        <v>21.4</v>
      </c>
      <c r="AG4" s="4">
        <f ca="1">'Economic Momentum'!R5</f>
        <v>57.099999999999994</v>
      </c>
      <c r="AH4" s="4">
        <f t="shared" ca="1" si="7"/>
        <v>82.82</v>
      </c>
      <c r="AJ4" s="3" cm="1">
        <f t="array" aca="1" ref="AJ4" ca="1">_xlfn.PERCENTRANK.EXC(_xlfn._xlws.FILTER($AH$3:$AH$15, ISNUMBER($AH$3:$AH$15)),AH4)*100</f>
        <v>85.7</v>
      </c>
      <c r="AK4">
        <f t="shared" si="8"/>
        <v>4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2963770</v>
      </c>
      <c r="E5" cm="1">
        <f t="array" ref="E5">_xll.FDS(C5,"FMA_COS_UP(""EPS"",""1M"",+1,0,,,""PORTAGG"",""MEANR"")")</f>
        <v>8</v>
      </c>
      <c r="F5" cm="1">
        <f t="array" ref="F5">_xll.FDS(C5,"FMA_COS_DOWN(""EPS"",""1M"",+1,0,,,""PORTAGG"",""MEANR"")")</f>
        <v>44</v>
      </c>
      <c r="G5" cm="1">
        <f t="array" ref="G5">_xll.FDS(A5,"SIZE(FG_CONSTITUENTS)")</f>
        <v>87</v>
      </c>
      <c r="H5" s="9">
        <f t="shared" si="0"/>
        <v>9.1954022988505746E-2</v>
      </c>
      <c r="I5" s="9">
        <f t="shared" si="1"/>
        <v>0.50574712643678166</v>
      </c>
      <c r="J5" s="9">
        <f t="shared" si="2"/>
        <v>-0.41379310344827591</v>
      </c>
      <c r="K5" s="5" cm="1">
        <f t="array" ref="K5">_xll.FDS(A5,"FMA_PCT_ABOVE_MAVG(200,0,,,,""PORTAGG"")")/100</f>
        <v>0.77906976744186096</v>
      </c>
      <c r="L5" s="41" cm="1">
        <f t="array" ref="L5">_xll.FDSB(A5,"PERCENT_CHANGE(FMA_EPS(+1,0,,,,""PORTAGG"",""MEAN""),FMA_EPS(+1,-1AM,,,,""PORTAGG"",""MEAN""))")</f>
        <v>-0.55793417495387299</v>
      </c>
      <c r="M5" s="41" cm="1">
        <f t="array" ref="M5">_xll.FDSB(A5,"PERCENT_CHANGE(FMA_EPS(+1,0,,,,""PORTAGG"",""MEAN""),FMA_EPS(+1,-3AM,,,,""PORTAGG"",""MEAN""))")</f>
        <v>1.0276082391864101</v>
      </c>
      <c r="N5" s="3" cm="1">
        <f t="array" ref="N5">_xll.FDS(C5,"FG_TOTAL_RETURNC(0,-1AM)")</f>
        <v>4.0964960000000001</v>
      </c>
      <c r="O5" s="3" cm="1">
        <f t="array" ref="O5">_xll.FDS(C5,"FG_TOTAL_RETURNC(0,-3AM)")</f>
        <v>9.4898109999999996</v>
      </c>
      <c r="P5" s="3" cm="1">
        <f t="array" ref="P5">_xll.FDS(C5,"FG_TOTAL_RETURNC(0,-6AM)")</f>
        <v>9.4559555</v>
      </c>
      <c r="Q5" s="9" cm="1">
        <f t="array" ref="Q5">_xll.FDS(C5,"P_PRICE(0)/P_PRICE_HIGH_PR(0,,,,,,""PRICE"",""INTRA"",""52W"")")</f>
        <v>0.98925244999999995</v>
      </c>
      <c r="R5" s="9" cm="1">
        <f t="array" ref="R5">_xll.FDS(C5,"P_PRICE(0)/P_PRICE_low_PR(0,,,,,,""PRICE"",""INTRA"",""52W"")-1")</f>
        <v>0.31868827</v>
      </c>
      <c r="S5" s="3" cm="1">
        <f t="array" ref="S5">_xll.FDS(C5,"FG_TOTAL_RETURNC(0,-12AM)")</f>
        <v>31.213235999999998</v>
      </c>
      <c r="T5" s="4" cm="1">
        <f t="array" ref="T5">_xlfn.PERCENTRANK.EXC(_xlfn._xlws.FILTER($R$3:$R$15, ISNUMBER($R$3:$R$15)),R5)*100</f>
        <v>57.099999999999994</v>
      </c>
      <c r="U5" s="4">
        <f t="shared" si="3"/>
        <v>42.900000000000006</v>
      </c>
      <c r="V5" s="4" cm="1">
        <f t="array" ref="V5">_xlfn.PERCENTRANK.EXC(_xlfn._xlws.FILTER($Q$3:$Q$15, ISNUMBER($Q$3:$Q$15)),Q5)*100</f>
        <v>92.800000000000011</v>
      </c>
      <c r="W5" s="4" cm="1">
        <f t="array" ref="W5">_xlfn.PERCENTRANK.EXC(_xlfn._xlws.FILTER($O$3:$O$15, ISNUMBER($O$3:$O$15)),O5)*100</f>
        <v>92.800000000000011</v>
      </c>
      <c r="X5" s="4" cm="1">
        <f t="array" ref="X5">_xlfn.PERCENTRANK.EXC(_xlfn._xlws.FILTER($P$3:$P$15, ISNUMBER($P$3:$P$15)),P5)*100</f>
        <v>64.2</v>
      </c>
      <c r="Y5" s="201" cm="1">
        <f t="array" ref="Y5">_xlfn.PERCENTRANK.EXC(_xlfn._xlws.FILTER($S$3:$S$15, ISNUMBER($S$3:$S$15)),S5)*100</f>
        <v>42.8</v>
      </c>
      <c r="Z5" s="4" cm="1">
        <f t="array" ref="Z5">_xlfn.PERCENTRANK.EXC(_xlfn._xlws.FILTER($K$3:$K$15, ISNUMBER($K$3:$K$15)),K5)*100</f>
        <v>92.800000000000011</v>
      </c>
      <c r="AA5" s="4" cm="1">
        <f t="array" ref="AA5">_xlfn.PERCENTRANK.EXC(_xlfn._xlws.FILTER($H$3:$H$15, ISNUMBER($H$3:$H$15)),H5)*100</f>
        <v>7.1</v>
      </c>
      <c r="AB5" s="4" cm="1">
        <f t="array" ref="AB5">_xlfn.PERCENTRANK.EXC(_xlfn._xlws.FILTER($J$3:$J$15, ISNUMBER($J$3:$J$15)),J5)*100</f>
        <v>7.1</v>
      </c>
      <c r="AC5" s="4">
        <f t="shared" si="4"/>
        <v>28.499999999999996</v>
      </c>
      <c r="AD5" s="4">
        <f t="shared" si="5"/>
        <v>57.099999999999994</v>
      </c>
      <c r="AE5" s="4">
        <f t="shared" si="6"/>
        <v>57.099999999999994</v>
      </c>
      <c r="AF5" s="4">
        <f>'Economic Momentum'!Q6</f>
        <v>85.7</v>
      </c>
      <c r="AG5" s="4">
        <f ca="1">'Economic Momentum'!R6</f>
        <v>71.399999999999991</v>
      </c>
      <c r="AH5" s="4">
        <f t="shared" ca="1" si="7"/>
        <v>84.220000000000013</v>
      </c>
      <c r="AJ5" s="3" cm="1">
        <f t="array" aca="1" ref="AJ5" ca="1">_xlfn.PERCENTRANK.EXC(_xlfn._xlws.FILTER($AH$3:$AH$15, ISNUMBER($AH$3:$AH$15)),AH5)*100</f>
        <v>92.800000000000011</v>
      </c>
      <c r="AK5">
        <f t="shared" si="8"/>
        <v>3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2368162.2999999998</v>
      </c>
      <c r="E6" cm="1">
        <f t="array" ref="E6">_xll.FDS(C6,"FMA_COS_UP(""EPS"",""1M"",+1,0,,,""PORTAGG"",""MEANR"")")</f>
        <v>18</v>
      </c>
      <c r="F6" cm="1">
        <f t="array" ref="F6">_xll.FDS(C6,"FMA_COS_DOWN(""EPS"",""1M"",+1,0,,,""PORTAGG"",""MEANR"")")</f>
        <v>29</v>
      </c>
      <c r="G6" cm="1">
        <f t="array" ref="G6">_xll.FDS(A6,"SIZE(FG_CONSTITUENTS)")</f>
        <v>57</v>
      </c>
      <c r="H6" s="9">
        <f t="shared" si="0"/>
        <v>0.31578947368421051</v>
      </c>
      <c r="I6" s="9">
        <f t="shared" si="1"/>
        <v>0.50877192982456143</v>
      </c>
      <c r="J6" s="9">
        <f t="shared" si="2"/>
        <v>-0.19298245614035092</v>
      </c>
      <c r="K6" s="5" cm="1">
        <f t="array" ref="K6">_xll.FDS(A6,"FMA_PCT_ABOVE_MAVG(200,0,,,,""PORTAGG"")")/100</f>
        <v>0.64912280701754399</v>
      </c>
      <c r="L6" s="41" cm="1">
        <f t="array" ref="L6">_xll.FDSB(A6,"PERCENT_CHANGE(FMA_EPS(+1,0,,,,""PORTAGG"",""MEAN""),FMA_EPS(+1,-1AM,,,,""PORTAGG"",""MEAN""))")</f>
        <v>-2.0176247925451198</v>
      </c>
      <c r="M6" s="41" cm="1">
        <f t="array" ref="M6">_xll.FDSB(A6,"PERCENT_CHANGE(FMA_EPS(+1,0,,,,""PORTAGG"",""MEAN""),FMA_EPS(+1,-3AM,,,,""PORTAGG"",""MEAN""))")</f>
        <v>-3.12222182316567</v>
      </c>
      <c r="N6" s="3" cm="1">
        <f t="array" ref="N6">_xll.FDS(C6,"FG_TOTAL_RETURNC(0,-1AM)")</f>
        <v>2.2381186</v>
      </c>
      <c r="O6" s="3" cm="1">
        <f t="array" ref="O6">_xll.FDS(C6,"FG_TOTAL_RETURNC(0,-3AM)")</f>
        <v>6.1652659999999999</v>
      </c>
      <c r="P6" s="3" cm="1">
        <f t="array" ref="P6">_xll.FDS(C6,"FG_TOTAL_RETURNC(0,-6AM)")</f>
        <v>6.4810752999999997</v>
      </c>
      <c r="Q6" s="9" cm="1">
        <f t="array" ref="Q6">_xll.FDS(C6,"P_PRICE(0)/P_PRICE_HIGH_PR(0,,,,,,""PRICE"",""INTRA"",""52W"")")</f>
        <v>0.96395074999999997</v>
      </c>
      <c r="R6" s="9" cm="1">
        <f t="array" ref="R6">_xll.FDS(C6,"P_PRICE(0)/P_PRICE_low_PR(0,,,,,,""PRICE"",""INTRA"",""52W"")-1")</f>
        <v>0.33130944000000001</v>
      </c>
      <c r="S6" s="3" cm="1">
        <f t="array" ref="S6">_xll.FDS(C6,"FG_TOTAL_RETURNC(0,-12AM)")</f>
        <v>32.220565999999998</v>
      </c>
      <c r="T6" s="4" cm="1">
        <f t="array" ref="T6">_xlfn.PERCENTRANK.EXC(_xlfn._xlws.FILTER($R$3:$R$15, ISNUMBER($R$3:$R$15)),R6)*100</f>
        <v>64.2</v>
      </c>
      <c r="U6" s="4">
        <f t="shared" si="3"/>
        <v>35.799999999999997</v>
      </c>
      <c r="V6" s="4" cm="1">
        <f t="array" ref="V6">_xlfn.PERCENTRANK.EXC(_xlfn._xlws.FILTER($Q$3:$Q$15, ISNUMBER($Q$3:$Q$15)),Q6)*100</f>
        <v>50</v>
      </c>
      <c r="W6" s="4" cm="1">
        <f t="array" ref="W6">_xlfn.PERCENTRANK.EXC(_xlfn._xlws.FILTER($O$3:$O$15, ISNUMBER($O$3:$O$15)),O6)*100</f>
        <v>71.399999999999991</v>
      </c>
      <c r="X6" s="4" cm="1">
        <f t="array" ref="X6">_xlfn.PERCENTRANK.EXC(_xlfn._xlws.FILTER($P$3:$P$15, ISNUMBER($P$3:$P$15)),P6)*100</f>
        <v>35.699999999999996</v>
      </c>
      <c r="Y6" s="201" cm="1">
        <f t="array" ref="Y6">_xlfn.PERCENTRANK.EXC(_xlfn._xlws.FILTER($S$3:$S$15, ISNUMBER($S$3:$S$15)),S6)*100</f>
        <v>50</v>
      </c>
      <c r="Z6" s="4" cm="1">
        <f t="array" ref="Z6">_xlfn.PERCENTRANK.EXC(_xlfn._xlws.FILTER($K$3:$K$15, ISNUMBER($K$3:$K$15)),K6)*100</f>
        <v>57.099999999999994</v>
      </c>
      <c r="AA6" s="4" cm="1">
        <f t="array" ref="AA6">_xlfn.PERCENTRANK.EXC(_xlfn._xlws.FILTER($H$3:$H$15, ISNUMBER($H$3:$H$15)),H6)*100</f>
        <v>57.099999999999994</v>
      </c>
      <c r="AB6" s="4" cm="1">
        <f t="array" ref="AB6">_xlfn.PERCENTRANK.EXC(_xlfn._xlws.FILTER($J$3:$J$15, ISNUMBER($J$3:$J$15)),J6)*100</f>
        <v>35.699999999999996</v>
      </c>
      <c r="AC6" s="4">
        <f t="shared" si="4"/>
        <v>7.1</v>
      </c>
      <c r="AD6" s="4">
        <f t="shared" si="5"/>
        <v>21.4</v>
      </c>
      <c r="AE6" s="4">
        <f t="shared" si="6"/>
        <v>50</v>
      </c>
      <c r="AF6" s="4">
        <f>'Economic Momentum'!Q7</f>
        <v>7.1</v>
      </c>
      <c r="AG6" s="4">
        <f ca="1">'Economic Momentum'!R7</f>
        <v>28.499999999999996</v>
      </c>
      <c r="AH6" s="4">
        <f t="shared" ca="1" si="7"/>
        <v>52.13</v>
      </c>
      <c r="AJ6" s="3" cm="1">
        <f t="array" aca="1" ref="AJ6" ca="1">_xlfn.PERCENTRANK.EXC(_xlfn._xlws.FILTER($AH$3:$AH$15, ISNUMBER($AH$3:$AH$15)),AH6)*100</f>
        <v>50</v>
      </c>
      <c r="AK6">
        <f t="shared" si="8"/>
        <v>1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6664353.5</v>
      </c>
      <c r="E7" cm="1">
        <f t="array" ref="E7">_xll.FDS(C7,"FMA_COS_UP(""EPS"",""1M"",+1,0,,,""PORTAGG"",""MEANR"")")</f>
        <v>85</v>
      </c>
      <c r="F7" cm="1">
        <f t="array" ref="F7">_xll.FDS(C7,"FMA_COS_DOWN(""EPS"",""1M"",+1,0,,,""PORTAGG"",""MEANR"")")</f>
        <v>77</v>
      </c>
      <c r="G7" cm="1">
        <f t="array" ref="G7">_xll.FDS(A7,"SIZE(FG_CONSTITUENTS)")</f>
        <v>199</v>
      </c>
      <c r="H7" s="9">
        <f t="shared" si="0"/>
        <v>0.42713567839195982</v>
      </c>
      <c r="I7" s="9">
        <f t="shared" si="1"/>
        <v>0.38693467336683418</v>
      </c>
      <c r="J7" s="9">
        <f t="shared" si="2"/>
        <v>4.0201005025125636E-2</v>
      </c>
      <c r="K7" s="5" cm="1">
        <f t="array" ref="K7">_xll.FDS(A7,"FMA_PCT_ABOVE_MAVG(200,0,,,,""PORTAGG"")")/100</f>
        <v>0.49748743718592997</v>
      </c>
      <c r="L7" s="41" cm="1">
        <f t="array" ref="L7">_xll.FDSB(A7,"PERCENT_CHANGE(FMA_EPS(+1,0,,,,""PORTAGG"",""MEAN""),FMA_EPS(+1,-1AM,,,,""PORTAGG"",""MEAN""))")</f>
        <v>12.6709648593149</v>
      </c>
      <c r="M7" s="41" cm="1">
        <f t="array" ref="M7">_xll.FDSB(A7,"PERCENT_CHANGE(FMA_EPS(+1,0,,,,""PORTAGG"",""MEAN""),FMA_EPS(+1,-3AM,,,,""PORTAGG"",""MEAN""))")</f>
        <v>22.396969367845799</v>
      </c>
      <c r="N7" s="3" cm="1">
        <f t="array" ref="N7">_xll.FDS(C7,"FG_TOTAL_RETURNC(0,-1AM)")</f>
        <v>8.4638595999999996E-2</v>
      </c>
      <c r="O7" s="3" cm="1">
        <f t="array" ref="O7">_xll.FDS(C7,"FG_TOTAL_RETURNC(0,-3AM)")</f>
        <v>2.101016</v>
      </c>
      <c r="P7" s="3" cm="1">
        <f t="array" ref="P7">_xll.FDS(C7,"FG_TOTAL_RETURNC(0,-6AM)")</f>
        <v>1.5344262</v>
      </c>
      <c r="Q7" s="9" cm="1">
        <f t="array" ref="Q7">_xll.FDS(C7,"P_PRICE(0)/P_PRICE_HIGH_PR(0,,,,,,""PRICE"",""INTRA"",""52W"")")</f>
        <v>0.96873290000000001</v>
      </c>
      <c r="R7" s="9" cm="1">
        <f t="array" ref="R7">_xll.FDS(C7,"P_PRICE(0)/P_PRICE_low_PR(0,,,,,,""PRICE"",""INTRA"",""52W"")-1")</f>
        <v>0.24038457999999999</v>
      </c>
      <c r="S7" s="3" cm="1">
        <f t="array" ref="S7">_xll.FDS(C7,"FG_TOTAL_RETURNC(0,-12AM)")</f>
        <v>23.425425000000001</v>
      </c>
      <c r="T7" s="4" cm="1">
        <f t="array" ref="T7">_xlfn.PERCENTRANK.EXC(_xlfn._xlws.FILTER($R$3:$R$15, ISNUMBER($R$3:$R$15)),R7)*100</f>
        <v>35.699999999999996</v>
      </c>
      <c r="U7" s="4">
        <f t="shared" si="3"/>
        <v>64.300000000000011</v>
      </c>
      <c r="V7" s="4" cm="1">
        <f t="array" ref="V7">_xlfn.PERCENTRANK.EXC(_xlfn._xlws.FILTER($Q$3:$Q$15, ISNUMBER($Q$3:$Q$15)),Q7)*100</f>
        <v>57.099999999999994</v>
      </c>
      <c r="W7" s="4" cm="1">
        <f t="array" ref="W7">_xlfn.PERCENTRANK.EXC(_xlfn._xlws.FILTER($O$3:$O$15, ISNUMBER($O$3:$O$15)),O7)*100</f>
        <v>35.699999999999996</v>
      </c>
      <c r="X7" s="4" cm="1">
        <f t="array" ref="X7">_xlfn.PERCENTRANK.EXC(_xlfn._xlws.FILTER($P$3:$P$15, ISNUMBER($P$3:$P$15)),P7)*100</f>
        <v>14.2</v>
      </c>
      <c r="Y7" s="201" cm="1">
        <f t="array" ref="Y7">_xlfn.PERCENTRANK.EXC(_xlfn._xlws.FILTER($S$3:$S$15, ISNUMBER($S$3:$S$15)),S7)*100</f>
        <v>28.499999999999996</v>
      </c>
      <c r="Z7" s="4" cm="1">
        <f t="array" ref="Z7">_xlfn.PERCENTRANK.EXC(_xlfn._xlws.FILTER($K$3:$K$15, ISNUMBER($K$3:$K$15)),K7)*100</f>
        <v>14.2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85.7</v>
      </c>
      <c r="AC7" s="4">
        <f t="shared" si="4"/>
        <v>92.800000000000011</v>
      </c>
      <c r="AD7" s="4">
        <f t="shared" si="5"/>
        <v>92.800000000000011</v>
      </c>
      <c r="AE7" s="4">
        <f t="shared" si="6"/>
        <v>78.5</v>
      </c>
      <c r="AF7" s="4">
        <f>'Economic Momentum'!Q8</f>
        <v>71.399999999999991</v>
      </c>
      <c r="AG7" s="4">
        <f ca="1">'Economic Momentum'!R8</f>
        <v>64.2</v>
      </c>
      <c r="AH7" s="4">
        <f t="shared" ca="1" si="7"/>
        <v>37.809999999999995</v>
      </c>
      <c r="AJ7" s="3" cm="1">
        <f t="array" aca="1" ref="AJ7" ca="1">_xlfn.PERCENTRANK.EXC(_xlfn._xlws.FILTER($AH$3:$AH$15, ISNUMBER($AH$3:$AH$15)),AH7)*100</f>
        <v>35.699999999999996</v>
      </c>
      <c r="AK7">
        <f t="shared" si="8"/>
        <v>2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2297481.2999999998</v>
      </c>
      <c r="E8" cm="1">
        <f t="array" ref="E8">_xll.FDS(C8,"FMA_COS_UP(""EPS"",""1M"",+1,0,,,""PORTAGG"",""MEANR"")")</f>
        <v>14</v>
      </c>
      <c r="F8" cm="1">
        <f t="array" ref="F8">_xll.FDS(C8,"FMA_COS_DOWN(""EPS"",""1M"",+1,0,,,""PORTAGG"",""MEANR"")")</f>
        <v>28</v>
      </c>
      <c r="G8" cm="1">
        <f t="array" ref="G8">_xll.FDS(A8,"SIZE(FG_CONSTITUENTS)")</f>
        <v>47</v>
      </c>
      <c r="H8" s="9">
        <f t="shared" si="0"/>
        <v>0.2978723404255319</v>
      </c>
      <c r="I8" s="9">
        <f t="shared" si="1"/>
        <v>0.5957446808510638</v>
      </c>
      <c r="J8" s="9">
        <f t="shared" si="2"/>
        <v>-0.2978723404255319</v>
      </c>
      <c r="K8" s="5" cm="1">
        <f t="array" ref="K8">_xll.FDS(A8,"FMA_PCT_ABOVE_MAVG(200,0,,,,""PORTAGG"")")/100</f>
        <v>0.71739130434782594</v>
      </c>
      <c r="L8" s="41" cm="1">
        <f t="array" ref="L8">_xll.FDSB(A8,"PERCENT_CHANGE(FMA_EPS(+1,0,,,,""PORTAGG"",""MEAN""),FMA_EPS(+1,-1AM,,,,""PORTAGG"",""MEAN""))")</f>
        <v>0.101852377522542</v>
      </c>
      <c r="M8" s="41" cm="1">
        <f t="array" ref="M8">_xll.FDSB(A8,"PERCENT_CHANGE(FMA_EPS(+1,0,,,,""PORTAGG"",""MEAN""),FMA_EPS(+1,-3AM,,,,""PORTAGG"",""MEAN""))")</f>
        <v>4.4922693676407004</v>
      </c>
      <c r="N8" s="3" cm="1">
        <f t="array" ref="N8">_xll.FDS(C8,"FG_TOTAL_RETURNC(0,-1AM)")</f>
        <v>-2.2256315</v>
      </c>
      <c r="O8" s="3" cm="1">
        <f t="array" ref="O8">_xll.FDS(C8,"FG_TOTAL_RETURNC(0,-3AM)")</f>
        <v>5.4417489999999997</v>
      </c>
      <c r="P8" s="3" cm="1">
        <f t="array" ref="P8">_xll.FDS(C8,"FG_TOTAL_RETURNC(0,-6AM)")</f>
        <v>10.817898</v>
      </c>
      <c r="Q8" s="9" cm="1">
        <f t="array" ref="Q8">_xll.FDS(C8,"P_PRICE(0)/P_PRICE_HIGH_PR(0,,,,,,""PRICE"",""INTRA"",""52W"")")</f>
        <v>0.96096550000000003</v>
      </c>
      <c r="R8" s="9" cm="1">
        <f t="array" ref="R8">_xll.FDS(C8,"P_PRICE(0)/P_PRICE_low_PR(0,,,,,,""PRICE"",""INTRA"",""52W"")-1")</f>
        <v>0.22647417</v>
      </c>
      <c r="S8" s="3" cm="1">
        <f t="array" ref="S8">_xll.FDS(C8,"FG_TOTAL_RETURNC(0,-12AM)")</f>
        <v>22.076488000000001</v>
      </c>
      <c r="T8" s="4" cm="1">
        <f t="array" ref="T8">_xlfn.PERCENTRANK.EXC(_xlfn._xlws.FILTER($R$3:$R$15, ISNUMBER($R$3:$R$15)),R8)*100</f>
        <v>28.499999999999996</v>
      </c>
      <c r="U8" s="4">
        <f t="shared" si="3"/>
        <v>71.5</v>
      </c>
      <c r="V8" s="4" cm="1">
        <f t="array" ref="V8">_xlfn.PERCENTRANK.EXC(_xlfn._xlws.FILTER($Q$3:$Q$15, ISNUMBER($Q$3:$Q$15)),Q8)*100</f>
        <v>42.8</v>
      </c>
      <c r="W8" s="4" cm="1">
        <f t="array" ref="W8">_xlfn.PERCENTRANK.EXC(_xlfn._xlws.FILTER($O$3:$O$15, ISNUMBER($O$3:$O$15)),O8)*100</f>
        <v>64.2</v>
      </c>
      <c r="X8" s="4" cm="1">
        <f t="array" ref="X8">_xlfn.PERCENTRANK.EXC(_xlfn._xlws.FILTER($P$3:$P$15, ISNUMBER($P$3:$P$15)),P8)*100</f>
        <v>92.800000000000011</v>
      </c>
      <c r="Y8" s="201" cm="1">
        <f t="array" ref="Y8">_xlfn.PERCENTRANK.EXC(_xlfn._xlws.FILTER($S$3:$S$15, ISNUMBER($S$3:$S$15)),S8)*100</f>
        <v>21.4</v>
      </c>
      <c r="Z8" s="4" cm="1">
        <f t="array" ref="Z8">_xlfn.PERCENTRANK.EXC(_xlfn._xlws.FILTER($K$3:$K$15, ISNUMBER($K$3:$K$15)),K8)*100</f>
        <v>71.399999999999991</v>
      </c>
      <c r="AA8" s="4" cm="1">
        <f t="array" ref="AA8">_xlfn.PERCENTRANK.EXC(_xlfn._xlws.FILTER($H$3:$H$15, ISNUMBER($H$3:$H$15)),H8)*100</f>
        <v>50</v>
      </c>
      <c r="AB8" s="4" cm="1">
        <f t="array" ref="AB8">_xlfn.PERCENTRANK.EXC(_xlfn._xlws.FILTER($J$3:$J$15, ISNUMBER($J$3:$J$15)),J8)*100</f>
        <v>21.4</v>
      </c>
      <c r="AC8" s="4">
        <f t="shared" si="4"/>
        <v>42.8</v>
      </c>
      <c r="AD8" s="4">
        <f t="shared" si="5"/>
        <v>78.5</v>
      </c>
      <c r="AE8" s="4">
        <f t="shared" si="6"/>
        <v>42.8</v>
      </c>
      <c r="AF8" s="4">
        <f>'Economic Momentum'!Q9</f>
        <v>78.5</v>
      </c>
      <c r="AG8" s="4">
        <f ca="1">'Economic Momentum'!R9</f>
        <v>92.800000000000011</v>
      </c>
      <c r="AH8" s="4">
        <f t="shared" ca="1" si="7"/>
        <v>64.22</v>
      </c>
      <c r="AJ8" s="3" cm="1">
        <f t="array" aca="1" ref="AJ8" ca="1">_xlfn.PERCENTRANK.EXC(_xlfn._xlws.FILTER($AH$3:$AH$15, ISNUMBER($AH$3:$AH$15)),AH8)*100</f>
        <v>57.099999999999994</v>
      </c>
      <c r="AK8">
        <f t="shared" si="8"/>
        <v>2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3311836</v>
      </c>
      <c r="E9" cm="1">
        <f t="array" ref="E9">_xll.FDS(C9,"FMA_COS_UP(""EPS"",""1M"",+1,0,,,""PORTAGG"",""MEANR"")")</f>
        <v>30</v>
      </c>
      <c r="F9" cm="1">
        <f t="array" ref="F9">_xll.FDS(C9,"FMA_COS_DOWN(""EPS"",""1M"",+1,0,,,""PORTAGG"",""MEANR"")")</f>
        <v>36</v>
      </c>
      <c r="G9" cm="1">
        <f t="array" ref="G9">_xll.FDS(A9,"SIZE(FG_CONSTITUENTS)")</f>
        <v>79</v>
      </c>
      <c r="H9" s="9">
        <f t="shared" si="0"/>
        <v>0.379746835443038</v>
      </c>
      <c r="I9" s="9">
        <f t="shared" si="1"/>
        <v>0.45569620253164556</v>
      </c>
      <c r="J9" s="9">
        <f t="shared" si="2"/>
        <v>-7.5949367088607556E-2</v>
      </c>
      <c r="K9" s="5" cm="1">
        <f t="array" ref="K9">_xll.FDS(A9,"FMA_PCT_ABOVE_MAVG(200,0,,,,""PORTAGG"")")/100</f>
        <v>0.61538461538461497</v>
      </c>
      <c r="L9" s="41" cm="1">
        <f t="array" ref="L9">_xll.FDSB(A9,"PERCENT_CHANGE(FMA_EPS(+1,0,,,,""PORTAGG"",""MEAN""),FMA_EPS(+1,-1AM,,,,""PORTAGG"",""MEAN""))")</f>
        <v>0.17881538952911</v>
      </c>
      <c r="M9" s="41" cm="1">
        <f t="array" ref="M9">_xll.FDSB(A9,"PERCENT_CHANGE(FMA_EPS(+1,0,,,,""PORTAGG"",""MEAN""),FMA_EPS(+1,-3AM,,,,""PORTAGG"",""MEAN""))")</f>
        <v>1.53450266717907</v>
      </c>
      <c r="N9" s="3" cm="1">
        <f t="array" ref="N9">_xll.FDS(C9,"FG_TOTAL_RETURNC(0,-1AM)")</f>
        <v>5.4335594000000001E-2</v>
      </c>
      <c r="O9" s="3" cm="1">
        <f t="array" ref="O9">_xll.FDS(C9,"FG_TOTAL_RETURNC(0,-3AM)")</f>
        <v>4.5712710000000003</v>
      </c>
      <c r="P9" s="3" cm="1">
        <f t="array" ref="P9">_xll.FDS(C9,"FG_TOTAL_RETURNC(0,-6AM)")</f>
        <v>9.8632449999999992</v>
      </c>
      <c r="Q9" s="9" cm="1">
        <f t="array" ref="Q9">_xll.FDS(C9,"P_PRICE(0)/P_PRICE_HIGH_PR(0,,,,,,""PRICE"",""INTRA"",""52W"")")</f>
        <v>0.9722809</v>
      </c>
      <c r="R9" s="9" cm="1">
        <f t="array" ref="R9">_xll.FDS(C9,"P_PRICE(0)/P_PRICE_low_PR(0,,,,,,""PRICE"",""INTRA"",""52W"")-1")</f>
        <v>0.22196424000000001</v>
      </c>
      <c r="S9" s="3" cm="1">
        <f t="array" ref="S9">_xll.FDS(C9,"FG_TOTAL_RETURNC(0,-12AM)")</f>
        <v>24.443615000000001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71.399999999999991</v>
      </c>
      <c r="W9" s="4" cm="1">
        <f t="array" ref="W9">_xlfn.PERCENTRANK.EXC(_xlfn._xlws.FILTER($O$3:$O$15, ISNUMBER($O$3:$O$15)),O9)*100</f>
        <v>57.099999999999994</v>
      </c>
      <c r="X9" s="4" cm="1">
        <f t="array" ref="X9">_xlfn.PERCENTRANK.EXC(_xlfn._xlws.FILTER($P$3:$P$15, ISNUMBER($P$3:$P$15)),P9)*100</f>
        <v>71.399999999999991</v>
      </c>
      <c r="Y9" s="201" cm="1">
        <f t="array" ref="Y9">_xlfn.PERCENTRANK.EXC(_xlfn._xlws.FILTER($S$3:$S$15, ISNUMBER($S$3:$S$15)),S9)*100</f>
        <v>35.699999999999996</v>
      </c>
      <c r="Z9" s="4" cm="1">
        <f t="array" ref="Z9">_xlfn.PERCENTRANK.EXC(_xlfn._xlws.FILTER($K$3:$K$15, ISNUMBER($K$3:$K$15)),K9)*100</f>
        <v>50</v>
      </c>
      <c r="AA9" s="4" cm="1">
        <f t="array" ref="AA9">_xlfn.PERCENTRANK.EXC(_xlfn._xlws.FILTER($H$3:$H$15, ISNUMBER($H$3:$H$15)),H9)*100</f>
        <v>78.5</v>
      </c>
      <c r="AB9" s="4" cm="1">
        <f t="array" ref="AB9">_xlfn.PERCENTRANK.EXC(_xlfn._xlws.FILTER($J$3:$J$15, ISNUMBER($J$3:$J$15)),J9)*100</f>
        <v>50</v>
      </c>
      <c r="AC9" s="4">
        <f t="shared" si="4"/>
        <v>57.099999999999994</v>
      </c>
      <c r="AD9" s="4">
        <f t="shared" si="5"/>
        <v>71.399999999999991</v>
      </c>
      <c r="AE9" s="4">
        <f t="shared" si="6"/>
        <v>71.399999999999991</v>
      </c>
      <c r="AF9" s="4">
        <f>'Economic Momentum'!Q10</f>
        <v>92.800000000000011</v>
      </c>
      <c r="AG9" s="4">
        <f ca="1">'Economic Momentum'!R10</f>
        <v>78.5</v>
      </c>
      <c r="AH9" s="4">
        <f t="shared" ca="1" si="7"/>
        <v>67.11</v>
      </c>
      <c r="AJ9" s="3" cm="1">
        <f t="array" aca="1" ref="AJ9" ca="1">_xlfn.PERCENTRANK.EXC(_xlfn._xlws.FILTER($AH$3:$AH$15, ISNUMBER($AH$3:$AH$15)),AH9)*100</f>
        <v>71.399999999999991</v>
      </c>
      <c r="AK9">
        <f t="shared" si="8"/>
        <v>3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59163210</v>
      </c>
      <c r="E10" cm="1">
        <f t="array" ref="E10">_xll.FDS(C10,"FMA_COS_UP(""EPS"",""1M"",+1,0,,,""PORTAGG"",""MEANR"")")</f>
        <v>34</v>
      </c>
      <c r="F10" cm="1">
        <f t="array" ref="F10">_xll.FDS(C10,"FMA_COS_DOWN(""EPS"",""1M"",+1,0,,,""PORTAGG"",""MEANR"")")</f>
        <v>26</v>
      </c>
      <c r="G10" cm="1">
        <f t="array" ref="G10">_xll.FDS(A10,"SIZE(FG_CONSTITUENTS)")</f>
        <v>102</v>
      </c>
      <c r="H10" s="9">
        <f t="shared" si="0"/>
        <v>0.33333333333333331</v>
      </c>
      <c r="I10" s="9">
        <f t="shared" si="1"/>
        <v>0.25490196078431371</v>
      </c>
      <c r="J10" s="9">
        <f t="shared" si="2"/>
        <v>7.8431372549019607E-2</v>
      </c>
      <c r="K10" s="5" cm="1">
        <f t="array" ref="K10">_xll.FDS(A10,"FMA_PCT_ABOVE_MAVG(200,0,,,,""PORTAGG"")")/100</f>
        <v>0.58823529411764708</v>
      </c>
      <c r="L10" s="41" cm="1">
        <f t="array" ref="L10">_xll.FDSB(A10,"PERCENT_CHANGE(FMA_EPS(+1,0,,,,""PORTAGG"",""MEAN""),FMA_EPS(+1,-1AM,,,,""PORTAGG"",""MEAN""))")</f>
        <v>0.14427772036177</v>
      </c>
      <c r="M10" s="41" cm="1">
        <f t="array" ref="M10">_xll.FDSB(A10,"PERCENT_CHANGE(FMA_EPS(+1,0,,,,""PORTAGG"",""MEAN""),FMA_EPS(+1,-3AM,,,,""PORTAGG"",""MEAN""))")</f>
        <v>-2.6612186042784298</v>
      </c>
      <c r="N10" s="3" cm="1">
        <f t="array" ref="N10">_xll.FDS(C10,"FG_TOTAL_RETURNC(0,-1AM)")</f>
        <v>4.4292689999999997</v>
      </c>
      <c r="O10" s="3" cm="1">
        <f t="array" ref="O10">_xll.FDS(C10,"FG_TOTAL_RETURNC(0,-3AM)")</f>
        <v>-1.7870664999999999</v>
      </c>
      <c r="P10" s="3" cm="1">
        <f t="array" ref="P10">_xll.FDS(C10,"FG_TOTAL_RETURNC(0,-6AM)")</f>
        <v>9.2602729999999998</v>
      </c>
      <c r="Q10" s="9" cm="1">
        <f t="array" ref="Q10">_xll.FDS(C10,"P_PRICE(0)/P_PRICE_HIGH_PR(0,,,,,,""PRICE"",""INTRA"",""52W"")")</f>
        <v>0.95644664999999995</v>
      </c>
      <c r="R10" s="9" cm="1">
        <f t="array" ref="R10">_xll.FDS(C10,"P_PRICE(0)/P_PRICE_low_PR(0,,,,,,""PRICE"",""INTRA"",""52W"")-1")</f>
        <v>0.40671825</v>
      </c>
      <c r="S10" s="3" cm="1">
        <f t="array" ref="S10">_xll.FDS(C10,"FG_TOTAL_RETURNC(0,-12AM)")</f>
        <v>36.618782000000003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28.499999999999996</v>
      </c>
      <c r="W10" s="4" cm="1">
        <f t="array" ref="W10">_xlfn.PERCENTRANK.EXC(_xlfn._xlws.FILTER($O$3:$O$15, ISNUMBER($O$3:$O$15)),O10)*100</f>
        <v>14.2</v>
      </c>
      <c r="X10" s="4" cm="1">
        <f t="array" ref="X10">_xlfn.PERCENTRANK.EXC(_xlfn._xlws.FILTER($P$3:$P$15, ISNUMBER($P$3:$P$15)),P10)*100</f>
        <v>57.099999999999994</v>
      </c>
      <c r="Y10" s="201" cm="1">
        <f t="array" ref="Y10">_xlfn.PERCENTRANK.EXC(_xlfn._xlws.FILTER($S$3:$S$15, ISNUMBER($S$3:$S$15)),S10)*100</f>
        <v>85.7</v>
      </c>
      <c r="Z10" s="4" cm="1">
        <f t="array" ref="Z10">_xlfn.PERCENTRANK.EXC(_xlfn._xlws.FILTER($K$3:$K$15, ISNUMBER($K$3:$K$15)),K10)*100</f>
        <v>35.699999999999996</v>
      </c>
      <c r="AA10" s="4" cm="1">
        <f t="array" ref="AA10">_xlfn.PERCENTRANK.EXC(_xlfn._xlws.FILTER($H$3:$H$15, ISNUMBER($H$3:$H$15)),H10)*100</f>
        <v>71.399999999999991</v>
      </c>
      <c r="AB10" s="4" cm="1">
        <f t="array" ref="AB10">_xlfn.PERCENTRANK.EXC(_xlfn._xlws.FILTER($J$3:$J$15, ISNUMBER($J$3:$J$15)),J10)*100</f>
        <v>92.800000000000011</v>
      </c>
      <c r="AC10" s="4">
        <f t="shared" si="4"/>
        <v>50</v>
      </c>
      <c r="AD10" s="4">
        <f t="shared" si="5"/>
        <v>28.499999999999996</v>
      </c>
      <c r="AE10" s="4">
        <f t="shared" si="6"/>
        <v>85.7</v>
      </c>
      <c r="AF10" s="4">
        <f>'Economic Momentum'!Q11</f>
        <v>28.499999999999996</v>
      </c>
      <c r="AG10" s="4">
        <f ca="1">'Economic Momentum'!R11</f>
        <v>14.2</v>
      </c>
      <c r="AH10" s="4">
        <f t="shared" ca="1" si="7"/>
        <v>32.79</v>
      </c>
      <c r="AJ10" s="3" cm="1">
        <f t="array" aca="1" ref="AJ10" ca="1">_xlfn.PERCENTRANK.EXC(_xlfn._xlws.FILTER($AH$3:$AH$15, ISNUMBER($AH$3:$AH$15)),AH10)*100</f>
        <v>28.499999999999996</v>
      </c>
      <c r="AK10">
        <f t="shared" si="8"/>
        <v>3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59163210</v>
      </c>
      <c r="E11" cm="1">
        <f t="array" ref="E11">_xll.FDS(C11,"FMA_COS_UP(""EPS"",""1M"",+1,0,,,""PORTAGG"",""MEANR"")")</f>
        <v>148</v>
      </c>
      <c r="F11" cm="1">
        <f t="array" ref="F11">_xll.FDS(C11,"FMA_COS_DOWN(""EPS"",""1M"",+1,0,,,""PORTAGG"",""MEANR"")")</f>
        <v>163</v>
      </c>
      <c r="G11" cm="1">
        <f t="array" ref="G11">_xll.FDS(A11,"SIZE(FG_CONSTITUENTS)")</f>
        <v>503</v>
      </c>
      <c r="H11" s="9">
        <f t="shared" si="0"/>
        <v>0.29423459244532801</v>
      </c>
      <c r="I11" s="9">
        <f t="shared" si="1"/>
        <v>0.32405566600397612</v>
      </c>
      <c r="J11" s="9">
        <f t="shared" si="2"/>
        <v>-2.9821073558648103E-2</v>
      </c>
      <c r="K11" s="5" cm="1">
        <f t="array" ref="K11">_xll.FDS(A11,"FMA_PCT_ABOVE_MAVG(200,0,,,,""PORTAGG"")")/100</f>
        <v>0.75800000000000001</v>
      </c>
      <c r="L11" s="41" cm="1">
        <f t="array" ref="L11">_xll.FDSB(A11,"PERCENT_CHANGE(FMA_EPS(+1,0,,,,""PORTAGG"",""MEAN""),FMA_EPS(+1,-1AM,,,,""PORTAGG"",""MEAN""))")</f>
        <v>-1.0645539771902299</v>
      </c>
      <c r="M11" s="41" cm="1">
        <f t="array" ref="M11">_xll.FDSB(A11,"PERCENT_CHANGE(FMA_EPS(+1,0,,,,""PORTAGG"",""MEAN""),FMA_EPS(+1,-3AM,,,,""PORTAGG"",""MEAN""))")</f>
        <v>-1.2376230981085401</v>
      </c>
      <c r="N11" s="3" cm="1">
        <f t="array" ref="N11">_xll.FDS(C11,"FG_TOTAL_RETURNC(0,-1AM)")</f>
        <v>3.1669735999999999</v>
      </c>
      <c r="O11" s="3" cm="1">
        <f t="array" ref="O11">_xll.FDS(C11,"FG_TOTAL_RETURNC(0,-3AM)")</f>
        <v>3.2829641999999999</v>
      </c>
      <c r="P11" s="3" cm="1">
        <f t="array" ref="P11">_xll.FDS(C11,"FG_TOTAL_RETURNC(0,-6AM)")</f>
        <v>10.010242</v>
      </c>
      <c r="Q11" s="9" cm="1">
        <f t="array" ref="Q11">_xll.FDS(C11,"P_PRICE(0)/P_PRICE_HIGH_PR(0,,,,,,""PRICE"",""INTRA"",""52W"")")</f>
        <v>0.98801130000000004</v>
      </c>
      <c r="R11" s="9" cm="1">
        <f t="array" ref="R11">_xll.FDS(C11,"P_PRICE(0)/P_PRICE_low_PR(0,,,,,,""PRICE"",""INTRA"",""52W"")-1")</f>
        <v>0.38760053999999999</v>
      </c>
      <c r="S11" s="3" cm="1">
        <f t="array" ref="S11">_xll.FDS(C11,"FG_TOTAL_RETURNC(0,-12AM)")</f>
        <v>36.511684000000002</v>
      </c>
      <c r="T11" s="4" cm="1">
        <f t="array" ref="T11">_xlfn.PERCENTRANK.EXC(_xlfn._xlws.FILTER($R$3:$R$15, ISNUMBER($R$3:$R$15)),R11)*100</f>
        <v>85.7</v>
      </c>
      <c r="U11" s="4">
        <f t="shared" si="3"/>
        <v>14.299999999999997</v>
      </c>
      <c r="V11" s="4" cm="1">
        <f t="array" ref="V11">_xlfn.PERCENTRANK.EXC(_xlfn._xlws.FILTER($Q$3:$Q$15, ISNUMBER($Q$3:$Q$15)),Q11)*100</f>
        <v>85.7</v>
      </c>
      <c r="W11" s="4" cm="1">
        <f t="array" ref="W11">_xlfn.PERCENTRANK.EXC(_xlfn._xlws.FILTER($O$3:$O$15, ISNUMBER($O$3:$O$15)),O11)*100</f>
        <v>50</v>
      </c>
      <c r="X11" s="4" cm="1">
        <f t="array" ref="X11">_xlfn.PERCENTRANK.EXC(_xlfn._xlws.FILTER($P$3:$P$15, ISNUMBER($P$3:$P$15)),P11)*100</f>
        <v>78.5</v>
      </c>
      <c r="Y11" s="201" cm="1">
        <f t="array" ref="Y11">_xlfn.PERCENTRANK.EXC(_xlfn._xlws.FILTER($S$3:$S$15, ISNUMBER($S$3:$S$15)),S11)*100</f>
        <v>78.5</v>
      </c>
      <c r="Z11" s="4" cm="1">
        <f t="array" ref="Z11">_xlfn.PERCENTRANK.EXC(_xlfn._xlws.FILTER($K$3:$K$15, ISNUMBER($K$3:$K$15)),K11)*100</f>
        <v>85.7</v>
      </c>
      <c r="AA11" s="4" cm="1">
        <f t="array" ref="AA11">_xlfn.PERCENTRANK.EXC(_xlfn._xlws.FILTER($H$3:$H$15, ISNUMBER($H$3:$H$15)),H11)*100</f>
        <v>42.8</v>
      </c>
      <c r="AB11" s="4" cm="1">
        <f t="array" ref="AB11">_xlfn.PERCENTRANK.EXC(_xlfn._xlws.FILTER($J$3:$J$15, ISNUMBER($J$3:$J$15)),J11)*100</f>
        <v>64.2</v>
      </c>
      <c r="AC11" s="4">
        <f t="shared" si="4"/>
        <v>14.2</v>
      </c>
      <c r="AD11" s="4">
        <f t="shared" si="5"/>
        <v>35.699999999999996</v>
      </c>
      <c r="AE11" s="4">
        <f t="shared" si="6"/>
        <v>85.7</v>
      </c>
      <c r="AF11" s="4">
        <f>'Economic Momentum'!Q12</f>
        <v>28.499999999999996</v>
      </c>
      <c r="AG11" s="4">
        <f ca="1">'Economic Momentum'!R12</f>
        <v>14.2</v>
      </c>
      <c r="AH11" s="4">
        <f t="shared" ca="1" si="7"/>
        <v>72.83</v>
      </c>
      <c r="AJ11" s="3" cm="1">
        <f t="array" aca="1" ref="AJ11" ca="1">_xlfn.PERCENTRANK.EXC(_xlfn._xlws.FILTER($AH$3:$AH$15, ISNUMBER($AH$3:$AH$15)),AH11)*100</f>
        <v>78.5</v>
      </c>
      <c r="AK11">
        <f t="shared" si="8"/>
        <v>4</v>
      </c>
      <c r="AM11" s="4"/>
    </row>
    <row r="12" spans="1:39" x14ac:dyDescent="0.3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3184172.3</v>
      </c>
      <c r="E12" cm="1">
        <f t="array" ref="E12">_xll.FDS(C12,"FMA_COS_UP(""EPS"",""1M"",+1,0,,,""PORTAGG"",""MEANR"")")</f>
        <v>15</v>
      </c>
      <c r="F12" cm="1">
        <f t="array" ref="F12">_xll.FDS(C12,"FMA_COS_DOWN(""EPS"",""1M"",+1,0,,,""PORTAGG"",""MEANR"")")</f>
        <v>29</v>
      </c>
      <c r="G12" cm="1">
        <f t="array" ref="G12">_xll.FDS(A12,"SIZE(FG_CONSTITUENTS)")</f>
        <v>61</v>
      </c>
      <c r="H12" s="9">
        <f t="shared" ref="H12:H15" si="9">E12/$G12</f>
        <v>0.24590163934426229</v>
      </c>
      <c r="I12" s="9">
        <f t="shared" ref="I12:I15" si="10">F12/$G12</f>
        <v>0.47540983606557374</v>
      </c>
      <c r="J12" s="9">
        <f t="shared" ref="J12:J15" si="11">H12-I12</f>
        <v>-0.22950819672131145</v>
      </c>
      <c r="K12" s="5" cm="1">
        <f t="array" ref="K12">_xll.FDS(A12,"FMA_PCT_ABOVE_MAVG(200,0,,,,""PORTAGG"")")/100</f>
        <v>0.54098360655737698</v>
      </c>
      <c r="L12" s="41" cm="1">
        <f t="array" ref="L12">_xll.FDSB(A12,"PERCENT_CHANGE(FMA_EPS(+1,0,,,,""PORTAGG"",""MEAN""),FMA_EPS(+1,-1AM,,,,""PORTAGG"",""MEAN""))")</f>
        <v>0.42462166481920999</v>
      </c>
      <c r="M12" s="41" cm="1">
        <f t="array" ref="M12">_xll.FDSB(A12,"PERCENT_CHANGE(FMA_EPS(+1,0,,,,""PORTAGG"",""MEAN""),FMA_EPS(+1,-3AM,,,,""PORTAGG"",""MEAN""))")</f>
        <v>-0.41666242899325401</v>
      </c>
      <c r="N12" s="3" cm="1">
        <f t="array" ref="N12">_xll.FDS(C12,"FG_TOTAL_RETURNC(0,-1AM)")</f>
        <v>-0.73679090000000003</v>
      </c>
      <c r="O12" s="3" cm="1">
        <f t="array" ref="O12">_xll.FDS(C12,"FG_TOTAL_RETURNC(0,-3AM)")</f>
        <v>0.48867463999999999</v>
      </c>
      <c r="P12" s="3" cm="1">
        <f t="array" ref="P12">_xll.FDS(C12,"FG_TOTAL_RETURNC(0,-6AM)")</f>
        <v>-3.1080127000000002</v>
      </c>
      <c r="Q12" s="9" cm="1">
        <f t="array" ref="Q12">_xll.FDS(C12,"P_PRICE(0)/P_PRICE_HIGH_PR(0,,,,,,""PRICE"",""INTRA"",""52W"")")</f>
        <v>0.91713619999999996</v>
      </c>
      <c r="R12" s="9" cm="1">
        <f t="array" ref="R12">_xll.FDS(C12,"P_PRICE(0)/P_PRICE_low_PR(0,,,,,,""PRICE"",""INTRA"",""52W"")-1")</f>
        <v>0.16072487999999999</v>
      </c>
      <c r="S12" s="3" cm="1">
        <f t="array" ref="S12">_xll.FDS(C12,"FG_TOTAL_RETURNC(0,-12AM)")</f>
        <v>16.194068999999999</v>
      </c>
      <c r="T12" s="4" cm="1">
        <f t="array" ref="T12">_xlfn.PERCENTRANK.EXC(_xlfn._xlws.FILTER($R$3:$R$15, ISNUMBER($R$3:$R$15)),R12)*100</f>
        <v>7.1</v>
      </c>
      <c r="U12" s="4">
        <f t="shared" ref="U12:U15" si="12">100-T12</f>
        <v>92.9</v>
      </c>
      <c r="V12" s="4" cm="1">
        <f t="array" ref="V12">_xlfn.PERCENTRANK.EXC(_xlfn._xlws.FILTER($Q$3:$Q$15, ISNUMBER($Q$3:$Q$15)),Q12)*100</f>
        <v>7.1</v>
      </c>
      <c r="W12" s="4" cm="1">
        <f t="array" ref="W12">_xlfn.PERCENTRANK.EXC(_xlfn._xlws.FILTER($O$3:$O$15, ISNUMBER($O$3:$O$15)),O12)*100</f>
        <v>21.4</v>
      </c>
      <c r="X12" s="4" cm="1">
        <f t="array" ref="X12">_xlfn.PERCENTRANK.EXC(_xlfn._xlws.FILTER($P$3:$P$15, ISNUMBER($P$3:$P$15)),P12)*100</f>
        <v>7.1</v>
      </c>
      <c r="Y12" s="201" cm="1">
        <f t="array" ref="Y12">_xlfn.PERCENTRANK.EXC(_xlfn._xlws.FILTER($S$3:$S$15, ISNUMBER($S$3:$S$15)),S12)*100</f>
        <v>14.2</v>
      </c>
      <c r="Z12" s="4" cm="1">
        <f t="array" ref="Z12">_xlfn.PERCENTRANK.EXC(_xlfn._xlws.FILTER($K$3:$K$15, ISNUMBER($K$3:$K$15)),K12)*100</f>
        <v>28.499999999999996</v>
      </c>
      <c r="AA12" s="4" cm="1">
        <f t="array" ref="AA12">_xlfn.PERCENTRANK.EXC(_xlfn._xlws.FILTER($H$3:$H$15, ISNUMBER($H$3:$H$15)),H12)*100</f>
        <v>21.4</v>
      </c>
      <c r="AB12" s="4" cm="1">
        <f t="array" ref="AB12">_xlfn.PERCENTRANK.EXC(_xlfn._xlws.FILTER($J$3:$J$15, ISNUMBER($J$3:$J$15)),J12)*100</f>
        <v>28.499999999999996</v>
      </c>
      <c r="AC12" s="4">
        <f t="shared" si="4"/>
        <v>64.2</v>
      </c>
      <c r="AD12" s="4">
        <f t="shared" si="5"/>
        <v>50</v>
      </c>
      <c r="AE12" s="4">
        <f t="shared" si="6"/>
        <v>64.2</v>
      </c>
      <c r="AF12" s="4">
        <f>'Economic Momentum'!Q13</f>
        <v>14.2</v>
      </c>
      <c r="AG12" s="4">
        <f ca="1">'Economic Momentum'!R13</f>
        <v>50</v>
      </c>
      <c r="AH12" s="4">
        <f t="shared" ca="1" si="7"/>
        <v>11.389999999999997</v>
      </c>
      <c r="AJ12" s="3" cm="1">
        <f t="array" aca="1" ref="AJ12" ca="1">_xlfn.PERCENTRANK.EXC(_xlfn._xlws.FILTER($AH$3:$AH$15, ISNUMBER($AH$3:$AH$15)),AH12)*100</f>
        <v>7.1</v>
      </c>
      <c r="AK12">
        <f t="shared" si="8"/>
        <v>0</v>
      </c>
    </row>
    <row r="13" spans="1:39" x14ac:dyDescent="0.3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1120241</v>
      </c>
      <c r="E13" cm="1">
        <f t="array" ref="E13">_xll.FDS(C13,"FMA_COS_UP(""EPS"",""1M"",+1,0,,,""PORTAGG"",""MEANR"")")</f>
        <v>21</v>
      </c>
      <c r="F13" cm="1">
        <f t="array" ref="F13">_xll.FDS(C13,"FMA_COS_DOWN(""EPS"",""1M"",+1,0,,,""PORTAGG"",""MEANR"")")</f>
        <v>21</v>
      </c>
      <c r="G13" cm="1">
        <f t="array" ref="G13">_xll.FDS(A13,"SIZE(FG_CONSTITUENTS)")</f>
        <v>55</v>
      </c>
      <c r="H13" s="9">
        <f t="shared" si="9"/>
        <v>0.38181818181818183</v>
      </c>
      <c r="I13" s="9">
        <f t="shared" si="10"/>
        <v>0.38181818181818183</v>
      </c>
      <c r="J13" s="9">
        <f t="shared" si="11"/>
        <v>0</v>
      </c>
      <c r="K13" s="5" cm="1">
        <f t="array" ref="K13">_xll.FDS(A13,"FMA_PCT_ABOVE_MAVG(200,0,,,,""PORTAGG"")")/100</f>
        <v>0.51851851851851793</v>
      </c>
      <c r="L13" s="41" cm="1">
        <f t="array" ref="L13">_xll.FDSB(A13,"PERCENT_CHANGE(FMA_EPS(+1,0,,,,""PORTAGG"",""MEAN""),FMA_EPS(+1,-1AM,,,,""PORTAGG"",""MEAN""))")</f>
        <v>-0.58393035474495603</v>
      </c>
      <c r="M13" s="41" cm="1">
        <f t="array" ref="M13">_xll.FDSB(A13,"PERCENT_CHANGE(FMA_EPS(+1,0,,,,""PORTAGG"",""MEAN""),FMA_EPS(+1,-3AM,,,,""PORTAGG"",""MEAN""))")</f>
        <v>1.16524642541792</v>
      </c>
      <c r="N13" s="3" cm="1">
        <f t="array" ref="N13">_xll.FDS(C13,"FG_TOTAL_RETURNC(0,-1AM)")</f>
        <v>1.3993024999999999</v>
      </c>
      <c r="O13" s="3" cm="1">
        <f t="array" ref="O13">_xll.FDS(C13,"FG_TOTAL_RETURNC(0,-3AM)")</f>
        <v>-3.1195520999999999</v>
      </c>
      <c r="P13" s="3" cm="1">
        <f t="array" ref="P13">_xll.FDS(C13,"FG_TOTAL_RETURNC(0,-6AM)")</f>
        <v>1.6771674000000001</v>
      </c>
      <c r="Q13" s="9" cm="1">
        <f t="array" ref="Q13">_xll.FDS(C13,"P_PRICE(0)/P_PRICE_HIGH_PR(0,,,,,,""PRICE"",""INTRA"",""52W"")")</f>
        <v>0.9428626</v>
      </c>
      <c r="R13" s="9" cm="1">
        <f t="array" ref="R13">_xll.FDS(C13,"P_PRICE(0)/P_PRICE_low_PR(0,,,,,,""PRICE"",""INTRA"",""52W"")-1")</f>
        <v>0.37778996999999997</v>
      </c>
      <c r="S13" s="3" cm="1">
        <f t="array" ref="S13">_xll.FDS(C13,"FG_TOTAL_RETURNC(0,-12AM)")</f>
        <v>38.026417000000002</v>
      </c>
      <c r="T13" s="4" cm="1">
        <f t="array" ref="T13">_xlfn.PERCENTRANK.EXC(_xlfn._xlws.FILTER($R$3:$R$15, ISNUMBER($R$3:$R$15)),R13)*100</f>
        <v>78.5</v>
      </c>
      <c r="U13" s="4">
        <f t="shared" si="12"/>
        <v>21.5</v>
      </c>
      <c r="V13" s="4" cm="1">
        <f t="array" ref="V13">_xlfn.PERCENTRANK.EXC(_xlfn._xlws.FILTER($Q$3:$Q$15, ISNUMBER($Q$3:$Q$15)),Q13)*100</f>
        <v>14.2</v>
      </c>
      <c r="W13" s="4" cm="1">
        <f t="array" ref="W13">_xlfn.PERCENTRANK.EXC(_xlfn._xlws.FILTER($O$3:$O$15, ISNUMBER($O$3:$O$15)),O13)*100</f>
        <v>7.1</v>
      </c>
      <c r="X13" s="4" cm="1">
        <f t="array" ref="X13">_xlfn.PERCENTRANK.EXC(_xlfn._xlws.FILTER($P$3:$P$15, ISNUMBER($P$3:$P$15)),P13)*100</f>
        <v>21.4</v>
      </c>
      <c r="Y13" s="201" cm="1">
        <f t="array" ref="Y13">_xlfn.PERCENTRANK.EXC(_xlfn._xlws.FILTER($S$3:$S$15, ISNUMBER($S$3:$S$15)),S13)*100</f>
        <v>92.800000000000011</v>
      </c>
      <c r="Z13" s="4" cm="1">
        <f t="array" ref="Z13">_xlfn.PERCENTRANK.EXC(_xlfn._xlws.FILTER($K$3:$K$15, ISNUMBER($K$3:$K$15)),K13)*100</f>
        <v>21.4</v>
      </c>
      <c r="AA13" s="4" cm="1">
        <f t="array" ref="AA13">_xlfn.PERCENTRANK.EXC(_xlfn._xlws.FILTER($H$3:$H$15, ISNUMBER($H$3:$H$15)),H13)*100</f>
        <v>85.7</v>
      </c>
      <c r="AB13" s="4" cm="1">
        <f t="array" ref="AB13">_xlfn.PERCENTRANK.EXC(_xlfn._xlws.FILTER($J$3:$J$15, ISNUMBER($J$3:$J$15)),J13)*100</f>
        <v>71.399999999999991</v>
      </c>
      <c r="AC13" s="4">
        <f t="shared" si="4"/>
        <v>21.4</v>
      </c>
      <c r="AD13" s="4">
        <f t="shared" si="5"/>
        <v>64.2</v>
      </c>
      <c r="AE13" s="4">
        <f t="shared" si="6"/>
        <v>28.499999999999996</v>
      </c>
      <c r="AF13" s="4">
        <f>'Economic Momentum'!Q14</f>
        <v>57.099999999999994</v>
      </c>
      <c r="AG13" s="4">
        <f ca="1">'Economic Momentum'!R14</f>
        <v>7.1</v>
      </c>
      <c r="AH13" s="4">
        <f t="shared" ca="1" si="7"/>
        <v>14.229999999999999</v>
      </c>
      <c r="AJ13" s="3" cm="1">
        <f t="array" aca="1" ref="AJ13" ca="1">_xlfn.PERCENTRANK.EXC(_xlfn._xlws.FILTER($AH$3:$AH$15, ISNUMBER($AH$3:$AH$15)),AH13)*100</f>
        <v>14.2</v>
      </c>
      <c r="AK13">
        <f t="shared" si="8"/>
        <v>3</v>
      </c>
    </row>
    <row r="14" spans="1:39" x14ac:dyDescent="0.3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1071350.1000000001</v>
      </c>
      <c r="E14" cm="1">
        <f t="array" ref="E14">_xll.FDS(C14,"FMA_COS_UP(""EPS"",""1M"",+1,0,,,""PORTAGG"",""MEANR"")")</f>
        <v>6</v>
      </c>
      <c r="F14" cm="1">
        <f t="array" ref="F14">_xll.FDS(C14,"FMA_COS_DOWN(""EPS"",""1M"",+1,0,,,""PORTAGG"",""MEANR"")")</f>
        <v>21</v>
      </c>
      <c r="G14" cm="1">
        <f t="array" ref="G14">_xll.FDS(A14,"SIZE(FG_CONSTITUENTS)")</f>
        <v>46</v>
      </c>
      <c r="H14" s="9">
        <f t="shared" si="9"/>
        <v>0.13043478260869565</v>
      </c>
      <c r="I14" s="9">
        <f t="shared" si="10"/>
        <v>0.45652173913043476</v>
      </c>
      <c r="J14" s="9">
        <f t="shared" si="11"/>
        <v>-0.32608695652173914</v>
      </c>
      <c r="K14" s="5" cm="1">
        <f t="array" ref="K14">_xll.FDS(A14,"FMA_PCT_ABOVE_MAVG(200,0,,,,""PORTAGG"")")/100</f>
        <v>0.73333333333333295</v>
      </c>
      <c r="L14" s="41" cm="1">
        <f t="array" ref="L14">_xll.FDSB(A14,"PERCENT_CHANGE(FMA_EPS(+1,0,,,,""PORTAGG"",""MEAN""),FMA_EPS(+1,-1AM,,,,""PORTAGG"",""MEAN""))")</f>
        <v>1.3086941813935</v>
      </c>
      <c r="M14" s="41" cm="1">
        <f t="array" ref="M14">_xll.FDSB(A14,"PERCENT_CHANGE(FMA_EPS(+1,0,,,,""PORTAGG"",""MEAN""),FMA_EPS(+1,-3AM,,,,""PORTAGG"",""MEAN""))")</f>
        <v>-3.9309498403994598</v>
      </c>
      <c r="N14" s="3" cm="1">
        <f t="array" ref="N14">_xll.FDS(C14,"FG_TOTAL_RETURNC(0,-1AM)")</f>
        <v>1.9888401</v>
      </c>
      <c r="O14" s="3" cm="1">
        <f t="array" ref="O14">_xll.FDS(C14,"FG_TOTAL_RETURNC(0,-3AM)")</f>
        <v>3.1142712000000001</v>
      </c>
      <c r="P14" s="3" cm="1">
        <f t="array" ref="P14">_xll.FDS(C14,"FG_TOTAL_RETURNC(0,-6AM)")</f>
        <v>6.6855669999999998</v>
      </c>
      <c r="Q14" s="9" cm="1">
        <f t="array" ref="Q14">_xll.FDS(C14,"P_PRICE(0)/P_PRICE_HIGH_PR(0,,,,,,""PRICE"",""INTRA"",""52W"")")</f>
        <v>0.95655142999999998</v>
      </c>
      <c r="R14" s="9" cm="1">
        <f t="array" ref="R14">_xll.FDS(C14,"P_PRICE(0)/P_PRICE_low_PR(0,,,,,,""PRICE"",""INTRA"",""52W"")-1")</f>
        <v>0.37037635000000002</v>
      </c>
      <c r="S14" s="3" cm="1">
        <f t="array" ref="S14">_xll.FDS(C14,"FG_TOTAL_RETURNC(0,-12AM)")</f>
        <v>36.267339999999997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35.699999999999996</v>
      </c>
      <c r="W14" s="4" cm="1">
        <f t="array" ref="W14">_xlfn.PERCENTRANK.EXC(_xlfn._xlws.FILTER($O$3:$O$15, ISNUMBER($O$3:$O$15)),O14)*100</f>
        <v>42.8</v>
      </c>
      <c r="X14" s="4" cm="1">
        <f t="array" ref="X14">_xlfn.PERCENTRANK.EXC(_xlfn._xlws.FILTER($P$3:$P$15, ISNUMBER($P$3:$P$15)),P14)*100</f>
        <v>42.8</v>
      </c>
      <c r="Y14" s="201" cm="1">
        <f t="array" ref="Y14">_xlfn.PERCENTRANK.EXC(_xlfn._xlws.FILTER($S$3:$S$15, ISNUMBER($S$3:$S$15)),S14)*100</f>
        <v>71.399999999999991</v>
      </c>
      <c r="Z14" s="4" cm="1">
        <f t="array" ref="Z14">_xlfn.PERCENTRANK.EXC(_xlfn._xlws.FILTER($K$3:$K$15, ISNUMBER($K$3:$K$15)),K14)*100</f>
        <v>78.5</v>
      </c>
      <c r="AA14" s="4" cm="1">
        <f t="array" ref="AA14">_xlfn.PERCENTRANK.EXC(_xlfn._xlws.FILTER($H$3:$H$15, ISNUMBER($H$3:$H$15)),H14)*100</f>
        <v>14.2</v>
      </c>
      <c r="AB14" s="4" cm="1">
        <f t="array" ref="AB14">_xlfn.PERCENTRANK.EXC(_xlfn._xlws.FILTER($J$3:$J$15, ISNUMBER($J$3:$J$15)),J14)*100</f>
        <v>14.2</v>
      </c>
      <c r="AC14" s="4">
        <f t="shared" si="4"/>
        <v>71.399999999999991</v>
      </c>
      <c r="AD14" s="4">
        <f t="shared" si="5"/>
        <v>7.1</v>
      </c>
      <c r="AE14" s="4">
        <f t="shared" si="6"/>
        <v>21.4</v>
      </c>
      <c r="AF14" s="4">
        <f>'Economic Momentum'!Q15</f>
        <v>42.8</v>
      </c>
      <c r="AG14" s="4">
        <f ca="1">'Economic Momentum'!R15</f>
        <v>35.699999999999996</v>
      </c>
      <c r="AH14" s="4">
        <f t="shared" ca="1" si="7"/>
        <v>39.959999999999994</v>
      </c>
      <c r="AJ14" s="3" cm="1">
        <f t="array" aca="1" ref="AJ14" ca="1">_xlfn.PERCENTRANK.EXC(_xlfn._xlws.FILTER($AH$3:$AH$15, ISNUMBER($AH$3:$AH$15)),AH14)*100</f>
        <v>42.8</v>
      </c>
      <c r="AK14">
        <f t="shared" si="8"/>
        <v>2</v>
      </c>
    </row>
    <row r="15" spans="1:39" x14ac:dyDescent="0.3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867474</v>
      </c>
      <c r="E15" cm="1">
        <f t="array" ref="E15">_xll.FDS(C15,"FMA_COS_UP(""EPS"",""1M"",+1,0,,,""PORTAGG"",""MEANR"")")</f>
        <v>7</v>
      </c>
      <c r="F15" cm="1">
        <f t="array" ref="F15">_xll.FDS(C15,"FMA_COS_DOWN(""EPS"",""1M"",+1,0,,,""PORTAGG"",""MEANR"")")</f>
        <v>9</v>
      </c>
      <c r="G15" cm="1">
        <f t="array" ref="G15">_xll.FDS(A15,"SIZE(FG_CONSTITUENTS)")</f>
        <v>26</v>
      </c>
      <c r="H15" s="9">
        <f t="shared" si="9"/>
        <v>0.26923076923076922</v>
      </c>
      <c r="I15" s="9">
        <f t="shared" si="10"/>
        <v>0.34615384615384615</v>
      </c>
      <c r="J15" s="9">
        <f t="shared" si="11"/>
        <v>-7.6923076923076927E-2</v>
      </c>
      <c r="K15" s="5" cm="1">
        <f t="array" ref="K15">_xll.FDS(A15,"FMA_PCT_ABOVE_MAVG(200,0,,,,""PORTAGG"")")/100</f>
        <v>0.6</v>
      </c>
      <c r="L15" s="41" cm="1">
        <f t="array" ref="L15">_xll.FDSB(A15,"PERCENT_CHANGE(FMA_EPS(+1,0,,,,""PORTAGG"",""MEAN""),FMA_EPS(+1,-1AM,,,,""PORTAGG"",""MEAN""))")</f>
        <v>-0.17881935814593999</v>
      </c>
      <c r="M15" s="41" cm="1">
        <f t="array" ref="M15">_xll.FDSB(A15,"PERCENT_CHANGE(FMA_EPS(+1,0,,,,""PORTAGG"",""MEAN""),FMA_EPS(+1,-3AM,,,,""PORTAGG"",""MEAN""))")</f>
        <v>-3.17689028417551</v>
      </c>
      <c r="N15" s="3" cm="1">
        <f t="array" ref="N15">_xll.FDS(C15,"FG_TOTAL_RETURNC(0,-1AM)")</f>
        <v>-1.4721394000000001</v>
      </c>
      <c r="O15" s="3" cm="1">
        <f t="array" ref="O15">_xll.FDS(C15,"FG_TOTAL_RETURNC(0,-3AM)")</f>
        <v>2.0141482000000002</v>
      </c>
      <c r="P15" s="3" cm="1">
        <f t="array" ref="P15">_xll.FDS(C15,"FG_TOTAL_RETURNC(0,-6AM)")</f>
        <v>2.3400067999999998</v>
      </c>
      <c r="Q15" s="9" cm="1">
        <f t="array" ref="Q15">_xll.FDS(C15,"P_PRICE(0)/P_PRICE_HIGH_PR(0,,,,,,""PRICE"",""INTRA"",""52W"")")</f>
        <v>0.94574815000000001</v>
      </c>
      <c r="R15" s="9" cm="1">
        <f t="array" ref="R15">_xll.FDS(C15,"P_PRICE(0)/P_PRICE_low_PR(0,,,,,,""PRICE"",""INTRA"",""52W"")-1")</f>
        <v>0.29174566000000002</v>
      </c>
      <c r="S15" s="3" cm="1">
        <f t="array" ref="S15">_xll.FDS(C15,"FG_TOTAL_RETURNC(0,-12AM)")</f>
        <v>32.378376000000003</v>
      </c>
      <c r="T15" s="4" cm="1">
        <f t="array" ref="T15">_xlfn.PERCENTRANK.EXC(_xlfn._xlws.FILTER($R$3:$R$15, ISNUMBER($R$3:$R$15)),R15)*100</f>
        <v>42.8</v>
      </c>
      <c r="U15" s="4">
        <f t="shared" si="12"/>
        <v>57.2</v>
      </c>
      <c r="V15" s="4" cm="1">
        <f t="array" ref="V15">_xlfn.PERCENTRANK.EXC(_xlfn._xlws.FILTER($Q$3:$Q$15, ISNUMBER($Q$3:$Q$15)),Q15)*100</f>
        <v>21.4</v>
      </c>
      <c r="W15" s="4" cm="1">
        <f t="array" ref="W15">_xlfn.PERCENTRANK.EXC(_xlfn._xlws.FILTER($O$3:$O$15, ISNUMBER($O$3:$O$15)),O15)*100</f>
        <v>28.499999999999996</v>
      </c>
      <c r="X15" s="4" cm="1">
        <f t="array" ref="X15">_xlfn.PERCENTRANK.EXC(_xlfn._xlws.FILTER($P$3:$P$15, ISNUMBER($P$3:$P$15)),P15)*100</f>
        <v>28.499999999999996</v>
      </c>
      <c r="Y15" s="201" cm="1">
        <f t="array" ref="Y15">_xlfn.PERCENTRANK.EXC(_xlfn._xlws.FILTER($S$3:$S$15, ISNUMBER($S$3:$S$15)),S15)*100</f>
        <v>57.099999999999994</v>
      </c>
      <c r="Z15" s="4" cm="1">
        <f t="array" ref="Z15">_xlfn.PERCENTRANK.EXC(_xlfn._xlws.FILTER($K$3:$K$15, ISNUMBER($K$3:$K$15)),K15)*100</f>
        <v>42.8</v>
      </c>
      <c r="AA15" s="4" cm="1">
        <f t="array" ref="AA15">_xlfn.PERCENTRANK.EXC(_xlfn._xlws.FILTER($H$3:$H$15, ISNUMBER($H$3:$H$15)),H15)*100</f>
        <v>35.699999999999996</v>
      </c>
      <c r="AB15" s="4" cm="1">
        <f t="array" ref="AB15">_xlfn.PERCENTRANK.EXC(_xlfn._xlws.FILTER($J$3:$J$15, ISNUMBER($J$3:$J$15)),J15)*100</f>
        <v>42.8</v>
      </c>
      <c r="AC15" s="4">
        <f t="shared" si="4"/>
        <v>35.699999999999996</v>
      </c>
      <c r="AD15" s="4">
        <f t="shared" si="5"/>
        <v>14.2</v>
      </c>
      <c r="AE15" s="4">
        <f t="shared" si="6"/>
        <v>14.2</v>
      </c>
      <c r="AF15" s="4">
        <f>'Economic Momentum'!Q16</f>
        <v>64.2</v>
      </c>
      <c r="AG15" s="4">
        <f ca="1">'Economic Momentum'!R16</f>
        <v>85.7</v>
      </c>
      <c r="AH15" s="4">
        <f t="shared" ca="1" si="7"/>
        <v>25.659999999999997</v>
      </c>
      <c r="AJ15" s="3" cm="1">
        <f t="array" aca="1" ref="AJ15" ca="1">_xlfn.PERCENTRANK.EXC(_xlfn._xlws.FILTER($AH$3:$AH$15, ISNUMBER($AH$3:$AH$15)),AH15)*100</f>
        <v>21.4</v>
      </c>
      <c r="AK15">
        <f t="shared" si="8"/>
        <v>0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427</v>
      </c>
      <c r="F18" cm="1">
        <f t="array" ref="F18">_xll.FDS(C18,"FMA_COS_DOWN(""EPS"",""1M"",+1,0,,,""PORTAGG"",""MEANR"")")</f>
        <v>600</v>
      </c>
      <c r="G18" cm="1">
        <f t="array" ref="G18">_xll.FDS(A18,"SIZE(FG_CONSTITUENTS)")</f>
        <v>1284</v>
      </c>
      <c r="H18" s="9">
        <f>E18/$G18</f>
        <v>0.3325545171339564</v>
      </c>
      <c r="I18" s="9">
        <f>F18/$G18</f>
        <v>0.46728971962616822</v>
      </c>
      <c r="J18" s="9">
        <f t="shared" ref="J18" si="13">H18-I18</f>
        <v>-0.13473520249221183</v>
      </c>
      <c r="K18" s="5" cm="1">
        <f t="array" ref="K18">_xll.FDS(A18,"FMA_PCT_ABOVE_MAVG(200,0,,,,""PORTAGG"")")/100</f>
        <v>0.63370253164557</v>
      </c>
      <c r="L18" s="41" cm="1">
        <f t="array" ref="L18">_xll.FDSB(A18,"PERCENT_CHANGE(FMA_EPS(+1,0,,,,""PORTAGG"",""MEAN""),FMA_EPS(+1,-1AM,,,,""PORTAGG"",""MEAN""))")</f>
        <v>0</v>
      </c>
      <c r="M18" s="41" cm="1">
        <f t="array" ref="M18">_xll.FDSB(A18,"PERCENT_CHANGE(FMA_EPS(+1,0,,,,""PORTAGG"",""MEAN""),FMA_EPS(+1,-3AM,,,,""PORTAGG"",""MEAN""))")</f>
        <v>-0.113165814793893</v>
      </c>
      <c r="N18" s="3" cm="1">
        <f t="array" ref="N18">_xll.FDS(C18,"FG_TOTAL_RETURNC(0,-1AM)")</f>
        <v>-0.20182728999999999</v>
      </c>
      <c r="O18" s="3" cm="1">
        <f t="array" ref="O18">_xll.FDS(C18,"FG_TOTAL_RETURNC(0,-3AM)")</f>
        <v>2.4023652000000002</v>
      </c>
      <c r="P18" s="3" cm="1">
        <f t="array" ref="P18">_xll.FDS(C18,"FG_TOTAL_RETURNC(0,-6AM)")</f>
        <v>5.0933359999999999</v>
      </c>
      <c r="Q18" s="9" cm="1">
        <f t="array" ref="Q18">_xll.FDS(C18,"P_PRICE(0)/P_PRICE_HIGH_PR(0,,,,,,""PRICE"",""INTRA"",""52W"")")</f>
        <v>0.96129299999999995</v>
      </c>
      <c r="R18" s="9" cm="1">
        <f t="array" ref="R18">_xll.FDS(C18,"P_PRICE(0)/P_PRICE_low_PR(0,,,,,,""PRICE"",""INTRA"",""52W"")-1")</f>
        <v>0.25844526000000001</v>
      </c>
      <c r="S18" s="3" cm="1">
        <f t="array" ref="S18">_xll.FDS(C18,"FG_TOTAL_RETURNC(0,-12AM)")</f>
        <v>26.811133999999999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1023</v>
      </c>
      <c r="F19" cm="1">
        <f t="array" ref="F19">_xll.FDS(C19,"FMA_COS_DOWN(""EPS"",""1M"",+1,0,,,""PORTAGG"",""MEANR"")")</f>
        <v>1672</v>
      </c>
      <c r="G19" cm="1">
        <f t="array" ref="G19">_xll.FDS(A19,"SIZE(FG_CONSTITUENTS)")</f>
        <v>4847</v>
      </c>
      <c r="H19" s="9">
        <f>E19/$G19</f>
        <v>0.2110583866309057</v>
      </c>
      <c r="I19" s="9">
        <f>F19/$G19</f>
        <v>0.34495564266556633</v>
      </c>
      <c r="J19" s="9">
        <f t="shared" ref="J19" si="14">H19-I19</f>
        <v>-0.13389725603466063</v>
      </c>
      <c r="K19" s="5" cm="1">
        <f t="array" ref="K19">_xll.FDS(A19,"FMA_PCT_ABOVE_MAVG(200,0,,,,""PORTAGG"")")/100</f>
        <v>0.36883336862163901</v>
      </c>
      <c r="L19" s="41" cm="1">
        <f t="array" ref="L19">_xll.FDSB(A19,"PERCENT_CHANGE(FMA_EPS(+1,0,,,,""PORTAGG"",""MEAN""),FMA_EPS(+1,-1AM,,,,""PORTAGG"",""MEAN""))")</f>
        <v>0</v>
      </c>
      <c r="M19" s="41" cm="1">
        <f t="array" ref="M19">_xll.FDSB(A19,"PERCENT_CHANGE(FMA_EPS(+1,0,,,,""PORTAGG"",""MEAN""),FMA_EPS(+1,-3AM,,,,""PORTAGG"",""MEAN""))")</f>
        <v>0.96680394068628706</v>
      </c>
      <c r="N19" s="3" cm="1">
        <f t="array" ref="N19">_xll.FDS(C19,"FG_TOTAL_RETURNC(0,-1AM)")</f>
        <v>10.3856325</v>
      </c>
      <c r="O19" s="3" cm="1">
        <f t="array" ref="O19">_xll.FDS(C19,"FG_TOTAL_RETURNC(0,-3AM)")</f>
        <v>8.8288309999999992</v>
      </c>
      <c r="P19" s="3" cm="1">
        <f t="array" ref="P19">_xll.FDS(C19,"FG_TOTAL_RETURNC(0,-6AM)")</f>
        <v>15.809965</v>
      </c>
      <c r="Q19" s="9" cm="1">
        <f t="array" ref="Q19">_xll.FDS(C19,"P_PRICE(0)/P_PRICE_HIGH_PR(0,,,,,,""PRICE"",""INTRA"",""52W"")")</f>
        <v>0.98496245999999998</v>
      </c>
      <c r="R19" s="9" cm="1">
        <f t="array" ref="R19">_xll.FDS(C19,"P_PRICE(0)/P_PRICE_low_PR(0,,,,,,""PRICE"",""INTRA"",""52W"")-1")</f>
        <v>0.29408622000000001</v>
      </c>
      <c r="S19" s="3" cm="1">
        <f t="array" ref="S19">_xll.FDS(C19,"FG_TOTAL_RETURNC(0,-12AM)")</f>
        <v>29.371106999999999</v>
      </c>
    </row>
    <row r="20" spans="1:37" x14ac:dyDescent="0.3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430</v>
      </c>
      <c r="F20" cm="1">
        <f t="array" ref="F20">_xll.FDS(C20,"FMA_COS_DOWN(""EPS"",""1M"",+1,0,,,""PORTAGG"",""MEANR"")")</f>
        <v>544</v>
      </c>
      <c r="G20" cm="1">
        <f t="array" ref="G20">_xll.FDS(A20,"SIZE(FG_CONSTITUENTS)")</f>
        <v>1414</v>
      </c>
      <c r="H20" s="9">
        <f t="shared" ref="H20" si="16">E20/$G20</f>
        <v>0.30410183875530411</v>
      </c>
      <c r="I20" s="9">
        <f t="shared" ref="I20" si="17">F20/$G20</f>
        <v>0.38472418670438474</v>
      </c>
      <c r="J20" s="9">
        <f t="shared" ref="J20" si="18">H20-I20</f>
        <v>-8.0622347949080631E-2</v>
      </c>
      <c r="K20" s="5" cm="1">
        <f t="array" ref="K20">_xll.FDS(A20,"FMA_PCT_ABOVE_MAVG(200,0,,,,""PORTAGG"")")/100</f>
        <v>0.70149253731343297</v>
      </c>
      <c r="L20" s="41" cm="1">
        <f t="array" ref="L20">_xll.FDSB(A20,"PERCENT_CHANGE(FMA_EPS(+1,0,,,,""PORTAGG"",""MEAN""),FMA_EPS(+1,-1AM,,,,""PORTAGG"",""MEAN""))")</f>
        <v>0.82979188039650398</v>
      </c>
      <c r="M20" s="41" cm="1">
        <f t="array" ref="M20">_xll.FDSB(A20,"PERCENT_CHANGE(FMA_EPS(+1,0,,,,""PORTAGG"",""MEAN""),FMA_EPS(+1,-3AM,,,,""PORTAGG"",""MEAN""))")</f>
        <v>1.61565536642443</v>
      </c>
      <c r="N20" s="3" cm="1">
        <f t="array" ref="N20">_xll.FDS(C20,"FG_TOTAL_RETURNC(0,-1AM)")</f>
        <v>2.6687026</v>
      </c>
      <c r="O20" s="3" cm="1">
        <f t="array" ref="O20">_xll.FDS(C20,"FG_TOTAL_RETURNC(0,-3AM)")</f>
        <v>3.6432861999999999</v>
      </c>
      <c r="P20" s="3" cm="1">
        <f t="array" ref="P20">_xll.FDS(C20,"FG_TOTAL_RETURNC(0,-6AM)")</f>
        <v>8.5966950000000004</v>
      </c>
      <c r="Q20" s="9" cm="1">
        <f t="array" ref="Q20">_xll.FDS(C20,"P_PRICE(0)/P_PRICE_HIGH_PR(0,,,,,,""PRICE"",""INTRA"",""52W"")")</f>
        <v>0.98510019999999998</v>
      </c>
      <c r="R20" s="9" cm="1">
        <f t="array" ref="R20">_xll.FDS(C20,"P_PRICE(0)/P_PRICE_low_PR(0,,,,,,""PRICE"",""INTRA"",""52W"")-1")</f>
        <v>0.35170006999999998</v>
      </c>
      <c r="S20" s="3" cm="1">
        <f t="array" ref="S20">_xll.FDS(C20,"FG_TOTAL_RETURNC(0,-12AM)")</f>
        <v>33.632935000000003</v>
      </c>
    </row>
    <row r="21" spans="1:37" x14ac:dyDescent="0.3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85</v>
      </c>
      <c r="F21" cm="1">
        <f t="array" ref="F21">_xll.FDS(C21,"FMA_COS_DOWN(""EPS"",""1M"",+1,0,,,""PORTAGG"",""MEANR"")")</f>
        <v>77</v>
      </c>
      <c r="G21" cm="1">
        <f t="array" ref="G21">_xll.FDS(A21,"SIZE(FG_CONSTITUENTS)")</f>
        <v>199</v>
      </c>
      <c r="H21" s="9">
        <f t="shared" ref="H21:H22" si="20">E21/$G21</f>
        <v>0.42713567839195982</v>
      </c>
      <c r="I21" s="9">
        <f t="shared" ref="I21:I22" si="21">F21/$G21</f>
        <v>0.38693467336683418</v>
      </c>
      <c r="J21" s="9">
        <f t="shared" ref="J21:J22" si="22">H21-I21</f>
        <v>4.0201005025125636E-2</v>
      </c>
      <c r="K21" s="5" cm="1">
        <f t="array" ref="K21">_xll.FDS(A21,"FMA_PCT_ABOVE_MAVG(200,0,,,,""PORTAGG"")")/100</f>
        <v>0.49748743718592997</v>
      </c>
      <c r="L21" s="41" cm="1">
        <f t="array" ref="L21">_xll.FDSB(A21,"PERCENT_CHANGE(FMA_EPS(+1,0,,,,""PORTAGG"",""MEAN""),FMA_EPS(+1,-1AM,,,,""PORTAGG"",""MEAN""))")</f>
        <v>12.6709648593149</v>
      </c>
      <c r="M21" s="41" cm="1">
        <f t="array" ref="M21">_xll.FDSB(A21,"PERCENT_CHANGE(FMA_EPS(+1,0,,,,""PORTAGG"",""MEAN""),FMA_EPS(+1,-3AM,,,,""PORTAGG"",""MEAN""))")</f>
        <v>22.396969367845799</v>
      </c>
      <c r="N21" s="3" cm="1">
        <f t="array" ref="N21">_xll.FDS(C21,"FG_TOTAL_RETURNC(0,-1AM)")</f>
        <v>8.4638595999999996E-2</v>
      </c>
      <c r="O21" s="3" cm="1">
        <f t="array" ref="O21">_xll.FDS(C21,"FG_TOTAL_RETURNC(0,-3AM)")</f>
        <v>2.101016</v>
      </c>
      <c r="P21" s="3" cm="1">
        <f t="array" ref="P21">_xll.FDS(C21,"FG_TOTAL_RETURNC(0,-6AM)")</f>
        <v>1.5344262</v>
      </c>
      <c r="Q21" s="9" cm="1">
        <f t="array" ref="Q21">_xll.FDS(C21,"P_PRICE(0)/P_PRICE_HIGH_PR(0,,,,,,""PRICE"",""INTRA"",""52W"")")</f>
        <v>0.96873290000000001</v>
      </c>
      <c r="R21" s="9" cm="1">
        <f t="array" ref="R21">_xll.FDS(C21,"P_PRICE(0)/P_PRICE_low_PR(0,,,,,,""PRICE"",""INTRA"",""52W"")-1")</f>
        <v>0.24038457999999999</v>
      </c>
      <c r="S21" s="3" cm="1">
        <f t="array" ref="S21">_xll.FDS(C21,"FG_TOTAL_RETURNC(0,-12AM)")</f>
        <v>23.425425000000001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148</v>
      </c>
      <c r="F22" cm="1">
        <f t="array" ref="F22">_xll.FDS(C22,"FMA_COS_DOWN(""EPS"",""1M"",+1,0,,,""PORTAGG"",""MEANR"")")</f>
        <v>163</v>
      </c>
      <c r="G22" cm="1">
        <f t="array" ref="G22">_xll.FDS(A22,"SIZE(FG_CONSTITUENTS)")</f>
        <v>503</v>
      </c>
      <c r="H22" s="9">
        <f t="shared" si="20"/>
        <v>0.29423459244532801</v>
      </c>
      <c r="I22" s="9">
        <f t="shared" si="21"/>
        <v>0.32405566600397612</v>
      </c>
      <c r="J22" s="9">
        <f t="shared" si="22"/>
        <v>-2.9821073558648103E-2</v>
      </c>
      <c r="K22" s="5" cm="1">
        <f t="array" ref="K22">_xll.FDS(A22,"FMA_PCT_ABOVE_MAVG(200,0,,,,""PORTAGG"")")/100</f>
        <v>0.75800000000000001</v>
      </c>
      <c r="L22" s="41" cm="1">
        <f t="array" ref="L22">_xll.FDSB(A22,"PERCENT_CHANGE(FMA_EPS(+1,0,,,,""PORTAGG"",""MEAN""),FMA_EPS(+1,-1AM,,,,""PORTAGG"",""MEAN""))")</f>
        <v>-1.0645539771902299</v>
      </c>
      <c r="M22" s="41" cm="1">
        <f t="array" ref="M22">_xll.FDSB(A22,"PERCENT_CHANGE(FMA_EPS(+1,0,,,,""PORTAGG"",""MEAN""),FMA_EPS(+1,-3AM,,,,""PORTAGG"",""MEAN""))")</f>
        <v>-1.2376230981085401</v>
      </c>
      <c r="N22" s="3" cm="1">
        <f t="array" ref="N22">_xll.FDS(C22,"FG_TOTAL_RETURNC(0,-1AM)")</f>
        <v>3.1669735999999999</v>
      </c>
      <c r="O22" s="3" cm="1">
        <f t="array" ref="O22">_xll.FDS(C22,"FG_TOTAL_RETURNC(0,-3AM)")</f>
        <v>3.2829641999999999</v>
      </c>
      <c r="P22" s="3" cm="1">
        <f t="array" ref="P22">_xll.FDS(C22,"FG_TOTAL_RETURNC(0,-6AM)")</f>
        <v>10.010242</v>
      </c>
      <c r="Q22" s="9" cm="1">
        <f t="array" ref="Q22">_xll.FDS(C22,"P_PRICE(0)/P_PRICE_HIGH_PR(0,,,,,,""PRICE"",""INTRA"",""52W"")")</f>
        <v>0.98801130000000004</v>
      </c>
      <c r="R22" s="9" cm="1">
        <f t="array" ref="R22">_xll.FDS(C22,"P_PRICE(0)/P_PRICE_low_PR(0,,,,,,""PRICE"",""INTRA"",""52W"")-1")</f>
        <v>0.38760053999999999</v>
      </c>
      <c r="S22" s="3" cm="1">
        <f t="array" ref="S22">_xll.FDS(C22,"FG_TOTAL_RETURNC(0,-12AM)")</f>
        <v>36.511684000000002</v>
      </c>
    </row>
    <row r="23" spans="1:37" x14ac:dyDescent="0.3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24</v>
      </c>
      <c r="F23" cm="1">
        <f t="array" ref="F23">_xll.FDS(C23,"FMA_COS_DOWN(""EPS"",""1M"",+1,0,,,""PORTAGG"",""MEANR"")")</f>
        <v>19</v>
      </c>
      <c r="G23" cm="1">
        <f t="array" ref="G23">_xll.FDS(A23,"SIZE(FG_CONSTITUENTS)")</f>
        <v>53</v>
      </c>
      <c r="H23" s="9">
        <f t="shared" ref="H23" si="24">E23/$G23</f>
        <v>0.45283018867924529</v>
      </c>
      <c r="I23" s="9">
        <f t="shared" ref="I23" si="25">F23/$G23</f>
        <v>0.35849056603773582</v>
      </c>
      <c r="J23" s="9">
        <f t="shared" ref="J23" si="26">H23-I23</f>
        <v>9.4339622641509469E-2</v>
      </c>
      <c r="K23" s="5" cm="1">
        <f t="array" ref="K23">_xll.FDS(A23,"FMA_PCT_ABOVE_MAVG(200,0,,,,""PORTAGG"")")/100</f>
        <v>0.92</v>
      </c>
      <c r="L23" s="41" cm="1">
        <f t="array" ref="L23">_xll.FDSB(A23,"PERCENT_CHANGE(FMA_EPS(+1,0,,,,""PORTAGG"",""MEAN""),FMA_EPS(+1,-1AM,,,,""PORTAGG"",""MEAN""))")</f>
        <v>-1.31422669541541</v>
      </c>
      <c r="M23" s="41" cm="1">
        <f t="array" ref="M23">_xll.FDSB(A23,"PERCENT_CHANGE(FMA_EPS(+1,0,,,,""PORTAGG"",""MEAN""),FMA_EPS(+1,-3AM,,,,""PORTAGG"",""MEAN""))")</f>
        <v>2.2347109657167201</v>
      </c>
      <c r="N23" s="3" cm="1">
        <f t="array" ref="N23">_xll.FDS(C23,"FG_TOTAL_RETURNC(0,-1AM)")</f>
        <v>32.692314000000003</v>
      </c>
      <c r="O23" s="3" cm="1">
        <f t="array" ref="O23">_xll.FDS(C23,"FG_TOTAL_RETURNC(0,-3AM)")</f>
        <v>28.252791999999999</v>
      </c>
      <c r="P23" s="3" cm="1">
        <f t="array" ref="P23">_xll.FDS(C23,"FG_TOTAL_RETURNC(0,-6AM)")</f>
        <v>41.556334999999997</v>
      </c>
      <c r="Q23" s="9" cm="1">
        <f t="array" ref="Q23">_xll.FDS(C23,"P_PRICE(0)/P_PRICE_HIGH_PR(0,,,,,,""PRICE"",""INTRA"",""52W"")")</f>
        <v>0.97046416999999996</v>
      </c>
      <c r="R23" s="9" cm="1">
        <f t="array" ref="R23">_xll.FDS(C23,"P_PRICE(0)/P_PRICE_low_PR(0,,,,,,""PRICE"",""INTRA"",""52W"")-1")</f>
        <v>0.65388299999999999</v>
      </c>
      <c r="S23" s="3" cm="1">
        <f t="array" ref="S23">_xll.FDS(C23,"FG_TOTAL_RETURNC(0,-12AM)")</f>
        <v>37.973582999999998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3" bestFit="1" customWidth="1"/>
    <col min="11" max="11" width="13.453125" style="183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-0.16608418</v>
      </c>
      <c r="E4" s="9">
        <f>HLOOKUP(B4,'Monthly Returns'!$A$1:$Q$134, 132, FALSE)</f>
        <v>0.11570247933884298</v>
      </c>
      <c r="H4" s="9">
        <f>HLOOKUP(B4,'Yearly returns'!$B$1:$N$140, 133, FALSE)</f>
        <v>0.1487603305785124</v>
      </c>
      <c r="I4" s="9">
        <f>HLOOKUP(B4,'Yearly returns'!$B$1:$N$140, 138, FALSE)</f>
        <v>0.77</v>
      </c>
      <c r="J4" s="183">
        <f>1/E4</f>
        <v>8.6428571428571423</v>
      </c>
      <c r="K4" s="185">
        <f>PERCENTRANK($J$4:$J$16,J4)*100</f>
        <v>75</v>
      </c>
      <c r="L4" s="47">
        <f>(1-PERCENTRANK($E$4:$E$16,E4))*100</f>
        <v>91.7</v>
      </c>
      <c r="M4" s="47">
        <f>(1-PERCENTRANK($H$4:$H$16,H4))*100</f>
        <v>50</v>
      </c>
      <c r="N4" s="47">
        <f>(1-PERCENTRANK($I$4:$I$16,I4))*100</f>
        <v>91.7</v>
      </c>
      <c r="P4">
        <f>L4*Assumption!$E$53 + M4*Assumption!$F$53 + N4*Assumption!$G$53</f>
        <v>81.275000000000006</v>
      </c>
      <c r="R4" cm="1">
        <f t="array" ref="R4">_xlfn.PERCENTRANK.EXC(_xlfn._xlws.FILTER(P$4:P$16, ISNUMBER(P$4:P$16)),P4)*100</f>
        <v>92.800000000000011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-0.26656770000000002</v>
      </c>
      <c r="E5" s="9">
        <f>HLOOKUP(B5,'Monthly Returns'!$A$1:$Q$134, 132, FALSE)</f>
        <v>0.12396694214876033</v>
      </c>
      <c r="H5" s="9">
        <f>HLOOKUP(B5,'Yearly returns'!$B$1:$N$140, 133, FALSE)</f>
        <v>0.1487603305785124</v>
      </c>
      <c r="I5" s="9">
        <f>HLOOKUP(B5,'Yearly returns'!$B$1:$N$140, 138, FALSE)</f>
        <v>0.95899999999999996</v>
      </c>
      <c r="J5" s="183">
        <f t="shared" ref="J5:J16" si="0">1/E5</f>
        <v>8.0666666666666664</v>
      </c>
      <c r="K5" s="185">
        <f t="shared" ref="K5:K16" si="1">PERCENTRANK($J$4:$J$16,J5)*100</f>
        <v>58.3</v>
      </c>
      <c r="L5" s="47">
        <f t="shared" ref="L5:L16" si="2">(1-PERCENTRANK($E$4:$E$16,E5))*100</f>
        <v>66.7</v>
      </c>
      <c r="M5" s="47">
        <f t="shared" ref="M5:M16" si="3">(1-PERCENTRANK($H$4:$H$16,H5))*100</f>
        <v>50</v>
      </c>
      <c r="N5" s="47">
        <f t="shared" ref="N5:N16" si="4">(1-PERCENTRANK($I$4:$I$16,I5))*100</f>
        <v>16.700000000000003</v>
      </c>
      <c r="P5">
        <f>L5*Assumption!$E$53 + M5*Assumption!$F$53 + N5*Assumption!$G$53</f>
        <v>37.525000000000006</v>
      </c>
      <c r="R5" cm="1">
        <f t="array" ref="R5">_xlfn.PERCENTRANK.EXC(_xlfn._xlws.FILTER(P$4:P$16, ISNUMBER(P$4:P$16)),P5)*100</f>
        <v>21.4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-0.24505924000000001</v>
      </c>
      <c r="E6" s="9">
        <f>HLOOKUP(B6,'Monthly Returns'!$A$1:$Q$134, 132, FALSE)</f>
        <v>0.13223140495867769</v>
      </c>
      <c r="H6" s="9">
        <f>HLOOKUP(B6,'Yearly returns'!$B$1:$N$140, 133, FALSE)</f>
        <v>0.1487603305785124</v>
      </c>
      <c r="I6" s="9">
        <f>HLOOKUP(B6,'Yearly returns'!$B$1:$N$140, 138, FALSE)</f>
        <v>0.91800000000000004</v>
      </c>
      <c r="J6" s="183">
        <f t="shared" si="0"/>
        <v>7.5625</v>
      </c>
      <c r="K6" s="185">
        <f t="shared" si="1"/>
        <v>50</v>
      </c>
      <c r="L6" s="47">
        <f t="shared" si="2"/>
        <v>50</v>
      </c>
      <c r="M6" s="47">
        <f t="shared" si="3"/>
        <v>50</v>
      </c>
      <c r="N6" s="47">
        <f t="shared" si="4"/>
        <v>41.7</v>
      </c>
      <c r="P6">
        <f>L6*Assumption!$E$53 + M6*Assumption!$F$53 + N6*Assumption!$G$53</f>
        <v>45.85</v>
      </c>
      <c r="R6" cm="1">
        <f t="array" ref="R6">_xlfn.PERCENTRANK.EXC(_xlfn._xlws.FILTER(P$4:P$16, ISNUMBER(P$4:P$16)),P6)*100</f>
        <v>42.8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-0.22289847999999998</v>
      </c>
      <c r="E7" s="9">
        <f>HLOOKUP(B7,'Monthly Returns'!$A$1:$Q$134, 132, FALSE)</f>
        <v>0.16528925619834711</v>
      </c>
      <c r="H7" s="9">
        <f>HLOOKUP(B7,'Yearly returns'!$B$1:$N$140, 133, FALSE)</f>
        <v>0.23140495867768596</v>
      </c>
      <c r="I7" s="9">
        <f>HLOOKUP(B7,'Yearly returns'!$B$1:$N$140, 138, FALSE)</f>
        <v>0.95899999999999996</v>
      </c>
      <c r="J7" s="183">
        <f t="shared" si="0"/>
        <v>6.05</v>
      </c>
      <c r="K7" s="185">
        <f t="shared" si="1"/>
        <v>0</v>
      </c>
      <c r="L7" s="47">
        <f t="shared" si="2"/>
        <v>8.3999999999999968</v>
      </c>
      <c r="M7" s="47">
        <f t="shared" si="3"/>
        <v>8.3999999999999968</v>
      </c>
      <c r="N7" s="47">
        <f t="shared" si="4"/>
        <v>16.700000000000003</v>
      </c>
      <c r="P7">
        <f>L7*Assumption!$E$53 + M7*Assumption!$F$53 + N7*Assumption!$G$53</f>
        <v>12.55</v>
      </c>
      <c r="R7" cm="1">
        <f t="array" ref="R7">_xlfn.PERCENTRANK.EXC(_xlfn._xlws.FILTER(P$4:P$16, ISNUMBER(P$4:P$16)),P7)*100</f>
        <v>7.1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-0.12032485</v>
      </c>
      <c r="E8" s="9">
        <f>HLOOKUP(B8,'Monthly Returns'!$A$1:$Q$134, 132, FALSE)</f>
        <v>0.10743801652892562</v>
      </c>
      <c r="H8" s="9">
        <f>HLOOKUP(B8,'Yearly returns'!$B$1:$N$140, 133, FALSE)</f>
        <v>0.12396694214876033</v>
      </c>
      <c r="I8" s="9">
        <f>HLOOKUP(B8,'Yearly returns'!$B$1:$N$140, 138, FALSE)</f>
        <v>0.90900000000000003</v>
      </c>
      <c r="J8" s="183">
        <f t="shared" si="0"/>
        <v>9.3076923076923066</v>
      </c>
      <c r="K8" s="185">
        <f t="shared" si="1"/>
        <v>100</v>
      </c>
      <c r="L8" s="47">
        <f t="shared" si="2"/>
        <v>100</v>
      </c>
      <c r="M8" s="47">
        <f t="shared" si="3"/>
        <v>58.400000000000006</v>
      </c>
      <c r="N8" s="47">
        <f t="shared" si="4"/>
        <v>58.400000000000006</v>
      </c>
      <c r="P8">
        <f>L8*Assumption!$E$53 + M8*Assumption!$F$53 + N8*Assumption!$G$53</f>
        <v>68.800000000000011</v>
      </c>
      <c r="R8" cm="1">
        <f t="array" ref="R8">_xlfn.PERCENTRANK.EXC(_xlfn._xlws.FILTER(P$4:P$16, ISNUMBER(P$4:P$16)),P8)*100</f>
        <v>64.2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-0.10463910999999999</v>
      </c>
      <c r="E9" s="9">
        <f>HLOOKUP(B9,'Monthly Returns'!$A$1:$Q$134, 132, FALSE)</f>
        <v>0.11570247933884298</v>
      </c>
      <c r="H9" s="9">
        <f>HLOOKUP(B9,'Yearly returns'!$B$1:$N$140, 133, FALSE)</f>
        <v>9.0909090909090912E-2</v>
      </c>
      <c r="I9" s="9">
        <f>HLOOKUP(B9,'Yearly returns'!$B$1:$N$140, 138, FALSE)</f>
        <v>0.89300000000000002</v>
      </c>
      <c r="J9" s="183">
        <f t="shared" si="0"/>
        <v>8.6428571428571423</v>
      </c>
      <c r="K9" s="185">
        <f t="shared" si="1"/>
        <v>75</v>
      </c>
      <c r="L9" s="47">
        <f t="shared" si="2"/>
        <v>91.7</v>
      </c>
      <c r="M9" s="47">
        <f t="shared" si="3"/>
        <v>83.399999999999991</v>
      </c>
      <c r="N9" s="47">
        <f t="shared" si="4"/>
        <v>66.7</v>
      </c>
      <c r="P9">
        <f>L9*Assumption!$E$53 + M9*Assumption!$F$53 + N9*Assumption!$G$53</f>
        <v>77.125</v>
      </c>
      <c r="R9" cm="1">
        <f t="array" ref="R9">_xlfn.PERCENTRANK.EXC(_xlfn._xlws.FILTER(P$4:P$16, ISNUMBER(P$4:P$16)),P9)*100</f>
        <v>78.5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-0.2266804</v>
      </c>
      <c r="E10" s="9">
        <f>HLOOKUP(B10,'Monthly Returns'!$A$1:$Q$134, 132, FALSE)</f>
        <v>0.12396694214876033</v>
      </c>
      <c r="H10" s="9">
        <f>HLOOKUP(B10,'Yearly returns'!$B$1:$N$140, 133, FALSE)</f>
        <v>0.18181818181818182</v>
      </c>
      <c r="I10" s="9">
        <f>HLOOKUP(B10,'Yearly returns'!$B$1:$N$140, 138, FALSE)</f>
        <v>0.92600000000000005</v>
      </c>
      <c r="J10" s="183">
        <f t="shared" si="0"/>
        <v>8.0666666666666664</v>
      </c>
      <c r="K10" s="185">
        <f t="shared" si="1"/>
        <v>58.3</v>
      </c>
      <c r="L10" s="47">
        <f t="shared" si="2"/>
        <v>66.7</v>
      </c>
      <c r="M10" s="47">
        <f t="shared" si="3"/>
        <v>25</v>
      </c>
      <c r="N10" s="47">
        <f t="shared" si="4"/>
        <v>33.4</v>
      </c>
      <c r="P10">
        <f>L10*Assumption!$E$53 + M10*Assumption!$F$53 + N10*Assumption!$G$53</f>
        <v>39.625</v>
      </c>
      <c r="R10" cm="1">
        <f t="array" ref="R10">_xlfn.PERCENTRANK.EXC(_xlfn._xlws.FILTER(P$4:P$16, ISNUMBER(P$4:P$16)),P10)*100</f>
        <v>35.699999999999996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-0.12807327000000002</v>
      </c>
      <c r="E11" s="9">
        <f>HLOOKUP(B11,'Monthly Returns'!$A$1:$Q$134, 132, FALSE)</f>
        <v>0.1487603305785124</v>
      </c>
      <c r="H11" s="9">
        <f>HLOOKUP(B11,'Yearly returns'!$B$1:$N$140, 133, FALSE)</f>
        <v>8.2644628099173556E-2</v>
      </c>
      <c r="I11" s="9">
        <f>HLOOKUP(B11,'Yearly returns'!$B$1:$N$140, 138, FALSE)</f>
        <v>0.81100000000000005</v>
      </c>
      <c r="J11" s="183">
        <f t="shared" si="0"/>
        <v>6.7222222222222223</v>
      </c>
      <c r="K11" s="185">
        <f t="shared" si="1"/>
        <v>25</v>
      </c>
      <c r="L11" s="47">
        <f t="shared" si="2"/>
        <v>33.4</v>
      </c>
      <c r="M11" s="47">
        <f t="shared" si="3"/>
        <v>91.7</v>
      </c>
      <c r="N11" s="47">
        <f t="shared" si="4"/>
        <v>83.399999999999991</v>
      </c>
      <c r="P11">
        <f>L11*Assumption!$E$53 + M11*Assumption!$F$53 + N11*Assumption!$G$53</f>
        <v>72.974999999999994</v>
      </c>
      <c r="R11" cm="1">
        <f t="array" ref="R11">_xlfn.PERCENTRANK.EXC(_xlfn._xlws.FILTER(P$4:P$16, ISNUMBER(P$4:P$16)),P11)*100</f>
        <v>71.399999999999991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-0.16828309999999999</v>
      </c>
      <c r="E12" s="9">
        <f>HLOOKUP(B12,'Monthly Returns'!$A$1:$Q$134, 132, FALSE)</f>
        <v>0.11570247933884298</v>
      </c>
      <c r="H12" s="9">
        <f>HLOOKUP(B12,'Yearly returns'!$B$1:$N$140, 133, FALSE)</f>
        <v>4.9586776859504134E-2</v>
      </c>
      <c r="I12" s="9">
        <f>HLOOKUP(B12,'Yearly returns'!$B$1:$N$140, 138, FALSE)</f>
        <v>0.95899999999999996</v>
      </c>
      <c r="J12" s="183">
        <f t="shared" si="0"/>
        <v>8.6428571428571423</v>
      </c>
      <c r="K12" s="185">
        <f t="shared" si="1"/>
        <v>75</v>
      </c>
      <c r="L12" s="47">
        <f t="shared" si="2"/>
        <v>91.7</v>
      </c>
      <c r="M12" s="47">
        <f t="shared" si="3"/>
        <v>100</v>
      </c>
      <c r="N12" s="47">
        <f t="shared" si="4"/>
        <v>16.700000000000003</v>
      </c>
      <c r="P12">
        <f>L12*Assumption!$E$53 + M12*Assumption!$F$53 + N12*Assumption!$G$53</f>
        <v>56.274999999999999</v>
      </c>
      <c r="R12" cm="1">
        <f t="array" ref="R12">_xlfn.PERCENTRANK.EXC(_xlfn._xlws.FILTER(P$4:P$16, ISNUMBER(P$4:P$16)),P12)*100</f>
        <v>57.099999999999994</v>
      </c>
    </row>
    <row r="13" spans="2:18" x14ac:dyDescent="0.3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-0.25222444999999999</v>
      </c>
      <c r="E13" s="9">
        <f>HLOOKUP(B13,'Monthly Returns'!$A$1:$Q$134, 132, FALSE)</f>
        <v>0.14049586776859505</v>
      </c>
      <c r="H13" s="9">
        <f>HLOOKUP(B13,'Yearly returns'!$B$1:$N$140, 133, FALSE)</f>
        <v>9.9173553719008267E-2</v>
      </c>
      <c r="I13" s="9">
        <f>HLOOKUP(B13,'Yearly returns'!$B$1:$N$140, 138, FALSE)</f>
        <v>0.72899999999999998</v>
      </c>
      <c r="J13" s="183">
        <f t="shared" si="0"/>
        <v>7.117647058823529</v>
      </c>
      <c r="K13" s="185">
        <f t="shared" si="1"/>
        <v>41.6</v>
      </c>
      <c r="L13" s="47">
        <f t="shared" si="2"/>
        <v>41.7</v>
      </c>
      <c r="M13" s="47">
        <f t="shared" si="3"/>
        <v>75</v>
      </c>
      <c r="N13" s="47">
        <f t="shared" si="4"/>
        <v>100</v>
      </c>
      <c r="P13">
        <f>L13*Assumption!$E$53 + M13*Assumption!$F$53 + N13*Assumption!$G$53</f>
        <v>79.174999999999997</v>
      </c>
      <c r="R13" cm="1">
        <f t="array" ref="R13">_xlfn.PERCENTRANK.EXC(_xlfn._xlws.FILTER(P$4:P$16, ISNUMBER(P$4:P$16)),P13)*100</f>
        <v>85.7</v>
      </c>
    </row>
    <row r="14" spans="2:18" x14ac:dyDescent="0.3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-0.19786621000000001</v>
      </c>
      <c r="E14" s="9">
        <f>HLOOKUP(B14,'Monthly Returns'!$A$1:$Q$134, 132, FALSE)</f>
        <v>0.15702479338842976</v>
      </c>
      <c r="H14" s="9">
        <f>HLOOKUP(B14,'Yearly returns'!$B$1:$N$140, 133, FALSE)</f>
        <v>9.9173553719008267E-2</v>
      </c>
      <c r="I14" s="9">
        <f>HLOOKUP(B14,'Yearly returns'!$B$1:$N$140, 138, FALSE)</f>
        <v>0.90900000000000003</v>
      </c>
      <c r="J14" s="183">
        <f t="shared" si="0"/>
        <v>6.3684210526315788</v>
      </c>
      <c r="K14" s="185">
        <f t="shared" si="1"/>
        <v>16.600000000000001</v>
      </c>
      <c r="L14" s="47">
        <f t="shared" si="2"/>
        <v>16.700000000000003</v>
      </c>
      <c r="M14" s="47">
        <f t="shared" si="3"/>
        <v>75</v>
      </c>
      <c r="N14" s="47">
        <f t="shared" si="4"/>
        <v>58.400000000000006</v>
      </c>
      <c r="P14">
        <f>L14*Assumption!$E$53 + M14*Assumption!$F$53 + N14*Assumption!$G$53</f>
        <v>52.125</v>
      </c>
      <c r="R14" cm="1">
        <f t="array" ref="R14">_xlfn.PERCENTRANK.EXC(_xlfn._xlws.FILTER(P$4:P$16, ISNUMBER(P$4:P$16)),P14)*100</f>
        <v>50</v>
      </c>
    </row>
    <row r="15" spans="2:18" x14ac:dyDescent="0.3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-0.22730219000000002</v>
      </c>
      <c r="E15" s="9">
        <f>HLOOKUP(B15,'Monthly Returns'!$A$1:$Q$134, 132, FALSE)</f>
        <v>0.1487603305785124</v>
      </c>
      <c r="H15" s="9">
        <f>HLOOKUP(B15,'Yearly returns'!$B$1:$N$140, 133, FALSE)</f>
        <v>0.18181818181818182</v>
      </c>
      <c r="I15" s="9">
        <f>HLOOKUP(B15,'Yearly returns'!$B$1:$N$140, 138, FALSE)</f>
        <v>0.92600000000000005</v>
      </c>
      <c r="J15" s="183">
        <f t="shared" si="0"/>
        <v>6.7222222222222223</v>
      </c>
      <c r="K15" s="185">
        <f t="shared" si="1"/>
        <v>25</v>
      </c>
      <c r="L15" s="47">
        <f t="shared" si="2"/>
        <v>33.4</v>
      </c>
      <c r="M15" s="47">
        <f t="shared" si="3"/>
        <v>25</v>
      </c>
      <c r="N15" s="47">
        <f t="shared" si="4"/>
        <v>33.4</v>
      </c>
      <c r="P15">
        <f>L15*Assumption!$E$53 + M15*Assumption!$F$53 + N15*Assumption!$G$53</f>
        <v>31.299999999999997</v>
      </c>
      <c r="R15" cm="1">
        <f t="array" ref="R15">_xlfn.PERCENTRANK.EXC(_xlfn._xlws.FILTER(P$4:P$16, ISNUMBER(P$4:P$16)),P15)*100</f>
        <v>14.2</v>
      </c>
    </row>
    <row r="16" spans="2:18" x14ac:dyDescent="0.3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-0.26656680999999999</v>
      </c>
      <c r="E16" s="9">
        <f>HLOOKUP(B16,'Monthly Returns'!$A$1:$Q$134, 132, FALSE)</f>
        <v>0.16528925619834711</v>
      </c>
      <c r="H16" s="9">
        <f>HLOOKUP(B16,'Yearly returns'!$B$1:$N$140, 133, FALSE)</f>
        <v>0.256198347107438</v>
      </c>
      <c r="I16" s="9">
        <f>HLOOKUP(B16,'Yearly returns'!$B$1:$N$140, 138, FALSE)</f>
        <v>0.82699999999999996</v>
      </c>
      <c r="J16" s="183">
        <f t="shared" si="0"/>
        <v>6.05</v>
      </c>
      <c r="K16" s="185">
        <f t="shared" si="1"/>
        <v>0</v>
      </c>
      <c r="L16" s="47">
        <f t="shared" si="2"/>
        <v>8.3999999999999968</v>
      </c>
      <c r="M16" s="47">
        <f t="shared" si="3"/>
        <v>0</v>
      </c>
      <c r="N16" s="47">
        <f t="shared" si="4"/>
        <v>75</v>
      </c>
      <c r="P16">
        <f>L16*Assumption!$E$53 + M16*Assumption!$F$53 + N16*Assumption!$G$53</f>
        <v>39.6</v>
      </c>
      <c r="R16" cm="1">
        <f t="array" ref="R16">_xlfn.PERCENTRANK.EXC(_xlfn._xlws.FILTER(P$4:P$16, ISNUMBER(P$4:P$16)),P16)*100</f>
        <v>28.499999999999996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0.45900000000000002</v>
      </c>
      <c r="G5" s="141" cm="1">
        <f t="array" ref="G5">_xll.FDSZ(C5,"FG_PRICE(0)")</f>
        <v>48.93</v>
      </c>
      <c r="H5" s="141" cm="1">
        <f t="array" ref="H5">_xll.FDSZ(C5,"FG_PRICE_MAVG(0,,,,30)")</f>
        <v>49.3035</v>
      </c>
      <c r="I5" s="141" cm="1">
        <f t="array" ref="I5">_xll.FDSZ(C5,"FG_PRICE_MAVG(0,,,,60)")</f>
        <v>47.945366</v>
      </c>
      <c r="J5" s="141" cm="1">
        <f t="array" ref="J5">_xll.FDSZ(C5,"FG_PRICE_MAVG(0,,,,200)")</f>
        <v>46.461936999999999</v>
      </c>
      <c r="L5">
        <f>IF($G5&gt;H5, 1, 0)</f>
        <v>0</v>
      </c>
      <c r="M5">
        <f>IF($G5&gt;I5, 1, 0)</f>
        <v>1</v>
      </c>
      <c r="N5">
        <f>IF($G5&gt;J5, 1, 0)</f>
        <v>1</v>
      </c>
      <c r="P5">
        <f>SUM(L5:N5)</f>
        <v>2</v>
      </c>
      <c r="R5" t="s">
        <v>839</v>
      </c>
      <c r="S5" s="7" cm="1">
        <f t="array" ref="S5">_xll.FDSZ($R5,"FG_PRICE(0)")</f>
        <v>414.84320000000002</v>
      </c>
      <c r="T5" s="7" cm="1">
        <f t="array" ref="T5">_xll.FDSZ($R5,"FG_PRICE(0)")</f>
        <v>414.84320000000002</v>
      </c>
      <c r="U5" s="7" cm="1">
        <f t="array" ref="U5">_xll.FDSZ($R5,"FG_PRICE(0)")</f>
        <v>414.84320000000002</v>
      </c>
      <c r="V5" s="7" cm="1">
        <f t="array" ref="V5">_xll.FDSZ($R5,"FG_PRICE(0)")</f>
        <v>414.84320000000002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0.81100000000000005</v>
      </c>
      <c r="G6" s="141" cm="1">
        <f t="array" ref="G6">_xll.FDSZ(C6,"FG_PRICE(0)")</f>
        <v>26.63</v>
      </c>
      <c r="H6" s="141" cm="1">
        <f t="array" ref="H6">_xll.FDSZ(C6,"FG_PRICE_MAVG(0,,,,30)")</f>
        <v>26.148</v>
      </c>
      <c r="I6" s="141" cm="1">
        <f t="array" ref="I6">_xll.FDSZ(C6,"FG_PRICE_MAVG(0,,,,60)")</f>
        <v>25.432333</v>
      </c>
      <c r="J6" s="141" cm="1">
        <f t="array" ref="J6">_xll.FDSZ(C6,"FG_PRICE_MAVG(0,,,,200)")</f>
        <v>24.532800000000002</v>
      </c>
      <c r="L6">
        <f t="shared" ref="L6:L17" si="0">IF($G6&gt;H6, 1, 0)</f>
        <v>1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3</v>
      </c>
      <c r="R6" t="s">
        <v>840</v>
      </c>
      <c r="S6" s="7" cm="1">
        <f t="array" ref="S6">_xll.FDSZ($R6,"FG_PRICE(0)")</f>
        <v>393.03607</v>
      </c>
      <c r="T6" s="7" cm="1">
        <f t="array" ref="T6">_xll.FDSZ($R6,"FG_PRICE(0)")</f>
        <v>393.03607</v>
      </c>
      <c r="U6" s="7" cm="1">
        <f t="array" ref="U6">_xll.FDSZ($R6,"FG_PRICE(0)")</f>
        <v>393.03607</v>
      </c>
      <c r="V6" s="7" cm="1">
        <f t="array" ref="V6">_xll.FDSZ($R6,"FG_PRICE(0)")</f>
        <v>393.03607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0.81100000000000005</v>
      </c>
      <c r="G7" s="141" cm="1">
        <f t="array" ref="G7">_xll.FDSZ(C7,"FG_PRICE(0)")</f>
        <v>41.42</v>
      </c>
      <c r="H7" s="141" cm="1">
        <f t="array" ref="H7">_xll.FDSZ(C7,"FG_PRICE_MAVG(0,,,,30)")</f>
        <v>40.605666999999997</v>
      </c>
      <c r="I7" s="141" cm="1">
        <f t="array" ref="I7">_xll.FDSZ(C7,"FG_PRICE_MAVG(0,,,,60)")</f>
        <v>39.476664999999997</v>
      </c>
      <c r="J7" s="141" cm="1">
        <f t="array" ref="J7">_xll.FDSZ(C7,"FG_PRICE_MAVG(0,,,,200)")</f>
        <v>37.861699999999999</v>
      </c>
      <c r="L7">
        <f t="shared" si="0"/>
        <v>1</v>
      </c>
      <c r="M7">
        <f t="shared" si="1"/>
        <v>1</v>
      </c>
      <c r="N7">
        <f t="shared" si="2"/>
        <v>1</v>
      </c>
      <c r="P7">
        <f t="shared" si="3"/>
        <v>3</v>
      </c>
      <c r="R7" t="s">
        <v>841</v>
      </c>
      <c r="S7" s="7" cm="1">
        <f t="array" ref="S7">_xll.FDSZ($R7,"FG_PRICE(0)")</f>
        <v>317.06393000000003</v>
      </c>
      <c r="T7" s="7" cm="1">
        <f t="array" ref="T7">_xll.FDSZ($R7,"FG_PRICE(0)")</f>
        <v>317.06393000000003</v>
      </c>
      <c r="U7" s="7" cm="1">
        <f t="array" ref="U7">_xll.FDSZ($R7,"FG_PRICE(0)")</f>
        <v>317.06393000000003</v>
      </c>
      <c r="V7" s="7" cm="1">
        <f t="array" ref="V7">_xll.FDSZ($R7,"FG_PRICE(0)")</f>
        <v>317.06393000000003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0.622</v>
      </c>
      <c r="G8" s="141" cm="1">
        <f t="array" ref="G8">_xll.FDSZ(C8,"FG_PRICE(0)")</f>
        <v>32.89</v>
      </c>
      <c r="H8" s="141" cm="1">
        <f t="array" ref="H8">_xll.FDSZ(C8,"FG_PRICE_MAVG(0,,,,30)")</f>
        <v>32.603670000000001</v>
      </c>
      <c r="I8" s="141" cm="1">
        <f t="array" ref="I8">_xll.FDSZ(C8,"FG_PRICE_MAVG(0,,,,60)")</f>
        <v>31.767166</v>
      </c>
      <c r="J8" s="141" cm="1">
        <f t="array" ref="J8">_xll.FDSZ(C8,"FG_PRICE_MAVG(0,,,,200)")</f>
        <v>30.927299999999999</v>
      </c>
      <c r="L8">
        <f t="shared" si="0"/>
        <v>1</v>
      </c>
      <c r="M8">
        <f t="shared" si="1"/>
        <v>1</v>
      </c>
      <c r="N8">
        <f t="shared" si="2"/>
        <v>1</v>
      </c>
      <c r="P8">
        <f t="shared" si="3"/>
        <v>3</v>
      </c>
      <c r="R8" t="s">
        <v>838</v>
      </c>
      <c r="S8" s="7" cm="1">
        <f t="array" ref="S8">_xll.FDSZ($R8,"FG_PRICE(0)")</f>
        <v>9.6638660000000005</v>
      </c>
      <c r="T8" s="7" cm="1">
        <f t="array" ref="T8">_xll.FDSZ($R8,"FG_PRICE(0)")</f>
        <v>9.6638660000000005</v>
      </c>
      <c r="U8" s="7" cm="1">
        <f t="array" ref="U8">_xll.FDSZ($R8,"FG_PRICE(0)")</f>
        <v>9.6638660000000005</v>
      </c>
      <c r="V8" s="7" cm="1">
        <f t="array" ref="V8">_xll.FDSZ($R8,"FG_PRICE(0)")</f>
        <v>9.6638660000000005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0.40899999999999997</v>
      </c>
      <c r="G9" s="141" cm="1">
        <f t="array" ref="G9">_xll.FDSZ(C9,"FG_PRICE(0)")</f>
        <v>70.95</v>
      </c>
      <c r="H9" s="141" cm="1">
        <f t="array" ref="H9">_xll.FDSZ(C9,"FG_PRICE_MAVG(0,,,,30)")</f>
        <v>70.77</v>
      </c>
      <c r="I9" s="141" cm="1">
        <f t="array" ref="I9">_xll.FDSZ(C9,"FG_PRICE_MAVG(0,,,,60)")</f>
        <v>69.656670000000005</v>
      </c>
      <c r="J9" s="141" cm="1">
        <f t="array" ref="J9">_xll.FDSZ(C9,"FG_PRICE_MAVG(0,,,,200)")</f>
        <v>68.367050000000006</v>
      </c>
      <c r="L9">
        <f t="shared" si="0"/>
        <v>1</v>
      </c>
      <c r="M9">
        <f t="shared" si="1"/>
        <v>1</v>
      </c>
      <c r="N9">
        <f t="shared" si="2"/>
        <v>1</v>
      </c>
      <c r="P9">
        <f t="shared" si="3"/>
        <v>3</v>
      </c>
      <c r="R9" t="s">
        <v>842</v>
      </c>
      <c r="S9" s="7" cm="1">
        <f t="array" ref="S9">_xll.FDSZ($R9,"FG_PRICE(0)")</f>
        <v>180.39697000000001</v>
      </c>
      <c r="T9" s="7" cm="1">
        <f t="array" ref="T9">_xll.FDSZ($R9,"FG_PRICE(0)")</f>
        <v>180.39697000000001</v>
      </c>
      <c r="U9" s="7" cm="1">
        <f t="array" ref="U9">_xll.FDSZ($R9,"FG_PRICE(0)")</f>
        <v>180.39697000000001</v>
      </c>
      <c r="V9" s="7" cm="1">
        <f t="array" ref="V9">_xll.FDSZ($R9,"FG_PRICE(0)")</f>
        <v>180.39697000000001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0.20399999999999999</v>
      </c>
      <c r="G10" s="141" cm="1">
        <f t="array" ref="G10">_xll.FDSZ(C10,"FG_PRICE(0)")</f>
        <v>50.96</v>
      </c>
      <c r="H10" s="141" cm="1">
        <f t="array" ref="H10">_xll.FDSZ(C10,"FG_PRICE_MAVG(0,,,,30)")</f>
        <v>51.715331999999997</v>
      </c>
      <c r="I10" s="141" cm="1">
        <f t="array" ref="I10">_xll.FDSZ(C10,"FG_PRICE_MAVG(0,,,,60)")</f>
        <v>50.828167000000001</v>
      </c>
      <c r="J10" s="141" cm="1">
        <f t="array" ref="J10">_xll.FDSZ(C10,"FG_PRICE_MAVG(0,,,,200)")</f>
        <v>48.538350000000001</v>
      </c>
      <c r="L10">
        <f t="shared" si="0"/>
        <v>0</v>
      </c>
      <c r="M10">
        <f t="shared" si="1"/>
        <v>1</v>
      </c>
      <c r="N10">
        <f t="shared" si="2"/>
        <v>1</v>
      </c>
      <c r="P10">
        <f t="shared" si="3"/>
        <v>2</v>
      </c>
      <c r="R10" t="s">
        <v>843</v>
      </c>
      <c r="S10" s="7" cm="1">
        <f t="array" ref="S10">_xll.FDSZ($R10,"FG_PRICE(0)")</f>
        <v>348.31799999999998</v>
      </c>
      <c r="T10" s="7" cm="1">
        <f t="array" ref="T10">_xll.FDSZ($R10,"FG_PRICE(0)")</f>
        <v>348.31799999999998</v>
      </c>
      <c r="U10" s="7" cm="1">
        <f t="array" ref="U10">_xll.FDSZ($R10,"FG_PRICE(0)")</f>
        <v>348.31799999999998</v>
      </c>
      <c r="V10" s="7" cm="1">
        <f t="array" ref="V10">_xll.FDSZ($R10,"FG_PRICE(0)")</f>
        <v>348.31799999999998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0.40899999999999997</v>
      </c>
      <c r="G11" s="141" cm="1">
        <f t="array" ref="G11">_xll.FDSZ(C11,"FG_PRICE(0)")</f>
        <v>36.83</v>
      </c>
      <c r="H11" s="141" cm="1">
        <f t="array" ref="H11">_xll.FDSZ(C11,"FG_PRICE_MAVG(0,,,,30)")</f>
        <v>37.149666000000003</v>
      </c>
      <c r="I11" s="141" cm="1">
        <f t="array" ref="I11">_xll.FDSZ(C11,"FG_PRICE_MAVG(0,,,,60)")</f>
        <v>36.453167000000001</v>
      </c>
      <c r="J11" s="141" cm="1">
        <f t="array" ref="J11">_xll.FDSZ(C11,"FG_PRICE_MAVG(0,,,,200)")</f>
        <v>34.748249999999999</v>
      </c>
      <c r="L11">
        <f t="shared" si="0"/>
        <v>0</v>
      </c>
      <c r="M11">
        <f t="shared" si="1"/>
        <v>1</v>
      </c>
      <c r="N11">
        <f t="shared" si="2"/>
        <v>1</v>
      </c>
      <c r="P11">
        <f t="shared" si="3"/>
        <v>2</v>
      </c>
      <c r="R11" t="s">
        <v>844</v>
      </c>
      <c r="S11" s="7" cm="1">
        <f t="array" ref="S11">_xll.FDSZ($R11,"FG_PRICE(0)")</f>
        <v>132.94900000000001</v>
      </c>
      <c r="T11" s="7" cm="1">
        <f t="array" ref="T11">_xll.FDSZ($R11,"FG_PRICE(0)")</f>
        <v>132.94900000000001</v>
      </c>
      <c r="U11" s="7" cm="1">
        <f t="array" ref="U11">_xll.FDSZ($R11,"FG_PRICE(0)")</f>
        <v>132.94900000000001</v>
      </c>
      <c r="V11" s="7" cm="1">
        <f t="array" ref="V11">_xll.FDSZ($R11,"FG_PRICE(0)")</f>
        <v>132.94900000000001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0.70399999999999996</v>
      </c>
      <c r="G12" s="141" cm="1">
        <f t="array" ref="G12">_xll.FDSZ(C12,"FG_PRICE(0)")</f>
        <v>481.59</v>
      </c>
      <c r="H12" s="141" cm="1">
        <f t="array" ref="H12">_xll.FDSZ(C12,"FG_PRICE_MAVG(0,,,,30)")</f>
        <v>474.49932999999999</v>
      </c>
      <c r="I12" s="141" cm="1">
        <f t="array" ref="I12">_xll.FDSZ(C12,"FG_PRICE_MAVG(0,,,,60)")</f>
        <v>471.29183999999998</v>
      </c>
      <c r="J12" s="141" cm="1">
        <f t="array" ref="J12">_xll.FDSZ(C12,"FG_PRICE_MAVG(0,,,,200)")</f>
        <v>449.49360000000001</v>
      </c>
      <c r="L12">
        <f t="shared" si="0"/>
        <v>1</v>
      </c>
      <c r="M12">
        <f t="shared" si="1"/>
        <v>1</v>
      </c>
      <c r="N12">
        <f t="shared" si="2"/>
        <v>1</v>
      </c>
      <c r="P12">
        <f t="shared" si="3"/>
        <v>3</v>
      </c>
      <c r="R12" t="s">
        <v>845</v>
      </c>
      <c r="S12" s="7" cm="1">
        <f t="array" ref="S12">_xll.FDSZ($R12,"FG_PRICE(0)")</f>
        <v>425.87115</v>
      </c>
      <c r="T12" s="7" cm="1">
        <f t="array" ref="T12">_xll.FDSZ($R12,"FG_PRICE(0)")</f>
        <v>425.87115</v>
      </c>
      <c r="U12" s="7" cm="1">
        <f t="array" ref="U12">_xll.FDSZ($R12,"FG_PRICE(0)")</f>
        <v>425.87115</v>
      </c>
      <c r="V12" s="7" cm="1">
        <f t="array" ref="V12">_xll.FDSZ($R12,"FG_PRICE(0)")</f>
        <v>425.87115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0.71299999999999997</v>
      </c>
      <c r="G13" s="141" cm="1">
        <f t="array" ref="G13">_xll.FDSZ(C13,"FG_PRICE(0)")</f>
        <v>567.82000000000005</v>
      </c>
      <c r="H13" s="141" cm="1">
        <f t="array" ref="H13">_xll.FDSZ(C13,"FG_PRICE_MAVG(0,,,,30)")</f>
        <v>561.50432999999998</v>
      </c>
      <c r="I13" s="141" cm="1">
        <f t="array" ref="I13">_xll.FDSZ(C13,"FG_PRICE_MAVG(0,,,,60)")</f>
        <v>553.66283999999996</v>
      </c>
      <c r="J13" s="141" cm="1">
        <f t="array" ref="J13">_xll.FDSZ(C13,"FG_PRICE_MAVG(0,,,,200)")</f>
        <v>523.50414999999998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845</v>
      </c>
      <c r="S13" s="7" cm="1">
        <f t="array" ref="S13">_xll.FDSZ($R13,"FG_PRICE(0)")</f>
        <v>425.87115</v>
      </c>
      <c r="T13" s="7" cm="1">
        <f t="array" ref="T13">_xll.FDSZ($R13,"FG_PRICE(0)")</f>
        <v>425.87115</v>
      </c>
      <c r="U13" s="7" cm="1">
        <f t="array" ref="U13">_xll.FDSZ($R13,"FG_PRICE(0)")</f>
        <v>425.87115</v>
      </c>
      <c r="V13" s="7" cm="1">
        <f t="array" ref="V13">_xll.FDSZ($R13,"FG_PRICE(0)")</f>
        <v>425.87115</v>
      </c>
    </row>
    <row r="14" spans="1:22" x14ac:dyDescent="0.3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0.377</v>
      </c>
      <c r="G14" s="141" cm="1">
        <f t="array" ref="G14">_xll.FDSZ(C14,"FG_PRICE(0)")</f>
        <v>39.07</v>
      </c>
      <c r="H14" s="141" cm="1">
        <f t="array" ref="H14">_xll.FDSZ(C14,"FG_PRICE_MAVG(0,,,,30)")</f>
        <v>39.609000000000002</v>
      </c>
      <c r="I14" s="141" cm="1">
        <f t="array" ref="I14">_xll.FDSZ(C14,"FG_PRICE_MAVG(0,,,,60)")</f>
        <v>38.988334999999999</v>
      </c>
      <c r="J14" s="141" cm="1">
        <f t="array" ref="J14">_xll.FDSZ(C14,"FG_PRICE_MAVG(0,,,,200)")</f>
        <v>39.648772999999998</v>
      </c>
      <c r="L14">
        <f t="shared" si="0"/>
        <v>0</v>
      </c>
      <c r="M14">
        <f t="shared" si="1"/>
        <v>1</v>
      </c>
      <c r="N14">
        <f t="shared" si="2"/>
        <v>0</v>
      </c>
      <c r="P14">
        <f t="shared" si="3"/>
        <v>1</v>
      </c>
      <c r="R14" t="s">
        <v>845</v>
      </c>
      <c r="S14" s="7" cm="1">
        <f t="array" ref="S14">_xll.FDSZ($R14,"FG_PRICE(0)")</f>
        <v>425.87115</v>
      </c>
      <c r="T14" s="7" cm="1">
        <f t="array" ref="T14">_xll.FDSZ($R14,"FG_PRICE(0)")</f>
        <v>425.87115</v>
      </c>
      <c r="U14" s="7" cm="1">
        <f t="array" ref="U14">_xll.FDSZ($R14,"FG_PRICE(0)")</f>
        <v>425.87115</v>
      </c>
      <c r="V14" s="7" cm="1">
        <f t="array" ref="V14">_xll.FDSZ($R14,"FG_PRICE(0)")</f>
        <v>425.87115</v>
      </c>
    </row>
    <row r="15" spans="1:22" x14ac:dyDescent="0.3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0.5</v>
      </c>
      <c r="G15" s="141" cm="1">
        <f t="array" ref="G15">_xll.FDSZ(C15,"FG_PRICE(0)")</f>
        <v>50</v>
      </c>
      <c r="H15" s="141" cm="1">
        <f t="array" ref="H15">_xll.FDSZ(C15,"FG_PRICE_MAVG(0,,,,30)")</f>
        <v>49.713332999999999</v>
      </c>
      <c r="I15" s="141" cm="1">
        <f t="array" ref="I15">_xll.FDSZ(C15,"FG_PRICE_MAVG(0,,,,60)")</f>
        <v>49.472000000000001</v>
      </c>
      <c r="J15" s="141" cm="1">
        <f t="array" ref="J15">_xll.FDSZ(C15,"FG_PRICE_MAVG(0,,,,200)")</f>
        <v>48.632525999999999</v>
      </c>
      <c r="L15">
        <f t="shared" si="0"/>
        <v>1</v>
      </c>
      <c r="M15">
        <f t="shared" si="1"/>
        <v>1</v>
      </c>
      <c r="N15">
        <f t="shared" si="2"/>
        <v>1</v>
      </c>
      <c r="P15">
        <f t="shared" si="3"/>
        <v>3</v>
      </c>
      <c r="R15" t="s">
        <v>845</v>
      </c>
      <c r="S15" s="7" cm="1">
        <f t="array" ref="S15">_xll.FDSZ($R15,"FG_PRICE(0)")</f>
        <v>425.87115</v>
      </c>
      <c r="T15" s="7" cm="1">
        <f t="array" ref="T15">_xll.FDSZ($R15,"FG_PRICE(0)")</f>
        <v>425.87115</v>
      </c>
      <c r="U15" s="7" cm="1">
        <f t="array" ref="U15">_xll.FDSZ($R15,"FG_PRICE(0)")</f>
        <v>425.87115</v>
      </c>
      <c r="V15" s="7" cm="1">
        <f t="array" ref="V15">_xll.FDSZ($R15,"FG_PRICE(0)")</f>
        <v>425.87115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0.622</v>
      </c>
      <c r="G16" s="141" cm="1">
        <f t="array" ref="G16">_xll.FDSZ(C16,"FG_PRICE(0)")</f>
        <v>42.05</v>
      </c>
      <c r="H16" s="141" cm="1">
        <f t="array" ref="H16">_xll.FDSZ(C16,"FG_PRICE_MAVG(0,,,,30)")</f>
        <v>41.841000000000001</v>
      </c>
      <c r="I16" s="141" cm="1">
        <f t="array" ref="I16">_xll.FDSZ(C16,"FG_PRICE_MAVG(0,,,,60)")</f>
        <v>40.859000000000002</v>
      </c>
      <c r="J16" s="141" cm="1">
        <f t="array" ref="J16">_xll.FDSZ(C16,"FG_PRICE_MAVG(0,,,,200)")</f>
        <v>39.954124</v>
      </c>
      <c r="L16">
        <f t="shared" si="0"/>
        <v>1</v>
      </c>
      <c r="M16">
        <f t="shared" si="1"/>
        <v>1</v>
      </c>
      <c r="N16">
        <f t="shared" si="2"/>
        <v>1</v>
      </c>
      <c r="P16">
        <f t="shared" si="3"/>
        <v>3</v>
      </c>
      <c r="R16" t="s">
        <v>845</v>
      </c>
      <c r="S16" s="7" cm="1">
        <f t="array" ref="S16">_xll.FDSZ($R16,"FG_PRICE(0)")</f>
        <v>425.87115</v>
      </c>
      <c r="T16" s="7" cm="1">
        <f t="array" ref="T16">_xll.FDSZ($R16,"FG_PRICE(0)")</f>
        <v>425.87115</v>
      </c>
      <c r="U16" s="7" cm="1">
        <f t="array" ref="U16">_xll.FDSZ($R16,"FG_PRICE(0)")</f>
        <v>425.87115</v>
      </c>
      <c r="V16" s="7" cm="1">
        <f t="array" ref="V16">_xll.FDSZ($R16,"FG_PRICE(0)")</f>
        <v>425.87115</v>
      </c>
    </row>
    <row r="17" spans="1:22" x14ac:dyDescent="0.3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0.311</v>
      </c>
      <c r="G17" s="141" cm="1">
        <f t="array" ref="G17">_xll.FDSZ(C17,"FG_PRICE(0)")</f>
        <v>37.479999999999997</v>
      </c>
      <c r="H17" s="141" cm="1">
        <f t="array" ref="H17">_xll.FDSZ(C17,"FG_PRICE_MAVG(0,,,,30)")</f>
        <v>38.350665999999997</v>
      </c>
      <c r="I17" s="141" cm="1">
        <f t="array" ref="I17">_xll.FDSZ(C17,"FG_PRICE_MAVG(0,,,,60)")</f>
        <v>37.6175</v>
      </c>
      <c r="J17" s="141" cm="1">
        <f t="array" ref="J17">_xll.FDSZ(C17,"FG_PRICE_MAVG(0,,,,200)")</f>
        <v>36.542400000000001</v>
      </c>
      <c r="L17">
        <f t="shared" si="0"/>
        <v>0</v>
      </c>
      <c r="M17">
        <f t="shared" si="1"/>
        <v>0</v>
      </c>
      <c r="N17">
        <f t="shared" si="2"/>
        <v>1</v>
      </c>
      <c r="P17">
        <f t="shared" si="3"/>
        <v>1</v>
      </c>
      <c r="R17" t="s">
        <v>845</v>
      </c>
      <c r="S17" s="7" cm="1">
        <f t="array" ref="S17">_xll.FDSZ($R17,"FG_PRICE(0)")</f>
        <v>425.87115</v>
      </c>
      <c r="T17" s="7" cm="1">
        <f t="array" ref="T17">_xll.FDSZ($R17,"FG_PRICE(0)")</f>
        <v>425.87115</v>
      </c>
      <c r="U17" s="7" cm="1">
        <f t="array" ref="U17">_xll.FDSZ($R17,"FG_PRICE(0)")</f>
        <v>425.87115</v>
      </c>
      <c r="V17" s="7" cm="1">
        <f t="array" ref="V17">_xll.FDSZ($R17,"FG_PRICE(0)")</f>
        <v>425.87115</v>
      </c>
    </row>
    <row r="19" spans="1:22" x14ac:dyDescent="0.35">
      <c r="K19" s="1" t="s">
        <v>906</v>
      </c>
      <c r="L19" s="1">
        <f>SUM(L5:L17)</f>
        <v>8</v>
      </c>
      <c r="M19" s="1">
        <f t="shared" ref="M19:N19" si="4">SUM(M5:M17)</f>
        <v>12</v>
      </c>
      <c r="N19" s="1">
        <f t="shared" si="4"/>
        <v>12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2">
        <f>L19/L20</f>
        <v>0.61538461538461542</v>
      </c>
      <c r="M22" s="182">
        <f t="shared" ref="M22:N22" si="6">M19/M20</f>
        <v>0.92307692307692313</v>
      </c>
      <c r="N22" s="182">
        <f t="shared" si="6"/>
        <v>0.92307692307692313</v>
      </c>
    </row>
    <row r="23" spans="1:22" x14ac:dyDescent="0.3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3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3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3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35">
      <c r="A3" t="s">
        <v>794</v>
      </c>
      <c r="B3" t="s">
        <v>795</v>
      </c>
      <c r="C3" cm="1">
        <f t="array" ref="C3">_xll.FDS($A3,"FG_PRICE(0)")</f>
        <v>108.31</v>
      </c>
      <c r="D3" cm="1">
        <f t="array" ref="D3">_xll.FDS($A3,"FG_PRICE_MAVG(0,,,,30)")</f>
        <v>95.558334000000002</v>
      </c>
      <c r="E3" s="47" cm="1">
        <f t="array" ref="E3">_xll.FDS($A3,"FG_PRICE_CHANGE(0,-1AM)")</f>
        <v>7.71755345599205</v>
      </c>
      <c r="F3" s="47" cm="1">
        <f t="array" ref="F3">_xll.FDS($A3,"FG_PRICE_CHANGE(0,-3AM)")</f>
        <v>-4.2013090394480797</v>
      </c>
      <c r="G3" s="47" cm="1">
        <f t="array" ref="G3">_xll.FDS($A3,"FG_PRICE_CHANGE(0,-6AM)")</f>
        <v>7.8677422567473299</v>
      </c>
      <c r="H3" s="47" cm="1">
        <f t="array" ref="H3">_xll.FDS($A3,"FG_PRICE_CHANGE(0,-1AY)")</f>
        <v>-8.5528537656197194</v>
      </c>
      <c r="I3" s="47" cm="1">
        <f t="array" ref="I3">_xll.FDS($A3,"FG_PRICE(0)/MAX(FG_PRICE(0,-1AY))")</f>
        <v>0.75131798002219796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0</v>
      </c>
      <c r="T3">
        <f>S3</f>
        <v>0</v>
      </c>
    </row>
    <row r="4" spans="1:20" x14ac:dyDescent="0.35">
      <c r="A4" t="s">
        <v>796</v>
      </c>
      <c r="B4" t="s">
        <v>797</v>
      </c>
      <c r="C4" cm="1">
        <f t="array" ref="C4">_xll.FDS($A4,"FG_PRICE(0)")</f>
        <v>4.5019999999999998</v>
      </c>
      <c r="D4" cm="1">
        <f t="array" ref="D4">_xll.FDS($A4,"FG_PRICE_MAVG(0,,,,30)")</f>
        <v>4.2501499999999997</v>
      </c>
      <c r="E4" s="47" cm="1">
        <f t="array" ref="E4">_xll.FDS($A4,"FG_PRICE_CHANGE(0,-1AM)")</f>
        <v>11.656746031746</v>
      </c>
      <c r="F4" s="47" cm="1">
        <f t="array" ref="F4">_xll.FDS($A4,"FG_PRICE_CHANGE(0,-3AM)")</f>
        <v>-0.858841664831544</v>
      </c>
      <c r="G4" s="47" cm="1">
        <f t="array" ref="G4">_xll.FDS($A4,"FG_PRICE_CHANGE(0,-6AM)")</f>
        <v>7.3694252325304097</v>
      </c>
      <c r="H4" s="47" cm="1">
        <f t="array" ref="H4">_xll.FDS($A4,"FG_PRICE_CHANGE(0,-1AY)")</f>
        <v>24.5194302309501</v>
      </c>
      <c r="I4" s="47" cm="1">
        <f t="array" ref="I4">_xll.FDS($A4,"FG_PRICE(0)/MAX(FG_PRICE(0,-1AY))")</f>
        <v>0.87946864621996501</v>
      </c>
      <c r="J4" cm="1">
        <f t="array" ref="J4">_xll.FDS($A4,"MAX(FG_PRICE(0,-5AY))")</f>
        <v>5.1189999999999998</v>
      </c>
      <c r="P4" t="s">
        <v>27</v>
      </c>
      <c r="Q4" t="s">
        <v>433</v>
      </c>
      <c r="R4" t="s">
        <v>27</v>
      </c>
      <c r="S4">
        <f>IF(E4&lt;$C$19, 1, IF(E4&gt;$C$20,-1,0))</f>
        <v>-1</v>
      </c>
      <c r="T4">
        <f t="shared" ref="T4:T5" si="0">S4</f>
        <v>-1</v>
      </c>
    </row>
    <row r="5" spans="1:20" x14ac:dyDescent="0.3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-11.1088104358629</v>
      </c>
      <c r="I5" s="47" cm="1">
        <f t="array" ref="I5">_xll.FDS($A5,"FG_PRICE(0)/MAX(FG_PRICE(0,-1AY))")</f>
        <v>0.88744186046511597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-1</v>
      </c>
      <c r="T5">
        <f t="shared" si="0"/>
        <v>-1</v>
      </c>
    </row>
    <row r="6" spans="1:20" x14ac:dyDescent="0.35">
      <c r="A6" t="s">
        <v>799</v>
      </c>
      <c r="B6" t="s">
        <v>800</v>
      </c>
      <c r="C6" cm="1">
        <f t="array" ref="C6">_xll.FDS($A6,"FG_PRICE(0)")</f>
        <v>6.0350000000000001</v>
      </c>
      <c r="D6" cm="1">
        <f t="array" ref="D6">_xll.FDS($A6,"FG_PRICE_MAVG(0,,,,30)")</f>
        <v>5.6050000000000004</v>
      </c>
      <c r="E6" s="47" cm="1">
        <f t="array" ref="E6">_xll.FDS($A6,"FG_PRICE_CHANGE(0,-1AM)")</f>
        <v>9.3297101449275406</v>
      </c>
      <c r="F6" s="47" cm="1">
        <f t="array" ref="F6">_xll.FDS($A6,"FG_PRICE_CHANGE(0,-3AM)")</f>
        <v>8.8367899008115405</v>
      </c>
      <c r="G6" s="47" cm="1">
        <f t="array" ref="G6">_xll.FDS($A6,"FG_PRICE_CHANGE(0,-6AM)")</f>
        <v>8.5431654676259008</v>
      </c>
      <c r="H6" s="47" cm="1">
        <f t="array" ref="H6">_xll.FDS($A6,"FG_PRICE_CHANGE(0,-1AY)")</f>
        <v>6.1565523306948302</v>
      </c>
      <c r="I6" s="47" cm="1">
        <f t="array" ref="I6">_xll.FDS($A6,"FG_PRICE(0)/MAX(FG_PRICE(0,-1AY))")</f>
        <v>0.86183505890753298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801</v>
      </c>
      <c r="B7" t="s">
        <v>802</v>
      </c>
      <c r="C7" cm="1">
        <f t="array" ref="C7">_xll.FDS($A7,"FG_PRICE(0)")</f>
        <v>4267</v>
      </c>
      <c r="D7" cm="1">
        <f t="array" ref="D7">_xll.FDS($A7,"FG_PRICE_MAVG(0,,,,30)")</f>
        <v>4038.0333999999998</v>
      </c>
      <c r="E7" s="47" cm="1">
        <f t="array" ref="E7">_xll.FDS($A7,"FG_PRICE_CHANGE(0,-1AM)")</f>
        <v>6.1442786069651802</v>
      </c>
      <c r="F7" s="47" cm="1">
        <f t="array" ref="F7">_xll.FDS($A7,"FG_PRICE_CHANGE(0,-3AM)")</f>
        <v>3.2421969513670499</v>
      </c>
      <c r="G7" s="47" cm="1">
        <f t="array" ref="G7">_xll.FDS($A7,"FG_PRICE_CHANGE(0,-6AM)")</f>
        <v>-6.8137147848875301</v>
      </c>
      <c r="H7" s="47" cm="1">
        <f t="array" ref="H7">_xll.FDS($A7,"FG_PRICE_CHANGE(0,-1AY)")</f>
        <v>17.0965971459934</v>
      </c>
      <c r="I7" s="47" cm="1">
        <f t="array" ref="I7">_xll.FDS($A7,"FG_PRICE(0)/MAX(FG_PRICE(0,-1AY))")</f>
        <v>0.93186285215112497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803</v>
      </c>
      <c r="B8" t="s">
        <v>804</v>
      </c>
      <c r="C8" cm="1">
        <f t="array" ref="C8">_xll.FDS($A8,"FG_PRICE(0)")</f>
        <v>990</v>
      </c>
      <c r="D8" cm="1">
        <f t="array" ref="D8">_xll.FDS($A8,"FG_PRICE_MAVG(0,,,,30)")</f>
        <v>970.6</v>
      </c>
      <c r="E8" s="47" cm="1">
        <f t="array" ref="E8">_xll.FDS($A8,"FG_PRICE_CHANGE(0,-1AM)")</f>
        <v>8.1967213114754198</v>
      </c>
      <c r="F8" s="47" cm="1">
        <f t="array" ref="F8">_xll.FDS($A8,"FG_PRICE_CHANGE(0,-3AM)")</f>
        <v>-1.4925373134328399</v>
      </c>
      <c r="G8" s="47" cm="1">
        <f t="array" ref="G8">_xll.FDS($A8,"FG_PRICE_CHANGE(0,-6AM)")</f>
        <v>6.1093247588424502</v>
      </c>
      <c r="H8" s="47" cm="1">
        <f t="array" ref="H8">_xll.FDS($A8,"FG_PRICE_CHANGE(0,-1AY)")</f>
        <v>11.612175873731699</v>
      </c>
      <c r="I8" s="47" cm="1">
        <f t="array" ref="I8">_xll.FDS($A8,"FG_PRICE(0)/MAX(FG_PRICE(0,-1AY))")</f>
        <v>0.92609915809167398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805</v>
      </c>
      <c r="B9" t="s">
        <v>806</v>
      </c>
      <c r="C9" cm="1">
        <f t="array" ref="C9">_xll.FDS($A9,"FG_PRICE(0)")</f>
        <v>17920</v>
      </c>
      <c r="D9" cm="1">
        <f t="array" ref="D9">_xll.FDS($A9,"FG_PRICE_MAVG(0,,,,30)")</f>
        <v>16372.333000000001</v>
      </c>
      <c r="E9" s="47" cm="1">
        <f t="array" ref="E9">_xll.FDS($A9,"FG_PRICE_CHANGE(0,-1AM)")</f>
        <v>10.039914031317201</v>
      </c>
      <c r="F9" s="47" cm="1">
        <f t="array" ref="F9">_xll.FDS($A9,"FG_PRICE_CHANGE(0,-3AM)")</f>
        <v>4.73407364114553</v>
      </c>
      <c r="G9" s="47" cm="1">
        <f t="array" ref="G9">_xll.FDS($A9,"FG_PRICE_CHANGE(0,-6AM)")</f>
        <v>6.2240663900414903</v>
      </c>
      <c r="H9" s="47" cm="1">
        <f t="array" ref="H9">_xll.FDS($A9,"FG_PRICE_CHANGE(0,-1AY)")</f>
        <v>-2.63515349089921</v>
      </c>
      <c r="I9" s="47" cm="1">
        <f t="array" ref="I9">_xll.FDS($A9,"FG_PRICE(0)/MAX(FG_PRICE(0,-1AY))")</f>
        <v>0.84230317273795496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0</v>
      </c>
      <c r="T9">
        <f t="shared" ref="T9" si="1">S9</f>
        <v>0</v>
      </c>
    </row>
    <row r="10" spans="1:20" x14ac:dyDescent="0.35">
      <c r="A10" t="s">
        <v>807</v>
      </c>
      <c r="B10" t="s">
        <v>808</v>
      </c>
      <c r="C10" cm="1">
        <f t="array" ref="C10">_xll.FDS($A10,"FG_PRICE(0)")</f>
        <v>996</v>
      </c>
      <c r="D10" cm="1">
        <f t="array" ref="D10">_xll.FDS($A10,"FG_PRICE_MAVG(0,,,,30)")</f>
        <v>1015.76666</v>
      </c>
      <c r="E10" s="47" cm="1">
        <f t="array" ref="E10">_xll.FDS($A10,"FG_PRICE_CHANGE(0,-1AM)")</f>
        <v>3.2124352331606199</v>
      </c>
      <c r="F10" s="47" cm="1">
        <f t="array" ref="F10">_xll.FDS($A10,"FG_PRICE_CHANGE(0,-3AM)")</f>
        <v>-5.5924170616113802</v>
      </c>
      <c r="G10" s="47" cm="1">
        <f t="array" ref="G10">_xll.FDS($A10,"FG_PRICE_CHANGE(0,-6AM)")</f>
        <v>-2.3529411764705901</v>
      </c>
      <c r="H10" s="47" cm="1">
        <f t="array" ref="H10">_xll.FDS($A10,"FG_PRICE_CHANGE(0,-1AY)")</f>
        <v>-16.652719665271999</v>
      </c>
      <c r="I10" s="47" cm="1">
        <f t="array" ref="I10">_xll.FDS($A10,"FG_PRICE(0)/MAX(FG_PRICE(0,-1AY))")</f>
        <v>0.79047619047619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809</v>
      </c>
      <c r="C11" cm="1">
        <f t="array" ref="C11">_xll.FDS($A11,"FG_PRICE(0)")</f>
        <v>584</v>
      </c>
      <c r="D11" cm="1">
        <f t="array" ref="D11">_xll.FDS($A11,"FG_PRICE_MAVG(0,,,,30)")</f>
        <v>553.55664000000002</v>
      </c>
      <c r="E11" s="47" cm="1">
        <f t="array" ref="E11">_xll.FDS($A11,"FG_PRICE_CHANGE(0,-1AM)")</f>
        <v>7.7888519748984901</v>
      </c>
      <c r="F11" s="47" cm="1">
        <f t="array" ref="F11">_xll.FDS($A11,"FG_PRICE_CHANGE(0,-3AM)")</f>
        <v>1.47697654213728</v>
      </c>
      <c r="G11" s="47" cm="1">
        <f t="array" ref="G11">_xll.FDS($A11,"FG_PRICE_CHANGE(0,-6AM)")</f>
        <v>-9.8348000617569902</v>
      </c>
      <c r="H11" s="47" cm="1">
        <f t="array" ref="H11">_xll.FDS($A11,"FG_PRICE_CHANGE(0,-1AY)")</f>
        <v>-15.2517776810332</v>
      </c>
      <c r="I11" s="47" cm="1">
        <f t="array" ref="I11">_xll.FDS($A11,"FG_PRICE(0)/MAX(FG_PRICE(0,-1AY))")</f>
        <v>0.76499869007073595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810</v>
      </c>
      <c r="B12" t="s">
        <v>811</v>
      </c>
      <c r="C12" cm="1">
        <f t="array" ref="C12">_xll.FDS($A12,"FG_PRICE(0)")</f>
        <v>0.87525414999999995</v>
      </c>
      <c r="D12" cm="1">
        <f t="array" ref="D12">_xll.FDS($A12,"FG_PRICE_MAVG(0,,,,30)")</f>
        <v>0.88546216</v>
      </c>
      <c r="E12" s="47" cm="1">
        <f t="array" ref="E12">_xll.FDS($A12,"FG_PRICE_CHANGE(0,-1AM)")</f>
        <v>-1.55555433582376</v>
      </c>
      <c r="F12" s="47" cm="1">
        <f t="array" ref="F12">_xll.FDS($A12,"FG_PRICE_CHANGE(0,-3AM)")</f>
        <v>-5.8073200446216697</v>
      </c>
      <c r="G12" s="47" cm="1">
        <f t="array" ref="G12">_xll.FDS($A12,"FG_PRICE_CHANGE(0,-6AM)")</f>
        <v>-8.7362197819522898</v>
      </c>
      <c r="H12" s="47" cm="1">
        <f t="array" ref="H12">_xll.FDS($A12,"FG_PRICE_CHANGE(0,-1AY)")</f>
        <v>-12.3521936031474</v>
      </c>
      <c r="I12" s="47" cm="1">
        <f t="array" ref="I12">_xll.FDS($A12,"FG_PRICE(0)/MAX(FG_PRICE(0,-1AY))")</f>
        <v>0.84159052884615404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0</v>
      </c>
      <c r="T13">
        <f t="shared" ref="T13:T23" si="2">S13</f>
        <v>0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_xll.FDS(B1,"JULIAN(FMA_DIV_YLD(LTMA,-10AY,0,AM,""PORTAGG"",""MEANR"").dates)")</f>
        <v>41915</v>
      </c>
      <c r="B2" s="3" cm="1">
        <f t="array" ref="B2:B122">_xll.FDS(B1,"FMA_PE(LTMA,-10AY,0,AM,""PORTAGG"",""MEANR"")")</f>
        <v>17.872677820667899</v>
      </c>
      <c r="C2" s="3" cm="1">
        <f t="array" ref="C2:C122">_xll.FDS(C1,"FMA_PE(LTMA,-10AY,0,AM,""PORTAGG"",""MEANR"")")</f>
        <v>14.7038804114428</v>
      </c>
      <c r="D2" s="3" cm="1">
        <f t="array" ref="D2:D122">_xll.FDS(D1,"FMA_PE(LTMA,-10AY,0,AM,""PORTAGG"",""MEANR"")")</f>
        <v>15.823903717389699</v>
      </c>
      <c r="E2" s="3" cm="1">
        <f t="array" ref="E2:E122">_xll.FDS(E1,"FMA_PE(LTMA,-10AY,0,AM,""PORTAGG"",""MEANR"")")</f>
        <v>13.737405136245799</v>
      </c>
      <c r="F2" s="3" cm="1">
        <f t="array" ref="F2:F122">_xll.FDS(F1,"FMA_PE(LTMA,-10AY,0,AM,""PORTAGG"",""MEANR"")")</f>
        <v>15.069695567942</v>
      </c>
      <c r="G2" s="3" cm="1">
        <f t="array" ref="G2:G122">_xll.FDS(G1,"FMA_PE(LTMA,-10AY,0,AM,""PORTAGG"",""MEANR"")")</f>
        <v>17.0624895336422</v>
      </c>
      <c r="H2" s="3" cm="1">
        <f t="array" ref="H2:H122">_xll.FDS(H1,"FMA_PE(LTMA,-10AY,0,AM,""PORTAGG"",""MEANR"")")</f>
        <v>13.6852686540251</v>
      </c>
      <c r="I2" s="3" cm="1">
        <f t="array" ref="I2:I122">_xll.FDS(I1,"FMA_PE(LTMA,-10AY,0,AM,""PORTAGG"",""MEANR"")")</f>
        <v>19.252508713617701</v>
      </c>
      <c r="J2" s="3" cm="1">
        <f t="array" ref="J2:J122">_xll.FDS(J1,"FMA_PE(LTMA,-10AY,0,AM,""PORTAGG"",""MEANR"")")</f>
        <v>16.3629751097438</v>
      </c>
      <c r="K2" s="3" cm="1">
        <f t="array" ref="K2:K122">_xll.FDS(K1,"FMA_PE(LTMA,-10AY,0,AM,""PORTAGG"",""MEANR"")")</f>
        <v>15.0806966009467</v>
      </c>
      <c r="L2" s="3" cm="1">
        <f t="array" ref="L2:L122">_xll.FDS(L1,"FMA_PE(LTMA,-10AY,0,AM,""PORTAGG"",""MEANR"")")</f>
        <v>16.576628969631098</v>
      </c>
      <c r="M2" s="3" cm="1">
        <f t="array" ref="M2:M122">_xll.FDS(M1,"FMA_PE(LTMA,-10AY,0,AM,""PORTAGG"",""MEANR"")")</f>
        <v>15.7984597954535</v>
      </c>
      <c r="N2" s="3" cm="1">
        <f t="array" ref="N2:N122">_xll.FDS(N1,"FMA_PE(LTMA,-10AY,0,AM,""PORTAGG"",""MEANR"")")</f>
        <v>17.212070444637799</v>
      </c>
    </row>
    <row r="3" spans="1:14" x14ac:dyDescent="0.35">
      <c r="A3" s="2">
        <v>41946</v>
      </c>
      <c r="B3" s="3">
        <v>18.485227782721001</v>
      </c>
      <c r="C3" s="3">
        <v>15.2646570841521</v>
      </c>
      <c r="D3" s="3">
        <v>15.600557788949899</v>
      </c>
      <c r="E3" s="3">
        <v>13.674060422415</v>
      </c>
      <c r="F3" s="3">
        <v>15.3413639166292</v>
      </c>
      <c r="G3" s="3">
        <v>17.159996003097</v>
      </c>
      <c r="H3" s="3">
        <v>13.702756884469901</v>
      </c>
      <c r="I3" s="3">
        <v>19.803869034849502</v>
      </c>
      <c r="J3" s="3">
        <v>16.733057793949801</v>
      </c>
      <c r="K3" s="3">
        <v>14.8217084016865</v>
      </c>
      <c r="L3" s="3">
        <v>16.817627587632199</v>
      </c>
      <c r="M3" s="3">
        <v>16.498259672387299</v>
      </c>
      <c r="N3" s="3">
        <v>17.035731544672299</v>
      </c>
    </row>
    <row r="4" spans="1:14" x14ac:dyDescent="0.35">
      <c r="A4" s="2">
        <v>41976</v>
      </c>
      <c r="B4" s="3">
        <v>18.8607300754127</v>
      </c>
      <c r="C4" s="3">
        <v>14.502095714161699</v>
      </c>
      <c r="D4" s="3">
        <v>15.808707839055</v>
      </c>
      <c r="E4" s="3">
        <v>14.569021975237799</v>
      </c>
      <c r="F4" s="3">
        <v>16.0478152707887</v>
      </c>
      <c r="G4" s="3">
        <v>17.632649178632601</v>
      </c>
      <c r="H4" s="3">
        <v>14.0404438128917</v>
      </c>
      <c r="I4" s="3">
        <v>20.4446249572432</v>
      </c>
      <c r="J4" s="3">
        <v>17.209547040845301</v>
      </c>
      <c r="K4" s="3">
        <v>15.4835326975836</v>
      </c>
      <c r="L4" s="3">
        <v>18.002165606393401</v>
      </c>
      <c r="M4" s="3">
        <v>17.422871773540798</v>
      </c>
      <c r="N4" s="3">
        <v>19.1340927393247</v>
      </c>
    </row>
    <row r="5" spans="1:14" x14ac:dyDescent="0.35">
      <c r="A5" s="2">
        <v>42006</v>
      </c>
      <c r="B5" s="3">
        <v>19.2341389813833</v>
      </c>
      <c r="C5" s="3">
        <v>14.8442549418679</v>
      </c>
      <c r="D5" s="3">
        <v>15.707015656399999</v>
      </c>
      <c r="E5" s="3">
        <v>14.231859602878901</v>
      </c>
      <c r="F5" s="3">
        <v>15.885694894027001</v>
      </c>
      <c r="G5" s="3">
        <v>17.1892387956023</v>
      </c>
      <c r="H5" s="3">
        <v>13.6760489520509</v>
      </c>
      <c r="I5" s="3">
        <v>20.069196892801799</v>
      </c>
      <c r="J5" s="3">
        <v>17.2880609023596</v>
      </c>
      <c r="K5" s="3">
        <v>15.009791213125499</v>
      </c>
      <c r="L5" s="3">
        <v>17.529095243753101</v>
      </c>
      <c r="M5" s="3">
        <v>17.561130428326699</v>
      </c>
      <c r="N5" s="3">
        <v>18.346663817029398</v>
      </c>
    </row>
    <row r="6" spans="1:14" x14ac:dyDescent="0.35">
      <c r="A6" s="2">
        <v>42038</v>
      </c>
      <c r="B6" s="3">
        <v>20.030848357716899</v>
      </c>
      <c r="C6" s="3">
        <v>15.470100042698199</v>
      </c>
      <c r="D6" s="3">
        <v>16.275507245578201</v>
      </c>
      <c r="E6" s="3">
        <v>15.718500677698501</v>
      </c>
      <c r="F6" s="3">
        <v>15.2711048865126</v>
      </c>
      <c r="G6" s="3">
        <v>16.809629865496301</v>
      </c>
      <c r="H6" s="3">
        <v>14.422292417744201</v>
      </c>
      <c r="I6" s="3">
        <v>19.803136548152199</v>
      </c>
      <c r="J6" s="3">
        <v>17.1947574540741</v>
      </c>
      <c r="K6" s="3">
        <v>16.463018445311601</v>
      </c>
      <c r="L6" s="3">
        <v>18.731927622104401</v>
      </c>
      <c r="M6" s="3">
        <v>18.908197159448299</v>
      </c>
      <c r="N6" s="3">
        <v>24.328820847822399</v>
      </c>
    </row>
    <row r="7" spans="1:14" x14ac:dyDescent="0.35">
      <c r="A7" s="2">
        <v>42066</v>
      </c>
      <c r="B7" s="3">
        <v>20.529650514539899</v>
      </c>
      <c r="C7" s="3">
        <v>16.223051989817499</v>
      </c>
      <c r="D7" s="3">
        <v>17.0224201593294</v>
      </c>
      <c r="E7" s="3">
        <v>16.448625156351799</v>
      </c>
      <c r="F7" s="3">
        <v>16.9205239076806</v>
      </c>
      <c r="G7" s="3">
        <v>17.954597083919399</v>
      </c>
      <c r="H7" s="3">
        <v>15.172187948639101</v>
      </c>
      <c r="I7" s="3">
        <v>20.7742162094398</v>
      </c>
      <c r="J7" s="3">
        <v>17.5931233746036</v>
      </c>
      <c r="K7" s="3">
        <v>17.5064200627723</v>
      </c>
      <c r="L7" s="3">
        <v>20.0856047528254</v>
      </c>
      <c r="M7" s="3">
        <v>20.215236000975601</v>
      </c>
      <c r="N7" s="3">
        <v>44.925223167695002</v>
      </c>
    </row>
    <row r="8" spans="1:14" x14ac:dyDescent="0.35">
      <c r="A8" s="2">
        <v>42096</v>
      </c>
      <c r="B8" s="3">
        <v>20.270112697210699</v>
      </c>
      <c r="C8" s="3">
        <v>16.264467527338599</v>
      </c>
      <c r="D8" s="3">
        <v>17.095456503967</v>
      </c>
      <c r="E8" s="3">
        <v>16.5142576521012</v>
      </c>
      <c r="F8" s="3">
        <v>16.846137982127001</v>
      </c>
      <c r="G8" s="3">
        <v>18.028330397076001</v>
      </c>
      <c r="H8" s="3">
        <v>15.260198360748401</v>
      </c>
      <c r="I8" s="3">
        <v>20.457636356411999</v>
      </c>
      <c r="J8" s="3">
        <v>17.486201614717402</v>
      </c>
      <c r="K8" s="3">
        <v>17.570205694985201</v>
      </c>
      <c r="L8" s="3">
        <v>19.935824790479</v>
      </c>
      <c r="M8" s="3">
        <v>19.957723936774499</v>
      </c>
      <c r="N8" s="3">
        <v>42.280248173087699</v>
      </c>
    </row>
    <row r="9" spans="1:14" x14ac:dyDescent="0.35">
      <c r="A9" s="2">
        <v>42125</v>
      </c>
      <c r="B9" s="3">
        <v>20.100081515401499</v>
      </c>
      <c r="C9" s="3">
        <v>16.3273988245437</v>
      </c>
      <c r="D9" s="3">
        <v>17.350591641290301</v>
      </c>
      <c r="E9" s="3">
        <v>16.2020950800914</v>
      </c>
      <c r="F9" s="3">
        <v>16.885021062558799</v>
      </c>
      <c r="G9" s="3">
        <v>18.082348748538799</v>
      </c>
      <c r="H9" s="3">
        <v>15.568486125708001</v>
      </c>
      <c r="I9" s="3">
        <v>20.3971550159239</v>
      </c>
      <c r="J9" s="3">
        <v>17.554037573883701</v>
      </c>
      <c r="K9" s="3">
        <v>17.461324903749102</v>
      </c>
      <c r="L9" s="3">
        <v>19.626413295004198</v>
      </c>
      <c r="M9" s="3">
        <v>19.256250603648301</v>
      </c>
      <c r="N9" s="3">
        <v>39.584429081175003</v>
      </c>
    </row>
    <row r="10" spans="1:14" x14ac:dyDescent="0.35">
      <c r="A10" s="2">
        <v>42158</v>
      </c>
      <c r="B10" s="3">
        <v>20.033362241187501</v>
      </c>
      <c r="C10" s="3">
        <v>16.037063787735001</v>
      </c>
      <c r="D10" s="3">
        <v>17.299292029402501</v>
      </c>
      <c r="E10" s="3">
        <v>15.893387851925</v>
      </c>
      <c r="F10" s="3">
        <v>17.1396502036812</v>
      </c>
      <c r="G10" s="3">
        <v>18.110288039908301</v>
      </c>
      <c r="H10" s="3">
        <v>15.7275279790622</v>
      </c>
      <c r="I10" s="3">
        <v>20.260452291679702</v>
      </c>
      <c r="J10" s="3">
        <v>17.534416890854299</v>
      </c>
      <c r="K10" s="3">
        <v>17.433903475411899</v>
      </c>
      <c r="L10" s="3">
        <v>19.370481064801499</v>
      </c>
      <c r="M10" s="3">
        <v>19.242451974783101</v>
      </c>
      <c r="N10" s="3">
        <v>36.5333591446011</v>
      </c>
    </row>
    <row r="11" spans="1:14" x14ac:dyDescent="0.35">
      <c r="A11" s="2">
        <v>42187</v>
      </c>
      <c r="B11" s="3">
        <v>19.8755888358466</v>
      </c>
      <c r="C11" s="3">
        <v>16.060629673591801</v>
      </c>
      <c r="D11" s="3">
        <v>17.084285553942699</v>
      </c>
      <c r="E11" s="3">
        <v>15.471700557444001</v>
      </c>
      <c r="F11" s="3">
        <v>16.830358136769402</v>
      </c>
      <c r="G11" s="3">
        <v>17.8155523923486</v>
      </c>
      <c r="H11" s="3">
        <v>15.5181994991463</v>
      </c>
      <c r="I11" s="3">
        <v>19.945281380103701</v>
      </c>
      <c r="J11" s="3">
        <v>17.388139830441599</v>
      </c>
      <c r="K11" s="3">
        <v>16.9947151139488</v>
      </c>
      <c r="L11" s="3">
        <v>18.9265659133696</v>
      </c>
      <c r="M11" s="3">
        <v>18.559482320071101</v>
      </c>
      <c r="N11" s="3">
        <v>33.483948253963</v>
      </c>
    </row>
    <row r="12" spans="1:14" x14ac:dyDescent="0.35">
      <c r="A12" s="2">
        <v>42219</v>
      </c>
      <c r="B12" s="3">
        <v>19.925451398994799</v>
      </c>
      <c r="C12" s="3">
        <v>16.143147744784901</v>
      </c>
      <c r="D12" s="3">
        <v>17.018051439021502</v>
      </c>
      <c r="E12" s="3">
        <v>15.518282806095799</v>
      </c>
      <c r="F12" s="3">
        <v>16.837034586195799</v>
      </c>
      <c r="G12" s="3">
        <v>18.254318082085</v>
      </c>
      <c r="H12" s="3">
        <v>15.733006425681801</v>
      </c>
      <c r="I12" s="3">
        <v>20.397975515485498</v>
      </c>
      <c r="J12" s="3">
        <v>17.500929483221</v>
      </c>
      <c r="K12" s="3">
        <v>17.249407651452199</v>
      </c>
      <c r="L12" s="3">
        <v>19.1260607507248</v>
      </c>
      <c r="M12" s="3">
        <v>18.480902554013401</v>
      </c>
      <c r="N12" s="3">
        <v>31.114474454840298</v>
      </c>
    </row>
    <row r="13" spans="1:14" x14ac:dyDescent="0.35">
      <c r="A13" s="2">
        <v>42250</v>
      </c>
      <c r="B13" s="3">
        <v>19.020475504427601</v>
      </c>
      <c r="C13" s="3">
        <v>15.1084602871939</v>
      </c>
      <c r="D13" s="3">
        <v>16.4433116126662</v>
      </c>
      <c r="E13" s="3">
        <v>14.441430423225301</v>
      </c>
      <c r="F13" s="3">
        <v>15.463717680087299</v>
      </c>
      <c r="G13" s="3">
        <v>17.331901958009599</v>
      </c>
      <c r="H13" s="3">
        <v>15.0543428989328</v>
      </c>
      <c r="I13" s="3">
        <v>19.3208961502636</v>
      </c>
      <c r="J13" s="3">
        <v>16.691686048225201</v>
      </c>
      <c r="K13" s="3">
        <v>16.113319403497702</v>
      </c>
      <c r="L13" s="3">
        <v>17.524960435057899</v>
      </c>
      <c r="M13" s="3">
        <v>17.4645287819326</v>
      </c>
      <c r="N13" s="3">
        <v>27.7050949188422</v>
      </c>
    </row>
    <row r="14" spans="1:14" x14ac:dyDescent="0.35">
      <c r="A14" s="2">
        <v>42279</v>
      </c>
      <c r="B14" s="3">
        <v>18.610096778714301</v>
      </c>
      <c r="C14" s="3">
        <v>15.12316260996</v>
      </c>
      <c r="D14" s="3">
        <v>16.379755799467599</v>
      </c>
      <c r="E14" s="3">
        <v>13.6947369017506</v>
      </c>
      <c r="F14" s="3">
        <v>15.056033931794399</v>
      </c>
      <c r="G14" s="3">
        <v>17.010568067186199</v>
      </c>
      <c r="H14" s="3">
        <v>15.108163670465199</v>
      </c>
      <c r="I14" s="3">
        <v>19.263553972015501</v>
      </c>
      <c r="J14" s="3">
        <v>16.649623432428101</v>
      </c>
      <c r="K14" s="3">
        <v>15.5019152118394</v>
      </c>
      <c r="L14" s="3">
        <v>16.641171054896098</v>
      </c>
      <c r="M14" s="3">
        <v>16.468132530313198</v>
      </c>
      <c r="N14" s="3">
        <v>24.845951245741301</v>
      </c>
    </row>
    <row r="15" spans="1:14" x14ac:dyDescent="0.35">
      <c r="A15" s="2">
        <v>42311</v>
      </c>
      <c r="B15" s="3">
        <v>19.558889913274701</v>
      </c>
      <c r="C15" s="3">
        <v>15.638863724766001</v>
      </c>
      <c r="D15" s="3">
        <v>16.821884303947702</v>
      </c>
      <c r="E15" s="3">
        <v>14.6185131910976</v>
      </c>
      <c r="F15" s="3">
        <v>15.6043176635983</v>
      </c>
      <c r="G15" s="3">
        <v>17.778137746414099</v>
      </c>
      <c r="H15" s="3">
        <v>15.902504119840099</v>
      </c>
      <c r="I15" s="3">
        <v>20.560491581680701</v>
      </c>
      <c r="J15" s="3">
        <v>17.6463025880259</v>
      </c>
      <c r="K15" s="3">
        <v>16.461114552417701</v>
      </c>
      <c r="L15" s="3">
        <v>17.544606342170201</v>
      </c>
      <c r="M15" s="3">
        <v>17.244545182686</v>
      </c>
      <c r="N15" s="3">
        <v>22.995362695486499</v>
      </c>
    </row>
    <row r="16" spans="1:14" x14ac:dyDescent="0.35">
      <c r="A16" s="2">
        <v>42341</v>
      </c>
      <c r="B16" s="3">
        <v>19.621744036397899</v>
      </c>
      <c r="C16" s="3">
        <v>15.7001133531286</v>
      </c>
      <c r="D16" s="3">
        <v>16.5323380481214</v>
      </c>
      <c r="E16" s="3">
        <v>14.3088167167104</v>
      </c>
      <c r="F16" s="3">
        <v>16.303880728863898</v>
      </c>
      <c r="G16" s="3">
        <v>17.576238371585301</v>
      </c>
      <c r="H16" s="3">
        <v>15.772205617123699</v>
      </c>
      <c r="I16" s="3">
        <v>20.168499633152098</v>
      </c>
      <c r="J16" s="3">
        <v>17.169757799795601</v>
      </c>
      <c r="K16" s="3">
        <v>15.8645899493487</v>
      </c>
      <c r="L16" s="3">
        <v>17.560055636605501</v>
      </c>
      <c r="M16" s="3">
        <v>17.007429647037</v>
      </c>
      <c r="N16" s="3">
        <v>20.774487955087402</v>
      </c>
    </row>
    <row r="17" spans="1:14" x14ac:dyDescent="0.35">
      <c r="A17" s="2">
        <v>42369</v>
      </c>
      <c r="B17" s="3">
        <v>19.861775829977301</v>
      </c>
      <c r="C17" s="3">
        <v>16.060762601513002</v>
      </c>
      <c r="D17" s="3">
        <v>15.7794491987031</v>
      </c>
      <c r="E17" s="3">
        <v>14.0285507216998</v>
      </c>
      <c r="F17" s="3">
        <v>15.7241220272528</v>
      </c>
      <c r="G17" s="3">
        <v>17.378177511790401</v>
      </c>
      <c r="H17" s="3">
        <v>15.672884588555499</v>
      </c>
      <c r="I17" s="3">
        <v>20.348969660295399</v>
      </c>
      <c r="J17" s="3">
        <v>17.142314327194399</v>
      </c>
      <c r="K17" s="3">
        <v>15.4220750370538</v>
      </c>
      <c r="L17" s="3">
        <v>16.870638649553101</v>
      </c>
      <c r="M17" s="3">
        <v>16.016258065652501</v>
      </c>
      <c r="N17" s="3">
        <v>17.961443208994901</v>
      </c>
    </row>
    <row r="18" spans="1:14" x14ac:dyDescent="0.35">
      <c r="A18" s="2">
        <v>42403</v>
      </c>
      <c r="B18" s="3">
        <v>19.0464665479358</v>
      </c>
      <c r="C18" s="3">
        <v>14.8928432056556</v>
      </c>
      <c r="D18" s="3">
        <v>15.270393421918</v>
      </c>
      <c r="E18" s="3">
        <v>12.4787796201445</v>
      </c>
      <c r="F18" s="3">
        <v>14.4209556979797</v>
      </c>
      <c r="G18" s="3">
        <v>16.436285275024101</v>
      </c>
      <c r="H18" s="3">
        <v>14.8454688030504</v>
      </c>
      <c r="I18" s="3">
        <v>18.277294732317301</v>
      </c>
      <c r="J18" s="3">
        <v>16.2966838906097</v>
      </c>
      <c r="K18" s="3">
        <v>14.1493162876484</v>
      </c>
      <c r="L18" s="3">
        <v>15.854057199289301</v>
      </c>
      <c r="M18" s="3">
        <v>14.5014658626699</v>
      </c>
      <c r="N18" s="3">
        <v>14.256068631385</v>
      </c>
    </row>
    <row r="19" spans="1:14" x14ac:dyDescent="0.35">
      <c r="A19" s="2">
        <v>42432</v>
      </c>
      <c r="B19" s="3">
        <v>19.317676220606799</v>
      </c>
      <c r="C19" s="3">
        <v>15.0628500213757</v>
      </c>
      <c r="D19" s="3">
        <v>15.7917536092758</v>
      </c>
      <c r="E19" s="3">
        <v>12.7006619511994</v>
      </c>
      <c r="F19" s="3">
        <v>13.927870919681901</v>
      </c>
      <c r="G19" s="3">
        <v>16.619394858911701</v>
      </c>
      <c r="H19" s="3">
        <v>15.5524520347533</v>
      </c>
      <c r="I19" s="3">
        <v>18.2538133713871</v>
      </c>
      <c r="J19" s="3">
        <v>16.188193427520002</v>
      </c>
      <c r="K19" s="3">
        <v>15.1752993874239</v>
      </c>
      <c r="L19" s="3">
        <v>16.3931589554441</v>
      </c>
      <c r="M19" s="3">
        <v>15.6209044187143</v>
      </c>
      <c r="N19" s="3">
        <v>15.434159490521701</v>
      </c>
    </row>
    <row r="20" spans="1:14" x14ac:dyDescent="0.35">
      <c r="A20" s="2">
        <v>42461</v>
      </c>
      <c r="B20" s="3">
        <v>19.333984789593998</v>
      </c>
      <c r="C20" s="3">
        <v>15.099939008049301</v>
      </c>
      <c r="D20" s="3">
        <v>16.001157655848001</v>
      </c>
      <c r="E20" s="3">
        <v>12.7367373784601</v>
      </c>
      <c r="F20" s="3">
        <v>13.711784284268999</v>
      </c>
      <c r="G20" s="3">
        <v>16.5964163990059</v>
      </c>
      <c r="H20" s="3">
        <v>15.7247270423721</v>
      </c>
      <c r="I20" s="3">
        <v>18.444790260331001</v>
      </c>
      <c r="J20" s="3">
        <v>16.445215307047398</v>
      </c>
      <c r="K20" s="3">
        <v>15.098238696891199</v>
      </c>
      <c r="L20" s="3">
        <v>16.3502918095853</v>
      </c>
      <c r="M20" s="3">
        <v>15.5496259742074</v>
      </c>
      <c r="N20" s="3">
        <v>15.206613016825999</v>
      </c>
    </row>
    <row r="21" spans="1:14" x14ac:dyDescent="0.35">
      <c r="A21" s="2">
        <v>42493</v>
      </c>
      <c r="B21" s="3">
        <v>19.482756306038802</v>
      </c>
      <c r="C21" s="3">
        <v>15.6201930725432</v>
      </c>
      <c r="D21" s="3">
        <v>16.3434394671097</v>
      </c>
      <c r="E21" s="3">
        <v>12.8108133364486</v>
      </c>
      <c r="F21" s="3">
        <v>13.645963891801401</v>
      </c>
      <c r="G21" s="3">
        <v>16.766264915655199</v>
      </c>
      <c r="H21" s="3">
        <v>15.8986218064226</v>
      </c>
      <c r="I21" s="3">
        <v>18.313421771836399</v>
      </c>
      <c r="J21" s="3">
        <v>16.565182572190999</v>
      </c>
      <c r="K21" s="3">
        <v>15.130761994916501</v>
      </c>
      <c r="L21" s="3">
        <v>16.155496435928399</v>
      </c>
      <c r="M21" s="3">
        <v>15.5681815408176</v>
      </c>
      <c r="N21" s="3">
        <v>15.1054415846917</v>
      </c>
    </row>
    <row r="22" spans="1:14" x14ac:dyDescent="0.35">
      <c r="A22" s="2">
        <v>42524</v>
      </c>
      <c r="B22" s="3">
        <v>19.816584877094598</v>
      </c>
      <c r="C22" s="3">
        <v>15.7232898649166</v>
      </c>
      <c r="D22" s="3">
        <v>16.7490838649762</v>
      </c>
      <c r="E22" s="3">
        <v>12.865397474548599</v>
      </c>
      <c r="F22" s="3">
        <v>14.0461427162594</v>
      </c>
      <c r="G22" s="3">
        <v>17.112112660667002</v>
      </c>
      <c r="H22" s="3">
        <v>15.9914968248398</v>
      </c>
      <c r="I22" s="3">
        <v>18.612662159573901</v>
      </c>
      <c r="J22" s="3">
        <v>16.775348219495299</v>
      </c>
      <c r="K22" s="3">
        <v>15.158762902613301</v>
      </c>
      <c r="L22" s="3">
        <v>16.276474067442798</v>
      </c>
      <c r="M22" s="3">
        <v>15.4832213384227</v>
      </c>
      <c r="N22" s="3">
        <v>14.945608473552801</v>
      </c>
    </row>
    <row r="23" spans="1:14" x14ac:dyDescent="0.35">
      <c r="A23" s="2">
        <v>42552</v>
      </c>
      <c r="B23" s="3">
        <v>19.7077987621199</v>
      </c>
      <c r="C23" s="3">
        <v>15.7835404267062</v>
      </c>
      <c r="D23" s="3">
        <v>16.793466531645301</v>
      </c>
      <c r="E23" s="3">
        <v>12.705984699086001</v>
      </c>
      <c r="F23" s="3">
        <v>13.7030448296098</v>
      </c>
      <c r="G23" s="3">
        <v>17.203716797535701</v>
      </c>
      <c r="H23" s="3">
        <v>16.3512579053777</v>
      </c>
      <c r="I23" s="3">
        <v>18.644045727668701</v>
      </c>
      <c r="J23" s="3">
        <v>16.9159239183927</v>
      </c>
      <c r="K23" s="3">
        <v>14.851521350003001</v>
      </c>
      <c r="L23" s="3">
        <v>15.8183783091024</v>
      </c>
      <c r="M23" s="3">
        <v>15.4538294040505</v>
      </c>
      <c r="N23" s="3">
        <v>14.425996843363199</v>
      </c>
    </row>
    <row r="24" spans="1:14" x14ac:dyDescent="0.35">
      <c r="A24" s="2">
        <v>42585</v>
      </c>
      <c r="B24" s="3">
        <v>20.422420007816299</v>
      </c>
      <c r="C24" s="3">
        <v>16.293395836738199</v>
      </c>
      <c r="D24" s="3">
        <v>17.180427591784898</v>
      </c>
      <c r="E24" s="3">
        <v>13.0043146082854</v>
      </c>
      <c r="F24" s="3">
        <v>13.7664660208578</v>
      </c>
      <c r="G24" s="3">
        <v>17.485226202406398</v>
      </c>
      <c r="H24" s="3">
        <v>16.579004718110902</v>
      </c>
      <c r="I24" s="3">
        <v>19.373123429765201</v>
      </c>
      <c r="J24" s="3">
        <v>17.3601662966413</v>
      </c>
      <c r="K24" s="3">
        <v>14.819840562752001</v>
      </c>
      <c r="L24" s="3">
        <v>15.9238170902884</v>
      </c>
      <c r="M24" s="3">
        <v>15.606544022149601</v>
      </c>
      <c r="N24" s="3">
        <v>14.437671830179401</v>
      </c>
    </row>
    <row r="25" spans="1:14" x14ac:dyDescent="0.35">
      <c r="A25" s="2">
        <v>42615</v>
      </c>
      <c r="B25" s="3">
        <v>20.963367602413001</v>
      </c>
      <c r="C25" s="3">
        <v>16.3823856602455</v>
      </c>
      <c r="D25" s="3">
        <v>17.6838143347528</v>
      </c>
      <c r="E25" s="3">
        <v>13.4928239289522</v>
      </c>
      <c r="F25" s="3">
        <v>14.381164911327</v>
      </c>
      <c r="G25" s="3">
        <v>17.997480192462302</v>
      </c>
      <c r="H25" s="3">
        <v>17.149282739420901</v>
      </c>
      <c r="I25" s="3">
        <v>19.605800662066599</v>
      </c>
      <c r="J25" s="3">
        <v>17.6159089870747</v>
      </c>
      <c r="K25" s="3">
        <v>15.1507258838969</v>
      </c>
      <c r="L25" s="3">
        <v>16.416986301033202</v>
      </c>
      <c r="M25" s="3">
        <v>16.2003736307799</v>
      </c>
      <c r="N25" s="3">
        <v>15.1038076396175</v>
      </c>
    </row>
    <row r="26" spans="1:14" x14ac:dyDescent="0.35">
      <c r="A26" s="2">
        <v>42646</v>
      </c>
      <c r="B26" s="3">
        <v>21.003853332603001</v>
      </c>
      <c r="C26" s="3">
        <v>16.823606250563302</v>
      </c>
      <c r="D26" s="3">
        <v>17.8673391004533</v>
      </c>
      <c r="E26" s="3">
        <v>13.5875647023573</v>
      </c>
      <c r="F26" s="3">
        <v>14.1969412749957</v>
      </c>
      <c r="G26" s="3">
        <v>18.055229597978101</v>
      </c>
      <c r="H26" s="3">
        <v>17.155278180927301</v>
      </c>
      <c r="I26" s="3">
        <v>19.963219933819101</v>
      </c>
      <c r="J26" s="3">
        <v>17.721586794765599</v>
      </c>
      <c r="K26" s="3">
        <v>14.887685309006001</v>
      </c>
      <c r="L26" s="3">
        <v>16.152206406086801</v>
      </c>
      <c r="M26" s="3">
        <v>16.492215177308001</v>
      </c>
      <c r="N26" s="3">
        <v>14.560298779742901</v>
      </c>
    </row>
    <row r="27" spans="1:14" x14ac:dyDescent="0.35">
      <c r="A27" s="2">
        <v>42677</v>
      </c>
      <c r="B27" s="3">
        <v>19.6597152633503</v>
      </c>
      <c r="C27" s="3">
        <v>16.582329504367099</v>
      </c>
      <c r="D27" s="3">
        <v>18.001661198922999</v>
      </c>
      <c r="E27" s="3">
        <v>13.4142703788049</v>
      </c>
      <c r="F27" s="3">
        <v>14.584791345297299</v>
      </c>
      <c r="G27" s="3">
        <v>17.251903851542</v>
      </c>
      <c r="H27" s="3">
        <v>16.425513600953899</v>
      </c>
      <c r="I27" s="3">
        <v>19.326327713874601</v>
      </c>
      <c r="J27" s="3">
        <v>17.318065260583701</v>
      </c>
      <c r="K27" s="3">
        <v>14.6727405152206</v>
      </c>
      <c r="L27" s="3">
        <v>15.447142441560301</v>
      </c>
      <c r="M27" s="3">
        <v>16.6699875281011</v>
      </c>
      <c r="N27" s="3">
        <v>14.3910023363138</v>
      </c>
    </row>
    <row r="28" spans="1:14" x14ac:dyDescent="0.35">
      <c r="A28" s="2">
        <v>42706</v>
      </c>
      <c r="B28" s="3">
        <v>20.019952467457099</v>
      </c>
      <c r="C28" s="3">
        <v>17.0762607591871</v>
      </c>
      <c r="D28" s="3">
        <v>18.797750976536499</v>
      </c>
      <c r="E28" s="3">
        <v>13.5491630343979</v>
      </c>
      <c r="F28" s="3">
        <v>15.857984844771201</v>
      </c>
      <c r="G28" s="3">
        <v>17.330844736036301</v>
      </c>
      <c r="H28" s="3">
        <v>16.368469835686501</v>
      </c>
      <c r="I28" s="3">
        <v>19.626646221637799</v>
      </c>
      <c r="J28" s="3">
        <v>18.2194455870168</v>
      </c>
      <c r="K28" s="3">
        <v>14.867259728894799</v>
      </c>
      <c r="L28" s="3">
        <v>15.2558604741705</v>
      </c>
      <c r="M28" s="3">
        <v>17.300439509619501</v>
      </c>
      <c r="N28" s="3">
        <v>14.4867861339462</v>
      </c>
    </row>
    <row r="29" spans="1:14" x14ac:dyDescent="0.35">
      <c r="A29" s="2">
        <v>42738</v>
      </c>
      <c r="B29" s="3">
        <v>19.949695600064601</v>
      </c>
      <c r="C29" s="3">
        <v>17.9013067583146</v>
      </c>
      <c r="D29" s="3">
        <v>19.502665307999301</v>
      </c>
      <c r="E29" s="3">
        <v>14.9332402940697</v>
      </c>
      <c r="F29" s="3">
        <v>16.324865550729601</v>
      </c>
      <c r="G29" s="3">
        <v>18.330859010629698</v>
      </c>
      <c r="H29" s="3">
        <v>17.234984453926799</v>
      </c>
      <c r="I29" s="3">
        <v>20.486981092529</v>
      </c>
      <c r="J29" s="3">
        <v>18.949578975327199</v>
      </c>
      <c r="K29" s="3">
        <v>15.8756157897837</v>
      </c>
      <c r="L29" s="3">
        <v>16.418353942992098</v>
      </c>
      <c r="M29" s="3">
        <v>18.401084773868099</v>
      </c>
      <c r="N29" s="3">
        <v>28.0160351074272</v>
      </c>
    </row>
    <row r="30" spans="1:14" x14ac:dyDescent="0.35">
      <c r="A30" s="2">
        <v>42769</v>
      </c>
      <c r="B30" s="3">
        <v>20.5408386654425</v>
      </c>
      <c r="C30" s="3">
        <v>17.4936874239121</v>
      </c>
      <c r="D30" s="3">
        <v>19.652609400635601</v>
      </c>
      <c r="E30" s="3">
        <v>14.854522018650099</v>
      </c>
      <c r="F30" s="3">
        <v>16.149801285961502</v>
      </c>
      <c r="G30" s="3">
        <v>18.614309266236699</v>
      </c>
      <c r="H30" s="3">
        <v>17.173059394453201</v>
      </c>
      <c r="I30" s="3">
        <v>21.2572761468263</v>
      </c>
      <c r="J30" s="3">
        <v>19.047005828249301</v>
      </c>
      <c r="K30" s="3">
        <v>15.6304564442559</v>
      </c>
      <c r="L30" s="3">
        <v>16.169639708597899</v>
      </c>
      <c r="M30" s="3">
        <v>17.317713288185999</v>
      </c>
      <c r="N30" s="3">
        <v>20.4174498420508</v>
      </c>
    </row>
    <row r="31" spans="1:14" x14ac:dyDescent="0.35">
      <c r="A31" s="2">
        <v>42797</v>
      </c>
      <c r="B31" s="3">
        <v>19.813883577431898</v>
      </c>
      <c r="C31" s="3">
        <v>17.502128523886</v>
      </c>
      <c r="D31" s="3">
        <v>19.408432760869101</v>
      </c>
      <c r="E31" s="3">
        <v>15.0052215600377</v>
      </c>
      <c r="F31" s="3">
        <v>15.9673059796334</v>
      </c>
      <c r="G31" s="3">
        <v>19.6758440484471</v>
      </c>
      <c r="H31" s="3">
        <v>17.3620600606368</v>
      </c>
      <c r="I31" s="3">
        <v>21.721969833570299</v>
      </c>
      <c r="J31" s="3">
        <v>19.505996452940799</v>
      </c>
      <c r="K31" s="3">
        <v>15.6320599128845</v>
      </c>
      <c r="L31" s="3">
        <v>16.454638553325498</v>
      </c>
      <c r="M31" s="3">
        <v>17.4512606454946</v>
      </c>
      <c r="N31" s="3">
        <v>85.356461563519105</v>
      </c>
    </row>
    <row r="32" spans="1:14" x14ac:dyDescent="0.35">
      <c r="A32" s="2">
        <v>42828</v>
      </c>
      <c r="B32" s="3">
        <v>19.804522350200099</v>
      </c>
      <c r="C32" s="3">
        <v>17.376097542018002</v>
      </c>
      <c r="D32" s="3">
        <v>19.088469465996599</v>
      </c>
      <c r="E32" s="3">
        <v>14.950772602617301</v>
      </c>
      <c r="F32" s="3">
        <v>15.707327012688101</v>
      </c>
      <c r="G32" s="3">
        <v>19.449369483591799</v>
      </c>
      <c r="H32" s="3">
        <v>17.072610373333202</v>
      </c>
      <c r="I32" s="3">
        <v>21.648903523525799</v>
      </c>
      <c r="J32" s="3">
        <v>19.3204050300475</v>
      </c>
      <c r="K32" s="3">
        <v>15.642251709981499</v>
      </c>
      <c r="L32" s="3">
        <v>16.502301790104301</v>
      </c>
      <c r="M32" s="3">
        <v>17.559108696787899</v>
      </c>
      <c r="N32" s="3">
        <v>78.100209333094398</v>
      </c>
    </row>
    <row r="33" spans="1:14" x14ac:dyDescent="0.35">
      <c r="A33" s="2">
        <v>42858</v>
      </c>
      <c r="B33" s="3">
        <v>19.9578623667492</v>
      </c>
      <c r="C33" s="3">
        <v>17.250663132269398</v>
      </c>
      <c r="D33" s="3">
        <v>18.745740091169601</v>
      </c>
      <c r="E33" s="3">
        <v>14.901036099393</v>
      </c>
      <c r="F33" s="3">
        <v>15.634885576170999</v>
      </c>
      <c r="G33" s="3">
        <v>19.478749718027899</v>
      </c>
      <c r="H33" s="3">
        <v>16.8363942687369</v>
      </c>
      <c r="I33" s="3">
        <v>21.7422627461216</v>
      </c>
      <c r="J33" s="3">
        <v>19.211686036842401</v>
      </c>
      <c r="K33" s="3">
        <v>15.784978604264801</v>
      </c>
      <c r="L33" s="3">
        <v>16.7154768712298</v>
      </c>
      <c r="M33" s="3">
        <v>17.670642576295698</v>
      </c>
      <c r="N33" s="3">
        <v>71.084475965377905</v>
      </c>
    </row>
    <row r="34" spans="1:14" x14ac:dyDescent="0.35">
      <c r="A34" s="2">
        <v>42888</v>
      </c>
      <c r="B34" s="3">
        <v>20.003494554571599</v>
      </c>
      <c r="C34" s="3">
        <v>16.921810799211901</v>
      </c>
      <c r="D34" s="3">
        <v>18.429527159460001</v>
      </c>
      <c r="E34" s="3">
        <v>14.8415014924809</v>
      </c>
      <c r="F34" s="3">
        <v>15.774348211501099</v>
      </c>
      <c r="G34" s="3">
        <v>19.626188078677899</v>
      </c>
      <c r="H34" s="3">
        <v>16.802054132181901</v>
      </c>
      <c r="I34" s="3">
        <v>22.1022740381737</v>
      </c>
      <c r="J34" s="3">
        <v>19.238310359635999</v>
      </c>
      <c r="K34" s="3">
        <v>15.827294319432999</v>
      </c>
      <c r="L34" s="3">
        <v>16.7707809086025</v>
      </c>
      <c r="M34" s="3">
        <v>18.152882914302701</v>
      </c>
      <c r="N34" s="3">
        <v>64.028562094599295</v>
      </c>
    </row>
    <row r="35" spans="1:14" x14ac:dyDescent="0.35">
      <c r="A35" s="2">
        <v>42919</v>
      </c>
      <c r="B35" s="3">
        <v>20.078004306107299</v>
      </c>
      <c r="C35" s="3">
        <v>16.718826319384501</v>
      </c>
      <c r="D35" s="3">
        <v>18.0241574110775</v>
      </c>
      <c r="E35" s="3">
        <v>14.5588854078196</v>
      </c>
      <c r="F35" s="3">
        <v>15.513769210478101</v>
      </c>
      <c r="G35" s="3">
        <v>19.4095821352218</v>
      </c>
      <c r="H35" s="3">
        <v>16.455012730799801</v>
      </c>
      <c r="I35" s="3">
        <v>21.539921838923199</v>
      </c>
      <c r="J35" s="3">
        <v>19.096139875721398</v>
      </c>
      <c r="K35" s="3">
        <v>15.6130143914712</v>
      </c>
      <c r="L35" s="3">
        <v>16.5334856240205</v>
      </c>
      <c r="M35" s="3">
        <v>17.6072549666568</v>
      </c>
      <c r="N35" s="3">
        <v>56.809207265115802</v>
      </c>
    </row>
    <row r="36" spans="1:14" x14ac:dyDescent="0.35">
      <c r="A36" s="2">
        <v>42950</v>
      </c>
      <c r="B36" s="3">
        <v>20.499421035647298</v>
      </c>
      <c r="C36" s="3">
        <v>16.8145916503031</v>
      </c>
      <c r="D36" s="3">
        <v>17.993370404203301</v>
      </c>
      <c r="E36" s="3">
        <v>14.2950689063517</v>
      </c>
      <c r="F36" s="3">
        <v>15.4524465156186</v>
      </c>
      <c r="G36" s="3">
        <v>19.452584947097002</v>
      </c>
      <c r="H36" s="3">
        <v>16.463687938917001</v>
      </c>
      <c r="I36" s="3">
        <v>22.070691531316498</v>
      </c>
      <c r="J36" s="3">
        <v>19.1586661819704</v>
      </c>
      <c r="K36" s="3">
        <v>15.545615026429999</v>
      </c>
      <c r="L36" s="3">
        <v>16.7089199177138</v>
      </c>
      <c r="M36" s="3">
        <v>16.974318130353499</v>
      </c>
      <c r="N36" s="3">
        <v>49.747697528287503</v>
      </c>
    </row>
    <row r="37" spans="1:14" x14ac:dyDescent="0.35">
      <c r="A37" s="2">
        <v>42979</v>
      </c>
      <c r="B37" s="3">
        <v>20.609137960041501</v>
      </c>
      <c r="C37" s="3">
        <v>16.621429923767</v>
      </c>
      <c r="D37" s="3">
        <v>17.527426507056902</v>
      </c>
      <c r="E37" s="3">
        <v>14.135047138466399</v>
      </c>
      <c r="F37" s="3">
        <v>14.971999226263399</v>
      </c>
      <c r="G37" s="3">
        <v>19.144466438426399</v>
      </c>
      <c r="H37" s="3">
        <v>16.103619870065</v>
      </c>
      <c r="I37" s="3">
        <v>22.3062549192523</v>
      </c>
      <c r="J37" s="3">
        <v>19.0917620071552</v>
      </c>
      <c r="K37" s="3">
        <v>15.528032370634</v>
      </c>
      <c r="L37" s="3">
        <v>16.601672298103399</v>
      </c>
      <c r="M37" s="3">
        <v>16.975588664667701</v>
      </c>
      <c r="N37" s="3">
        <v>42.932874403175397</v>
      </c>
    </row>
    <row r="38" spans="1:14" x14ac:dyDescent="0.35">
      <c r="A38" s="2">
        <v>43011</v>
      </c>
      <c r="B38" s="3">
        <v>20.618401201769998</v>
      </c>
      <c r="C38" s="3">
        <v>16.397730180619</v>
      </c>
      <c r="D38" s="3">
        <v>17.7000497642474</v>
      </c>
      <c r="E38" s="3">
        <v>14.6739099022869</v>
      </c>
      <c r="F38" s="3">
        <v>15.0918079085068</v>
      </c>
      <c r="G38" s="3">
        <v>19.610570168230002</v>
      </c>
      <c r="H38" s="3">
        <v>15.883259392539101</v>
      </c>
      <c r="I38" s="3">
        <v>22.353030275047999</v>
      </c>
      <c r="J38" s="3">
        <v>19.414594733530802</v>
      </c>
      <c r="K38" s="3">
        <v>16.001328806865601</v>
      </c>
      <c r="L38" s="3">
        <v>17.104880406889901</v>
      </c>
      <c r="M38" s="3">
        <v>17.8342967939498</v>
      </c>
      <c r="N38" s="3">
        <v>35.871642223201803</v>
      </c>
    </row>
    <row r="39" spans="1:14" x14ac:dyDescent="0.35">
      <c r="A39" s="2">
        <v>43042</v>
      </c>
      <c r="B39" s="3">
        <v>21.224425943874898</v>
      </c>
      <c r="C39" s="3">
        <v>16.7574925946574</v>
      </c>
      <c r="D39" s="3">
        <v>17.499644170045499</v>
      </c>
      <c r="E39" s="3">
        <v>15.484692573117099</v>
      </c>
      <c r="F39" s="3">
        <v>15.6429949377032</v>
      </c>
      <c r="G39" s="3">
        <v>20.4025119141339</v>
      </c>
      <c r="H39" s="3">
        <v>15.624330035030701</v>
      </c>
      <c r="I39" s="3">
        <v>22.922741628369302</v>
      </c>
      <c r="J39" s="3">
        <v>19.6418530820794</v>
      </c>
      <c r="K39" s="3">
        <v>16.355642955354501</v>
      </c>
      <c r="L39" s="3">
        <v>17.587829790568399</v>
      </c>
      <c r="M39" s="3">
        <v>18.554438201379099</v>
      </c>
      <c r="N39" s="3">
        <v>28.8236970843374</v>
      </c>
    </row>
    <row r="40" spans="1:14" x14ac:dyDescent="0.35">
      <c r="A40" s="2">
        <v>43070</v>
      </c>
      <c r="B40" s="3">
        <v>21.560923949059902</v>
      </c>
      <c r="C40" s="3">
        <v>16.643239141631099</v>
      </c>
      <c r="D40" s="3">
        <v>17.315556170383999</v>
      </c>
      <c r="E40" s="3">
        <v>15.172717455383101</v>
      </c>
      <c r="F40" s="3">
        <v>16.111850124842601</v>
      </c>
      <c r="G40" s="3">
        <v>20.3191407844838</v>
      </c>
      <c r="H40" s="3">
        <v>15.0729034916162</v>
      </c>
      <c r="I40" s="3">
        <v>23.0806527278178</v>
      </c>
      <c r="J40" s="3">
        <v>19.991053194272901</v>
      </c>
      <c r="K40" s="3">
        <v>15.972070810649999</v>
      </c>
      <c r="L40" s="3">
        <v>16.974758562429901</v>
      </c>
      <c r="M40" s="3">
        <v>17.821688902872602</v>
      </c>
      <c r="N40" s="3">
        <v>22.241134483824201</v>
      </c>
    </row>
    <row r="41" spans="1:14" x14ac:dyDescent="0.35">
      <c r="A41" s="2">
        <v>43103</v>
      </c>
      <c r="B41" s="3">
        <v>22.415363864560302</v>
      </c>
      <c r="C41" s="3">
        <v>16.7999888005691</v>
      </c>
      <c r="D41" s="3">
        <v>17.373195809982001</v>
      </c>
      <c r="E41" s="3">
        <v>15.3346936363178</v>
      </c>
      <c r="F41" s="3">
        <v>16.341674761778599</v>
      </c>
      <c r="G41" s="3">
        <v>20.871928670381401</v>
      </c>
      <c r="H41" s="3">
        <v>15.486106537355299</v>
      </c>
      <c r="I41" s="3">
        <v>24.131212357677299</v>
      </c>
      <c r="J41" s="3">
        <v>20.517280007022102</v>
      </c>
      <c r="K41" s="3">
        <v>16.0165249966998</v>
      </c>
      <c r="L41" s="3">
        <v>17.3014415525403</v>
      </c>
      <c r="M41" s="3">
        <v>18.023559900691801</v>
      </c>
      <c r="N41" s="3">
        <v>15.032966604903701</v>
      </c>
    </row>
    <row r="42" spans="1:14" x14ac:dyDescent="0.35">
      <c r="A42" s="2">
        <v>43133</v>
      </c>
      <c r="B42" s="3">
        <v>22.462839133314201</v>
      </c>
      <c r="C42" s="3">
        <v>16.920882425996901</v>
      </c>
      <c r="D42" s="3">
        <v>16.3939027219064</v>
      </c>
      <c r="E42" s="3">
        <v>14.7787830038189</v>
      </c>
      <c r="F42" s="3">
        <v>16.446358399567899</v>
      </c>
      <c r="G42" s="3">
        <v>21.507578164466999</v>
      </c>
      <c r="H42" s="3">
        <v>15.0783485898368</v>
      </c>
      <c r="I42" s="3">
        <v>24.1449957666679</v>
      </c>
      <c r="J42" s="3">
        <v>20.422211009689601</v>
      </c>
      <c r="K42" s="3">
        <v>16.098504504713901</v>
      </c>
      <c r="L42" s="3">
        <v>17.280780092077801</v>
      </c>
      <c r="M42" s="3">
        <v>18.737164181478398</v>
      </c>
      <c r="N42" s="3">
        <v>15.4206696166956</v>
      </c>
    </row>
    <row r="43" spans="1:14" x14ac:dyDescent="0.35">
      <c r="A43" s="2">
        <v>43161</v>
      </c>
      <c r="B43" s="3">
        <v>22.5797765761439</v>
      </c>
      <c r="C43" s="3">
        <v>16.509358407469701</v>
      </c>
      <c r="D43" s="3">
        <v>15.8114070627831</v>
      </c>
      <c r="E43" s="3">
        <v>14.1641193569388</v>
      </c>
      <c r="F43" s="3">
        <v>14.4091154825721</v>
      </c>
      <c r="G43" s="3">
        <v>21.110063184241401</v>
      </c>
      <c r="H43" s="3">
        <v>13.8558218942637</v>
      </c>
      <c r="I43" s="3">
        <v>24.078848334065899</v>
      </c>
      <c r="J43" s="3">
        <v>19.753213097976001</v>
      </c>
      <c r="K43" s="3">
        <v>15.5409620442201</v>
      </c>
      <c r="L43" s="3">
        <v>16.589704813915102</v>
      </c>
      <c r="M43" s="3">
        <v>16.881574777400701</v>
      </c>
      <c r="N43" s="3">
        <v>14.169621227811399</v>
      </c>
    </row>
    <row r="44" spans="1:14" x14ac:dyDescent="0.35">
      <c r="A44" s="2">
        <v>43193</v>
      </c>
      <c r="B44" s="3">
        <v>22.3696898620416</v>
      </c>
      <c r="C44" s="3">
        <v>16.257212665283699</v>
      </c>
      <c r="D44" s="3">
        <v>15.627226512437399</v>
      </c>
      <c r="E44" s="3">
        <v>14.064314763978601</v>
      </c>
      <c r="F44" s="3">
        <v>14.2315449197728</v>
      </c>
      <c r="G44" s="3">
        <v>20.595000213338601</v>
      </c>
      <c r="H44" s="3">
        <v>13.8701692089269</v>
      </c>
      <c r="I44" s="3">
        <v>23.486829433511101</v>
      </c>
      <c r="J44" s="3">
        <v>19.347839230935001</v>
      </c>
      <c r="K44" s="3">
        <v>15.440409547695999</v>
      </c>
      <c r="L44" s="3">
        <v>16.533970222568701</v>
      </c>
      <c r="M44" s="3">
        <v>16.743268649486001</v>
      </c>
      <c r="N44" s="3">
        <v>14.0569354235395</v>
      </c>
    </row>
    <row r="45" spans="1:14" x14ac:dyDescent="0.35">
      <c r="A45" s="2">
        <v>43223</v>
      </c>
      <c r="B45" s="3">
        <v>22.411419203255001</v>
      </c>
      <c r="C45" s="3">
        <v>16.363393854694699</v>
      </c>
      <c r="D45" s="3">
        <v>15.586375021514201</v>
      </c>
      <c r="E45" s="3">
        <v>14.1812750273224</v>
      </c>
      <c r="F45" s="3">
        <v>14.2692137503363</v>
      </c>
      <c r="G45" s="3">
        <v>20.2250305175112</v>
      </c>
      <c r="H45" s="3">
        <v>13.996983446635101</v>
      </c>
      <c r="I45" s="3">
        <v>23.1504170306691</v>
      </c>
      <c r="J45" s="3">
        <v>18.998969243499001</v>
      </c>
      <c r="K45" s="3">
        <v>15.5888281872975</v>
      </c>
      <c r="L45" s="3">
        <v>16.515319094480901</v>
      </c>
      <c r="M45" s="3">
        <v>16.7487213101668</v>
      </c>
      <c r="N45" s="3">
        <v>14.1834243342098</v>
      </c>
    </row>
    <row r="46" spans="1:14" x14ac:dyDescent="0.35">
      <c r="A46" s="2">
        <v>43252</v>
      </c>
      <c r="B46" s="3">
        <v>22.426551250118202</v>
      </c>
      <c r="C46" s="3">
        <v>16.131253831061301</v>
      </c>
      <c r="D46" s="3">
        <v>15.517045871110501</v>
      </c>
      <c r="E46" s="3">
        <v>14.089543033653401</v>
      </c>
      <c r="F46" s="3">
        <v>14.089716303669199</v>
      </c>
      <c r="G46" s="3">
        <v>19.696156425107102</v>
      </c>
      <c r="H46" s="3">
        <v>13.9999159097642</v>
      </c>
      <c r="I46" s="3">
        <v>23.295388468917899</v>
      </c>
      <c r="J46" s="3">
        <v>18.923641124726199</v>
      </c>
      <c r="K46" s="3">
        <v>15.448668833230901</v>
      </c>
      <c r="L46" s="3">
        <v>16.636581306373699</v>
      </c>
      <c r="M46" s="3">
        <v>16.627663504387201</v>
      </c>
      <c r="N46" s="3">
        <v>13.597939479651799</v>
      </c>
    </row>
    <row r="47" spans="1:14" x14ac:dyDescent="0.35">
      <c r="A47" s="2">
        <v>43284</v>
      </c>
      <c r="B47" s="3">
        <v>22.978318263357998</v>
      </c>
      <c r="C47" s="3">
        <v>16.2822757692091</v>
      </c>
      <c r="D47" s="3">
        <v>15.464265835349</v>
      </c>
      <c r="E47" s="3">
        <v>13.9157714629475</v>
      </c>
      <c r="F47" s="3">
        <v>13.833812146095299</v>
      </c>
      <c r="G47" s="3">
        <v>19.242307457072599</v>
      </c>
      <c r="H47" s="3">
        <v>13.7950873312013</v>
      </c>
      <c r="I47" s="3">
        <v>22.902968450718799</v>
      </c>
      <c r="J47" s="3">
        <v>18.556298613355199</v>
      </c>
      <c r="K47" s="3">
        <v>15.137478200738901</v>
      </c>
      <c r="L47" s="3">
        <v>16.488735733697499</v>
      </c>
      <c r="M47" s="3">
        <v>16.371915952803299</v>
      </c>
      <c r="N47" s="3">
        <v>13.3079904494722</v>
      </c>
    </row>
    <row r="48" spans="1:14" x14ac:dyDescent="0.35">
      <c r="A48" s="2">
        <v>43315</v>
      </c>
      <c r="B48" s="3">
        <v>22.8067158433713</v>
      </c>
      <c r="C48" s="3">
        <v>16.2757098476572</v>
      </c>
      <c r="D48" s="3">
        <v>15.4898696571682</v>
      </c>
      <c r="E48" s="3">
        <v>14.100185674295901</v>
      </c>
      <c r="F48" s="3">
        <v>13.817542361079701</v>
      </c>
      <c r="G48" s="3">
        <v>19.2603756519011</v>
      </c>
      <c r="H48" s="3">
        <v>13.858750204557101</v>
      </c>
      <c r="I48" s="3">
        <v>23.1215312910434</v>
      </c>
      <c r="J48" s="3">
        <v>18.6694704620637</v>
      </c>
      <c r="K48" s="3">
        <v>15.233278584111501</v>
      </c>
      <c r="L48" s="3">
        <v>16.7994862466477</v>
      </c>
      <c r="M48" s="3">
        <v>16.591554833111299</v>
      </c>
      <c r="N48" s="3">
        <v>13.138708932178201</v>
      </c>
    </row>
    <row r="49" spans="1:14" x14ac:dyDescent="0.35">
      <c r="A49" s="2">
        <v>43343</v>
      </c>
      <c r="B49" s="3">
        <v>23.757388864391</v>
      </c>
      <c r="C49" s="3">
        <v>16.359794784017701</v>
      </c>
      <c r="D49" s="3">
        <v>15.238977878050401</v>
      </c>
      <c r="E49" s="3">
        <v>14.021403360529799</v>
      </c>
      <c r="F49" s="3">
        <v>13.650650473683299</v>
      </c>
      <c r="G49" s="3">
        <v>18.797701941154699</v>
      </c>
      <c r="H49" s="3">
        <v>13.5125453110635</v>
      </c>
      <c r="I49" s="3">
        <v>23.462207281979499</v>
      </c>
      <c r="J49" s="3">
        <v>18.701689354028201</v>
      </c>
      <c r="K49" s="3">
        <v>15.0320387753647</v>
      </c>
      <c r="L49" s="3">
        <v>16.600732905253501</v>
      </c>
      <c r="M49" s="3">
        <v>16.8131756196541</v>
      </c>
      <c r="N49" s="3">
        <v>12.4458594415345</v>
      </c>
    </row>
    <row r="50" spans="1:14" x14ac:dyDescent="0.35">
      <c r="A50" s="2">
        <v>43376</v>
      </c>
      <c r="B50" s="3">
        <v>23.646389138250498</v>
      </c>
      <c r="C50" s="3">
        <v>15.879065269739399</v>
      </c>
      <c r="D50" s="3">
        <v>15.038876482445399</v>
      </c>
      <c r="E50" s="3">
        <v>13.9459300541149</v>
      </c>
      <c r="F50" s="3">
        <v>13.8866667715135</v>
      </c>
      <c r="G50" s="3">
        <v>18.584475278294001</v>
      </c>
      <c r="H50" s="3">
        <v>13.609852008149</v>
      </c>
      <c r="I50" s="3">
        <v>23.273489020239399</v>
      </c>
      <c r="J50" s="3">
        <v>18.625115050498</v>
      </c>
      <c r="K50" s="3">
        <v>15.087995827525701</v>
      </c>
      <c r="L50" s="3">
        <v>16.331015129118502</v>
      </c>
      <c r="M50" s="3">
        <v>16.948059921110101</v>
      </c>
      <c r="N50" s="3">
        <v>12.2866821666902</v>
      </c>
    </row>
    <row r="51" spans="1:14" x14ac:dyDescent="0.35">
      <c r="A51" s="2">
        <v>43406</v>
      </c>
      <c r="B51" s="3">
        <v>22.824232228699</v>
      </c>
      <c r="C51" s="3">
        <v>15.3092180816754</v>
      </c>
      <c r="D51" s="3">
        <v>14.2201797377882</v>
      </c>
      <c r="E51" s="3">
        <v>13.1625388688089</v>
      </c>
      <c r="F51" s="3">
        <v>12.9119129900646</v>
      </c>
      <c r="G51" s="3">
        <v>17.992982509938599</v>
      </c>
      <c r="H51" s="3">
        <v>12.861120610642001</v>
      </c>
      <c r="I51" s="3">
        <v>21.1234186000788</v>
      </c>
      <c r="J51" s="3">
        <v>17.325055341558802</v>
      </c>
      <c r="K51" s="3">
        <v>14.1901749458689</v>
      </c>
      <c r="L51" s="3">
        <v>15.666116999648001</v>
      </c>
      <c r="M51" s="3">
        <v>15.4743853477997</v>
      </c>
      <c r="N51" s="3">
        <v>11.550165738910399</v>
      </c>
    </row>
    <row r="52" spans="1:14" x14ac:dyDescent="0.35">
      <c r="A52" s="2">
        <v>43437</v>
      </c>
      <c r="B52" s="3">
        <v>23.073488651687601</v>
      </c>
      <c r="C52" s="3">
        <v>15.1286134440337</v>
      </c>
      <c r="D52" s="3">
        <v>14.1320822900115</v>
      </c>
      <c r="E52" s="3">
        <v>13.1103848736745</v>
      </c>
      <c r="F52" s="3">
        <v>13.026285561258</v>
      </c>
      <c r="G52" s="3">
        <v>17.8018862540616</v>
      </c>
      <c r="H52" s="3">
        <v>12.659052710870601</v>
      </c>
      <c r="I52" s="3">
        <v>21.022760250887998</v>
      </c>
      <c r="J52" s="3">
        <v>17.4030089268716</v>
      </c>
      <c r="K52" s="3">
        <v>13.9203291803643</v>
      </c>
      <c r="L52" s="3">
        <v>15.499254821786799</v>
      </c>
      <c r="M52" s="3">
        <v>14.943200276527</v>
      </c>
      <c r="N52" s="3">
        <v>11.2501124890291</v>
      </c>
    </row>
    <row r="53" spans="1:14" x14ac:dyDescent="0.35">
      <c r="A53" s="2">
        <v>43468</v>
      </c>
      <c r="B53" s="3">
        <v>22.745661199997699</v>
      </c>
      <c r="C53" s="3">
        <v>14.5628850347398</v>
      </c>
      <c r="D53" s="3">
        <v>13.0110233478739</v>
      </c>
      <c r="E53" s="3">
        <v>11.8725364045675</v>
      </c>
      <c r="F53" s="3">
        <v>11.4779750567284</v>
      </c>
      <c r="G53" s="3">
        <v>16.1699064555836</v>
      </c>
      <c r="H53" s="3">
        <v>11.815241964988401</v>
      </c>
      <c r="I53" s="3">
        <v>18.232386275228201</v>
      </c>
      <c r="J53" s="3">
        <v>15.1395850755328</v>
      </c>
      <c r="K53" s="3">
        <v>12.5976408907026</v>
      </c>
      <c r="L53" s="3">
        <v>13.966465682631201</v>
      </c>
      <c r="M53" s="3">
        <v>13.633287814636301</v>
      </c>
      <c r="N53" s="3">
        <v>10.361346993016101</v>
      </c>
    </row>
    <row r="54" spans="1:14" x14ac:dyDescent="0.35">
      <c r="A54" s="2">
        <v>43497</v>
      </c>
      <c r="B54" s="3">
        <v>23.279819858548802</v>
      </c>
      <c r="C54" s="3">
        <v>15.2545673380389</v>
      </c>
      <c r="D54" s="3">
        <v>14.517087878377501</v>
      </c>
      <c r="E54" s="3">
        <v>12.840174060001001</v>
      </c>
      <c r="F54" s="3">
        <v>12.161371341043701</v>
      </c>
      <c r="G54" s="3">
        <v>17.6000232415279</v>
      </c>
      <c r="H54" s="3">
        <v>12.6629991530125</v>
      </c>
      <c r="I54" s="3">
        <v>20.304407141964901</v>
      </c>
      <c r="J54" s="3">
        <v>16.696369537999399</v>
      </c>
      <c r="K54" s="3">
        <v>13.835205523177301</v>
      </c>
      <c r="L54" s="3">
        <v>15.2677384156241</v>
      </c>
      <c r="M54" s="3">
        <v>16.234872799480801</v>
      </c>
      <c r="N54" s="3">
        <v>11.036770973470899</v>
      </c>
    </row>
    <row r="55" spans="1:14" x14ac:dyDescent="0.35">
      <c r="A55" s="2">
        <v>43525</v>
      </c>
      <c r="B55" s="3">
        <v>24.185431785191199</v>
      </c>
      <c r="C55" s="3">
        <v>15.9237833795216</v>
      </c>
      <c r="D55" s="3">
        <v>14.733920888522301</v>
      </c>
      <c r="E55" s="3">
        <v>13.2358567209154</v>
      </c>
      <c r="F55" s="3">
        <v>12.7022799934721</v>
      </c>
      <c r="G55" s="3">
        <v>18.3575359207335</v>
      </c>
      <c r="H55" s="3">
        <v>12.9360870157105</v>
      </c>
      <c r="I55" s="3">
        <v>20.921913392507498</v>
      </c>
      <c r="J55" s="3">
        <v>17.127818458014499</v>
      </c>
      <c r="K55" s="3">
        <v>14.582210770583901</v>
      </c>
      <c r="L55" s="3">
        <v>16.160365939624601</v>
      </c>
      <c r="M55" s="3">
        <v>18.161036712129398</v>
      </c>
      <c r="N55" s="3">
        <v>11.2968756302449</v>
      </c>
    </row>
    <row r="56" spans="1:14" x14ac:dyDescent="0.35">
      <c r="A56" s="2">
        <v>43558</v>
      </c>
      <c r="B56" s="3">
        <v>24.198998460205701</v>
      </c>
      <c r="C56" s="3">
        <v>15.9238653946596</v>
      </c>
      <c r="D56" s="3">
        <v>14.7405006045002</v>
      </c>
      <c r="E56" s="3">
        <v>13.269783517357499</v>
      </c>
      <c r="F56" s="3">
        <v>12.747733074240299</v>
      </c>
      <c r="G56" s="3">
        <v>18.304112524654101</v>
      </c>
      <c r="H56" s="3">
        <v>13.0227282844846</v>
      </c>
      <c r="I56" s="3">
        <v>21.1543463990647</v>
      </c>
      <c r="J56" s="3">
        <v>17.1892613798775</v>
      </c>
      <c r="K56" s="3">
        <v>14.616296385429299</v>
      </c>
      <c r="L56" s="3">
        <v>16.238760477886899</v>
      </c>
      <c r="M56" s="3">
        <v>17.931398275951899</v>
      </c>
      <c r="N56" s="3">
        <v>11.369729436588599</v>
      </c>
    </row>
    <row r="57" spans="1:14" x14ac:dyDescent="0.35">
      <c r="A57" s="2">
        <v>43588</v>
      </c>
      <c r="B57" s="3">
        <v>24.257729886183501</v>
      </c>
      <c r="C57" s="3">
        <v>15.8676886818646</v>
      </c>
      <c r="D57" s="3">
        <v>14.603299460824401</v>
      </c>
      <c r="E57" s="3">
        <v>13.427236034518</v>
      </c>
      <c r="F57" s="3">
        <v>12.7922780940252</v>
      </c>
      <c r="G57" s="3">
        <v>18.274824200920499</v>
      </c>
      <c r="H57" s="3">
        <v>13.0043341051328</v>
      </c>
      <c r="I57" s="3">
        <v>21.514255217652401</v>
      </c>
      <c r="J57" s="3">
        <v>17.3212839658182</v>
      </c>
      <c r="K57" s="3">
        <v>14.660294722462901</v>
      </c>
      <c r="L57" s="3">
        <v>16.360598730798401</v>
      </c>
      <c r="M57" s="3">
        <v>17.845865694235101</v>
      </c>
      <c r="N57" s="3">
        <v>11.344338989760001</v>
      </c>
    </row>
    <row r="58" spans="1:14" x14ac:dyDescent="0.35">
      <c r="A58" s="2">
        <v>43619</v>
      </c>
      <c r="B58" s="3">
        <v>24.262203468691599</v>
      </c>
      <c r="C58" s="3">
        <v>15.844849600547199</v>
      </c>
      <c r="D58" s="3">
        <v>14.353802694907399</v>
      </c>
      <c r="E58" s="3">
        <v>13.1156827069481</v>
      </c>
      <c r="F58" s="3">
        <v>12.570251536801299</v>
      </c>
      <c r="G58" s="3">
        <v>18.108482278911001</v>
      </c>
      <c r="H58" s="3">
        <v>12.827038171517399</v>
      </c>
      <c r="I58" s="3">
        <v>20.608359478511801</v>
      </c>
      <c r="J58" s="3">
        <v>16.8475410678125</v>
      </c>
      <c r="K58" s="3">
        <v>14.3551218831313</v>
      </c>
      <c r="L58" s="3">
        <v>16.0273974709778</v>
      </c>
      <c r="M58" s="3">
        <v>16.9620431269793</v>
      </c>
      <c r="N58" s="3">
        <v>10.8459301451374</v>
      </c>
    </row>
    <row r="59" spans="1:14" x14ac:dyDescent="0.35">
      <c r="A59" s="2">
        <v>43649</v>
      </c>
      <c r="B59" s="3">
        <v>24.7717361132745</v>
      </c>
      <c r="C59" s="3">
        <v>16.321577945621002</v>
      </c>
      <c r="D59" s="3">
        <v>14.5470594711168</v>
      </c>
      <c r="E59" s="3">
        <v>13.5682138672204</v>
      </c>
      <c r="F59" s="3">
        <v>12.971409273773</v>
      </c>
      <c r="G59" s="3">
        <v>18.482691629553301</v>
      </c>
      <c r="H59" s="3">
        <v>13.176766511977</v>
      </c>
      <c r="I59" s="3">
        <v>21.896085536423499</v>
      </c>
      <c r="J59" s="3">
        <v>17.5797539544443</v>
      </c>
      <c r="K59" s="3">
        <v>14.785876198587101</v>
      </c>
      <c r="L59" s="3">
        <v>16.5162958949991</v>
      </c>
      <c r="M59" s="3">
        <v>17.223118999316799</v>
      </c>
      <c r="N59" s="3">
        <v>11.283291138467799</v>
      </c>
    </row>
    <row r="60" spans="1:14" x14ac:dyDescent="0.35">
      <c r="A60" s="2">
        <v>43679</v>
      </c>
      <c r="B60" s="3">
        <v>25.4183300791344</v>
      </c>
      <c r="C60" s="3">
        <v>16.444072563301798</v>
      </c>
      <c r="D60" s="3">
        <v>14.372699169982299</v>
      </c>
      <c r="E60" s="3">
        <v>13.4258317322727</v>
      </c>
      <c r="F60" s="3">
        <v>12.858455857673199</v>
      </c>
      <c r="G60" s="3">
        <v>18.249473955742399</v>
      </c>
      <c r="H60" s="3">
        <v>12.975034824124601</v>
      </c>
      <c r="I60" s="3">
        <v>21.740363468655701</v>
      </c>
      <c r="J60" s="3">
        <v>17.492640729323401</v>
      </c>
      <c r="K60" s="3">
        <v>14.588479561339099</v>
      </c>
      <c r="L60" s="3">
        <v>16.3989457026391</v>
      </c>
      <c r="M60" s="3">
        <v>16.602151378204201</v>
      </c>
      <c r="N60" s="3">
        <v>11.061561296291099</v>
      </c>
    </row>
    <row r="61" spans="1:14" x14ac:dyDescent="0.35">
      <c r="A61" s="2">
        <v>43711</v>
      </c>
      <c r="B61" s="3">
        <v>28.350397349308199</v>
      </c>
      <c r="C61" s="3">
        <v>16.397993219443201</v>
      </c>
      <c r="D61" s="3">
        <v>14.418004277954999</v>
      </c>
      <c r="E61" s="3">
        <v>13.5470135000618</v>
      </c>
      <c r="F61" s="3">
        <v>12.858090885728</v>
      </c>
      <c r="G61" s="3">
        <v>18.239094172303201</v>
      </c>
      <c r="H61" s="3">
        <v>12.8745590821084</v>
      </c>
      <c r="I61" s="3">
        <v>21.836873930820801</v>
      </c>
      <c r="J61" s="3">
        <v>17.454890197462099</v>
      </c>
      <c r="K61" s="3">
        <v>14.739240528664</v>
      </c>
      <c r="L61" s="3">
        <v>16.641293294711399</v>
      </c>
      <c r="M61" s="3">
        <v>15.789177920926599</v>
      </c>
      <c r="N61" s="3">
        <v>11.107383728042899</v>
      </c>
    </row>
    <row r="62" spans="1:14" x14ac:dyDescent="0.35">
      <c r="A62" s="2">
        <v>43741</v>
      </c>
      <c r="B62" s="3">
        <v>28.422977017756899</v>
      </c>
      <c r="C62" s="3">
        <v>16.5010000773045</v>
      </c>
      <c r="D62" s="3">
        <v>14.466755016880301</v>
      </c>
      <c r="E62" s="3">
        <v>13.7274713970022</v>
      </c>
      <c r="F62" s="3">
        <v>13.9704599830586</v>
      </c>
      <c r="G62" s="3">
        <v>18.042616293883899</v>
      </c>
      <c r="H62" s="3">
        <v>12.7735598059477</v>
      </c>
      <c r="I62" s="3">
        <v>21.8754888285082</v>
      </c>
      <c r="J62" s="3">
        <v>17.596330981885998</v>
      </c>
      <c r="K62" s="3">
        <v>14.746285362702301</v>
      </c>
      <c r="L62" s="3">
        <v>16.707720932209099</v>
      </c>
      <c r="M62" s="3">
        <v>16.028335227168199</v>
      </c>
      <c r="N62" s="3">
        <v>11.0149143282132</v>
      </c>
    </row>
    <row r="63" spans="1:14" x14ac:dyDescent="0.35">
      <c r="A63" s="2">
        <v>43770</v>
      </c>
      <c r="B63" s="3">
        <v>28.828105997023801</v>
      </c>
      <c r="C63" s="3">
        <v>17.2934364679023</v>
      </c>
      <c r="D63" s="3">
        <v>14.8354398848766</v>
      </c>
      <c r="E63" s="3">
        <v>14.861348805165299</v>
      </c>
      <c r="F63" s="3">
        <v>14.8540146226497</v>
      </c>
      <c r="G63" s="3">
        <v>18.757811016930098</v>
      </c>
      <c r="H63" s="3">
        <v>13.3063234215566</v>
      </c>
      <c r="I63" s="3">
        <v>23.136450713920301</v>
      </c>
      <c r="J63" s="3">
        <v>18.491143205828401</v>
      </c>
      <c r="K63" s="3">
        <v>15.6943298828789</v>
      </c>
      <c r="L63" s="3">
        <v>17.459749411154199</v>
      </c>
      <c r="M63" s="3">
        <v>16.840293252847701</v>
      </c>
      <c r="N63" s="3">
        <v>11.772032273090501</v>
      </c>
    </row>
    <row r="64" spans="1:14" x14ac:dyDescent="0.35">
      <c r="A64" s="2">
        <v>43802</v>
      </c>
      <c r="B64" s="3">
        <v>31.0235851173559</v>
      </c>
      <c r="C64" s="3">
        <v>17.494295386720299</v>
      </c>
      <c r="D64" s="3">
        <v>14.971727212767</v>
      </c>
      <c r="E64" s="3">
        <v>15.0118357850269</v>
      </c>
      <c r="F64" s="3">
        <v>15.8396630178585</v>
      </c>
      <c r="G64" s="3">
        <v>18.7054245636423</v>
      </c>
      <c r="H64" s="3">
        <v>13.2477860483057</v>
      </c>
      <c r="I64" s="3">
        <v>23.800904845778099</v>
      </c>
      <c r="J64" s="3">
        <v>18.844661912997399</v>
      </c>
      <c r="K64" s="3">
        <v>15.7099176069605</v>
      </c>
      <c r="L64" s="3">
        <v>17.724891033922901</v>
      </c>
      <c r="M64" s="3">
        <v>15.575392668412499</v>
      </c>
      <c r="N64" s="3">
        <v>11.6849469762168</v>
      </c>
    </row>
    <row r="65" spans="1:14" x14ac:dyDescent="0.35">
      <c r="A65" s="2">
        <v>43833</v>
      </c>
      <c r="B65" s="3">
        <v>32.571479813941501</v>
      </c>
      <c r="C65" s="3">
        <v>17.828107229330101</v>
      </c>
      <c r="D65" s="3">
        <v>15.256983399573</v>
      </c>
      <c r="E65" s="3">
        <v>15.465178709635399</v>
      </c>
      <c r="F65" s="3">
        <v>16.337946035849701</v>
      </c>
      <c r="G65" s="3">
        <v>19.744936542487299</v>
      </c>
      <c r="H65" s="3">
        <v>14.206204001385199</v>
      </c>
      <c r="I65" s="3">
        <v>25.623483398815999</v>
      </c>
      <c r="J65" s="3">
        <v>19.891539841783899</v>
      </c>
      <c r="K65" s="3">
        <v>16.662193103874898</v>
      </c>
      <c r="L65" s="3">
        <v>18.846282868005598</v>
      </c>
      <c r="M65" s="3">
        <v>16.3339184135267</v>
      </c>
      <c r="N65" s="3">
        <v>12.1860381147651</v>
      </c>
    </row>
    <row r="66" spans="1:14" x14ac:dyDescent="0.35">
      <c r="A66" s="2">
        <v>43864</v>
      </c>
      <c r="B66" s="3">
        <v>32.187215063491799</v>
      </c>
      <c r="C66" s="3">
        <v>18.22372416819</v>
      </c>
      <c r="D66" s="3">
        <v>15.404902333205101</v>
      </c>
      <c r="E66" s="3">
        <v>15.088203757680301</v>
      </c>
      <c r="F66" s="3">
        <v>15.974284999135101</v>
      </c>
      <c r="G66" s="3">
        <v>19.723913836739001</v>
      </c>
      <c r="H66" s="3">
        <v>13.759106993443501</v>
      </c>
      <c r="I66" s="3">
        <v>25.942540417902599</v>
      </c>
      <c r="J66" s="3">
        <v>19.796393140347998</v>
      </c>
      <c r="K66" s="3">
        <v>16.123998025213002</v>
      </c>
      <c r="L66" s="3">
        <v>18.5151670141443</v>
      </c>
      <c r="M66" s="3">
        <v>13.898831852928501</v>
      </c>
      <c r="N66" s="3">
        <v>12.089812396842399</v>
      </c>
    </row>
    <row r="67" spans="1:14" x14ac:dyDescent="0.35">
      <c r="A67" s="2">
        <v>43893</v>
      </c>
      <c r="B67" s="3">
        <v>31.0470153778185</v>
      </c>
      <c r="C67" s="3">
        <v>16.956493383743201</v>
      </c>
      <c r="D67" s="3">
        <v>14.414406893525401</v>
      </c>
      <c r="E67" s="3">
        <v>14.039722893369399</v>
      </c>
      <c r="F67" s="3">
        <v>14.930097608131</v>
      </c>
      <c r="G67" s="3">
        <v>18.0862378948128</v>
      </c>
      <c r="H67" s="3">
        <v>12.375374718045499</v>
      </c>
      <c r="I67" s="3">
        <v>23.839656624968601</v>
      </c>
      <c r="J67" s="3">
        <v>17.944675685230699</v>
      </c>
      <c r="K67" s="3">
        <v>14.6741661863449</v>
      </c>
      <c r="L67" s="3">
        <v>17.384689444749402</v>
      </c>
      <c r="M67" s="3">
        <v>12.955094615464301</v>
      </c>
      <c r="N67" s="3">
        <v>11.3222134381871</v>
      </c>
    </row>
    <row r="68" spans="1:14" x14ac:dyDescent="0.35">
      <c r="A68" s="2">
        <v>43924</v>
      </c>
      <c r="B68" s="3">
        <v>30.573284357584999</v>
      </c>
      <c r="C68" s="3">
        <v>16.362923491898599</v>
      </c>
      <c r="D68" s="3">
        <v>14.1660935470872</v>
      </c>
      <c r="E68" s="3">
        <v>13.805812367724</v>
      </c>
      <c r="F68" s="3">
        <v>14.542716134579701</v>
      </c>
      <c r="G68" s="3">
        <v>17.795215902922902</v>
      </c>
      <c r="H68" s="3">
        <v>12.345895018918201</v>
      </c>
      <c r="I68" s="3">
        <v>23.364367539601002</v>
      </c>
      <c r="J68" s="3">
        <v>17.5570404564108</v>
      </c>
      <c r="K68" s="3">
        <v>14.3853848493077</v>
      </c>
      <c r="L68" s="3">
        <v>16.821582498221801</v>
      </c>
      <c r="M68" s="3">
        <v>13.0293895823384</v>
      </c>
      <c r="N68" s="3">
        <v>11.0870115154984</v>
      </c>
    </row>
    <row r="69" spans="1:14" x14ac:dyDescent="0.35">
      <c r="A69" s="2">
        <v>43952</v>
      </c>
      <c r="B69" s="3">
        <v>31.46312599861</v>
      </c>
      <c r="C69" s="3">
        <v>17.082441864408601</v>
      </c>
      <c r="D69" s="3">
        <v>15.5747218915481</v>
      </c>
      <c r="E69" s="3">
        <v>15.067650531794399</v>
      </c>
      <c r="F69" s="3">
        <v>15.246662187322899</v>
      </c>
      <c r="G69" s="3">
        <v>18.6034651660968</v>
      </c>
      <c r="H69" s="3">
        <v>13.5253516875696</v>
      </c>
      <c r="I69" s="3">
        <v>24.9386388224355</v>
      </c>
      <c r="J69" s="3">
        <v>19.194077070563502</v>
      </c>
      <c r="K69" s="3">
        <v>15.925724928388099</v>
      </c>
      <c r="L69" s="3">
        <v>17.826306014342101</v>
      </c>
      <c r="M69" s="3">
        <v>14.6114326531905</v>
      </c>
      <c r="N69" s="3">
        <v>12.607820897661201</v>
      </c>
    </row>
    <row r="70" spans="1:14" x14ac:dyDescent="0.35">
      <c r="A70" s="2">
        <v>43985</v>
      </c>
      <c r="B70" s="3">
        <v>32.176701053920802</v>
      </c>
      <c r="C70" s="3">
        <v>18.424471210851099</v>
      </c>
      <c r="D70" s="3">
        <v>17.1190674222151</v>
      </c>
      <c r="E70" s="3">
        <v>16.972293397187499</v>
      </c>
      <c r="F70" s="3">
        <v>17.140673452290301</v>
      </c>
      <c r="G70" s="3">
        <v>19.389528926808399</v>
      </c>
      <c r="H70" s="3">
        <v>14.9828330118798</v>
      </c>
      <c r="I70" s="3">
        <v>26.742913817646901</v>
      </c>
      <c r="J70" s="3">
        <v>20.775862539156901</v>
      </c>
      <c r="K70" s="3">
        <v>17.6970601894105</v>
      </c>
      <c r="L70" s="3">
        <v>19.026522295067299</v>
      </c>
      <c r="M70" s="3">
        <v>16.442794122504001</v>
      </c>
      <c r="N70" s="3">
        <v>15.3878353032504</v>
      </c>
    </row>
    <row r="71" spans="1:14" x14ac:dyDescent="0.35">
      <c r="A71" s="2">
        <v>44014</v>
      </c>
      <c r="B71" s="3">
        <v>32.806938308273203</v>
      </c>
      <c r="C71" s="3">
        <v>18.669900874700001</v>
      </c>
      <c r="D71" s="3">
        <v>17.4247692052252</v>
      </c>
      <c r="E71" s="3">
        <v>17.969493822064699</v>
      </c>
      <c r="F71" s="3">
        <v>18.162195921053598</v>
      </c>
      <c r="G71" s="3">
        <v>19.7118619811028</v>
      </c>
      <c r="H71" s="3">
        <v>15.3066474081545</v>
      </c>
      <c r="I71" s="3">
        <v>27.9753212570849</v>
      </c>
      <c r="J71" s="3">
        <v>21.3671575464668</v>
      </c>
      <c r="K71" s="3">
        <v>18.9656557882576</v>
      </c>
      <c r="L71" s="3">
        <v>19.752142348652999</v>
      </c>
      <c r="M71" s="3">
        <v>17.5662302819605</v>
      </c>
      <c r="N71" s="3">
        <v>17.0037692368536</v>
      </c>
    </row>
    <row r="72" spans="1:14" x14ac:dyDescent="0.35">
      <c r="A72" s="2">
        <v>44046</v>
      </c>
      <c r="B72" s="3">
        <v>33.608361431348399</v>
      </c>
      <c r="C72" s="3">
        <v>18.9456589213714</v>
      </c>
      <c r="D72" s="3">
        <v>18.0319627699423</v>
      </c>
      <c r="E72" s="3">
        <v>18.908726012489598</v>
      </c>
      <c r="F72" s="3">
        <v>19.000894247212699</v>
      </c>
      <c r="G72" s="3">
        <v>20.189391341865502</v>
      </c>
      <c r="H72" s="3">
        <v>15.649811290994</v>
      </c>
      <c r="I72" s="3">
        <v>29.027713131374899</v>
      </c>
      <c r="J72" s="3">
        <v>22.248083105304101</v>
      </c>
      <c r="K72" s="3">
        <v>21.1161222039634</v>
      </c>
      <c r="L72" s="3">
        <v>20.531161192948101</v>
      </c>
      <c r="M72" s="3">
        <v>17.2235161976662</v>
      </c>
      <c r="N72" s="3">
        <v>17.102668119538802</v>
      </c>
    </row>
    <row r="73" spans="1:14" x14ac:dyDescent="0.35">
      <c r="A73" s="2">
        <v>44077</v>
      </c>
      <c r="B73" s="3">
        <v>34.157247282056098</v>
      </c>
      <c r="C73" s="3">
        <v>19.945262969600101</v>
      </c>
      <c r="D73" s="3">
        <v>18.267003029638101</v>
      </c>
      <c r="E73" s="3">
        <v>20.135021046421599</v>
      </c>
      <c r="F73" s="3">
        <v>20.736752579661399</v>
      </c>
      <c r="G73" s="3">
        <v>20.572632756426099</v>
      </c>
      <c r="H73" s="3">
        <v>16.4626216731521</v>
      </c>
      <c r="I73" s="3">
        <v>30.937363899028501</v>
      </c>
      <c r="J73" s="3">
        <v>23.519105905541199</v>
      </c>
      <c r="K73" s="3">
        <v>22.845389218311698</v>
      </c>
      <c r="L73" s="3">
        <v>21.2878374864843</v>
      </c>
      <c r="M73" s="3">
        <v>17.200196609454299</v>
      </c>
      <c r="N73" s="3">
        <v>17.787303502273801</v>
      </c>
    </row>
    <row r="74" spans="1:14" x14ac:dyDescent="0.35">
      <c r="A74" s="2">
        <v>44106</v>
      </c>
      <c r="B74" s="3">
        <v>33.918621820524002</v>
      </c>
      <c r="C74" s="3">
        <v>19.031168054418799</v>
      </c>
      <c r="D74" s="3">
        <v>18.405911754093399</v>
      </c>
      <c r="E74" s="3">
        <v>20.332411250418701</v>
      </c>
      <c r="F74" s="3">
        <v>21.674359275502901</v>
      </c>
      <c r="G74" s="3">
        <v>20.8093810688801</v>
      </c>
      <c r="H74" s="3">
        <v>16.812688493760799</v>
      </c>
      <c r="I74" s="3">
        <v>30.539924248468701</v>
      </c>
      <c r="J74" s="3">
        <v>23.518773869815199</v>
      </c>
      <c r="K74" s="3">
        <v>23.294809129929401</v>
      </c>
      <c r="L74" s="3">
        <v>22.107645427395401</v>
      </c>
      <c r="M74" s="3">
        <v>18.017087517136801</v>
      </c>
      <c r="N74" s="3">
        <v>18.115127925755001</v>
      </c>
    </row>
    <row r="75" spans="1:14" x14ac:dyDescent="0.35">
      <c r="A75" s="2">
        <v>44138</v>
      </c>
      <c r="B75" s="3">
        <v>35.061305064846799</v>
      </c>
      <c r="C75" s="3">
        <v>20.102693233697799</v>
      </c>
      <c r="D75" s="3">
        <v>18.378755451474699</v>
      </c>
      <c r="E75" s="3">
        <v>19.157695765461099</v>
      </c>
      <c r="F75" s="3">
        <v>22.420951072728901</v>
      </c>
      <c r="G75" s="3">
        <v>20.353393112994599</v>
      </c>
      <c r="H75" s="3">
        <v>16.3109681644926</v>
      </c>
      <c r="I75" s="3">
        <v>30.306044390389101</v>
      </c>
      <c r="J75" s="3">
        <v>23.4656978621943</v>
      </c>
      <c r="K75" s="3">
        <v>23.843592333044899</v>
      </c>
      <c r="L75" s="3">
        <v>22.265104335304901</v>
      </c>
      <c r="M75" s="3">
        <v>15.4993259520369</v>
      </c>
      <c r="N75" s="3">
        <v>18.986139164090702</v>
      </c>
    </row>
    <row r="76" spans="1:14" x14ac:dyDescent="0.35">
      <c r="A76" s="2">
        <v>44168</v>
      </c>
      <c r="B76" s="3">
        <v>35.998809019714798</v>
      </c>
      <c r="C76" s="3">
        <v>22.6629354753962</v>
      </c>
      <c r="D76" s="3">
        <v>19.8600441216043</v>
      </c>
      <c r="E76" s="3">
        <v>20.762117606596401</v>
      </c>
      <c r="F76" s="3">
        <v>24.737547833281599</v>
      </c>
      <c r="G76" s="3">
        <v>20.924809148716999</v>
      </c>
      <c r="H76" s="3">
        <v>19.142914491819401</v>
      </c>
      <c r="I76" s="3">
        <v>33.727792856488399</v>
      </c>
      <c r="J76" s="3">
        <v>25.664153585030999</v>
      </c>
      <c r="K76" s="3">
        <v>28.2033424186574</v>
      </c>
      <c r="L76" s="3">
        <v>25.858374322187998</v>
      </c>
      <c r="M76" s="3">
        <v>16.990189258895001</v>
      </c>
      <c r="N76" s="3">
        <v>22.284857085884799</v>
      </c>
    </row>
    <row r="77" spans="1:14" x14ac:dyDescent="0.35">
      <c r="A77" s="2">
        <v>44196</v>
      </c>
      <c r="B77" s="3">
        <v>37.928037733332303</v>
      </c>
      <c r="C77" s="3">
        <v>22.9540612302639</v>
      </c>
      <c r="D77" s="3">
        <v>20.367488124811899</v>
      </c>
      <c r="E77" s="3">
        <v>22.126768463538401</v>
      </c>
      <c r="F77" s="3">
        <v>26.099002697007599</v>
      </c>
      <c r="G77" s="3">
        <v>22.0192335076548</v>
      </c>
      <c r="H77" s="3">
        <v>19.728500287282401</v>
      </c>
      <c r="I77" s="3">
        <v>35.237273735916702</v>
      </c>
      <c r="J77" s="3">
        <v>27.423472758573901</v>
      </c>
      <c r="K77" s="3">
        <v>28.860229638227199</v>
      </c>
      <c r="L77" s="3">
        <v>27.348340291144599</v>
      </c>
      <c r="M77" s="3">
        <v>17.91501057852</v>
      </c>
      <c r="N77" s="3">
        <v>23.3237130000973</v>
      </c>
    </row>
    <row r="78" spans="1:14" x14ac:dyDescent="0.35">
      <c r="A78" s="2">
        <v>44230</v>
      </c>
      <c r="B78" s="3">
        <v>36.755777764892201</v>
      </c>
      <c r="C78" s="3">
        <v>23.038761140492401</v>
      </c>
      <c r="D78" s="3">
        <v>20.766220681783501</v>
      </c>
      <c r="E78" s="3">
        <v>21.284286719995301</v>
      </c>
      <c r="F78" s="3">
        <v>26.044204045673499</v>
      </c>
      <c r="G78" s="3">
        <v>21.401422461438901</v>
      </c>
      <c r="H78" s="3">
        <v>19.323518239096199</v>
      </c>
      <c r="I78" s="3">
        <v>34.7642849964381</v>
      </c>
      <c r="J78" s="3">
        <v>26.915293419132698</v>
      </c>
      <c r="K78" s="3">
        <v>27.835563443560201</v>
      </c>
      <c r="L78" s="3">
        <v>28.063295594636902</v>
      </c>
      <c r="M78" s="3">
        <v>18.365225906932899</v>
      </c>
      <c r="N78" s="3">
        <v>20.843433128097502</v>
      </c>
    </row>
    <row r="79" spans="1:14" x14ac:dyDescent="0.35">
      <c r="A79" s="2">
        <v>44258</v>
      </c>
      <c r="B79" s="3">
        <v>34.451903080193603</v>
      </c>
      <c r="C79" s="3">
        <v>21.825181980916</v>
      </c>
      <c r="D79" s="3">
        <v>19.966208324236401</v>
      </c>
      <c r="E79" s="3">
        <v>20.274359383773799</v>
      </c>
      <c r="F79" s="3">
        <v>23.915342242504</v>
      </c>
      <c r="G79" s="3">
        <v>20.489445438637599</v>
      </c>
      <c r="H79" s="3">
        <v>18.8008810340759</v>
      </c>
      <c r="I79" s="3">
        <v>32.782828975754903</v>
      </c>
      <c r="J79" s="3">
        <v>26.228402518367499</v>
      </c>
      <c r="K79" s="3">
        <v>26.986560309558701</v>
      </c>
      <c r="L79" s="3">
        <v>28.849578775994502</v>
      </c>
      <c r="M79" s="3">
        <v>17.697785981415201</v>
      </c>
      <c r="N79" s="3">
        <v>20.215791206396901</v>
      </c>
    </row>
    <row r="80" spans="1:14" x14ac:dyDescent="0.35">
      <c r="A80" s="2">
        <v>44287</v>
      </c>
      <c r="B80" s="3">
        <v>34.4420912915879</v>
      </c>
      <c r="C80" s="3">
        <v>21.301203866997401</v>
      </c>
      <c r="D80" s="3">
        <v>19.611244996882402</v>
      </c>
      <c r="E80" s="3">
        <v>20.077686621953099</v>
      </c>
      <c r="F80" s="3">
        <v>23.502412542429202</v>
      </c>
      <c r="G80" s="3">
        <v>20.455490339632501</v>
      </c>
      <c r="H80" s="3">
        <v>18.212299267207701</v>
      </c>
      <c r="I80" s="3">
        <v>32.671643311430202</v>
      </c>
      <c r="J80" s="3">
        <v>26.039384456297601</v>
      </c>
      <c r="K80" s="3">
        <v>26.301859730096002</v>
      </c>
      <c r="L80" s="3">
        <v>28.641000003442102</v>
      </c>
      <c r="M80" s="3">
        <v>18.167370415933</v>
      </c>
      <c r="N80" s="3">
        <v>19.789567172347599</v>
      </c>
    </row>
    <row r="81" spans="1:14" x14ac:dyDescent="0.35">
      <c r="A81" s="2">
        <v>44319</v>
      </c>
      <c r="B81" s="3">
        <v>34.614589450924299</v>
      </c>
      <c r="C81" s="3">
        <v>20.987391329632</v>
      </c>
      <c r="D81" s="3">
        <v>19.210659918564001</v>
      </c>
      <c r="E81" s="3">
        <v>19.372858895480501</v>
      </c>
      <c r="F81" s="3">
        <v>22.762652181822901</v>
      </c>
      <c r="G81" s="3">
        <v>20.489845961236799</v>
      </c>
      <c r="H81" s="3">
        <v>17.617171649873399</v>
      </c>
      <c r="I81" s="3">
        <v>32.057860545341299</v>
      </c>
      <c r="J81" s="3">
        <v>25.550896397493201</v>
      </c>
      <c r="K81" s="3">
        <v>25.397199297939299</v>
      </c>
      <c r="L81" s="3">
        <v>27.855799586520899</v>
      </c>
      <c r="M81" s="3">
        <v>17.8920516737847</v>
      </c>
      <c r="N81" s="3">
        <v>19.0835324332974</v>
      </c>
    </row>
    <row r="82" spans="1:14" x14ac:dyDescent="0.35">
      <c r="A82" s="2">
        <v>44350</v>
      </c>
      <c r="B82" s="3">
        <v>35.1702673547071</v>
      </c>
      <c r="C82" s="3">
        <v>20.749454524608701</v>
      </c>
      <c r="D82" s="3">
        <v>18.770343696340301</v>
      </c>
      <c r="E82" s="3">
        <v>18.8381732447153</v>
      </c>
      <c r="F82" s="3">
        <v>22.3161556195145</v>
      </c>
      <c r="G82" s="3">
        <v>20.658913237076099</v>
      </c>
      <c r="H82" s="3">
        <v>17.057457925547698</v>
      </c>
      <c r="I82" s="3">
        <v>31.276696452372601</v>
      </c>
      <c r="J82" s="3">
        <v>24.999015528641301</v>
      </c>
      <c r="K82" s="3">
        <v>24.539760896695601</v>
      </c>
      <c r="L82" s="3">
        <v>27.018907347307099</v>
      </c>
      <c r="M82" s="3">
        <v>17.873501374794699</v>
      </c>
      <c r="N82" s="3">
        <v>18.578491514319602</v>
      </c>
    </row>
    <row r="83" spans="1:14" x14ac:dyDescent="0.35">
      <c r="A83" s="2">
        <v>44379</v>
      </c>
      <c r="B83" s="3">
        <v>36.274885505061</v>
      </c>
      <c r="C83" s="3">
        <v>19.8750088483824</v>
      </c>
      <c r="D83" s="3">
        <v>18.430154729592498</v>
      </c>
      <c r="E83" s="3">
        <v>18.327172922818701</v>
      </c>
      <c r="F83" s="3">
        <v>21.709916252885701</v>
      </c>
      <c r="G83" s="3">
        <v>20.859253667377001</v>
      </c>
      <c r="H83" s="3">
        <v>16.337631061403599</v>
      </c>
      <c r="I83" s="3">
        <v>32.017160864803699</v>
      </c>
      <c r="J83" s="3">
        <v>24.9298723595506</v>
      </c>
      <c r="K83" s="3">
        <v>23.606904341297799</v>
      </c>
      <c r="L83" s="3">
        <v>26.5711065792281</v>
      </c>
      <c r="M83" s="3">
        <v>18.0065970890013</v>
      </c>
      <c r="N83" s="3">
        <v>17.976648403876101</v>
      </c>
    </row>
    <row r="84" spans="1:14" x14ac:dyDescent="0.35">
      <c r="A84" s="2">
        <v>44411</v>
      </c>
      <c r="B84" s="3">
        <v>36.8277535784473</v>
      </c>
      <c r="C84" s="3">
        <v>19.2803090508705</v>
      </c>
      <c r="D84" s="3">
        <v>17.742293670772401</v>
      </c>
      <c r="E84" s="3">
        <v>17.441707187878102</v>
      </c>
      <c r="F84" s="3">
        <v>20.859066442093901</v>
      </c>
      <c r="G84" s="3">
        <v>21.0114559230407</v>
      </c>
      <c r="H84" s="3">
        <v>15.406887380561299</v>
      </c>
      <c r="I84" s="3">
        <v>31.460235672157999</v>
      </c>
      <c r="J84" s="3">
        <v>24.172235682983501</v>
      </c>
      <c r="K84" s="3">
        <v>22.179097701416399</v>
      </c>
      <c r="L84" s="3">
        <v>26.270307993296399</v>
      </c>
      <c r="M84" s="3">
        <v>17.554780663417102</v>
      </c>
      <c r="N84" s="3">
        <v>16.526336090496301</v>
      </c>
    </row>
    <row r="85" spans="1:14" x14ac:dyDescent="0.35">
      <c r="A85" s="2">
        <v>44442</v>
      </c>
      <c r="B85" s="3">
        <v>38.5269568753397</v>
      </c>
      <c r="C85" s="3">
        <v>19.1294168570337</v>
      </c>
      <c r="D85" s="3">
        <v>17.2307850610811</v>
      </c>
      <c r="E85" s="3">
        <v>16.838690885760901</v>
      </c>
      <c r="F85" s="3">
        <v>20.357262901069699</v>
      </c>
      <c r="G85" s="3">
        <v>21.117430391872102</v>
      </c>
      <c r="H85" s="3">
        <v>14.733363741045901</v>
      </c>
      <c r="I85" s="3">
        <v>31.801079179952399</v>
      </c>
      <c r="J85" s="3">
        <v>24.0082795083547</v>
      </c>
      <c r="K85" s="3">
        <v>20.9659896351342</v>
      </c>
      <c r="L85" s="3">
        <v>25.910921233497</v>
      </c>
      <c r="M85" s="3">
        <v>17.573062413492799</v>
      </c>
      <c r="N85" s="3">
        <v>15.5697007485226</v>
      </c>
    </row>
    <row r="86" spans="1:14" x14ac:dyDescent="0.35">
      <c r="A86" s="2">
        <v>44470</v>
      </c>
      <c r="B86" s="3">
        <v>38.962087736309002</v>
      </c>
      <c r="C86" s="3">
        <v>18.280316639816601</v>
      </c>
      <c r="D86" s="3">
        <v>16.414442437151401</v>
      </c>
      <c r="E86" s="3">
        <v>15.830232476553</v>
      </c>
      <c r="F86" s="3">
        <v>19.424612370618298</v>
      </c>
      <c r="G86" s="3">
        <v>20.0012053258354</v>
      </c>
      <c r="H86" s="3">
        <v>13.8598020351205</v>
      </c>
      <c r="I86" s="3">
        <v>30.383094991653401</v>
      </c>
      <c r="J86" s="3">
        <v>23.065472482671801</v>
      </c>
      <c r="K86" s="3">
        <v>19.506856786426301</v>
      </c>
      <c r="L86" s="3">
        <v>24.153448650669699</v>
      </c>
      <c r="M86" s="3">
        <v>16.960907065462798</v>
      </c>
      <c r="N86" s="3">
        <v>14.6199042510871</v>
      </c>
    </row>
    <row r="87" spans="1:14" x14ac:dyDescent="0.35">
      <c r="A87" s="2">
        <v>44503</v>
      </c>
      <c r="B87" s="3">
        <v>39.194346208373801</v>
      </c>
      <c r="C87" s="3">
        <v>18.535629594238301</v>
      </c>
      <c r="D87" s="3">
        <v>16.671060742283899</v>
      </c>
      <c r="E87" s="3">
        <v>15.717647075923001</v>
      </c>
      <c r="F87" s="3">
        <v>19.0732361572637</v>
      </c>
      <c r="G87" s="3">
        <v>21.023247927424201</v>
      </c>
      <c r="H87" s="3">
        <v>13.4616438833358</v>
      </c>
      <c r="I87" s="3">
        <v>31.8709341271455</v>
      </c>
      <c r="J87" s="3">
        <v>23.4592935504661</v>
      </c>
      <c r="K87" s="3">
        <v>18.858720361071502</v>
      </c>
      <c r="L87" s="3">
        <v>24.822174877561402</v>
      </c>
      <c r="M87" s="3">
        <v>16.5875213087233</v>
      </c>
      <c r="N87" s="3">
        <v>14.0924573306732</v>
      </c>
    </row>
    <row r="88" spans="1:14" x14ac:dyDescent="0.35">
      <c r="A88" s="2">
        <v>44533</v>
      </c>
      <c r="B88" s="3">
        <v>37.488567110456799</v>
      </c>
      <c r="C88" s="3">
        <v>17.575416861552299</v>
      </c>
      <c r="D88" s="3">
        <v>15.4860500993552</v>
      </c>
      <c r="E88" s="3">
        <v>14.0789470831735</v>
      </c>
      <c r="F88" s="3">
        <v>17.868880494341699</v>
      </c>
      <c r="G88" s="3">
        <v>20.4227766564508</v>
      </c>
      <c r="H88" s="3">
        <v>12.469705081584699</v>
      </c>
      <c r="I88" s="3">
        <v>30.833504915495499</v>
      </c>
      <c r="J88" s="3">
        <v>22.474526571216298</v>
      </c>
      <c r="K88" s="3">
        <v>17.284165445081701</v>
      </c>
      <c r="L88" s="3">
        <v>22.395513661728501</v>
      </c>
      <c r="M88" s="3">
        <v>16.115371946416701</v>
      </c>
      <c r="N88" s="3">
        <v>12.2946929957655</v>
      </c>
    </row>
    <row r="89" spans="1:14" x14ac:dyDescent="0.35">
      <c r="A89" s="2">
        <v>44564</v>
      </c>
      <c r="B89" s="3">
        <v>39.32934156364</v>
      </c>
      <c r="C89" s="3">
        <v>17.727949663450001</v>
      </c>
      <c r="D89" s="3">
        <v>15.4174567731077</v>
      </c>
      <c r="E89" s="3">
        <v>14.257742206793999</v>
      </c>
      <c r="F89" s="3">
        <v>17.353076400659301</v>
      </c>
      <c r="G89" s="3">
        <v>21.667037632477498</v>
      </c>
      <c r="H89" s="3">
        <v>12.324719407426899</v>
      </c>
      <c r="I89" s="3">
        <v>32.228861725217797</v>
      </c>
      <c r="J89" s="3">
        <v>23.365164954102699</v>
      </c>
      <c r="K89" s="3">
        <v>17.3247954087811</v>
      </c>
      <c r="L89" s="3">
        <v>22.927471786112299</v>
      </c>
      <c r="M89" s="3">
        <v>16.889818915661898</v>
      </c>
      <c r="N89" s="3">
        <v>12.296705742044299</v>
      </c>
    </row>
    <row r="90" spans="1:14" x14ac:dyDescent="0.35">
      <c r="A90" s="2">
        <v>44595</v>
      </c>
      <c r="B90" s="3">
        <v>37.422782872336001</v>
      </c>
      <c r="C90" s="3">
        <v>16.080308611972299</v>
      </c>
      <c r="D90" s="3">
        <v>15.2849917969013</v>
      </c>
      <c r="E90" s="3">
        <v>13.5051821503576</v>
      </c>
      <c r="F90" s="3">
        <v>16.3936456682423</v>
      </c>
      <c r="G90" s="3">
        <v>19.9322869304679</v>
      </c>
      <c r="H90" s="3">
        <v>12.7351324709044</v>
      </c>
      <c r="I90" s="3">
        <v>27.838491577884401</v>
      </c>
      <c r="J90" s="3">
        <v>21.527236589883099</v>
      </c>
      <c r="K90" s="3">
        <v>16.3322314651159</v>
      </c>
      <c r="L90" s="3">
        <v>20.035616002273699</v>
      </c>
      <c r="M90" s="3">
        <v>12.376651479218401</v>
      </c>
      <c r="N90" s="3">
        <v>11.9717111543935</v>
      </c>
    </row>
    <row r="91" spans="1:14" x14ac:dyDescent="0.35">
      <c r="A91" s="2">
        <v>44623</v>
      </c>
      <c r="B91" s="3">
        <v>35.323156453793899</v>
      </c>
      <c r="C91" s="3">
        <v>15.708557005343399</v>
      </c>
      <c r="D91" s="3">
        <v>15.233474594825999</v>
      </c>
      <c r="E91" s="3">
        <v>12.406998451788199</v>
      </c>
      <c r="F91" s="3">
        <v>15.844820475987399</v>
      </c>
      <c r="G91" s="3">
        <v>18.424469575459799</v>
      </c>
      <c r="H91" s="3">
        <v>12.4887440704324</v>
      </c>
      <c r="I91" s="3">
        <v>26.632143983883299</v>
      </c>
      <c r="J91" s="3">
        <v>20.694060204910699</v>
      </c>
      <c r="K91" s="3">
        <v>15.361207690437</v>
      </c>
      <c r="L91" s="3">
        <v>18.2787238171023</v>
      </c>
      <c r="M91" s="3">
        <v>11.581019762543599</v>
      </c>
      <c r="N91" s="3">
        <v>10.5783037832588</v>
      </c>
    </row>
    <row r="92" spans="1:14" x14ac:dyDescent="0.35">
      <c r="A92" s="2">
        <v>44652</v>
      </c>
      <c r="B92" s="3">
        <v>35.014480218186698</v>
      </c>
      <c r="C92" s="3">
        <v>15.796153792499201</v>
      </c>
      <c r="D92" s="3">
        <v>15.0357474837891</v>
      </c>
      <c r="E92" s="3">
        <v>12.4501370702888</v>
      </c>
      <c r="F92" s="3">
        <v>15.747816222231499</v>
      </c>
      <c r="G92" s="3">
        <v>18.589014742865398</v>
      </c>
      <c r="H92" s="3">
        <v>12.3031687772926</v>
      </c>
      <c r="I92" s="3">
        <v>26.836568847185902</v>
      </c>
      <c r="J92" s="3">
        <v>20.716079258720701</v>
      </c>
      <c r="K92" s="3">
        <v>15.2576768722874</v>
      </c>
      <c r="L92" s="3">
        <v>18.5764891902353</v>
      </c>
      <c r="M92" s="3">
        <v>12.1023299211123</v>
      </c>
      <c r="N92" s="3">
        <v>10.582352330359001</v>
      </c>
    </row>
    <row r="93" spans="1:14" x14ac:dyDescent="0.35">
      <c r="A93" s="2">
        <v>44684</v>
      </c>
      <c r="B93" s="3">
        <v>34.4168487744112</v>
      </c>
      <c r="C93" s="3">
        <v>15.3370736786907</v>
      </c>
      <c r="D93" s="3">
        <v>14.5617816387308</v>
      </c>
      <c r="E93" s="3">
        <v>12.202126499650101</v>
      </c>
      <c r="F93" s="3">
        <v>15.435457109982099</v>
      </c>
      <c r="G93" s="3">
        <v>18.433480107211299</v>
      </c>
      <c r="H93" s="3">
        <v>11.987421268809401</v>
      </c>
      <c r="I93" s="3">
        <v>25.931156084595901</v>
      </c>
      <c r="J93" s="3">
        <v>20.0509688724668</v>
      </c>
      <c r="K93" s="3">
        <v>14.7786258158376</v>
      </c>
      <c r="L93" s="3">
        <v>18.223177614152299</v>
      </c>
      <c r="M93" s="3">
        <v>12.2335690383486</v>
      </c>
      <c r="N93" s="3">
        <v>10.368327910552599</v>
      </c>
    </row>
    <row r="94" spans="1:14" x14ac:dyDescent="0.35">
      <c r="A94" s="2">
        <v>44715</v>
      </c>
      <c r="B94" s="3">
        <v>33.679915023446</v>
      </c>
      <c r="C94" s="3">
        <v>15.0184661938661</v>
      </c>
      <c r="D94" s="3">
        <v>14.263986808508699</v>
      </c>
      <c r="E94" s="3">
        <v>12.1395886508631</v>
      </c>
      <c r="F94" s="3">
        <v>15.3464851013836</v>
      </c>
      <c r="G94" s="3">
        <v>18.144834936701901</v>
      </c>
      <c r="H94" s="3">
        <v>11.6959121557827</v>
      </c>
      <c r="I94" s="3">
        <v>25.236945495535501</v>
      </c>
      <c r="J94" s="3">
        <v>19.669517657355399</v>
      </c>
      <c r="K94" s="3">
        <v>14.3780401769351</v>
      </c>
      <c r="L94" s="3">
        <v>18.5384856092261</v>
      </c>
      <c r="M94" s="3">
        <v>13.8639753999406</v>
      </c>
      <c r="N94" s="3">
        <v>9.9698620191019103</v>
      </c>
    </row>
    <row r="95" spans="1:14" x14ac:dyDescent="0.35">
      <c r="A95" s="2">
        <v>44743</v>
      </c>
      <c r="B95" s="3">
        <v>32.7706815751595</v>
      </c>
      <c r="C95" s="3">
        <v>13.986124502063801</v>
      </c>
      <c r="D95" s="3">
        <v>13.4335584086702</v>
      </c>
      <c r="E95" s="3">
        <v>11.377824534828701</v>
      </c>
      <c r="F95" s="3">
        <v>14.805948186194501</v>
      </c>
      <c r="G95" s="3">
        <v>17.572476820138998</v>
      </c>
      <c r="H95" s="3">
        <v>11.0989686368418</v>
      </c>
      <c r="I95" s="3">
        <v>24.173481217056001</v>
      </c>
      <c r="J95" s="3">
        <v>18.8216822917882</v>
      </c>
      <c r="K95" s="3">
        <v>13.5290358544542</v>
      </c>
      <c r="L95" s="3">
        <v>18.0143758381022</v>
      </c>
      <c r="M95" s="3">
        <v>13.307730669960399</v>
      </c>
      <c r="N95" s="3">
        <v>9.3205218249476491</v>
      </c>
    </row>
    <row r="96" spans="1:14" x14ac:dyDescent="0.35">
      <c r="A96" s="2">
        <v>44776</v>
      </c>
      <c r="B96" s="3">
        <v>33.580736788896701</v>
      </c>
      <c r="C96" s="3">
        <v>14.464561634268099</v>
      </c>
      <c r="D96" s="3">
        <v>13.267240121438601</v>
      </c>
      <c r="E96" s="3">
        <v>11.5154163098303</v>
      </c>
      <c r="F96" s="3">
        <v>14.939842572594999</v>
      </c>
      <c r="G96" s="3">
        <v>18.287719336803299</v>
      </c>
      <c r="H96" s="3">
        <v>10.9145063934532</v>
      </c>
      <c r="I96" s="3">
        <v>25.9895309681696</v>
      </c>
      <c r="J96" s="3">
        <v>19.3882009698087</v>
      </c>
      <c r="K96" s="3">
        <v>13.2980563514446</v>
      </c>
      <c r="L96" s="3">
        <v>19.791500574789701</v>
      </c>
      <c r="M96" s="3">
        <v>14.6701800237652</v>
      </c>
      <c r="N96" s="3">
        <v>8.9531687450822908</v>
      </c>
    </row>
    <row r="97" spans="1:14" x14ac:dyDescent="0.35">
      <c r="A97" s="2">
        <v>44806</v>
      </c>
      <c r="B97" s="3">
        <v>34.272559796144499</v>
      </c>
      <c r="C97" s="3">
        <v>14.1304713775496</v>
      </c>
      <c r="D97" s="3">
        <v>12.770141994763801</v>
      </c>
      <c r="E97" s="3">
        <v>10.7948924755403</v>
      </c>
      <c r="F97" s="3">
        <v>14.6916724193863</v>
      </c>
      <c r="G97" s="3">
        <v>17.901274086306302</v>
      </c>
      <c r="H97" s="3">
        <v>10.2749763753294</v>
      </c>
      <c r="I97" s="3">
        <v>24.488897995037298</v>
      </c>
      <c r="J97" s="3">
        <v>18.543543403531601</v>
      </c>
      <c r="K97" s="3">
        <v>12.541496885725101</v>
      </c>
      <c r="L97" s="3">
        <v>18.444319428014101</v>
      </c>
      <c r="M97" s="3">
        <v>14.4811894667685</v>
      </c>
      <c r="N97" s="3">
        <v>8.5164120764443805</v>
      </c>
    </row>
    <row r="98" spans="1:14" x14ac:dyDescent="0.35">
      <c r="A98" s="2">
        <v>44837</v>
      </c>
      <c r="B98" s="3">
        <v>31.505529493213299</v>
      </c>
      <c r="C98" s="3">
        <v>13.2335104408495</v>
      </c>
      <c r="D98" s="3">
        <v>12.325915062241</v>
      </c>
      <c r="E98" s="3">
        <v>10.161187097884399</v>
      </c>
      <c r="F98" s="3">
        <v>13.9525969461437</v>
      </c>
      <c r="G98" s="3">
        <v>16.950150342912099</v>
      </c>
      <c r="H98" s="3">
        <v>9.5136856275056196</v>
      </c>
      <c r="I98" s="3">
        <v>23.028249659333401</v>
      </c>
      <c r="J98" s="3">
        <v>17.5367570829853</v>
      </c>
      <c r="K98" s="3">
        <v>11.4605267455135</v>
      </c>
      <c r="L98" s="3">
        <v>17.304292202292999</v>
      </c>
      <c r="M98" s="3">
        <v>14.4266592520506</v>
      </c>
      <c r="N98" s="3">
        <v>8.0706512775468209</v>
      </c>
    </row>
    <row r="99" spans="1:14" x14ac:dyDescent="0.35">
      <c r="A99" s="2">
        <v>44868</v>
      </c>
      <c r="B99" s="3">
        <v>31.194330298314</v>
      </c>
      <c r="C99" s="3">
        <v>13.411960641056201</v>
      </c>
      <c r="D99" s="3">
        <v>12.3991744330608</v>
      </c>
      <c r="E99" s="3">
        <v>10.355992057450299</v>
      </c>
      <c r="F99" s="3">
        <v>14.2753349861707</v>
      </c>
      <c r="G99" s="3">
        <v>18.411963087986901</v>
      </c>
      <c r="H99" s="3">
        <v>9.4436220126004802</v>
      </c>
      <c r="I99" s="3">
        <v>22.127255196980698</v>
      </c>
      <c r="J99" s="3">
        <v>17.483876243113201</v>
      </c>
      <c r="K99" s="3">
        <v>11.6456695260686</v>
      </c>
      <c r="L99" s="3">
        <v>17.054902782375301</v>
      </c>
      <c r="M99" s="3">
        <v>13.3172172004369</v>
      </c>
      <c r="N99" s="3">
        <v>8.1032581792549099</v>
      </c>
    </row>
    <row r="100" spans="1:14" x14ac:dyDescent="0.35">
      <c r="A100" s="2">
        <v>44897</v>
      </c>
      <c r="B100" s="3">
        <v>29.939964754076001</v>
      </c>
      <c r="C100" s="3">
        <v>14.4123445903674</v>
      </c>
      <c r="D100" s="3">
        <v>12.884439154145699</v>
      </c>
      <c r="E100" s="3">
        <v>11.0713833727759</v>
      </c>
      <c r="F100" s="3">
        <v>14.347273103012601</v>
      </c>
      <c r="G100" s="3">
        <v>19.969911298981302</v>
      </c>
      <c r="H100" s="3">
        <v>9.9871906286186096</v>
      </c>
      <c r="I100" s="3">
        <v>24.0273414040444</v>
      </c>
      <c r="J100" s="3">
        <v>18.618234120500599</v>
      </c>
      <c r="K100" s="3">
        <v>12.2242042972976</v>
      </c>
      <c r="L100" s="3">
        <v>18.4499237143737</v>
      </c>
      <c r="M100" s="3">
        <v>14.531890689933199</v>
      </c>
      <c r="N100" s="3">
        <v>7.8833570699169897</v>
      </c>
    </row>
    <row r="101" spans="1:14" x14ac:dyDescent="0.35">
      <c r="A101" s="2">
        <v>44929</v>
      </c>
      <c r="B101" s="3">
        <v>28.959449473700399</v>
      </c>
      <c r="C101" s="3">
        <v>13.812036942232799</v>
      </c>
      <c r="D101" s="3">
        <v>12.0659117514711</v>
      </c>
      <c r="E101" s="3">
        <v>10.6466848367727</v>
      </c>
      <c r="F101" s="3">
        <v>13.6786734472287</v>
      </c>
      <c r="G101" s="3">
        <v>20.4763301088039</v>
      </c>
      <c r="H101" s="3">
        <v>9.7152725720646096</v>
      </c>
      <c r="I101" s="3">
        <v>22.543904717622102</v>
      </c>
      <c r="J101" s="3">
        <v>17.326831182872301</v>
      </c>
      <c r="K101" s="3">
        <v>11.747357769994199</v>
      </c>
      <c r="L101" s="3">
        <v>18.144032538575999</v>
      </c>
      <c r="M101" s="3">
        <v>15.781160779816799</v>
      </c>
      <c r="N101" s="3">
        <v>7.6033817970267297</v>
      </c>
    </row>
    <row r="102" spans="1:14" x14ac:dyDescent="0.35">
      <c r="A102" s="2">
        <v>44960</v>
      </c>
      <c r="B102" s="3">
        <v>30.2234111048564</v>
      </c>
      <c r="C102" s="3">
        <v>14.9855807887684</v>
      </c>
      <c r="D102" s="3">
        <v>12.920473763008401</v>
      </c>
      <c r="E102" s="3">
        <v>11.7593307494523</v>
      </c>
      <c r="F102" s="3">
        <v>14.3747124620962</v>
      </c>
      <c r="G102" s="3">
        <v>20.818385139182599</v>
      </c>
      <c r="H102" s="3">
        <v>10.097362506924201</v>
      </c>
      <c r="I102" s="3">
        <v>26.241355994912599</v>
      </c>
      <c r="J102" s="3">
        <v>18.810014414816099</v>
      </c>
      <c r="K102" s="3">
        <v>13.1080849446261</v>
      </c>
      <c r="L102" s="3">
        <v>19.876085686847301</v>
      </c>
      <c r="M102" s="3">
        <v>27.307187881401099</v>
      </c>
      <c r="N102" s="3">
        <v>8.1886299510881102</v>
      </c>
    </row>
    <row r="103" spans="1:14" x14ac:dyDescent="0.35">
      <c r="A103" s="2">
        <v>44988</v>
      </c>
      <c r="B103" s="3">
        <v>29.4854175379133</v>
      </c>
      <c r="C103" s="3">
        <v>14.2712508232755</v>
      </c>
      <c r="D103" s="3">
        <v>12.6256451851189</v>
      </c>
      <c r="E103" s="3">
        <v>11.3760501465208</v>
      </c>
      <c r="F103" s="3">
        <v>14.711952950116199</v>
      </c>
      <c r="G103" s="3">
        <v>20.687381052026499</v>
      </c>
      <c r="H103" s="3">
        <v>10.263271184897</v>
      </c>
      <c r="I103" s="3">
        <v>25.313184551306598</v>
      </c>
      <c r="J103" s="3">
        <v>18.109284033041401</v>
      </c>
      <c r="K103" s="3">
        <v>12.9301934567478</v>
      </c>
      <c r="L103" s="3">
        <v>20.660992092137</v>
      </c>
      <c r="M103" s="3">
        <v>25.5959309284219</v>
      </c>
      <c r="N103" s="3">
        <v>8.3207785911434797</v>
      </c>
    </row>
    <row r="104" spans="1:14" x14ac:dyDescent="0.35">
      <c r="A104" s="2">
        <v>45019</v>
      </c>
      <c r="B104" s="3">
        <v>28.852123333719899</v>
      </c>
      <c r="C104" s="3">
        <v>14.276675277148099</v>
      </c>
      <c r="D104" s="3">
        <v>12.6819594425136</v>
      </c>
      <c r="E104" s="3">
        <v>11.371741429123199</v>
      </c>
      <c r="F104" s="3">
        <v>14.695104467017201</v>
      </c>
      <c r="G104" s="3">
        <v>20.3937321898593</v>
      </c>
      <c r="H104" s="3">
        <v>10.275723887510701</v>
      </c>
      <c r="I104" s="3">
        <v>25.670879232348199</v>
      </c>
      <c r="J104" s="3">
        <v>18.241437667599701</v>
      </c>
      <c r="K104" s="3">
        <v>13.018425213343299</v>
      </c>
      <c r="L104" s="3">
        <v>20.306440807590199</v>
      </c>
      <c r="M104" s="3">
        <v>24.313223463960401</v>
      </c>
      <c r="N104" s="3">
        <v>8.3233279163569591</v>
      </c>
    </row>
    <row r="105" spans="1:14" x14ac:dyDescent="0.35">
      <c r="A105" s="2">
        <v>45049</v>
      </c>
      <c r="B105" s="3">
        <v>28.420333305295902</v>
      </c>
      <c r="C105" s="3">
        <v>14.276601836080999</v>
      </c>
      <c r="D105" s="3">
        <v>12.7621901692183</v>
      </c>
      <c r="E105" s="3">
        <v>11.402423250790999</v>
      </c>
      <c r="F105" s="3">
        <v>14.842996324623901</v>
      </c>
      <c r="G105" s="3">
        <v>20.298295575211299</v>
      </c>
      <c r="H105" s="3">
        <v>10.3728955873398</v>
      </c>
      <c r="I105" s="3">
        <v>25.518952945129602</v>
      </c>
      <c r="J105" s="3">
        <v>18.220332040406198</v>
      </c>
      <c r="K105" s="3">
        <v>13.1893024367397</v>
      </c>
      <c r="L105" s="3">
        <v>19.746862188449999</v>
      </c>
      <c r="M105" s="3">
        <v>23.194437973279399</v>
      </c>
      <c r="N105" s="3">
        <v>8.3097608936193303</v>
      </c>
    </row>
    <row r="106" spans="1:14" x14ac:dyDescent="0.35">
      <c r="A106" s="2">
        <v>45079</v>
      </c>
      <c r="B106" s="3">
        <v>26.870361365073599</v>
      </c>
      <c r="C106" s="3">
        <v>14.3006014082232</v>
      </c>
      <c r="D106" s="3">
        <v>12.8934026265415</v>
      </c>
      <c r="E106" s="3">
        <v>11.2752590979744</v>
      </c>
      <c r="F106" s="3">
        <v>15.202695424617801</v>
      </c>
      <c r="G106" s="3">
        <v>19.6827548274603</v>
      </c>
      <c r="H106" s="3">
        <v>10.303105080908701</v>
      </c>
      <c r="I106" s="3">
        <v>26.572960994019802</v>
      </c>
      <c r="J106" s="3">
        <v>18.6056780188628</v>
      </c>
      <c r="K106" s="3">
        <v>13.128657628496301</v>
      </c>
      <c r="L106" s="3">
        <v>19.446004443049201</v>
      </c>
      <c r="M106" s="3">
        <v>22.014163460110801</v>
      </c>
      <c r="N106" s="3">
        <v>8.4117543314041097</v>
      </c>
    </row>
    <row r="107" spans="1:14" x14ac:dyDescent="0.35">
      <c r="A107" s="2">
        <v>45110</v>
      </c>
      <c r="B107" s="3">
        <v>26.051782289663102</v>
      </c>
      <c r="C107" s="3">
        <v>14.655881954381901</v>
      </c>
      <c r="D107" s="3">
        <v>13.0503081712693</v>
      </c>
      <c r="E107" s="3">
        <v>11.2732724802476</v>
      </c>
      <c r="F107" s="3">
        <v>15.800053182026801</v>
      </c>
      <c r="G107" s="3">
        <v>19.213921065351801</v>
      </c>
      <c r="H107" s="3">
        <v>10.365523616061401</v>
      </c>
      <c r="I107" s="3">
        <v>27.333813345071</v>
      </c>
      <c r="J107" s="3">
        <v>19.166685555741399</v>
      </c>
      <c r="K107" s="3">
        <v>13.296649936805</v>
      </c>
      <c r="L107" s="3">
        <v>19.255415281911599</v>
      </c>
      <c r="M107" s="3">
        <v>20.779735787063501</v>
      </c>
      <c r="N107" s="3">
        <v>8.6335889734295801</v>
      </c>
    </row>
    <row r="108" spans="1:14" x14ac:dyDescent="0.35">
      <c r="A108" s="2">
        <v>45141</v>
      </c>
      <c r="B108" s="3">
        <v>25.225584034302599</v>
      </c>
      <c r="C108" s="3">
        <v>14.9221194441244</v>
      </c>
      <c r="D108" s="3">
        <v>13.3707862635949</v>
      </c>
      <c r="E108" s="3">
        <v>11.181444352963901</v>
      </c>
      <c r="F108" s="3">
        <v>15.6079814258597</v>
      </c>
      <c r="G108" s="3">
        <v>18.989337099009401</v>
      </c>
      <c r="H108" s="3">
        <v>10.5074988448653</v>
      </c>
      <c r="I108" s="3">
        <v>26.759545340447399</v>
      </c>
      <c r="J108" s="3">
        <v>19.477339969247701</v>
      </c>
      <c r="K108" s="3">
        <v>13.219663792416901</v>
      </c>
      <c r="L108" s="3">
        <v>18.765883661401599</v>
      </c>
      <c r="M108" s="3">
        <v>19.214964962730502</v>
      </c>
      <c r="N108" s="3">
        <v>8.3223446624811306</v>
      </c>
    </row>
    <row r="109" spans="1:14" x14ac:dyDescent="0.35">
      <c r="A109" s="2">
        <v>45170</v>
      </c>
      <c r="B109" s="3">
        <v>24.818406317340202</v>
      </c>
      <c r="C109" s="3">
        <v>15.1076587386803</v>
      </c>
      <c r="D109" s="3">
        <v>13.6581067908403</v>
      </c>
      <c r="E109" s="3">
        <v>11.253587212099101</v>
      </c>
      <c r="F109" s="3">
        <v>15.9437769849718</v>
      </c>
      <c r="G109" s="3">
        <v>18.888645292324899</v>
      </c>
      <c r="H109" s="3">
        <v>10.514713963922601</v>
      </c>
      <c r="I109" s="3">
        <v>26.784835415406199</v>
      </c>
      <c r="J109" s="3">
        <v>19.586386115184901</v>
      </c>
      <c r="K109" s="3">
        <v>13.2788952110292</v>
      </c>
      <c r="L109" s="3">
        <v>17.816975115929999</v>
      </c>
      <c r="M109" s="3">
        <v>17.941789680959602</v>
      </c>
      <c r="N109" s="3">
        <v>8.3880642204020202</v>
      </c>
    </row>
    <row r="110" spans="1:14" x14ac:dyDescent="0.35">
      <c r="A110" s="2">
        <v>45202</v>
      </c>
      <c r="B110" s="3">
        <v>23.651448561941098</v>
      </c>
      <c r="C110" s="3">
        <v>14.522109828993401</v>
      </c>
      <c r="D110" s="3">
        <v>13.0359992876724</v>
      </c>
      <c r="E110" s="3">
        <v>10.8958104075038</v>
      </c>
      <c r="F110" s="3">
        <v>15.629351841348701</v>
      </c>
      <c r="G110" s="3">
        <v>18.1315103858356</v>
      </c>
      <c r="H110" s="3">
        <v>10.379330642654001</v>
      </c>
      <c r="I110" s="3">
        <v>25.752785402372901</v>
      </c>
      <c r="J110" s="3">
        <v>18.8716252050015</v>
      </c>
      <c r="K110" s="3">
        <v>12.755557908184</v>
      </c>
      <c r="L110" s="3">
        <v>16.3943975547764</v>
      </c>
      <c r="M110" s="3">
        <v>16.425434683964301</v>
      </c>
      <c r="N110" s="3">
        <v>8.0704579696392393</v>
      </c>
    </row>
    <row r="111" spans="1:14" x14ac:dyDescent="0.35">
      <c r="A111" s="2">
        <v>45233</v>
      </c>
      <c r="B111" s="3">
        <v>22.814491904977</v>
      </c>
      <c r="C111" s="3">
        <v>14.880567845816801</v>
      </c>
      <c r="D111" s="3">
        <v>13.4832577920021</v>
      </c>
      <c r="E111" s="3">
        <v>10.9117388879176</v>
      </c>
      <c r="F111" s="3">
        <v>15.9168000857208</v>
      </c>
      <c r="G111" s="3">
        <v>17.781344018141901</v>
      </c>
      <c r="H111" s="3">
        <v>10.524051403935699</v>
      </c>
      <c r="I111" s="3">
        <v>26.370189518545502</v>
      </c>
      <c r="J111" s="3">
        <v>19.502406356875099</v>
      </c>
      <c r="K111" s="3">
        <v>12.891568994832101</v>
      </c>
      <c r="L111" s="3">
        <v>16.208359608248799</v>
      </c>
      <c r="M111" s="3">
        <v>15.939156559059199</v>
      </c>
      <c r="N111" s="3">
        <v>8.2097437390279797</v>
      </c>
    </row>
    <row r="112" spans="1:14" x14ac:dyDescent="0.35">
      <c r="A112" s="2">
        <v>45261</v>
      </c>
      <c r="B112" s="3">
        <v>23.489259828385801</v>
      </c>
      <c r="C112" s="3">
        <v>15.264272649607999</v>
      </c>
      <c r="D112" s="3">
        <v>14.008144616763699</v>
      </c>
      <c r="E112" s="3">
        <v>11.684111540700201</v>
      </c>
      <c r="F112" s="3">
        <v>16.356888034002498</v>
      </c>
      <c r="G112" s="3">
        <v>18.019803495957799</v>
      </c>
      <c r="H112" s="3">
        <v>10.929709215152601</v>
      </c>
      <c r="I112" s="3">
        <v>27.727625277854099</v>
      </c>
      <c r="J112" s="3">
        <v>20.574354647991299</v>
      </c>
      <c r="K112" s="3">
        <v>13.5488907342188</v>
      </c>
      <c r="L112" s="3">
        <v>16.399544083569801</v>
      </c>
      <c r="M112" s="3">
        <v>17.555270987189601</v>
      </c>
      <c r="N112" s="3">
        <v>8.6323095144898101</v>
      </c>
    </row>
    <row r="113" spans="1:25" x14ac:dyDescent="0.35">
      <c r="A113" s="2">
        <v>45294</v>
      </c>
      <c r="B113" s="3">
        <v>23.866670237463101</v>
      </c>
      <c r="C113" s="3">
        <v>16.338262392036899</v>
      </c>
      <c r="D113" s="3">
        <v>14.513093839802</v>
      </c>
      <c r="E113" s="3">
        <v>11.800252759716599</v>
      </c>
      <c r="F113" s="3">
        <v>16.336123429382301</v>
      </c>
      <c r="G113" s="3">
        <v>18.3687488000004</v>
      </c>
      <c r="H113" s="3">
        <v>11.2098005164141</v>
      </c>
      <c r="I113" s="3">
        <v>28.3557578484202</v>
      </c>
      <c r="J113" s="3">
        <v>21.433141208314499</v>
      </c>
      <c r="K113" s="3">
        <v>13.8254265732522</v>
      </c>
      <c r="L113" s="3">
        <v>16.165554740917798</v>
      </c>
      <c r="M113" s="3">
        <v>17.4771796481084</v>
      </c>
      <c r="N113" s="3">
        <v>8.7911985593690893</v>
      </c>
    </row>
    <row r="114" spans="1:25" x14ac:dyDescent="0.35">
      <c r="A114" s="2">
        <v>45324</v>
      </c>
      <c r="B114" s="3">
        <v>23.4164186608314</v>
      </c>
      <c r="C114" s="3">
        <v>16.642546843324599</v>
      </c>
      <c r="D114" s="3">
        <v>14.671428762333401</v>
      </c>
      <c r="E114" s="3">
        <v>12.055061132278899</v>
      </c>
      <c r="F114" s="3">
        <v>17.560985997589999</v>
      </c>
      <c r="G114" s="3">
        <v>18.598758507888299</v>
      </c>
      <c r="H114" s="3">
        <v>11.2642969461607</v>
      </c>
      <c r="I114" s="3">
        <v>30.012692709188801</v>
      </c>
      <c r="J114" s="3">
        <v>22.3918396599699</v>
      </c>
      <c r="K114" s="3">
        <v>14.398592179958101</v>
      </c>
      <c r="L114" s="3">
        <v>17.429878556411101</v>
      </c>
      <c r="M114" s="3">
        <v>15.09460915473</v>
      </c>
      <c r="N114" s="3">
        <v>9.0847014093623706</v>
      </c>
    </row>
    <row r="115" spans="1:25" x14ac:dyDescent="0.35">
      <c r="A115" s="2">
        <v>45352</v>
      </c>
      <c r="B115" s="3">
        <v>23.702878056066901</v>
      </c>
      <c r="C115" s="3">
        <v>16.627842437843199</v>
      </c>
      <c r="D115" s="3">
        <v>14.8887396384415</v>
      </c>
      <c r="E115" s="3">
        <v>12.5195352586186</v>
      </c>
      <c r="F115" s="3">
        <v>18.322568685439599</v>
      </c>
      <c r="G115" s="3">
        <v>19.197693221638399</v>
      </c>
      <c r="H115" s="3">
        <v>11.448846937113199</v>
      </c>
      <c r="I115" s="3">
        <v>30.3765869966773</v>
      </c>
      <c r="J115" s="3">
        <v>22.7964366730676</v>
      </c>
      <c r="K115" s="3">
        <v>15.4932826627425</v>
      </c>
      <c r="L115" s="3">
        <v>18.5010343173902</v>
      </c>
      <c r="M115" s="3">
        <v>15.8068334118034</v>
      </c>
      <c r="N115" s="3">
        <v>9.3606361638865803</v>
      </c>
    </row>
    <row r="116" spans="1:25" x14ac:dyDescent="0.35">
      <c r="A116" s="2">
        <v>45385</v>
      </c>
      <c r="B116" s="3">
        <v>24.055110945550201</v>
      </c>
      <c r="C116" s="3">
        <v>16.6321392656026</v>
      </c>
      <c r="D116" s="3">
        <v>14.9543745351874</v>
      </c>
      <c r="E116" s="3">
        <v>12.596119809563399</v>
      </c>
      <c r="F116" s="3">
        <v>18.143397048192799</v>
      </c>
      <c r="G116" s="3">
        <v>19.082695086770599</v>
      </c>
      <c r="H116" s="3">
        <v>11.5353960656282</v>
      </c>
      <c r="I116" s="3">
        <v>29.981424114126799</v>
      </c>
      <c r="J116" s="3">
        <v>22.695169145003501</v>
      </c>
      <c r="K116" s="3">
        <v>15.506983511866499</v>
      </c>
      <c r="L116" s="3">
        <v>18.423019579178501</v>
      </c>
      <c r="M116" s="3">
        <v>15.912939249676301</v>
      </c>
      <c r="N116" s="3">
        <v>9.4707612931694403</v>
      </c>
    </row>
    <row r="117" spans="1:25" x14ac:dyDescent="0.35">
      <c r="A117" s="2">
        <v>45415</v>
      </c>
      <c r="B117" s="3">
        <v>24.462582006783101</v>
      </c>
      <c r="C117" s="3">
        <v>16.6103671117387</v>
      </c>
      <c r="D117" s="3">
        <v>14.9109217864206</v>
      </c>
      <c r="E117" s="3">
        <v>12.5118041147147</v>
      </c>
      <c r="F117" s="3">
        <v>18.016567249825801</v>
      </c>
      <c r="G117" s="3">
        <v>18.7604647329286</v>
      </c>
      <c r="H117" s="3">
        <v>11.6301190647012</v>
      </c>
      <c r="I117" s="3">
        <v>29.551091817386201</v>
      </c>
      <c r="J117" s="3">
        <v>22.4310224651834</v>
      </c>
      <c r="K117" s="3">
        <v>15.3848784814934</v>
      </c>
      <c r="L117" s="3">
        <v>18.1534152745547</v>
      </c>
      <c r="M117" s="3">
        <v>15.8865962529554</v>
      </c>
      <c r="N117" s="3">
        <v>9.4596972981292602</v>
      </c>
    </row>
    <row r="118" spans="1:25" x14ac:dyDescent="0.35">
      <c r="A118" s="2">
        <v>45446</v>
      </c>
      <c r="B118" s="3">
        <v>24.295405942486902</v>
      </c>
      <c r="C118" s="3">
        <v>16.762150692281001</v>
      </c>
      <c r="D118" s="3">
        <v>14.9202556462961</v>
      </c>
      <c r="E118" s="3">
        <v>12.560305528615199</v>
      </c>
      <c r="F118" s="3">
        <v>18.101096011821301</v>
      </c>
      <c r="G118" s="3">
        <v>18.861338970690099</v>
      </c>
      <c r="H118" s="3">
        <v>11.706622325519501</v>
      </c>
      <c r="I118" s="3">
        <v>29.5603720377607</v>
      </c>
      <c r="J118" s="3">
        <v>22.496899101845099</v>
      </c>
      <c r="K118" s="3">
        <v>15.368351187736501</v>
      </c>
      <c r="L118" s="3">
        <v>18.3588182846681</v>
      </c>
      <c r="M118" s="3">
        <v>16.104710319038201</v>
      </c>
      <c r="N118" s="3">
        <v>9.6059793769115398</v>
      </c>
    </row>
    <row r="119" spans="1:25" x14ac:dyDescent="0.35">
      <c r="A119" s="2">
        <v>45476</v>
      </c>
      <c r="B119" s="3">
        <v>24.299004544436499</v>
      </c>
      <c r="C119" s="3">
        <v>16.837393159830299</v>
      </c>
      <c r="D119" s="3">
        <v>14.954715226099101</v>
      </c>
      <c r="E119" s="3">
        <v>12.4918278581724</v>
      </c>
      <c r="F119" s="3">
        <v>18.197864619813998</v>
      </c>
      <c r="G119" s="3">
        <v>18.7723433843206</v>
      </c>
      <c r="H119" s="3">
        <v>11.685525658819</v>
      </c>
      <c r="I119" s="3">
        <v>30.476317206491601</v>
      </c>
      <c r="J119" s="3">
        <v>22.934974558043798</v>
      </c>
      <c r="K119" s="3">
        <v>15.010833283324001</v>
      </c>
      <c r="L119" s="3">
        <v>18.444004859360401</v>
      </c>
      <c r="M119" s="3">
        <v>16.092422799004702</v>
      </c>
      <c r="N119" s="3">
        <v>9.5276700254563398</v>
      </c>
    </row>
    <row r="120" spans="1:25" x14ac:dyDescent="0.35">
      <c r="A120" s="2">
        <v>45506</v>
      </c>
      <c r="B120" s="3">
        <v>25.1915641698114</v>
      </c>
      <c r="C120" s="3">
        <v>17.091823952822399</v>
      </c>
      <c r="D120" s="3">
        <v>14.942382225202</v>
      </c>
      <c r="E120" s="3">
        <v>12.306815998095701</v>
      </c>
      <c r="F120" s="3">
        <v>16.786749127005798</v>
      </c>
      <c r="G120" s="3">
        <v>18.662424491627799</v>
      </c>
      <c r="H120" s="3">
        <v>11.805309678331</v>
      </c>
      <c r="I120" s="3">
        <v>29.126457095585501</v>
      </c>
      <c r="J120" s="3">
        <v>22.4720943744666</v>
      </c>
      <c r="K120" s="3">
        <v>14.687459627023999</v>
      </c>
      <c r="L120" s="3">
        <v>17.266407459824901</v>
      </c>
      <c r="M120" s="3">
        <v>16.017712304192401</v>
      </c>
      <c r="N120" s="3">
        <v>9.4831477670518005</v>
      </c>
    </row>
    <row r="121" spans="1:25" x14ac:dyDescent="0.35">
      <c r="A121" s="2">
        <v>45538</v>
      </c>
      <c r="B121" s="3">
        <v>25.328845592806399</v>
      </c>
      <c r="C121" s="3">
        <v>17.650254238797</v>
      </c>
      <c r="D121" s="3">
        <v>15.3129513333011</v>
      </c>
      <c r="E121" s="3">
        <v>12.887083034707899</v>
      </c>
      <c r="F121" s="3">
        <v>17.343958169486001</v>
      </c>
      <c r="G121" s="3">
        <v>18.939773055234401</v>
      </c>
      <c r="H121" s="3">
        <v>12.0107932110826</v>
      </c>
      <c r="I121" s="3">
        <v>29.644770295424699</v>
      </c>
      <c r="J121" s="3">
        <v>22.908126721095002</v>
      </c>
      <c r="K121" s="3">
        <v>14.9882775902557</v>
      </c>
      <c r="L121" s="3">
        <v>17.544269665629301</v>
      </c>
      <c r="M121" s="3">
        <v>16.9808918602861</v>
      </c>
      <c r="N121" s="3">
        <v>10.0286250135954</v>
      </c>
    </row>
    <row r="122" spans="1:25" x14ac:dyDescent="0.35">
      <c r="A122" s="2">
        <v>45566</v>
      </c>
      <c r="B122" s="3">
        <v>24.224220109242399</v>
      </c>
      <c r="C122" s="3">
        <v>18.114786320249198</v>
      </c>
      <c r="D122" s="3">
        <v>15.963567294815199</v>
      </c>
      <c r="E122" s="3">
        <v>13.6401141814012</v>
      </c>
      <c r="F122" s="3">
        <v>15.902488864921599</v>
      </c>
      <c r="G122" s="3">
        <v>18.8613216716365</v>
      </c>
      <c r="H122" s="3">
        <v>12.203832872173299</v>
      </c>
      <c r="I122" s="3">
        <v>30.406047078926999</v>
      </c>
      <c r="J122" s="3">
        <v>23.5839495136177</v>
      </c>
      <c r="K122" s="3">
        <v>15.154683183893701</v>
      </c>
      <c r="L122" s="3">
        <v>17.709008297540201</v>
      </c>
      <c r="M122" s="3">
        <v>17.645193150452101</v>
      </c>
      <c r="N122" s="3">
        <v>10.1645252110608</v>
      </c>
    </row>
    <row r="124" spans="1:25" x14ac:dyDescent="0.35">
      <c r="A124" s="2" t="s">
        <v>91</v>
      </c>
      <c r="B124" s="3" cm="1">
        <f t="array" ref="B124">MIN(_xlfn._xlws.FILTER(B1:B122, ISNUMBER(B1:B122)))</f>
        <v>17.872677820667899</v>
      </c>
      <c r="C124" s="3" cm="1">
        <f t="array" ref="C124">MIN(_xlfn._xlws.FILTER(C1:C122, ISNUMBER(C1:C122)))</f>
        <v>13.2335104408495</v>
      </c>
      <c r="D124" s="3" cm="1">
        <f t="array" ref="D124">MIN(_xlfn._xlws.FILTER(D1:D122, ISNUMBER(D1:D122)))</f>
        <v>12.0659117514711</v>
      </c>
      <c r="E124" s="3" cm="1">
        <f t="array" ref="E124">MIN(_xlfn._xlws.FILTER(E1:E122, ISNUMBER(E1:E122)))</f>
        <v>10.161187097884399</v>
      </c>
      <c r="F124" s="3" cm="1">
        <f t="array" ref="F124">MIN(_xlfn._xlws.FILTER(F1:F122, ISNUMBER(F1:F122)))</f>
        <v>11.4779750567284</v>
      </c>
      <c r="G124" s="3" cm="1">
        <f t="array" ref="G124">MIN(_xlfn._xlws.FILTER(G1:G122, ISNUMBER(G1:G122)))</f>
        <v>16.1699064555836</v>
      </c>
      <c r="H124" s="3" cm="1">
        <f t="array" ref="H124">MIN(_xlfn._xlws.FILTER(H1:H122, ISNUMBER(H1:H122)))</f>
        <v>9.4436220126004802</v>
      </c>
      <c r="I124" s="3" cm="1">
        <f t="array" ref="I124">MIN(_xlfn._xlws.FILTER(I1:I122, ISNUMBER(I1:I122)))</f>
        <v>18.232386275228201</v>
      </c>
      <c r="J124" s="3" cm="1">
        <f t="array" ref="J124">MIN(_xlfn._xlws.FILTER(J1:J122, ISNUMBER(J1:J122)))</f>
        <v>15.1395850755328</v>
      </c>
      <c r="K124" s="3" cm="1">
        <f t="array" ref="K124">MIN(_xlfn._xlws.FILTER(K1:K122, ISNUMBER(K1:K122)))</f>
        <v>11.4605267455135</v>
      </c>
      <c r="L124" s="3" cm="1">
        <f t="array" ref="L124">MIN(_xlfn._xlws.FILTER(L1:L122, ISNUMBER(L1:L122)))</f>
        <v>13.966465682631201</v>
      </c>
      <c r="M124" s="3" cm="1">
        <f t="array" ref="M124">MIN(_xlfn._xlws.FILTER(M1:M122, ISNUMBER(M1:M122)))</f>
        <v>11.581019762543599</v>
      </c>
      <c r="N124" s="3" cm="1">
        <f t="array" ref="N124">MIN(_xlfn._xlws.FILTER(N1:N122, ISNUMBER(N1:N122)))</f>
        <v>7.6033817970267297</v>
      </c>
    </row>
    <row r="125" spans="1:25" x14ac:dyDescent="0.35">
      <c r="A125" s="2" t="s">
        <v>92</v>
      </c>
      <c r="B125" s="3" cm="1">
        <f t="array" ref="B125">MAX(_xlfn._xlws.FILTER(B1:B122, ISNUMBER(B1:B122)))</f>
        <v>39.32934156364</v>
      </c>
      <c r="C125" s="3" cm="1">
        <f t="array" ref="C125">MAX(_xlfn._xlws.FILTER(C1:C122, ISNUMBER(C1:C122)))</f>
        <v>23.038761140492401</v>
      </c>
      <c r="D125" s="3" cm="1">
        <f t="array" ref="D125">MAX(_xlfn._xlws.FILTER(D1:D122, ISNUMBER(D1:D122)))</f>
        <v>20.766220681783501</v>
      </c>
      <c r="E125" s="3" cm="1">
        <f t="array" ref="E125">MAX(_xlfn._xlws.FILTER(E1:E122, ISNUMBER(E1:E122)))</f>
        <v>22.126768463538401</v>
      </c>
      <c r="F125" s="3" cm="1">
        <f t="array" ref="F125">MAX(_xlfn._xlws.FILTER(F1:F122, ISNUMBER(F1:F122)))</f>
        <v>26.099002697007599</v>
      </c>
      <c r="G125" s="3" cm="1">
        <f t="array" ref="G125">MAX(_xlfn._xlws.FILTER(G1:G122, ISNUMBER(G1:G122)))</f>
        <v>22.0192335076548</v>
      </c>
      <c r="H125" s="3" cm="1">
        <f t="array" ref="H125">MAX(_xlfn._xlws.FILTER(H1:H122, ISNUMBER(H1:H122)))</f>
        <v>19.728500287282401</v>
      </c>
      <c r="I125" s="3" cm="1">
        <f t="array" ref="I125">MAX(_xlfn._xlws.FILTER(I1:I122, ISNUMBER(I1:I122)))</f>
        <v>35.237273735916702</v>
      </c>
      <c r="J125" s="3" cm="1">
        <f t="array" ref="J125">MAX(_xlfn._xlws.FILTER(J1:J122, ISNUMBER(J1:J122)))</f>
        <v>27.423472758573901</v>
      </c>
      <c r="K125" s="3" cm="1">
        <f t="array" ref="K125">MAX(_xlfn._xlws.FILTER(K1:K122, ISNUMBER(K1:K122)))</f>
        <v>28.860229638227199</v>
      </c>
      <c r="L125" s="3" cm="1">
        <f t="array" ref="L125">MAX(_xlfn._xlws.FILTER(L1:L122, ISNUMBER(L1:L122)))</f>
        <v>28.849578775994502</v>
      </c>
      <c r="M125" s="3" cm="1">
        <f t="array" ref="M125">MAX(_xlfn._xlws.FILTER(M1:M122, ISNUMBER(M1:M122)))</f>
        <v>27.307187881401099</v>
      </c>
      <c r="N125" s="3" cm="1">
        <f t="array" ref="N125">MAX(_xlfn._xlws.FILTER(N1:N122, ISNUMBER(N1:N122)))</f>
        <v>85.356461563519105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0.59799999999999998</v>
      </c>
      <c r="C127" s="9" cm="1">
        <f t="array" ref="C127">_xlfn.PERCENTRANK.EXC(_xlfn._xlws.FILTER(C1:C122, ISNUMBER(C1:C122)),C121)</f>
        <v>0.80300000000000005</v>
      </c>
      <c r="D127" s="9" cm="1">
        <f t="array" ref="D127">_xlfn.PERCENTRANK.EXC(_xlfn._xlws.FILTER(D1:D122, ISNUMBER(D1:D122)),D121)</f>
        <v>0.42599999999999999</v>
      </c>
      <c r="E127" s="9" cm="1">
        <f t="array" ref="E127">_xlfn.PERCENTRANK.EXC(_xlfn._xlws.FILTER(E1:E122, ISNUMBER(E1:E122)),E121)</f>
        <v>0.31900000000000001</v>
      </c>
      <c r="F127" s="9" cm="1">
        <f t="array" ref="F127">_xlfn.PERCENTRANK.EXC(_xlfn._xlws.FILTER(F1:F122, ISNUMBER(F1:F122)),F121)</f>
        <v>0.78600000000000003</v>
      </c>
      <c r="G127" s="9" cm="1">
        <f t="array" ref="G127">_xlfn.PERCENTRANK.EXC(_xlfn._xlws.FILTER(G1:G122, ISNUMBER(G1:G122)),G121)</f>
        <v>0.56499999999999995</v>
      </c>
      <c r="H127" s="9" cm="1">
        <f t="array" ref="H127">_xlfn.PERCENTRANK.EXC(_xlfn._xlws.FILTER(H1:H122, ISNUMBER(H1:H122)),H121)</f>
        <v>0.245</v>
      </c>
      <c r="I127" s="9" cm="1">
        <f t="array" ref="I127">_xlfn.PERCENTRANK.EXC(_xlfn._xlws.FILTER(I1:I122, ISNUMBER(I1:I122)),I121)</f>
        <v>0.81100000000000005</v>
      </c>
      <c r="J127" s="9" cm="1">
        <f t="array" ref="J127">_xlfn.PERCENTRANK.EXC(_xlfn._xlws.FILTER(J1:J122, ISNUMBER(J1:J122)),J121)</f>
        <v>0.84399999999999997</v>
      </c>
      <c r="K127" s="9" cm="1">
        <f t="array" ref="K127">_xlfn.PERCENTRANK.EXC(_xlfn._xlws.FILTER(K1:K122, ISNUMBER(K1:K122)),K121)</f>
        <v>0.36799999999999999</v>
      </c>
      <c r="L127" s="9" cm="1">
        <f t="array" ref="L127">_xlfn.PERCENTRANK.EXC(_xlfn._xlws.FILTER(L1:L122, ISNUMBER(L1:L122)),L121)</f>
        <v>0.50800000000000001</v>
      </c>
      <c r="M127" s="9" cm="1">
        <f t="array" ref="M127">_xlfn.PERCENTRANK.EXC(_xlfn._xlws.FILTER(M1:M122, ISNUMBER(M1:M122)),M121)</f>
        <v>0.54900000000000004</v>
      </c>
      <c r="N127" s="9" cm="1">
        <f t="array" ref="N127">_xlfn.PERCENTRANK.EXC(_xlfn._xlws.FILTER(N1:N122, ISNUMBER(N1:N122)),N121)</f>
        <v>0.22900000000000001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41915</v>
      </c>
      <c r="B2" s="3" cm="1">
        <f t="array" ref="B2:B122">_xll.FDS(B1,"FMA_PE(NTMA,-10AY,0,AM,""PORTAGG"",""MEANR"")")</f>
        <v>17.081729707762602</v>
      </c>
      <c r="C2" s="3" cm="1">
        <f t="array" ref="C2:C122">_xll.FDS(C1,"FMA_PE(NTMA,-10AY,0,AM,""PORTAGG"",""MEANR"")")</f>
        <v>13.9080576011534</v>
      </c>
      <c r="D2" s="3" cm="1">
        <f t="array" ref="D2:D122">_xll.FDS(D1,"FMA_PE(NTMA,-10AY,0,AM,""PORTAGG"",""MEANR"")")</f>
        <v>14.313503046320299</v>
      </c>
      <c r="E2" s="3" cm="1">
        <f t="array" ref="E2:E122">_xll.FDS(E1,"FMA_PE(NTMA,-10AY,0,AM,""PORTAGG"",""MEANR"")")</f>
        <v>12.1334345673536</v>
      </c>
      <c r="F2" s="3" cm="1">
        <f t="array" ref="F2:F122">_xll.FDS(F1,"FMA_PE(NTMA,-10AY,0,AM,""PORTAGG"",""MEANR"")")</f>
        <v>13.605547455641</v>
      </c>
      <c r="G2" s="3" cm="1">
        <f t="array" ref="G2:G122">_xll.FDS(G1,"FMA_PE(NTMA,-10AY,0,AM,""PORTAGG"",""MEANR"")")</f>
        <v>15.6369396707244</v>
      </c>
      <c r="H2" s="3" cm="1">
        <f t="array" ref="H2:H122">_xll.FDS(H1,"FMA_PE(NTMA,-10AY,0,AM,""PORTAGG"",""MEANR"")")</f>
        <v>12.809954481532101</v>
      </c>
      <c r="I2" s="3" cm="1">
        <f t="array" ref="I2:I122">_xll.FDS(I1,"FMA_PE(NTMA,-10AY,0,AM,""PORTAGG"",""MEANR"")")</f>
        <v>17.323363884406401</v>
      </c>
      <c r="J2" s="3" cm="1">
        <f t="array" ref="J2:J122">_xll.FDS(J1,"FMA_PE(NTMA,-10AY,0,AM,""PORTAGG"",""MEANR"")")</f>
        <v>14.992569331025701</v>
      </c>
      <c r="K2" s="3" cm="1">
        <f t="array" ref="K2:K122">_xll.FDS(K1,"FMA_PE(NTMA,-10AY,0,AM,""PORTAGG"",""MEANR"")")</f>
        <v>13.238198788532401</v>
      </c>
      <c r="L2" s="3" cm="1">
        <f t="array" ref="L2:L122">_xll.FDS(L1,"FMA_PE(NTMA,-10AY,0,AM,""PORTAGG"",""MEANR"")")</f>
        <v>14.396212173604701</v>
      </c>
      <c r="M2" s="3" cm="1">
        <f t="array" ref="M2:M122">_xll.FDS(M1,"FMA_PE(NTMA,-10AY,0,AM,""PORTAGG"",""MEANR"")")</f>
        <v>14.330609895646401</v>
      </c>
      <c r="N2" s="3" cm="1">
        <f t="array" ref="N2:N122">_xll.FDS(N1,"FMA_PE(NTMA,-10AY,0,AM,""PORTAGG"",""MEANR"")")</f>
        <v>13.2073275393212</v>
      </c>
    </row>
    <row r="3" spans="1:14" x14ac:dyDescent="0.35">
      <c r="A3" s="2">
        <v>41946</v>
      </c>
      <c r="B3" s="3">
        <v>17.702096949791301</v>
      </c>
      <c r="C3" s="3">
        <v>14.5112163417791</v>
      </c>
      <c r="D3" s="3">
        <v>14.2708263108631</v>
      </c>
      <c r="E3" s="3">
        <v>12.2088248807508</v>
      </c>
      <c r="F3" s="3">
        <v>13.9745464600625</v>
      </c>
      <c r="G3" s="3">
        <v>15.7678320265198</v>
      </c>
      <c r="H3" s="3">
        <v>13.023798405992901</v>
      </c>
      <c r="I3" s="3">
        <v>17.770355515359</v>
      </c>
      <c r="J3" s="3">
        <v>15.4821557010817</v>
      </c>
      <c r="K3" s="3">
        <v>13.0813255126006</v>
      </c>
      <c r="L3" s="3">
        <v>14.496568362735401</v>
      </c>
      <c r="M3" s="3">
        <v>15.1495839978102</v>
      </c>
      <c r="N3" s="3">
        <v>12.557617917314699</v>
      </c>
    </row>
    <row r="4" spans="1:14" x14ac:dyDescent="0.35">
      <c r="A4" s="2">
        <v>41976</v>
      </c>
      <c r="B4" s="3">
        <v>17.990515009825199</v>
      </c>
      <c r="C4" s="3">
        <v>13.9587870653565</v>
      </c>
      <c r="D4" s="3">
        <v>14.8735637773728</v>
      </c>
      <c r="E4" s="3">
        <v>13.1375131569375</v>
      </c>
      <c r="F4" s="3">
        <v>14.621030158439201</v>
      </c>
      <c r="G4" s="3">
        <v>16.132478444364899</v>
      </c>
      <c r="H4" s="3">
        <v>13.754367956824399</v>
      </c>
      <c r="I4" s="3">
        <v>18.1697762687735</v>
      </c>
      <c r="J4" s="3">
        <v>15.9377718039432</v>
      </c>
      <c r="K4" s="3">
        <v>13.9624317408898</v>
      </c>
      <c r="L4" s="3">
        <v>15.1568959216298</v>
      </c>
      <c r="M4" s="3">
        <v>15.7595507918297</v>
      </c>
      <c r="N4" s="3">
        <v>13.1623858149017</v>
      </c>
    </row>
    <row r="5" spans="1:14" x14ac:dyDescent="0.35">
      <c r="A5" s="2">
        <v>42006</v>
      </c>
      <c r="B5" s="3">
        <v>18.361301367891201</v>
      </c>
      <c r="C5" s="3">
        <v>14.6262194220997</v>
      </c>
      <c r="D5" s="3">
        <v>15.6006677092602</v>
      </c>
      <c r="E5" s="3">
        <v>12.7825272234926</v>
      </c>
      <c r="F5" s="3">
        <v>14.2217382053288</v>
      </c>
      <c r="G5" s="3">
        <v>15.655050190752901</v>
      </c>
      <c r="H5" s="3">
        <v>13.727401882670399</v>
      </c>
      <c r="I5" s="3">
        <v>17.408571989658899</v>
      </c>
      <c r="J5" s="3">
        <v>15.96244162404</v>
      </c>
      <c r="K5" s="3">
        <v>13.728956554690701</v>
      </c>
      <c r="L5" s="3">
        <v>14.741588188038101</v>
      </c>
      <c r="M5" s="3">
        <v>15.580527381065</v>
      </c>
      <c r="N5" s="3">
        <v>12.346541166952401</v>
      </c>
    </row>
    <row r="6" spans="1:14" x14ac:dyDescent="0.35">
      <c r="A6" s="2">
        <v>42038</v>
      </c>
      <c r="B6" s="3">
        <v>19.166821817523399</v>
      </c>
      <c r="C6" s="3">
        <v>15.517767968797401</v>
      </c>
      <c r="D6" s="3">
        <v>16.998868906268701</v>
      </c>
      <c r="E6" s="3">
        <v>14.2108916922367</v>
      </c>
      <c r="F6" s="3">
        <v>13.785368609711799</v>
      </c>
      <c r="G6" s="3">
        <v>16.501732206459099</v>
      </c>
      <c r="H6" s="3">
        <v>15.3763206807301</v>
      </c>
      <c r="I6" s="3">
        <v>17.240065337502799</v>
      </c>
      <c r="J6" s="3">
        <v>16.4832500187173</v>
      </c>
      <c r="K6" s="3">
        <v>15.5467188679493</v>
      </c>
      <c r="L6" s="3">
        <v>15.730455573796901</v>
      </c>
      <c r="M6" s="3">
        <v>16.398333639222699</v>
      </c>
      <c r="N6" s="3">
        <v>14.3198801467284</v>
      </c>
    </row>
    <row r="7" spans="1:14" x14ac:dyDescent="0.35">
      <c r="A7" s="2">
        <v>42066</v>
      </c>
      <c r="B7" s="3">
        <v>19.334683939309301</v>
      </c>
      <c r="C7" s="3">
        <v>16.323814554792701</v>
      </c>
      <c r="D7" s="3">
        <v>17.349496006527101</v>
      </c>
      <c r="E7" s="3">
        <v>14.686153537234301</v>
      </c>
      <c r="F7" s="3">
        <v>15.138854981389899</v>
      </c>
      <c r="G7" s="3">
        <v>17.408573003662799</v>
      </c>
      <c r="H7" s="3">
        <v>15.6169868099462</v>
      </c>
      <c r="I7" s="3">
        <v>18.147465742067201</v>
      </c>
      <c r="J7" s="3">
        <v>16.918604337094301</v>
      </c>
      <c r="K7" s="3">
        <v>16.122003079532401</v>
      </c>
      <c r="L7" s="3">
        <v>16.905708798896899</v>
      </c>
      <c r="M7" s="3">
        <v>17.070134887270999</v>
      </c>
      <c r="N7" s="3">
        <v>15.1834296962757</v>
      </c>
    </row>
    <row r="8" spans="1:14" x14ac:dyDescent="0.35">
      <c r="A8" s="2">
        <v>42096</v>
      </c>
      <c r="B8" s="3">
        <v>18.4899205739579</v>
      </c>
      <c r="C8" s="3">
        <v>16.2523775221701</v>
      </c>
      <c r="D8" s="3">
        <v>17.097597827314299</v>
      </c>
      <c r="E8" s="3">
        <v>15.401928977175</v>
      </c>
      <c r="F8" s="3">
        <v>15.3071373737643</v>
      </c>
      <c r="G8" s="3">
        <v>17.700005445857901</v>
      </c>
      <c r="H8" s="3">
        <v>15.477416127627899</v>
      </c>
      <c r="I8" s="3">
        <v>17.593070299862401</v>
      </c>
      <c r="J8" s="3">
        <v>16.4721081381795</v>
      </c>
      <c r="K8" s="3">
        <v>16.6037523299544</v>
      </c>
      <c r="L8" s="3">
        <v>17.294174076805898</v>
      </c>
      <c r="M8" s="3">
        <v>17.021679845371601</v>
      </c>
      <c r="N8" s="3">
        <v>15.938831017770701</v>
      </c>
    </row>
    <row r="9" spans="1:14" x14ac:dyDescent="0.35">
      <c r="A9" s="2">
        <v>42125</v>
      </c>
      <c r="B9" s="3">
        <v>18.319896868661999</v>
      </c>
      <c r="C9" s="3">
        <v>16.253407960068099</v>
      </c>
      <c r="D9" s="3">
        <v>17.3653448047375</v>
      </c>
      <c r="E9" s="3">
        <v>14.5569971956958</v>
      </c>
      <c r="F9" s="3">
        <v>15.6616916730624</v>
      </c>
      <c r="G9" s="3">
        <v>17.7436319002889</v>
      </c>
      <c r="H9" s="3">
        <v>16.012448695116699</v>
      </c>
      <c r="I9" s="3">
        <v>18.0048963080168</v>
      </c>
      <c r="J9" s="3">
        <v>16.704581786323399</v>
      </c>
      <c r="K9" s="3">
        <v>16.309646923235299</v>
      </c>
      <c r="L9" s="3">
        <v>16.888361282154701</v>
      </c>
      <c r="M9" s="3">
        <v>15.84340237342</v>
      </c>
      <c r="N9" s="3">
        <v>15.788450623779999</v>
      </c>
    </row>
    <row r="10" spans="1:14" x14ac:dyDescent="0.35">
      <c r="A10" s="2">
        <v>42158</v>
      </c>
      <c r="B10" s="3">
        <v>18.374853536005201</v>
      </c>
      <c r="C10" s="3">
        <v>15.435888600889299</v>
      </c>
      <c r="D10" s="3">
        <v>16.697404561428801</v>
      </c>
      <c r="E10" s="3">
        <v>14.084140970204301</v>
      </c>
      <c r="F10" s="3">
        <v>16.234560352445399</v>
      </c>
      <c r="G10" s="3">
        <v>17.697404018428099</v>
      </c>
      <c r="H10" s="3">
        <v>15.8969185973287</v>
      </c>
      <c r="I10" s="3">
        <v>18.037662713006</v>
      </c>
      <c r="J10" s="3">
        <v>16.575432915412701</v>
      </c>
      <c r="K10" s="3">
        <v>16.185450601036699</v>
      </c>
      <c r="L10" s="3">
        <v>16.812445097653399</v>
      </c>
      <c r="M10" s="3">
        <v>16.425282322365899</v>
      </c>
      <c r="N10" s="3">
        <v>15.7027571351323</v>
      </c>
    </row>
    <row r="11" spans="1:14" x14ac:dyDescent="0.35">
      <c r="A11" s="2">
        <v>42187</v>
      </c>
      <c r="B11" s="3">
        <v>18.228977258252399</v>
      </c>
      <c r="C11" s="3">
        <v>15.484137540631099</v>
      </c>
      <c r="D11" s="3">
        <v>15.9393195822104</v>
      </c>
      <c r="E11" s="3">
        <v>13.519098478916799</v>
      </c>
      <c r="F11" s="3">
        <v>15.540953649367101</v>
      </c>
      <c r="G11" s="3">
        <v>17.041634530551001</v>
      </c>
      <c r="H11" s="3">
        <v>15.1399987260779</v>
      </c>
      <c r="I11" s="3">
        <v>17.621617023977699</v>
      </c>
      <c r="J11" s="3">
        <v>16.216784793952801</v>
      </c>
      <c r="K11" s="3">
        <v>15.323708489622801</v>
      </c>
      <c r="L11" s="3">
        <v>16.320336337111801</v>
      </c>
      <c r="M11" s="3">
        <v>15.585678649782899</v>
      </c>
      <c r="N11" s="3">
        <v>14.8304003267738</v>
      </c>
    </row>
    <row r="12" spans="1:14" x14ac:dyDescent="0.35">
      <c r="A12" s="2">
        <v>42219</v>
      </c>
      <c r="B12" s="3">
        <v>18.506095951659301</v>
      </c>
      <c r="C12" s="3">
        <v>15.611544835945701</v>
      </c>
      <c r="D12" s="3">
        <v>15.634284749609201</v>
      </c>
      <c r="E12" s="3">
        <v>13.8915287066761</v>
      </c>
      <c r="F12" s="3">
        <v>15.5182506824877</v>
      </c>
      <c r="G12" s="3">
        <v>17.788690352128999</v>
      </c>
      <c r="H12" s="3">
        <v>15.3640252513551</v>
      </c>
      <c r="I12" s="3">
        <v>18.5759876490857</v>
      </c>
      <c r="J12" s="3">
        <v>16.377833817045001</v>
      </c>
      <c r="K12" s="3">
        <v>15.876825718031199</v>
      </c>
      <c r="L12" s="3">
        <v>17.011810148998201</v>
      </c>
      <c r="M12" s="3">
        <v>15.9770386635213</v>
      </c>
      <c r="N12" s="3">
        <v>15.5405522755939</v>
      </c>
    </row>
    <row r="13" spans="1:14" x14ac:dyDescent="0.35">
      <c r="A13" s="2">
        <v>42250</v>
      </c>
      <c r="B13" s="3">
        <v>17.274490966877298</v>
      </c>
      <c r="C13" s="3">
        <v>14.009808934996601</v>
      </c>
      <c r="D13" s="3">
        <v>14.6660413258173</v>
      </c>
      <c r="E13" s="3">
        <v>12.526152498338799</v>
      </c>
      <c r="F13" s="3">
        <v>13.6021756050416</v>
      </c>
      <c r="G13" s="3">
        <v>16.460114807524501</v>
      </c>
      <c r="H13" s="3">
        <v>14.2439673639203</v>
      </c>
      <c r="I13" s="3">
        <v>17.108769357057401</v>
      </c>
      <c r="J13" s="3">
        <v>15.188224509622501</v>
      </c>
      <c r="K13" s="3">
        <v>14.348231883657499</v>
      </c>
      <c r="L13" s="3">
        <v>15.0380838669042</v>
      </c>
      <c r="M13" s="3">
        <v>14.924989387875501</v>
      </c>
      <c r="N13" s="3">
        <v>14.553478635885799</v>
      </c>
    </row>
    <row r="14" spans="1:14" x14ac:dyDescent="0.35">
      <c r="A14" s="2">
        <v>42279</v>
      </c>
      <c r="B14" s="3">
        <v>16.970063539864601</v>
      </c>
      <c r="C14" s="3">
        <v>14.2968851204463</v>
      </c>
      <c r="D14" s="3">
        <v>14.4606031738619</v>
      </c>
      <c r="E14" s="3">
        <v>11.756789812537599</v>
      </c>
      <c r="F14" s="3">
        <v>13.291897807468899</v>
      </c>
      <c r="G14" s="3">
        <v>16.005431541492801</v>
      </c>
      <c r="H14" s="3">
        <v>14.481413155393099</v>
      </c>
      <c r="I14" s="3">
        <v>17.1770994663732</v>
      </c>
      <c r="J14" s="3">
        <v>15.211116793077</v>
      </c>
      <c r="K14" s="3">
        <v>13.8827690699177</v>
      </c>
      <c r="L14" s="3">
        <v>14.341953096562801</v>
      </c>
      <c r="M14" s="3">
        <v>14.1462302046591</v>
      </c>
      <c r="N14" s="3">
        <v>13.9538705482463</v>
      </c>
    </row>
    <row r="15" spans="1:14" x14ac:dyDescent="0.35">
      <c r="A15" s="2">
        <v>42311</v>
      </c>
      <c r="B15" s="3">
        <v>18.131733428114298</v>
      </c>
      <c r="C15" s="3">
        <v>15.078915317019099</v>
      </c>
      <c r="D15" s="3">
        <v>14.9385137640342</v>
      </c>
      <c r="E15" s="3">
        <v>13.4760181192107</v>
      </c>
      <c r="F15" s="3">
        <v>14.0771462434334</v>
      </c>
      <c r="G15" s="3">
        <v>17.037644850191199</v>
      </c>
      <c r="H15" s="3">
        <v>15.4075909959407</v>
      </c>
      <c r="I15" s="3">
        <v>18.843556601878099</v>
      </c>
      <c r="J15" s="3">
        <v>16.537597053014601</v>
      </c>
      <c r="K15" s="3">
        <v>15.247198519785</v>
      </c>
      <c r="L15" s="3">
        <v>15.9884769854282</v>
      </c>
      <c r="M15" s="3">
        <v>15.5368057265921</v>
      </c>
      <c r="N15" s="3">
        <v>14.768307152088701</v>
      </c>
    </row>
    <row r="16" spans="1:14" x14ac:dyDescent="0.35">
      <c r="A16" s="2">
        <v>42341</v>
      </c>
      <c r="B16" s="3">
        <v>18.1872739277192</v>
      </c>
      <c r="C16" s="3">
        <v>15.250667827915001</v>
      </c>
      <c r="D16" s="3">
        <v>14.4724511270951</v>
      </c>
      <c r="E16" s="3">
        <v>13.463273914578799</v>
      </c>
      <c r="F16" s="3">
        <v>14.7031685423665</v>
      </c>
      <c r="G16" s="3">
        <v>16.923589006780901</v>
      </c>
      <c r="H16" s="3">
        <v>15.162932841193999</v>
      </c>
      <c r="I16" s="3">
        <v>18.402015598738998</v>
      </c>
      <c r="J16" s="3">
        <v>16.005074710340999</v>
      </c>
      <c r="K16" s="3">
        <v>14.7872414213683</v>
      </c>
      <c r="L16" s="3">
        <v>15.825715591505899</v>
      </c>
      <c r="M16" s="3">
        <v>15.491033813638101</v>
      </c>
      <c r="N16" s="3">
        <v>14.5431793561257</v>
      </c>
    </row>
    <row r="17" spans="1:14" x14ac:dyDescent="0.35">
      <c r="A17" s="2">
        <v>42369</v>
      </c>
      <c r="B17" s="3">
        <v>18.2879518587097</v>
      </c>
      <c r="C17" s="3">
        <v>15.7577891400844</v>
      </c>
      <c r="D17" s="3">
        <v>14.121858270811501</v>
      </c>
      <c r="E17" s="3">
        <v>13.350964590216501</v>
      </c>
      <c r="F17" s="3">
        <v>14.059202899593901</v>
      </c>
      <c r="G17" s="3">
        <v>16.878889370263501</v>
      </c>
      <c r="H17" s="3">
        <v>15.2053139260079</v>
      </c>
      <c r="I17" s="3">
        <v>18.458821535757501</v>
      </c>
      <c r="J17" s="3">
        <v>15.991430392029001</v>
      </c>
      <c r="K17" s="3">
        <v>14.552502668719599</v>
      </c>
      <c r="L17" s="3">
        <v>15.3744123294909</v>
      </c>
      <c r="M17" s="3">
        <v>14.9750159777383</v>
      </c>
      <c r="N17" s="3">
        <v>14.0570435212574</v>
      </c>
    </row>
    <row r="18" spans="1:14" x14ac:dyDescent="0.35">
      <c r="A18" s="2">
        <v>42403</v>
      </c>
      <c r="B18" s="3">
        <v>17.339674650814601</v>
      </c>
      <c r="C18" s="3">
        <v>14.932595793933499</v>
      </c>
      <c r="D18" s="3">
        <v>14.198751290614499</v>
      </c>
      <c r="E18" s="3">
        <v>11.9278140025264</v>
      </c>
      <c r="F18" s="3">
        <v>12.8172669588575</v>
      </c>
      <c r="G18" s="3">
        <v>16.0505998744081</v>
      </c>
      <c r="H18" s="3">
        <v>15.0894237757325</v>
      </c>
      <c r="I18" s="3">
        <v>16.8563192558777</v>
      </c>
      <c r="J18" s="3">
        <v>15.5099438140132</v>
      </c>
      <c r="K18" s="3">
        <v>13.700711559782301</v>
      </c>
      <c r="L18" s="3">
        <v>14.5853062744485</v>
      </c>
      <c r="M18" s="3">
        <v>14.0531016716157</v>
      </c>
      <c r="N18" s="3">
        <v>12.317248039249399</v>
      </c>
    </row>
    <row r="19" spans="1:14" x14ac:dyDescent="0.35">
      <c r="A19" s="2">
        <v>42432</v>
      </c>
      <c r="B19" s="3">
        <v>17.920595321369301</v>
      </c>
      <c r="C19" s="3">
        <v>15.817600252349401</v>
      </c>
      <c r="D19" s="3">
        <v>15.229218998414501</v>
      </c>
      <c r="E19" s="3">
        <v>12.4684966695875</v>
      </c>
      <c r="F19" s="3">
        <v>13.021959430206399</v>
      </c>
      <c r="G19" s="3">
        <v>16.507401853150199</v>
      </c>
      <c r="H19" s="3">
        <v>15.794688884017701</v>
      </c>
      <c r="I19" s="3">
        <v>17.354658749860999</v>
      </c>
      <c r="J19" s="3">
        <v>15.516736353630501</v>
      </c>
      <c r="K19" s="3">
        <v>14.415166727315</v>
      </c>
      <c r="L19" s="3">
        <v>15.0398086380949</v>
      </c>
      <c r="M19" s="3">
        <v>15.4010533984669</v>
      </c>
      <c r="N19" s="3">
        <v>13.2634982986881</v>
      </c>
    </row>
    <row r="20" spans="1:14" x14ac:dyDescent="0.35">
      <c r="A20" s="2">
        <v>42461</v>
      </c>
      <c r="B20" s="3">
        <v>18.4156126192307</v>
      </c>
      <c r="C20" s="3">
        <v>15.4658529260418</v>
      </c>
      <c r="D20" s="3">
        <v>15.888085104134399</v>
      </c>
      <c r="E20" s="3">
        <v>12.5186064134994</v>
      </c>
      <c r="F20" s="3">
        <v>12.3706974096579</v>
      </c>
      <c r="G20" s="3">
        <v>16.218897521325299</v>
      </c>
      <c r="H20" s="3">
        <v>16.005416729352401</v>
      </c>
      <c r="I20" s="3">
        <v>18.086192954736202</v>
      </c>
      <c r="J20" s="3">
        <v>16.500463546018398</v>
      </c>
      <c r="K20" s="3">
        <v>14.184321111574</v>
      </c>
      <c r="L20" s="3">
        <v>15.1497446213715</v>
      </c>
      <c r="M20" s="3">
        <v>14.9967251926417</v>
      </c>
      <c r="N20" s="3">
        <v>12.8388132228063</v>
      </c>
    </row>
    <row r="21" spans="1:14" x14ac:dyDescent="0.35">
      <c r="A21" s="2">
        <v>42493</v>
      </c>
      <c r="B21" s="3">
        <v>18.881731711646601</v>
      </c>
      <c r="C21" s="3">
        <v>16.602843818151801</v>
      </c>
      <c r="D21" s="3">
        <v>16.3982714275677</v>
      </c>
      <c r="E21" s="3">
        <v>12.557716205044599</v>
      </c>
      <c r="F21" s="3">
        <v>12.4626902033257</v>
      </c>
      <c r="G21" s="3">
        <v>16.5491524057561</v>
      </c>
      <c r="H21" s="3">
        <v>15.999413606578299</v>
      </c>
      <c r="I21" s="3">
        <v>17.442554789505401</v>
      </c>
      <c r="J21" s="3">
        <v>16.522677016730398</v>
      </c>
      <c r="K21" s="3">
        <v>14.3441814696039</v>
      </c>
      <c r="L21" s="3">
        <v>14.7132725345129</v>
      </c>
      <c r="M21" s="3">
        <v>14.976372231002101</v>
      </c>
      <c r="N21" s="3">
        <v>12.9381933619816</v>
      </c>
    </row>
    <row r="22" spans="1:14" x14ac:dyDescent="0.35">
      <c r="A22" s="2">
        <v>42524</v>
      </c>
      <c r="B22" s="3">
        <v>19.492970960307701</v>
      </c>
      <c r="C22" s="3">
        <v>16.2996290566753</v>
      </c>
      <c r="D22" s="3">
        <v>16.726739491341402</v>
      </c>
      <c r="E22" s="3">
        <v>12.5002303711458</v>
      </c>
      <c r="F22" s="3">
        <v>13.4176105000418</v>
      </c>
      <c r="G22" s="3">
        <v>17.057655553676199</v>
      </c>
      <c r="H22" s="3">
        <v>15.774831287017999</v>
      </c>
      <c r="I22" s="3">
        <v>17.9437090657512</v>
      </c>
      <c r="J22" s="3">
        <v>16.592496624068598</v>
      </c>
      <c r="K22" s="3">
        <v>14.318296073521401</v>
      </c>
      <c r="L22" s="3">
        <v>15.0861469584859</v>
      </c>
      <c r="M22" s="3">
        <v>14.7761017947686</v>
      </c>
      <c r="N22" s="3">
        <v>12.7778702479836</v>
      </c>
    </row>
    <row r="23" spans="1:14" x14ac:dyDescent="0.35">
      <c r="A23" s="2">
        <v>42552</v>
      </c>
      <c r="B23" s="3">
        <v>19.059687665176</v>
      </c>
      <c r="C23" s="3">
        <v>15.999973819414</v>
      </c>
      <c r="D23" s="3">
        <v>16.292351603394</v>
      </c>
      <c r="E23" s="3">
        <v>12.0769572673331</v>
      </c>
      <c r="F23" s="3">
        <v>12.681855577317201</v>
      </c>
      <c r="G23" s="3">
        <v>16.895370900134999</v>
      </c>
      <c r="H23" s="3">
        <v>16.1076551566143</v>
      </c>
      <c r="I23" s="3">
        <v>17.709323828794599</v>
      </c>
      <c r="J23" s="3">
        <v>16.527476292901198</v>
      </c>
      <c r="K23" s="3">
        <v>13.698228787221201</v>
      </c>
      <c r="L23" s="3">
        <v>14.211112750830999</v>
      </c>
      <c r="M23" s="3">
        <v>14.6967790020612</v>
      </c>
      <c r="N23" s="3">
        <v>11.8557083830139</v>
      </c>
    </row>
    <row r="24" spans="1:14" x14ac:dyDescent="0.35">
      <c r="A24" s="2">
        <v>42585</v>
      </c>
      <c r="B24" s="3">
        <v>20.015516954738199</v>
      </c>
      <c r="C24" s="3">
        <v>16.4495465907588</v>
      </c>
      <c r="D24" s="3">
        <v>16.307698178055102</v>
      </c>
      <c r="E24" s="3">
        <v>12.538282699892299</v>
      </c>
      <c r="F24" s="3">
        <v>12.879430470232201</v>
      </c>
      <c r="G24" s="3">
        <v>16.988471574133801</v>
      </c>
      <c r="H24" s="3">
        <v>15.949132790938799</v>
      </c>
      <c r="I24" s="3">
        <v>18.624659052347699</v>
      </c>
      <c r="J24" s="3">
        <v>16.864680739018102</v>
      </c>
      <c r="K24" s="3">
        <v>13.7269589038023</v>
      </c>
      <c r="L24" s="3">
        <v>14.5096079383238</v>
      </c>
      <c r="M24" s="3">
        <v>14.8466643971007</v>
      </c>
      <c r="N24" s="3">
        <v>11.9860567623468</v>
      </c>
    </row>
    <row r="25" spans="1:14" x14ac:dyDescent="0.35">
      <c r="A25" s="2">
        <v>42615</v>
      </c>
      <c r="B25" s="3">
        <v>20.6958794495932</v>
      </c>
      <c r="C25" s="3">
        <v>16.209943809243299</v>
      </c>
      <c r="D25" s="3">
        <v>16.442436133462898</v>
      </c>
      <c r="E25" s="3">
        <v>13.0598123735016</v>
      </c>
      <c r="F25" s="3">
        <v>13.636063568928</v>
      </c>
      <c r="G25" s="3">
        <v>17.441950034232502</v>
      </c>
      <c r="H25" s="3">
        <v>16.273392913453801</v>
      </c>
      <c r="I25" s="3">
        <v>18.589342164540799</v>
      </c>
      <c r="J25" s="3">
        <v>16.835398779399501</v>
      </c>
      <c r="K25" s="3">
        <v>14.265122056874</v>
      </c>
      <c r="L25" s="3">
        <v>15.3407069268504</v>
      </c>
      <c r="M25" s="3">
        <v>15.646165017013701</v>
      </c>
      <c r="N25" s="3">
        <v>12.5206266110849</v>
      </c>
    </row>
    <row r="26" spans="1:14" x14ac:dyDescent="0.35">
      <c r="A26" s="2">
        <v>42646</v>
      </c>
      <c r="B26" s="3">
        <v>20.304739316813802</v>
      </c>
      <c r="C26" s="3">
        <v>16.358111058115298</v>
      </c>
      <c r="D26" s="3">
        <v>16.040862208808502</v>
      </c>
      <c r="E26" s="3">
        <v>12.8732137749072</v>
      </c>
      <c r="F26" s="3">
        <v>13.309482612671699</v>
      </c>
      <c r="G26" s="3">
        <v>17.147150447356701</v>
      </c>
      <c r="H26" s="3">
        <v>15.801231869313799</v>
      </c>
      <c r="I26" s="3">
        <v>18.614413542463598</v>
      </c>
      <c r="J26" s="3">
        <v>16.581326442764698</v>
      </c>
      <c r="K26" s="3">
        <v>13.882520595103699</v>
      </c>
      <c r="L26" s="3">
        <v>14.964924400046399</v>
      </c>
      <c r="M26" s="3">
        <v>15.790719964577301</v>
      </c>
      <c r="N26" s="3">
        <v>11.6223672238555</v>
      </c>
    </row>
    <row r="27" spans="1:14" x14ac:dyDescent="0.35">
      <c r="A27" s="2">
        <v>42677</v>
      </c>
      <c r="B27" s="3">
        <v>18.427550681642199</v>
      </c>
      <c r="C27" s="3">
        <v>15.5325804610336</v>
      </c>
      <c r="D27" s="3">
        <v>15.571006035194999</v>
      </c>
      <c r="E27" s="3">
        <v>12.5068389246441</v>
      </c>
      <c r="F27" s="3">
        <v>13.584405203497401</v>
      </c>
      <c r="G27" s="3">
        <v>16.140723186371599</v>
      </c>
      <c r="H27" s="3">
        <v>14.5705451332328</v>
      </c>
      <c r="I27" s="3">
        <v>17.709810901102301</v>
      </c>
      <c r="J27" s="3">
        <v>15.964394900734</v>
      </c>
      <c r="K27" s="3">
        <v>13.6151115293769</v>
      </c>
      <c r="L27" s="3">
        <v>14.3110047518368</v>
      </c>
      <c r="M27" s="3">
        <v>15.6393834025522</v>
      </c>
      <c r="N27" s="3">
        <v>11.5322597068413</v>
      </c>
    </row>
    <row r="28" spans="1:14" x14ac:dyDescent="0.35">
      <c r="A28" s="2">
        <v>42706</v>
      </c>
      <c r="B28" s="3">
        <v>18.7150183102484</v>
      </c>
      <c r="C28" s="3">
        <v>15.6786481105494</v>
      </c>
      <c r="D28" s="3">
        <v>15.870162857001301</v>
      </c>
      <c r="E28" s="3">
        <v>12.628264072240301</v>
      </c>
      <c r="F28" s="3">
        <v>14.607022815118899</v>
      </c>
      <c r="G28" s="3">
        <v>16.156219282481501</v>
      </c>
      <c r="H28" s="3">
        <v>14.1545278968975</v>
      </c>
      <c r="I28" s="3">
        <v>17.758664971224199</v>
      </c>
      <c r="J28" s="3">
        <v>16.618730474998099</v>
      </c>
      <c r="K28" s="3">
        <v>13.754137392797499</v>
      </c>
      <c r="L28" s="3">
        <v>14.2262921960439</v>
      </c>
      <c r="M28" s="3">
        <v>15.958798335709</v>
      </c>
      <c r="N28" s="3">
        <v>12.014925970761</v>
      </c>
    </row>
    <row r="29" spans="1:14" x14ac:dyDescent="0.35">
      <c r="A29" s="2">
        <v>42738</v>
      </c>
      <c r="B29" s="3">
        <v>18.470757251140899</v>
      </c>
      <c r="C29" s="3">
        <v>15.951520027419001</v>
      </c>
      <c r="D29" s="3">
        <v>15.841832898548599</v>
      </c>
      <c r="E29" s="3">
        <v>13.750750513672401</v>
      </c>
      <c r="F29" s="3">
        <v>14.6093404012477</v>
      </c>
      <c r="G29" s="3">
        <v>16.8893770391978</v>
      </c>
      <c r="H29" s="3">
        <v>14.459620646513001</v>
      </c>
      <c r="I29" s="3">
        <v>18.215208106490898</v>
      </c>
      <c r="J29" s="3">
        <v>16.936193453918399</v>
      </c>
      <c r="K29" s="3">
        <v>14.6479636930293</v>
      </c>
      <c r="L29" s="3">
        <v>15.1449268589016</v>
      </c>
      <c r="M29" s="3">
        <v>16.592735987255701</v>
      </c>
      <c r="N29" s="3">
        <v>13.6967710191172</v>
      </c>
    </row>
    <row r="30" spans="1:14" x14ac:dyDescent="0.35">
      <c r="A30" s="2">
        <v>42769</v>
      </c>
      <c r="B30" s="3">
        <v>19.097519727308299</v>
      </c>
      <c r="C30" s="3">
        <v>15.604276382216399</v>
      </c>
      <c r="D30" s="3">
        <v>16.033292390716699</v>
      </c>
      <c r="E30" s="3">
        <v>13.6655992190853</v>
      </c>
      <c r="F30" s="3">
        <v>14.2633100796732</v>
      </c>
      <c r="G30" s="3">
        <v>17.204900401771202</v>
      </c>
      <c r="H30" s="3">
        <v>14.323683024352601</v>
      </c>
      <c r="I30" s="3">
        <v>19.3094351018213</v>
      </c>
      <c r="J30" s="3">
        <v>17.2007565377716</v>
      </c>
      <c r="K30" s="3">
        <v>14.3369487502949</v>
      </c>
      <c r="L30" s="3">
        <v>15.149034735206101</v>
      </c>
      <c r="M30" s="3">
        <v>16.522706413097701</v>
      </c>
      <c r="N30" s="3">
        <v>12.9864369833174</v>
      </c>
    </row>
    <row r="31" spans="1:14" x14ac:dyDescent="0.35">
      <c r="A31" s="2">
        <v>42797</v>
      </c>
      <c r="B31" s="3">
        <v>19.017623096239799</v>
      </c>
      <c r="C31" s="3">
        <v>15.7107518687991</v>
      </c>
      <c r="D31" s="3">
        <v>16.077133112621301</v>
      </c>
      <c r="E31" s="3">
        <v>13.9620892654792</v>
      </c>
      <c r="F31" s="3">
        <v>14.3112752079332</v>
      </c>
      <c r="G31" s="3">
        <v>17.643489495656301</v>
      </c>
      <c r="H31" s="3">
        <v>14.4688844653649</v>
      </c>
      <c r="I31" s="3">
        <v>20.140545311978599</v>
      </c>
      <c r="J31" s="3">
        <v>17.791847820694901</v>
      </c>
      <c r="K31" s="3">
        <v>14.5341399191049</v>
      </c>
      <c r="L31" s="3">
        <v>15.800917185007901</v>
      </c>
      <c r="M31" s="3">
        <v>16.488603046213001</v>
      </c>
      <c r="N31" s="3">
        <v>13.371524252714501</v>
      </c>
    </row>
    <row r="32" spans="1:14" x14ac:dyDescent="0.35">
      <c r="A32" s="2">
        <v>42828</v>
      </c>
      <c r="B32" s="3">
        <v>19.099631156367099</v>
      </c>
      <c r="C32" s="3">
        <v>15.867461633822799</v>
      </c>
      <c r="D32" s="3">
        <v>15.878324062409799</v>
      </c>
      <c r="E32" s="3">
        <v>14.004120627734</v>
      </c>
      <c r="F32" s="3">
        <v>13.7871604913067</v>
      </c>
      <c r="G32" s="3">
        <v>17.330491353780499</v>
      </c>
      <c r="H32" s="3">
        <v>14.3254694940627</v>
      </c>
      <c r="I32" s="3">
        <v>20.114329350047502</v>
      </c>
      <c r="J32" s="3">
        <v>17.463031463962601</v>
      </c>
      <c r="K32" s="3">
        <v>14.796000586134101</v>
      </c>
      <c r="L32" s="3">
        <v>16.009119964119101</v>
      </c>
      <c r="M32" s="3">
        <v>16.960601872962599</v>
      </c>
      <c r="N32" s="3">
        <v>13.491872116409199</v>
      </c>
    </row>
    <row r="33" spans="1:14" x14ac:dyDescent="0.35">
      <c r="A33" s="2">
        <v>42858</v>
      </c>
      <c r="B33" s="3">
        <v>19.519804324742701</v>
      </c>
      <c r="C33" s="3">
        <v>15.8614874472193</v>
      </c>
      <c r="D33" s="3">
        <v>15.644297590391201</v>
      </c>
      <c r="E33" s="3">
        <v>13.9840481033179</v>
      </c>
      <c r="F33" s="3">
        <v>14.025175127278301</v>
      </c>
      <c r="G33" s="3">
        <v>17.801176613946001</v>
      </c>
      <c r="H33" s="3">
        <v>14.342692691586199</v>
      </c>
      <c r="I33" s="3">
        <v>20.4664578976586</v>
      </c>
      <c r="J33" s="3">
        <v>17.4357595066685</v>
      </c>
      <c r="K33" s="3">
        <v>15.253764792369401</v>
      </c>
      <c r="L33" s="3">
        <v>16.484885350809101</v>
      </c>
      <c r="M33" s="3">
        <v>17.161135690221101</v>
      </c>
      <c r="N33" s="3">
        <v>13.4448163725681</v>
      </c>
    </row>
    <row r="34" spans="1:14" x14ac:dyDescent="0.35">
      <c r="A34" s="2">
        <v>42888</v>
      </c>
      <c r="B34" s="3">
        <v>19.480954592760799</v>
      </c>
      <c r="C34" s="3">
        <v>15.399654337939999</v>
      </c>
      <c r="D34" s="3">
        <v>15.5123585292512</v>
      </c>
      <c r="E34" s="3">
        <v>13.929161446858</v>
      </c>
      <c r="F34" s="3">
        <v>14.617758926844701</v>
      </c>
      <c r="G34" s="3">
        <v>18.2644958815692</v>
      </c>
      <c r="H34" s="3">
        <v>14.841669767300401</v>
      </c>
      <c r="I34" s="3">
        <v>21.202752457200699</v>
      </c>
      <c r="J34" s="3">
        <v>17.669984548328699</v>
      </c>
      <c r="K34" s="3">
        <v>15.2634708736995</v>
      </c>
      <c r="L34" s="3">
        <v>16.396469374384999</v>
      </c>
      <c r="M34" s="3">
        <v>18.0717772891166</v>
      </c>
      <c r="N34" s="3">
        <v>13.3007485007019</v>
      </c>
    </row>
    <row r="35" spans="1:14" x14ac:dyDescent="0.35">
      <c r="A35" s="2">
        <v>42919</v>
      </c>
      <c r="B35" s="3">
        <v>19.456501860026901</v>
      </c>
      <c r="C35" s="3">
        <v>15.317527928068399</v>
      </c>
      <c r="D35" s="3">
        <v>15.2185526976216</v>
      </c>
      <c r="E35" s="3">
        <v>13.4368981466052</v>
      </c>
      <c r="F35" s="3">
        <v>14.2554982317049</v>
      </c>
      <c r="G35" s="3">
        <v>17.876956641645801</v>
      </c>
      <c r="H35" s="3">
        <v>14.5138786965978</v>
      </c>
      <c r="I35" s="3">
        <v>19.8547435220406</v>
      </c>
      <c r="J35" s="3">
        <v>17.445586242440498</v>
      </c>
      <c r="K35" s="3">
        <v>14.759932603357999</v>
      </c>
      <c r="L35" s="3">
        <v>15.750105564231299</v>
      </c>
      <c r="M35" s="3">
        <v>16.669716021188901</v>
      </c>
      <c r="N35" s="3">
        <v>13.2911156316648</v>
      </c>
    </row>
    <row r="36" spans="1:14" x14ac:dyDescent="0.35">
      <c r="A36" s="2">
        <v>42950</v>
      </c>
      <c r="B36" s="3">
        <v>19.8329438484622</v>
      </c>
      <c r="C36" s="3">
        <v>15.7122212788436</v>
      </c>
      <c r="D36" s="3">
        <v>15.6725841849508</v>
      </c>
      <c r="E36" s="3">
        <v>13.093493879818899</v>
      </c>
      <c r="F36" s="3">
        <v>14.287887447977401</v>
      </c>
      <c r="G36" s="3">
        <v>17.9614706889583</v>
      </c>
      <c r="H36" s="3">
        <v>14.8668906156184</v>
      </c>
      <c r="I36" s="3">
        <v>20.628923570985801</v>
      </c>
      <c r="J36" s="3">
        <v>17.6223410746639</v>
      </c>
      <c r="K36" s="3">
        <v>14.603648018016001</v>
      </c>
      <c r="L36" s="3">
        <v>15.9662313430661</v>
      </c>
      <c r="M36" s="3">
        <v>15.9541508069328</v>
      </c>
      <c r="N36" s="3">
        <v>13.5047431218829</v>
      </c>
    </row>
    <row r="37" spans="1:14" x14ac:dyDescent="0.35">
      <c r="A37" s="2">
        <v>42979</v>
      </c>
      <c r="B37" s="3">
        <v>19.920576353659499</v>
      </c>
      <c r="C37" s="3">
        <v>15.6384385009527</v>
      </c>
      <c r="D37" s="3">
        <v>15.376854398938899</v>
      </c>
      <c r="E37" s="3">
        <v>13.013661405267699</v>
      </c>
      <c r="F37" s="3">
        <v>13.729705411020401</v>
      </c>
      <c r="G37" s="3">
        <v>17.4885502054535</v>
      </c>
      <c r="H37" s="3">
        <v>14.6286836464253</v>
      </c>
      <c r="I37" s="3">
        <v>20.699306723768899</v>
      </c>
      <c r="J37" s="3">
        <v>17.5139583604644</v>
      </c>
      <c r="K37" s="3">
        <v>14.551085269345201</v>
      </c>
      <c r="L37" s="3">
        <v>15.690942441898599</v>
      </c>
      <c r="M37" s="3">
        <v>15.965060274012</v>
      </c>
      <c r="N37" s="3">
        <v>13.3394042700422</v>
      </c>
    </row>
    <row r="38" spans="1:14" x14ac:dyDescent="0.35">
      <c r="A38" s="2">
        <v>43011</v>
      </c>
      <c r="B38" s="3">
        <v>19.7757323266027</v>
      </c>
      <c r="C38" s="3">
        <v>15.4745888576585</v>
      </c>
      <c r="D38" s="3">
        <v>15.853091335398799</v>
      </c>
      <c r="E38" s="3">
        <v>13.7229496226108</v>
      </c>
      <c r="F38" s="3">
        <v>14.0670024417097</v>
      </c>
      <c r="G38" s="3">
        <v>17.929304879504102</v>
      </c>
      <c r="H38" s="3">
        <v>14.618085200125099</v>
      </c>
      <c r="I38" s="3">
        <v>20.3961076988715</v>
      </c>
      <c r="J38" s="3">
        <v>17.819346789832998</v>
      </c>
      <c r="K38" s="3">
        <v>15.2147880081581</v>
      </c>
      <c r="L38" s="3">
        <v>16.110480380787699</v>
      </c>
      <c r="M38" s="3">
        <v>16.949682680141699</v>
      </c>
      <c r="N38" s="3">
        <v>13.7679971729233</v>
      </c>
    </row>
    <row r="39" spans="1:14" x14ac:dyDescent="0.35">
      <c r="A39" s="2">
        <v>43042</v>
      </c>
      <c r="B39" s="3">
        <v>20.2607857672626</v>
      </c>
      <c r="C39" s="3">
        <v>15.946902792774001</v>
      </c>
      <c r="D39" s="3">
        <v>15.921295855546999</v>
      </c>
      <c r="E39" s="3">
        <v>14.295513209291901</v>
      </c>
      <c r="F39" s="3">
        <v>14.804369320229799</v>
      </c>
      <c r="G39" s="3">
        <v>17.983623024675602</v>
      </c>
      <c r="H39" s="3">
        <v>14.5461107053146</v>
      </c>
      <c r="I39" s="3">
        <v>20.901235037774601</v>
      </c>
      <c r="J39" s="3">
        <v>17.9873893505642</v>
      </c>
      <c r="K39" s="3">
        <v>15.4478297837694</v>
      </c>
      <c r="L39" s="3">
        <v>16.421423660795</v>
      </c>
      <c r="M39" s="3">
        <v>17.3618010522557</v>
      </c>
      <c r="N39" s="3">
        <v>13.729348695998899</v>
      </c>
    </row>
    <row r="40" spans="1:14" x14ac:dyDescent="0.35">
      <c r="A40" s="2">
        <v>43070</v>
      </c>
      <c r="B40" s="3">
        <v>20.219087083514399</v>
      </c>
      <c r="C40" s="3">
        <v>15.862145218841301</v>
      </c>
      <c r="D40" s="3">
        <v>15.923504995357799</v>
      </c>
      <c r="E40" s="3">
        <v>13.732268501705599</v>
      </c>
      <c r="F40" s="3">
        <v>14.750436436626099</v>
      </c>
      <c r="G40" s="3">
        <v>17.6115320037995</v>
      </c>
      <c r="H40" s="3">
        <v>14.119368464593601</v>
      </c>
      <c r="I40" s="3">
        <v>20.810782546182899</v>
      </c>
      <c r="J40" s="3">
        <v>18.196290372400799</v>
      </c>
      <c r="K40" s="3">
        <v>14.8890691457655</v>
      </c>
      <c r="L40" s="3">
        <v>15.764051327794601</v>
      </c>
      <c r="M40" s="3">
        <v>16.345888881215799</v>
      </c>
      <c r="N40" s="3">
        <v>13.2668277987846</v>
      </c>
    </row>
    <row r="41" spans="1:14" x14ac:dyDescent="0.35">
      <c r="A41" s="2">
        <v>43103</v>
      </c>
      <c r="B41" s="3">
        <v>20.958473015432801</v>
      </c>
      <c r="C41" s="3">
        <v>16.0075050385414</v>
      </c>
      <c r="D41" s="3">
        <v>16.0263117223084</v>
      </c>
      <c r="E41" s="3">
        <v>13.7979883397067</v>
      </c>
      <c r="F41" s="3">
        <v>14.6999165313368</v>
      </c>
      <c r="G41" s="3">
        <v>17.795009726130701</v>
      </c>
      <c r="H41" s="3">
        <v>14.7051845975754</v>
      </c>
      <c r="I41" s="3">
        <v>21.332904386678202</v>
      </c>
      <c r="J41" s="3">
        <v>18.305088846677201</v>
      </c>
      <c r="K41" s="3">
        <v>14.8316471225941</v>
      </c>
      <c r="L41" s="3">
        <v>15.9549068281994</v>
      </c>
      <c r="M41" s="3">
        <v>16.205421940027701</v>
      </c>
      <c r="N41" s="3">
        <v>12.9216746841321</v>
      </c>
    </row>
    <row r="42" spans="1:14" x14ac:dyDescent="0.35">
      <c r="A42" s="2">
        <v>43133</v>
      </c>
      <c r="B42" s="3">
        <v>20.9643662464545</v>
      </c>
      <c r="C42" s="3">
        <v>15.9032455761203</v>
      </c>
      <c r="D42" s="3">
        <v>14.9050084693492</v>
      </c>
      <c r="E42" s="3">
        <v>13.4818469676368</v>
      </c>
      <c r="F42" s="3">
        <v>14.824058295345001</v>
      </c>
      <c r="G42" s="3">
        <v>17.342758821493501</v>
      </c>
      <c r="H42" s="3">
        <v>14.145621020314</v>
      </c>
      <c r="I42" s="3">
        <v>20.8845307369388</v>
      </c>
      <c r="J42" s="3">
        <v>17.456793164370801</v>
      </c>
      <c r="K42" s="3">
        <v>14.883011983911</v>
      </c>
      <c r="L42" s="3">
        <v>16.011029812541999</v>
      </c>
      <c r="M42" s="3">
        <v>16.473281584193501</v>
      </c>
      <c r="N42" s="3">
        <v>13.065464242630901</v>
      </c>
    </row>
    <row r="43" spans="1:14" x14ac:dyDescent="0.35">
      <c r="A43" s="2">
        <v>43161</v>
      </c>
      <c r="B43" s="3">
        <v>20.254594308011001</v>
      </c>
      <c r="C43" s="3">
        <v>15.3294363410676</v>
      </c>
      <c r="D43" s="3">
        <v>14.283873676519701</v>
      </c>
      <c r="E43" s="3">
        <v>12.601035925087</v>
      </c>
      <c r="F43" s="3">
        <v>12.8016957965391</v>
      </c>
      <c r="G43" s="3">
        <v>16.012439647369099</v>
      </c>
      <c r="H43" s="3">
        <v>12.809925528928501</v>
      </c>
      <c r="I43" s="3">
        <v>20.642610483319199</v>
      </c>
      <c r="J43" s="3">
        <v>16.718629415762699</v>
      </c>
      <c r="K43" s="3">
        <v>14.1847968466843</v>
      </c>
      <c r="L43" s="3">
        <v>15.1871700478783</v>
      </c>
      <c r="M43" s="3">
        <v>15.754175907265299</v>
      </c>
      <c r="N43" s="3">
        <v>12.304692368396701</v>
      </c>
    </row>
    <row r="44" spans="1:14" x14ac:dyDescent="0.35">
      <c r="A44" s="2">
        <v>43193</v>
      </c>
      <c r="B44" s="3">
        <v>19.955784417585999</v>
      </c>
      <c r="C44" s="3">
        <v>14.718961306120001</v>
      </c>
      <c r="D44" s="3">
        <v>13.9877488194092</v>
      </c>
      <c r="E44" s="3">
        <v>12.6801021521288</v>
      </c>
      <c r="F44" s="3">
        <v>12.685156407475001</v>
      </c>
      <c r="G44" s="3">
        <v>15.863003455852301</v>
      </c>
      <c r="H44" s="3">
        <v>13.1730467413614</v>
      </c>
      <c r="I44" s="3">
        <v>19.379351809718202</v>
      </c>
      <c r="J44" s="3">
        <v>16.140152598087301</v>
      </c>
      <c r="K44" s="3">
        <v>14.1433045602181</v>
      </c>
      <c r="L44" s="3">
        <v>15.318398031113</v>
      </c>
      <c r="M44" s="3">
        <v>15.505369443463501</v>
      </c>
      <c r="N44" s="3">
        <v>12.437198330193</v>
      </c>
    </row>
    <row r="45" spans="1:14" x14ac:dyDescent="0.35">
      <c r="A45" s="2">
        <v>43223</v>
      </c>
      <c r="B45" s="3">
        <v>20.369196181675498</v>
      </c>
      <c r="C45" s="3">
        <v>15.4303420557411</v>
      </c>
      <c r="D45" s="3">
        <v>14.114651749039099</v>
      </c>
      <c r="E45" s="3">
        <v>13.282044947469901</v>
      </c>
      <c r="F45" s="3">
        <v>13.1918715917862</v>
      </c>
      <c r="G45" s="3">
        <v>16.051671059261398</v>
      </c>
      <c r="H45" s="3">
        <v>13.633736266820801</v>
      </c>
      <c r="I45" s="3">
        <v>19.392531151404199</v>
      </c>
      <c r="J45" s="3">
        <v>15.9267044843159</v>
      </c>
      <c r="K45" s="3">
        <v>14.765082692024301</v>
      </c>
      <c r="L45" s="3">
        <v>15.475351381620699</v>
      </c>
      <c r="M45" s="3">
        <v>15.759693923099601</v>
      </c>
      <c r="N45" s="3">
        <v>13.056738304847199</v>
      </c>
    </row>
    <row r="46" spans="1:14" x14ac:dyDescent="0.35">
      <c r="A46" s="2">
        <v>43252</v>
      </c>
      <c r="B46" s="3">
        <v>20.490978005756901</v>
      </c>
      <c r="C46" s="3">
        <v>15.035679281273101</v>
      </c>
      <c r="D46" s="3">
        <v>14.1750368162333</v>
      </c>
      <c r="E46" s="3">
        <v>13.1606055802944</v>
      </c>
      <c r="F46" s="3">
        <v>12.9500813214387</v>
      </c>
      <c r="G46" s="3">
        <v>15.689540932587001</v>
      </c>
      <c r="H46" s="3">
        <v>13.6334728503001</v>
      </c>
      <c r="I46" s="3">
        <v>20.393196250070499</v>
      </c>
      <c r="J46" s="3">
        <v>16.3485048016767</v>
      </c>
      <c r="K46" s="3">
        <v>14.441501121108599</v>
      </c>
      <c r="L46" s="3">
        <v>15.8200460711922</v>
      </c>
      <c r="M46" s="3">
        <v>15.570142521265099</v>
      </c>
      <c r="N46" s="3">
        <v>11.742044653925401</v>
      </c>
    </row>
    <row r="47" spans="1:14" x14ac:dyDescent="0.35">
      <c r="A47" s="2">
        <v>43284</v>
      </c>
      <c r="B47" s="3">
        <v>21.378393424157501</v>
      </c>
      <c r="C47" s="3">
        <v>15.5010352829042</v>
      </c>
      <c r="D47" s="3">
        <v>14.1973164222681</v>
      </c>
      <c r="E47" s="3">
        <v>12.7784281918763</v>
      </c>
      <c r="F47" s="3">
        <v>12.657330166280801</v>
      </c>
      <c r="G47" s="3">
        <v>15.6242358668332</v>
      </c>
      <c r="H47" s="3">
        <v>13.1907166661787</v>
      </c>
      <c r="I47" s="3">
        <v>19.9944536382941</v>
      </c>
      <c r="J47" s="3">
        <v>16.0711269701908</v>
      </c>
      <c r="K47" s="3">
        <v>13.9214169739867</v>
      </c>
      <c r="L47" s="3">
        <v>15.445439183447199</v>
      </c>
      <c r="M47" s="3">
        <v>15.169869911688901</v>
      </c>
      <c r="N47" s="3">
        <v>11.4468033693622</v>
      </c>
    </row>
    <row r="48" spans="1:14" x14ac:dyDescent="0.35">
      <c r="A48" s="2">
        <v>43315</v>
      </c>
      <c r="B48" s="3">
        <v>20.9208465976924</v>
      </c>
      <c r="C48" s="3">
        <v>15.488182467355299</v>
      </c>
      <c r="D48" s="3">
        <v>14.1594270157489</v>
      </c>
      <c r="E48" s="3">
        <v>13.0651007580992</v>
      </c>
      <c r="F48" s="3">
        <v>12.822789506127901</v>
      </c>
      <c r="G48" s="3">
        <v>16.307469434858898</v>
      </c>
      <c r="H48" s="3">
        <v>13.1626874798717</v>
      </c>
      <c r="I48" s="3">
        <v>20.5652717594885</v>
      </c>
      <c r="J48" s="3">
        <v>16.579120801420299</v>
      </c>
      <c r="K48" s="3">
        <v>14.072271243196999</v>
      </c>
      <c r="L48" s="3">
        <v>15.944543921367901</v>
      </c>
      <c r="M48" s="3">
        <v>15.564368026137</v>
      </c>
      <c r="N48" s="3">
        <v>11.394285863437901</v>
      </c>
    </row>
    <row r="49" spans="1:14" x14ac:dyDescent="0.35">
      <c r="A49" s="2">
        <v>43343</v>
      </c>
      <c r="B49" s="3">
        <v>22.0706051942858</v>
      </c>
      <c r="C49" s="3">
        <v>15.6920441685479</v>
      </c>
      <c r="D49" s="3">
        <v>13.8050323583318</v>
      </c>
      <c r="E49" s="3">
        <v>12.848778393306301</v>
      </c>
      <c r="F49" s="3">
        <v>12.6994134229768</v>
      </c>
      <c r="G49" s="3">
        <v>16.032058781663199</v>
      </c>
      <c r="H49" s="3">
        <v>12.635829076154399</v>
      </c>
      <c r="I49" s="3">
        <v>21.143952225625799</v>
      </c>
      <c r="J49" s="3">
        <v>16.8103827441345</v>
      </c>
      <c r="K49" s="3">
        <v>13.7846595155505</v>
      </c>
      <c r="L49" s="3">
        <v>15.4862825689879</v>
      </c>
      <c r="M49" s="3">
        <v>15.8653631698662</v>
      </c>
      <c r="N49" s="3">
        <v>10.5885717201615</v>
      </c>
    </row>
    <row r="50" spans="1:14" x14ac:dyDescent="0.35">
      <c r="A50" s="2">
        <v>43376</v>
      </c>
      <c r="B50" s="3">
        <v>21.530224883951</v>
      </c>
      <c r="C50" s="3">
        <v>15.0639406371922</v>
      </c>
      <c r="D50" s="3">
        <v>13.5533193733147</v>
      </c>
      <c r="E50" s="3">
        <v>12.7050127487014</v>
      </c>
      <c r="F50" s="3">
        <v>13.219183283014999</v>
      </c>
      <c r="G50" s="3">
        <v>16.121384887323501</v>
      </c>
      <c r="H50" s="3">
        <v>12.736690028463499</v>
      </c>
      <c r="I50" s="3">
        <v>20.893199708586899</v>
      </c>
      <c r="J50" s="3">
        <v>16.827917371471401</v>
      </c>
      <c r="K50" s="3">
        <v>13.823980325709201</v>
      </c>
      <c r="L50" s="3">
        <v>15.008929333081401</v>
      </c>
      <c r="M50" s="3">
        <v>15.9134883748037</v>
      </c>
      <c r="N50" s="3">
        <v>10.608199220087201</v>
      </c>
    </row>
    <row r="51" spans="1:14" x14ac:dyDescent="0.35">
      <c r="A51" s="2">
        <v>43406</v>
      </c>
      <c r="B51" s="3">
        <v>20.314925312088299</v>
      </c>
      <c r="C51" s="3">
        <v>14.391214580640201</v>
      </c>
      <c r="D51" s="3">
        <v>12.629501922295599</v>
      </c>
      <c r="E51" s="3">
        <v>11.8116826163144</v>
      </c>
      <c r="F51" s="3">
        <v>12.116717220033101</v>
      </c>
      <c r="G51" s="3">
        <v>15.717762503358401</v>
      </c>
      <c r="H51" s="3">
        <v>11.866566645645801</v>
      </c>
      <c r="I51" s="3">
        <v>18.8850673113004</v>
      </c>
      <c r="J51" s="3">
        <v>15.569295059131401</v>
      </c>
      <c r="K51" s="3">
        <v>12.836682800551101</v>
      </c>
      <c r="L51" s="3">
        <v>14.217537255862601</v>
      </c>
      <c r="M51" s="3">
        <v>14.6065068232269</v>
      </c>
      <c r="N51" s="3">
        <v>9.9400295615815892</v>
      </c>
    </row>
    <row r="52" spans="1:14" x14ac:dyDescent="0.35">
      <c r="A52" s="2">
        <v>43437</v>
      </c>
      <c r="B52" s="3">
        <v>20.316851001266201</v>
      </c>
      <c r="C52" s="3">
        <v>14.3334800396115</v>
      </c>
      <c r="D52" s="3">
        <v>12.822252627498401</v>
      </c>
      <c r="E52" s="3">
        <v>11.786328520291599</v>
      </c>
      <c r="F52" s="3">
        <v>12.462832911076299</v>
      </c>
      <c r="G52" s="3">
        <v>15.734032164472801</v>
      </c>
      <c r="H52" s="3">
        <v>11.833874045195399</v>
      </c>
      <c r="I52" s="3">
        <v>19.1104733972726</v>
      </c>
      <c r="J52" s="3">
        <v>15.9056785805342</v>
      </c>
      <c r="K52" s="3">
        <v>12.678941324582601</v>
      </c>
      <c r="L52" s="3">
        <v>14.210025314471499</v>
      </c>
      <c r="M52" s="3">
        <v>14.298272719143901</v>
      </c>
      <c r="N52" s="3">
        <v>9.7216881888236699</v>
      </c>
    </row>
    <row r="53" spans="1:14" x14ac:dyDescent="0.35">
      <c r="A53" s="2">
        <v>43468</v>
      </c>
      <c r="B53" s="3">
        <v>19.863529605745398</v>
      </c>
      <c r="C53" s="3">
        <v>13.920612039010001</v>
      </c>
      <c r="D53" s="3">
        <v>12.0372049582774</v>
      </c>
      <c r="E53" s="3">
        <v>10.8067484219722</v>
      </c>
      <c r="F53" s="3">
        <v>11.1029436238529</v>
      </c>
      <c r="G53" s="3">
        <v>14.486685096329101</v>
      </c>
      <c r="H53" s="3">
        <v>11.29031464082</v>
      </c>
      <c r="I53" s="3">
        <v>16.9030456765786</v>
      </c>
      <c r="J53" s="3">
        <v>14.1253145292313</v>
      </c>
      <c r="K53" s="3">
        <v>11.581233776182</v>
      </c>
      <c r="L53" s="3">
        <v>12.8118702938193</v>
      </c>
      <c r="M53" s="3">
        <v>13.182033193257499</v>
      </c>
      <c r="N53" s="3">
        <v>9.1255880997945393</v>
      </c>
    </row>
    <row r="54" spans="1:14" x14ac:dyDescent="0.35">
      <c r="A54" s="2">
        <v>43497</v>
      </c>
      <c r="B54" s="3">
        <v>20.458687412802099</v>
      </c>
      <c r="C54" s="3">
        <v>14.618089844254101</v>
      </c>
      <c r="D54" s="3">
        <v>13.6454069515695</v>
      </c>
      <c r="E54" s="3">
        <v>11.735178520677101</v>
      </c>
      <c r="F54" s="3">
        <v>11.918258699116301</v>
      </c>
      <c r="G54" s="3">
        <v>15.5825025071396</v>
      </c>
      <c r="H54" s="3">
        <v>12.2478018688638</v>
      </c>
      <c r="I54" s="3">
        <v>18.985088796116599</v>
      </c>
      <c r="J54" s="3">
        <v>15.782974885227</v>
      </c>
      <c r="K54" s="3">
        <v>12.9237369222963</v>
      </c>
      <c r="L54" s="3">
        <v>14.1490824801262</v>
      </c>
      <c r="M54" s="3">
        <v>14.216734947416001</v>
      </c>
      <c r="N54" s="3">
        <v>9.8950420130967203</v>
      </c>
    </row>
    <row r="55" spans="1:14" x14ac:dyDescent="0.35">
      <c r="A55" s="2">
        <v>43525</v>
      </c>
      <c r="B55" s="3">
        <v>21.630399225427801</v>
      </c>
      <c r="C55" s="3">
        <v>15.438979130833401</v>
      </c>
      <c r="D55" s="3">
        <v>14.188922745809901</v>
      </c>
      <c r="E55" s="3">
        <v>12.222571560444599</v>
      </c>
      <c r="F55" s="3">
        <v>12.572848675728</v>
      </c>
      <c r="G55" s="3">
        <v>16.387212962816001</v>
      </c>
      <c r="H55" s="3">
        <v>12.416293908933399</v>
      </c>
      <c r="I55" s="3">
        <v>19.823892011731701</v>
      </c>
      <c r="J55" s="3">
        <v>16.332083637411301</v>
      </c>
      <c r="K55" s="3">
        <v>13.5461494041884</v>
      </c>
      <c r="L55" s="3">
        <v>14.979078434099</v>
      </c>
      <c r="M55" s="3">
        <v>14.8597644903292</v>
      </c>
      <c r="N55" s="3">
        <v>10.491147927424301</v>
      </c>
    </row>
    <row r="56" spans="1:14" x14ac:dyDescent="0.35">
      <c r="A56" s="2">
        <v>43558</v>
      </c>
      <c r="B56" s="3">
        <v>22.491980640292802</v>
      </c>
      <c r="C56" s="3">
        <v>15.5326571620992</v>
      </c>
      <c r="D56" s="3">
        <v>14.219841506500201</v>
      </c>
      <c r="E56" s="3">
        <v>12.580459812967099</v>
      </c>
      <c r="F56" s="3">
        <v>12.701460592967701</v>
      </c>
      <c r="G56" s="3">
        <v>16.765784565118999</v>
      </c>
      <c r="H56" s="3">
        <v>12.821405102222799</v>
      </c>
      <c r="I56" s="3">
        <v>20.7694262230855</v>
      </c>
      <c r="J56" s="3">
        <v>16.6311180987644</v>
      </c>
      <c r="K56" s="3">
        <v>13.904807974684999</v>
      </c>
      <c r="L56" s="3">
        <v>15.513727186260899</v>
      </c>
      <c r="M56" s="3">
        <v>15.241218908239</v>
      </c>
      <c r="N56" s="3">
        <v>10.9843857361254</v>
      </c>
    </row>
    <row r="57" spans="1:14" x14ac:dyDescent="0.35">
      <c r="A57" s="2">
        <v>43588</v>
      </c>
      <c r="B57" s="3">
        <v>22.879087795708202</v>
      </c>
      <c r="C57" s="3">
        <v>15.400951183151699</v>
      </c>
      <c r="D57" s="3">
        <v>13.8350180935099</v>
      </c>
      <c r="E57" s="3">
        <v>13.036511174883801</v>
      </c>
      <c r="F57" s="3">
        <v>12.748726361461101</v>
      </c>
      <c r="G57" s="3">
        <v>16.897083296805398</v>
      </c>
      <c r="H57" s="3">
        <v>12.648113795473</v>
      </c>
      <c r="I57" s="3">
        <v>21.449406037966799</v>
      </c>
      <c r="J57" s="3">
        <v>16.907555054393999</v>
      </c>
      <c r="K57" s="3">
        <v>14.0397728643122</v>
      </c>
      <c r="L57" s="3">
        <v>15.7858604141071</v>
      </c>
      <c r="M57" s="3">
        <v>15.6580016634076</v>
      </c>
      <c r="N57" s="3">
        <v>10.8935892251122</v>
      </c>
    </row>
    <row r="58" spans="1:14" x14ac:dyDescent="0.35">
      <c r="A58" s="2">
        <v>43619</v>
      </c>
      <c r="B58" s="3">
        <v>22.8779169144861</v>
      </c>
      <c r="C58" s="3">
        <v>15.3446699290333</v>
      </c>
      <c r="D58" s="3">
        <v>13.312570459749599</v>
      </c>
      <c r="E58" s="3">
        <v>12.1714773590253</v>
      </c>
      <c r="F58" s="3">
        <v>12.1102081503696</v>
      </c>
      <c r="G58" s="3">
        <v>16.618173979494799</v>
      </c>
      <c r="H58" s="3">
        <v>12.152735072998199</v>
      </c>
      <c r="I58" s="3">
        <v>18.929517647918001</v>
      </c>
      <c r="J58" s="3">
        <v>15.637194391743</v>
      </c>
      <c r="K58" s="3">
        <v>13.247656838101401</v>
      </c>
      <c r="L58" s="3">
        <v>14.848493558162099</v>
      </c>
      <c r="M58" s="3">
        <v>14.124467953473401</v>
      </c>
      <c r="N58" s="3">
        <v>9.7922676912861704</v>
      </c>
    </row>
    <row r="59" spans="1:14" x14ac:dyDescent="0.35">
      <c r="A59" s="2">
        <v>43649</v>
      </c>
      <c r="B59" s="3">
        <v>23.900910917640601</v>
      </c>
      <c r="C59" s="3">
        <v>16.287200046823799</v>
      </c>
      <c r="D59" s="3">
        <v>13.7908806569724</v>
      </c>
      <c r="E59" s="3">
        <v>12.9923530179425</v>
      </c>
      <c r="F59" s="3">
        <v>12.9190445512845</v>
      </c>
      <c r="G59" s="3">
        <v>17.376909648373498</v>
      </c>
      <c r="H59" s="3">
        <v>12.802423623326799</v>
      </c>
      <c r="I59" s="3">
        <v>21.283351029365502</v>
      </c>
      <c r="J59" s="3">
        <v>17.0327146444967</v>
      </c>
      <c r="K59" s="3">
        <v>14.080981000140399</v>
      </c>
      <c r="L59" s="3">
        <v>15.7382749438967</v>
      </c>
      <c r="M59" s="3">
        <v>15.2240009529527</v>
      </c>
      <c r="N59" s="3">
        <v>10.804716721433699</v>
      </c>
    </row>
    <row r="60" spans="1:14" x14ac:dyDescent="0.35">
      <c r="A60" s="2">
        <v>43679</v>
      </c>
      <c r="B60" s="3">
        <v>24.724118791870101</v>
      </c>
      <c r="C60" s="3">
        <v>16.316221285610101</v>
      </c>
      <c r="D60" s="3">
        <v>13.545819287593</v>
      </c>
      <c r="E60" s="3">
        <v>12.5713738736076</v>
      </c>
      <c r="F60" s="3">
        <v>12.612959417033499</v>
      </c>
      <c r="G60" s="3">
        <v>16.928300343456701</v>
      </c>
      <c r="H60" s="3">
        <v>12.3164397874696</v>
      </c>
      <c r="I60" s="3">
        <v>20.634827353557601</v>
      </c>
      <c r="J60" s="3">
        <v>16.670913713469599</v>
      </c>
      <c r="K60" s="3">
        <v>13.6054904169093</v>
      </c>
      <c r="L60" s="3">
        <v>15.361305268021599</v>
      </c>
      <c r="M60" s="3">
        <v>14.578276235816601</v>
      </c>
      <c r="N60" s="3">
        <v>10.3747233306414</v>
      </c>
    </row>
    <row r="61" spans="1:14" x14ac:dyDescent="0.35">
      <c r="A61" s="2">
        <v>43711</v>
      </c>
      <c r="B61" s="3">
        <v>26.079898895807901</v>
      </c>
      <c r="C61" s="3">
        <v>16.1485126142986</v>
      </c>
      <c r="D61" s="3">
        <v>13.6257027159562</v>
      </c>
      <c r="E61" s="3">
        <v>12.5772887458714</v>
      </c>
      <c r="F61" s="3">
        <v>12.557954671767799</v>
      </c>
      <c r="G61" s="3">
        <v>16.903297462404201</v>
      </c>
      <c r="H61" s="3">
        <v>12.104258750527601</v>
      </c>
      <c r="I61" s="3">
        <v>20.4554378626428</v>
      </c>
      <c r="J61" s="3">
        <v>16.437730681888599</v>
      </c>
      <c r="K61" s="3">
        <v>13.7197617919166</v>
      </c>
      <c r="L61" s="3">
        <v>15.519801366490199</v>
      </c>
      <c r="M61" s="3">
        <v>13.8214044163325</v>
      </c>
      <c r="N61" s="3">
        <v>10.519664278906101</v>
      </c>
    </row>
    <row r="62" spans="1:14" x14ac:dyDescent="0.35">
      <c r="A62" s="2">
        <v>43741</v>
      </c>
      <c r="B62" s="3">
        <v>25.160050445999701</v>
      </c>
      <c r="C62" s="3">
        <v>16.173375326346498</v>
      </c>
      <c r="D62" s="3">
        <v>13.6809294756144</v>
      </c>
      <c r="E62" s="3">
        <v>12.570918211954501</v>
      </c>
      <c r="F62" s="3">
        <v>13.870311941593</v>
      </c>
      <c r="G62" s="3">
        <v>16.6365470477215</v>
      </c>
      <c r="H62" s="3">
        <v>11.973145174948501</v>
      </c>
      <c r="I62" s="3">
        <v>20.122526277105301</v>
      </c>
      <c r="J62" s="3">
        <v>16.4311115974727</v>
      </c>
      <c r="K62" s="3">
        <v>13.6487651014295</v>
      </c>
      <c r="L62" s="3">
        <v>15.722358615675301</v>
      </c>
      <c r="M62" s="3">
        <v>14.4730282223125</v>
      </c>
      <c r="N62" s="3">
        <v>10.402149062378101</v>
      </c>
    </row>
    <row r="63" spans="1:14" x14ac:dyDescent="0.35">
      <c r="A63" s="2">
        <v>43770</v>
      </c>
      <c r="B63" s="3">
        <v>24.805751920890899</v>
      </c>
      <c r="C63" s="3">
        <v>16.908821254442401</v>
      </c>
      <c r="D63" s="3">
        <v>14.047847489388401</v>
      </c>
      <c r="E63" s="3">
        <v>13.6516186608075</v>
      </c>
      <c r="F63" s="3">
        <v>14.7104551724881</v>
      </c>
      <c r="G63" s="3">
        <v>17.373381504783602</v>
      </c>
      <c r="H63" s="3">
        <v>12.7197609697585</v>
      </c>
      <c r="I63" s="3">
        <v>21.323085298559899</v>
      </c>
      <c r="J63" s="3">
        <v>17.3374647042634</v>
      </c>
      <c r="K63" s="3">
        <v>14.5228116936095</v>
      </c>
      <c r="L63" s="3">
        <v>16.3425801739007</v>
      </c>
      <c r="M63" s="3">
        <v>15.753741247290099</v>
      </c>
      <c r="N63" s="3">
        <v>11.1590078572378</v>
      </c>
    </row>
    <row r="64" spans="1:14" x14ac:dyDescent="0.35">
      <c r="A64" s="2">
        <v>43802</v>
      </c>
      <c r="B64" s="3">
        <v>25.674937262850001</v>
      </c>
      <c r="C64" s="3">
        <v>17.089701086414401</v>
      </c>
      <c r="D64" s="3">
        <v>14.230148967895699</v>
      </c>
      <c r="E64" s="3">
        <v>13.8460826359011</v>
      </c>
      <c r="F64" s="3">
        <v>15.3683108032102</v>
      </c>
      <c r="G64" s="3">
        <v>17.166648778444401</v>
      </c>
      <c r="H64" s="3">
        <v>12.6842199314826</v>
      </c>
      <c r="I64" s="3">
        <v>21.588272555922501</v>
      </c>
      <c r="J64" s="3">
        <v>17.4297873669917</v>
      </c>
      <c r="K64" s="3">
        <v>14.317674649411501</v>
      </c>
      <c r="L64" s="3">
        <v>16.339577350479001</v>
      </c>
      <c r="M64" s="3">
        <v>15.3091861251125</v>
      </c>
      <c r="N64" s="3">
        <v>11.0145537611363</v>
      </c>
    </row>
    <row r="65" spans="1:14" x14ac:dyDescent="0.35">
      <c r="A65" s="2">
        <v>43833</v>
      </c>
      <c r="B65" s="3">
        <v>25.892417110927401</v>
      </c>
      <c r="C65" s="3">
        <v>17.237702436352802</v>
      </c>
      <c r="D65" s="3">
        <v>14.398836122710099</v>
      </c>
      <c r="E65" s="3">
        <v>14.1093670463904</v>
      </c>
      <c r="F65" s="3">
        <v>15.4650365447577</v>
      </c>
      <c r="G65" s="3">
        <v>17.9126715110934</v>
      </c>
      <c r="H65" s="3">
        <v>13.5180263681201</v>
      </c>
      <c r="I65" s="3">
        <v>22.863533165389502</v>
      </c>
      <c r="J65" s="3">
        <v>18.169225523124901</v>
      </c>
      <c r="K65" s="3">
        <v>15.030055982130101</v>
      </c>
      <c r="L65" s="3">
        <v>17.187399614218801</v>
      </c>
      <c r="M65" s="3">
        <v>16.239141329117999</v>
      </c>
      <c r="N65" s="3">
        <v>11.4631351033453</v>
      </c>
    </row>
    <row r="66" spans="1:14" x14ac:dyDescent="0.35">
      <c r="A66" s="2">
        <v>43864</v>
      </c>
      <c r="B66" s="3">
        <v>25.8609360349881</v>
      </c>
      <c r="C66" s="3">
        <v>17.668810140640598</v>
      </c>
      <c r="D66" s="3">
        <v>14.4849710428363</v>
      </c>
      <c r="E66" s="3">
        <v>13.896298899281501</v>
      </c>
      <c r="F66" s="3">
        <v>15.0301857664544</v>
      </c>
      <c r="G66" s="3">
        <v>17.875824324124999</v>
      </c>
      <c r="H66" s="3">
        <v>13.0724917617563</v>
      </c>
      <c r="I66" s="3">
        <v>23.093967740034699</v>
      </c>
      <c r="J66" s="3">
        <v>18.197733674288401</v>
      </c>
      <c r="K66" s="3">
        <v>14.5876064306023</v>
      </c>
      <c r="L66" s="3">
        <v>16.931490217429602</v>
      </c>
      <c r="M66" s="3">
        <v>16.106854609874301</v>
      </c>
      <c r="N66" s="3">
        <v>11.3341688885635</v>
      </c>
    </row>
    <row r="67" spans="1:14" x14ac:dyDescent="0.35">
      <c r="A67" s="2">
        <v>43893</v>
      </c>
      <c r="B67" s="3">
        <v>25.839743282490002</v>
      </c>
      <c r="C67" s="3">
        <v>16.5645806498231</v>
      </c>
      <c r="D67" s="3">
        <v>14.101211503810701</v>
      </c>
      <c r="E67" s="3">
        <v>12.7684171082816</v>
      </c>
      <c r="F67" s="3">
        <v>13.7684206882276</v>
      </c>
      <c r="G67" s="3">
        <v>16.997526432503999</v>
      </c>
      <c r="H67" s="3">
        <v>12.1427607749599</v>
      </c>
      <c r="I67" s="3">
        <v>21.684382166144399</v>
      </c>
      <c r="J67" s="3">
        <v>16.862993210779798</v>
      </c>
      <c r="K67" s="3">
        <v>13.687578981693299</v>
      </c>
      <c r="L67" s="3">
        <v>16.0034007806922</v>
      </c>
      <c r="M67" s="3">
        <v>15.2923514934455</v>
      </c>
      <c r="N67" s="3">
        <v>10.3872805341913</v>
      </c>
    </row>
    <row r="68" spans="1:14" x14ac:dyDescent="0.35">
      <c r="A68" s="2">
        <v>43924</v>
      </c>
      <c r="B68" s="3">
        <v>25.4321240507768</v>
      </c>
      <c r="C68" s="3">
        <v>14.2933414864608</v>
      </c>
      <c r="D68" s="3">
        <v>12.9230124201948</v>
      </c>
      <c r="E68" s="3">
        <v>11.8796957350468</v>
      </c>
      <c r="F68" s="3">
        <v>12.5205993820909</v>
      </c>
      <c r="G68" s="3">
        <v>16.037310760851899</v>
      </c>
      <c r="H68" s="3">
        <v>11.7524374552894</v>
      </c>
      <c r="I68" s="3">
        <v>20.114912172415099</v>
      </c>
      <c r="J68" s="3">
        <v>15.4150158360435</v>
      </c>
      <c r="K68" s="3">
        <v>12.536004085670401</v>
      </c>
      <c r="L68" s="3">
        <v>14.0657701017291</v>
      </c>
      <c r="M68" s="3">
        <v>14.242972130659499</v>
      </c>
      <c r="N68" s="3">
        <v>9.5976681545151994</v>
      </c>
    </row>
    <row r="69" spans="1:14" x14ac:dyDescent="0.35">
      <c r="A69" s="2">
        <v>43952</v>
      </c>
      <c r="B69" s="3">
        <v>28.862777291814599</v>
      </c>
      <c r="C69" s="3">
        <v>16.6199755158604</v>
      </c>
      <c r="D69" s="3">
        <v>16.398359172072301</v>
      </c>
      <c r="E69" s="3">
        <v>15.1729980028329</v>
      </c>
      <c r="F69" s="3">
        <v>14.7539345597728</v>
      </c>
      <c r="G69" s="3">
        <v>18.383814161020901</v>
      </c>
      <c r="H69" s="3">
        <v>14.583126392936199</v>
      </c>
      <c r="I69" s="3">
        <v>24.772168533976799</v>
      </c>
      <c r="J69" s="3">
        <v>19.891574228415699</v>
      </c>
      <c r="K69" s="3">
        <v>16.5440312793632</v>
      </c>
      <c r="L69" s="3">
        <v>17.2144600259616</v>
      </c>
      <c r="M69" s="3">
        <v>17.2131256482661</v>
      </c>
      <c r="N69" s="3">
        <v>13.3841180198839</v>
      </c>
    </row>
    <row r="70" spans="1:14" x14ac:dyDescent="0.35">
      <c r="A70" s="2">
        <v>43985</v>
      </c>
      <c r="B70" s="3">
        <v>30.245131282152201</v>
      </c>
      <c r="C70" s="3">
        <v>19.389811573992599</v>
      </c>
      <c r="D70" s="3">
        <v>18.303333749078</v>
      </c>
      <c r="E70" s="3">
        <v>18.0399527102484</v>
      </c>
      <c r="F70" s="3">
        <v>18.275390295920499</v>
      </c>
      <c r="G70" s="3">
        <v>19.5827917027453</v>
      </c>
      <c r="H70" s="3">
        <v>16.626895808596</v>
      </c>
      <c r="I70" s="3">
        <v>27.6944966171964</v>
      </c>
      <c r="J70" s="3">
        <v>22.1415022502709</v>
      </c>
      <c r="K70" s="3">
        <v>18.972097860600101</v>
      </c>
      <c r="L70" s="3">
        <v>19.333398901007399</v>
      </c>
      <c r="M70" s="3">
        <v>19.6792264902538</v>
      </c>
      <c r="N70" s="3">
        <v>17.593154850527</v>
      </c>
    </row>
    <row r="71" spans="1:14" x14ac:dyDescent="0.35">
      <c r="A71" s="2">
        <v>44014</v>
      </c>
      <c r="B71" s="3">
        <v>31.1429877779013</v>
      </c>
      <c r="C71" s="3">
        <v>19.225605868828499</v>
      </c>
      <c r="D71" s="3">
        <v>17.711115785674401</v>
      </c>
      <c r="E71" s="3">
        <v>18.152960269473802</v>
      </c>
      <c r="F71" s="3">
        <v>18.781344784237199</v>
      </c>
      <c r="G71" s="3">
        <v>19.5197212042751</v>
      </c>
      <c r="H71" s="3">
        <v>16.0086558153006</v>
      </c>
      <c r="I71" s="3">
        <v>28.823008327338002</v>
      </c>
      <c r="J71" s="3">
        <v>21.8530126365564</v>
      </c>
      <c r="K71" s="3">
        <v>19.280975252133</v>
      </c>
      <c r="L71" s="3">
        <v>19.834672840317602</v>
      </c>
      <c r="M71" s="3">
        <v>19.6992071303135</v>
      </c>
      <c r="N71" s="3">
        <v>17.976099175463201</v>
      </c>
    </row>
    <row r="72" spans="1:14" x14ac:dyDescent="0.35">
      <c r="A72" s="2">
        <v>44046</v>
      </c>
      <c r="B72" s="3">
        <v>31.743334922549099</v>
      </c>
      <c r="C72" s="3">
        <v>18.9153376948051</v>
      </c>
      <c r="D72" s="3">
        <v>17.5537250155466</v>
      </c>
      <c r="E72" s="3">
        <v>17.815784421289599</v>
      </c>
      <c r="F72" s="3">
        <v>18.6878469440143</v>
      </c>
      <c r="G72" s="3">
        <v>19.5513441002363</v>
      </c>
      <c r="H72" s="3">
        <v>15.3679120937615</v>
      </c>
      <c r="I72" s="3">
        <v>29.244974220161801</v>
      </c>
      <c r="J72" s="3">
        <v>22.03821521958</v>
      </c>
      <c r="K72" s="3">
        <v>19.518496555006401</v>
      </c>
      <c r="L72" s="3">
        <v>19.8832422461759</v>
      </c>
      <c r="M72" s="3">
        <v>18.569751098586099</v>
      </c>
      <c r="N72" s="3">
        <v>16.3073482576369</v>
      </c>
    </row>
    <row r="73" spans="1:14" x14ac:dyDescent="0.35">
      <c r="A73" s="2">
        <v>44077</v>
      </c>
      <c r="B73" s="3">
        <v>33.000476465642798</v>
      </c>
      <c r="C73" s="3">
        <v>19.618868312291401</v>
      </c>
      <c r="D73" s="3">
        <v>17.042594882549</v>
      </c>
      <c r="E73" s="3">
        <v>17.7596517772716</v>
      </c>
      <c r="F73" s="3">
        <v>19.760402996837801</v>
      </c>
      <c r="G73" s="3">
        <v>19.329817803945499</v>
      </c>
      <c r="H73" s="3">
        <v>14.999423897764901</v>
      </c>
      <c r="I73" s="3">
        <v>30.599467068522401</v>
      </c>
      <c r="J73" s="3">
        <v>22.529189037563899</v>
      </c>
      <c r="K73" s="3">
        <v>19.402834502243401</v>
      </c>
      <c r="L73" s="3">
        <v>19.590719630914201</v>
      </c>
      <c r="M73" s="3">
        <v>17.979778348121101</v>
      </c>
      <c r="N73" s="3">
        <v>15.646577554842001</v>
      </c>
    </row>
    <row r="74" spans="1:14" x14ac:dyDescent="0.35">
      <c r="A74" s="2">
        <v>44106</v>
      </c>
      <c r="B74" s="3">
        <v>31.953988317877599</v>
      </c>
      <c r="C74" s="3">
        <v>17.894931377431099</v>
      </c>
      <c r="D74" s="3">
        <v>16.22194493864</v>
      </c>
      <c r="E74" s="3">
        <v>16.763918198811702</v>
      </c>
      <c r="F74" s="3">
        <v>19.402978525408098</v>
      </c>
      <c r="G74" s="3">
        <v>19.051257079186598</v>
      </c>
      <c r="H74" s="3">
        <v>14.387177006402499</v>
      </c>
      <c r="I74" s="3">
        <v>28.772126111142601</v>
      </c>
      <c r="J74" s="3">
        <v>21.395709915466501</v>
      </c>
      <c r="K74" s="3">
        <v>18.082150508263801</v>
      </c>
      <c r="L74" s="3">
        <v>19.4526675532078</v>
      </c>
      <c r="M74" s="3">
        <v>18.1513216070563</v>
      </c>
      <c r="N74" s="3">
        <v>14.5590336185972</v>
      </c>
    </row>
    <row r="75" spans="1:14" x14ac:dyDescent="0.35">
      <c r="A75" s="2">
        <v>44138</v>
      </c>
      <c r="B75" s="3">
        <v>32.5791716810891</v>
      </c>
      <c r="C75" s="3">
        <v>18.328653498356498</v>
      </c>
      <c r="D75" s="3">
        <v>15.4577394700162</v>
      </c>
      <c r="E75" s="3">
        <v>15.095361748664899</v>
      </c>
      <c r="F75" s="3">
        <v>18.807098522387101</v>
      </c>
      <c r="G75" s="3">
        <v>18.2639673411527</v>
      </c>
      <c r="H75" s="3">
        <v>13.481846501036101</v>
      </c>
      <c r="I75" s="3">
        <v>27.832889172727601</v>
      </c>
      <c r="J75" s="3">
        <v>20.756514497945101</v>
      </c>
      <c r="K75" s="3">
        <v>17.188085232885001</v>
      </c>
      <c r="L75" s="3">
        <v>19.164227972600099</v>
      </c>
      <c r="M75" s="3">
        <v>16.132906412909001</v>
      </c>
      <c r="N75" s="3">
        <v>13.790117019008999</v>
      </c>
    </row>
    <row r="76" spans="1:14" x14ac:dyDescent="0.35">
      <c r="A76" s="2">
        <v>44168</v>
      </c>
      <c r="B76" s="3">
        <v>32.693935358101101</v>
      </c>
      <c r="C76" s="3">
        <v>19.868227455787402</v>
      </c>
      <c r="D76" s="3">
        <v>16.138160666772301</v>
      </c>
      <c r="E76" s="3">
        <v>15.945630696568299</v>
      </c>
      <c r="F76" s="3">
        <v>20.181740155580901</v>
      </c>
      <c r="G76" s="3">
        <v>18.362538240258001</v>
      </c>
      <c r="H76" s="3">
        <v>15.0740789413165</v>
      </c>
      <c r="I76" s="3">
        <v>30.010524498586499</v>
      </c>
      <c r="J76" s="3">
        <v>21.992221403294899</v>
      </c>
      <c r="K76" s="3">
        <v>18.9715543616588</v>
      </c>
      <c r="L76" s="3">
        <v>20.404302303050802</v>
      </c>
      <c r="M76" s="3">
        <v>17.338683165521999</v>
      </c>
      <c r="N76" s="3">
        <v>15.120032594947499</v>
      </c>
    </row>
    <row r="77" spans="1:14" x14ac:dyDescent="0.35">
      <c r="A77" s="2">
        <v>44196</v>
      </c>
      <c r="B77" s="3">
        <v>34.288284703809801</v>
      </c>
      <c r="C77" s="3">
        <v>18.9693708542816</v>
      </c>
      <c r="D77" s="3">
        <v>15.752046251436401</v>
      </c>
      <c r="E77" s="3">
        <v>16.045161840357299</v>
      </c>
      <c r="F77" s="3">
        <v>19.898591432282899</v>
      </c>
      <c r="G77" s="3">
        <v>18.863138829891898</v>
      </c>
      <c r="H77" s="3">
        <v>14.390580052776301</v>
      </c>
      <c r="I77" s="3">
        <v>30.091851427363899</v>
      </c>
      <c r="J77" s="3">
        <v>22.439392112636501</v>
      </c>
      <c r="K77" s="3">
        <v>17.967719106839699</v>
      </c>
      <c r="L77" s="3">
        <v>20.578124225723201</v>
      </c>
      <c r="M77" s="3">
        <v>17.983752590474101</v>
      </c>
      <c r="N77" s="3">
        <v>14.7412461357557</v>
      </c>
    </row>
    <row r="78" spans="1:14" x14ac:dyDescent="0.35">
      <c r="A78" s="2">
        <v>44230</v>
      </c>
      <c r="B78" s="3">
        <v>33.169959401951701</v>
      </c>
      <c r="C78" s="3">
        <v>19.020000999895601</v>
      </c>
      <c r="D78" s="3">
        <v>15.847146162977401</v>
      </c>
      <c r="E78" s="3">
        <v>15.8496989324818</v>
      </c>
      <c r="F78" s="3">
        <v>20.101103533901501</v>
      </c>
      <c r="G78" s="3">
        <v>18.6818143457735</v>
      </c>
      <c r="H78" s="3">
        <v>13.834616152876</v>
      </c>
      <c r="I78" s="3">
        <v>29.685258862924599</v>
      </c>
      <c r="J78" s="3">
        <v>21.817002780815098</v>
      </c>
      <c r="K78" s="3">
        <v>17.706956612095599</v>
      </c>
      <c r="L78" s="3">
        <v>21.583953520926599</v>
      </c>
      <c r="M78" s="3">
        <v>18.871004850977201</v>
      </c>
      <c r="N78" s="3">
        <v>13.8425837839588</v>
      </c>
    </row>
    <row r="79" spans="1:14" x14ac:dyDescent="0.35">
      <c r="A79" s="2">
        <v>44258</v>
      </c>
      <c r="B79" s="3">
        <v>32.213579573879201</v>
      </c>
      <c r="C79" s="3">
        <v>18.433170532303201</v>
      </c>
      <c r="D79" s="3">
        <v>15.3938045725968</v>
      </c>
      <c r="E79" s="3">
        <v>15.595714726594499</v>
      </c>
      <c r="F79" s="3">
        <v>19.3046172453429</v>
      </c>
      <c r="G79" s="3">
        <v>18.4416508202949</v>
      </c>
      <c r="H79" s="3">
        <v>14.155959107993899</v>
      </c>
      <c r="I79" s="3">
        <v>27.289767145337901</v>
      </c>
      <c r="J79" s="3">
        <v>21.3858282547762</v>
      </c>
      <c r="K79" s="3">
        <v>18.0382157593804</v>
      </c>
      <c r="L79" s="3">
        <v>21.256852519945799</v>
      </c>
      <c r="M79" s="3">
        <v>19.3487583301008</v>
      </c>
      <c r="N79" s="3">
        <v>13.484601585432801</v>
      </c>
    </row>
    <row r="80" spans="1:14" x14ac:dyDescent="0.35">
      <c r="A80" s="2">
        <v>44287</v>
      </c>
      <c r="B80" s="3">
        <v>32.164656488554698</v>
      </c>
      <c r="C80" s="3">
        <v>17.661166539356898</v>
      </c>
      <c r="D80" s="3">
        <v>15.522341639242301</v>
      </c>
      <c r="E80" s="3">
        <v>16.234769821099</v>
      </c>
      <c r="F80" s="3">
        <v>19.0341896386259</v>
      </c>
      <c r="G80" s="3">
        <v>18.814076522944902</v>
      </c>
      <c r="H80" s="3">
        <v>13.4300037359464</v>
      </c>
      <c r="I80" s="3">
        <v>28.415787600904299</v>
      </c>
      <c r="J80" s="3">
        <v>22.053882718056698</v>
      </c>
      <c r="K80" s="3">
        <v>18.301320383337799</v>
      </c>
      <c r="L80" s="3">
        <v>22.738661544925598</v>
      </c>
      <c r="M80" s="3">
        <v>20.275064249258701</v>
      </c>
      <c r="N80" s="3">
        <v>14.0471705125076</v>
      </c>
    </row>
    <row r="81" spans="1:14" x14ac:dyDescent="0.35">
      <c r="A81" s="2">
        <v>44319</v>
      </c>
      <c r="B81" s="3">
        <v>32.453753879861701</v>
      </c>
      <c r="C81" s="3">
        <v>17.9451869469077</v>
      </c>
      <c r="D81" s="3">
        <v>15.5045093329663</v>
      </c>
      <c r="E81" s="3">
        <v>15.254968481057</v>
      </c>
      <c r="F81" s="3">
        <v>18.009899480083</v>
      </c>
      <c r="G81" s="3">
        <v>19.050613118256901</v>
      </c>
      <c r="H81" s="3">
        <v>13.2424259732928</v>
      </c>
      <c r="I81" s="3">
        <v>27.620809912940398</v>
      </c>
      <c r="J81" s="3">
        <v>21.6598118583921</v>
      </c>
      <c r="K81" s="3">
        <v>18.008397728734501</v>
      </c>
      <c r="L81" s="3">
        <v>21.913009975862199</v>
      </c>
      <c r="M81" s="3">
        <v>18.780630967952</v>
      </c>
      <c r="N81" s="3">
        <v>13.5393698809794</v>
      </c>
    </row>
    <row r="82" spans="1:14" x14ac:dyDescent="0.35">
      <c r="A82" s="2">
        <v>44350</v>
      </c>
      <c r="B82" s="3">
        <v>32.911139808902803</v>
      </c>
      <c r="C82" s="3">
        <v>18.310530878886201</v>
      </c>
      <c r="D82" s="3">
        <v>15.5418015087079</v>
      </c>
      <c r="E82" s="3">
        <v>14.9720944083716</v>
      </c>
      <c r="F82" s="3">
        <v>18.034289645839099</v>
      </c>
      <c r="G82" s="3">
        <v>19.455522994407801</v>
      </c>
      <c r="H82" s="3">
        <v>13.145990047108</v>
      </c>
      <c r="I82" s="3">
        <v>26.583322409499502</v>
      </c>
      <c r="J82" s="3">
        <v>21.132899028424202</v>
      </c>
      <c r="K82" s="3">
        <v>17.876134700995099</v>
      </c>
      <c r="L82" s="3">
        <v>21.2342256194943</v>
      </c>
      <c r="M82" s="3">
        <v>18.684601050938099</v>
      </c>
      <c r="N82" s="3">
        <v>13.683097272943799</v>
      </c>
    </row>
    <row r="83" spans="1:14" x14ac:dyDescent="0.35">
      <c r="A83" s="2">
        <v>44379</v>
      </c>
      <c r="B83" s="3">
        <v>34.299454196945</v>
      </c>
      <c r="C83" s="3">
        <v>17.306681807888999</v>
      </c>
      <c r="D83" s="3">
        <v>15.5841026701326</v>
      </c>
      <c r="E83" s="3">
        <v>14.7443989851861</v>
      </c>
      <c r="F83" s="3">
        <v>17.623284386483601</v>
      </c>
      <c r="G83" s="3">
        <v>19.751334170711999</v>
      </c>
      <c r="H83" s="3">
        <v>12.6929133195585</v>
      </c>
      <c r="I83" s="3">
        <v>28.617714720556599</v>
      </c>
      <c r="J83" s="3">
        <v>21.592782381526501</v>
      </c>
      <c r="K83" s="3">
        <v>17.462473930870701</v>
      </c>
      <c r="L83" s="3">
        <v>21.305875376898499</v>
      </c>
      <c r="M83" s="3">
        <v>18.6976545553091</v>
      </c>
      <c r="N83" s="3">
        <v>13.433709034557401</v>
      </c>
    </row>
    <row r="84" spans="1:14" x14ac:dyDescent="0.35">
      <c r="A84" s="2">
        <v>44411</v>
      </c>
      <c r="B84" s="3">
        <v>34.099184798955299</v>
      </c>
      <c r="C84" s="3">
        <v>16.994349447151901</v>
      </c>
      <c r="D84" s="3">
        <v>15.1320194174747</v>
      </c>
      <c r="E84" s="3">
        <v>14.2214899345355</v>
      </c>
      <c r="F84" s="3">
        <v>16.962431123672499</v>
      </c>
      <c r="G84" s="3">
        <v>19.827702225686998</v>
      </c>
      <c r="H84" s="3">
        <v>12.331754956192199</v>
      </c>
      <c r="I84" s="3">
        <v>28.111935834759901</v>
      </c>
      <c r="J84" s="3">
        <v>21.0440940491603</v>
      </c>
      <c r="K84" s="3">
        <v>16.7765262036507</v>
      </c>
      <c r="L84" s="3">
        <v>21.5288831843732</v>
      </c>
      <c r="M84" s="3">
        <v>18.539327504056299</v>
      </c>
      <c r="N84" s="3">
        <v>12.2059998113223</v>
      </c>
    </row>
    <row r="85" spans="1:14" x14ac:dyDescent="0.35">
      <c r="A85" s="2">
        <v>44442</v>
      </c>
      <c r="B85" s="3">
        <v>35.055802640395598</v>
      </c>
      <c r="C85" s="3">
        <v>17.3874603791186</v>
      </c>
      <c r="D85" s="3">
        <v>15.0059607722278</v>
      </c>
      <c r="E85" s="3">
        <v>14.1714929365441</v>
      </c>
      <c r="F85" s="3">
        <v>16.943066926841698</v>
      </c>
      <c r="G85" s="3">
        <v>19.751210786972699</v>
      </c>
      <c r="H85" s="3">
        <v>12.240637143053799</v>
      </c>
      <c r="I85" s="3">
        <v>28.7401385133963</v>
      </c>
      <c r="J85" s="3">
        <v>21.253105807103001</v>
      </c>
      <c r="K85" s="3">
        <v>16.289979520352802</v>
      </c>
      <c r="L85" s="3">
        <v>21.947895221012502</v>
      </c>
      <c r="M85" s="3">
        <v>18.621048766434502</v>
      </c>
      <c r="N85" s="3">
        <v>11.9288059196513</v>
      </c>
    </row>
    <row r="86" spans="1:14" x14ac:dyDescent="0.35">
      <c r="A86" s="2">
        <v>44470</v>
      </c>
      <c r="B86" s="3">
        <v>34.536515098557999</v>
      </c>
      <c r="C86" s="3">
        <v>16.7414712674518</v>
      </c>
      <c r="D86" s="3">
        <v>14.4003158722003</v>
      </c>
      <c r="E86" s="3">
        <v>13.451495362042101</v>
      </c>
      <c r="F86" s="3">
        <v>16.302172874483201</v>
      </c>
      <c r="G86" s="3">
        <v>18.211083298948999</v>
      </c>
      <c r="H86" s="3">
        <v>11.782384194235</v>
      </c>
      <c r="I86" s="3">
        <v>27.0611439315946</v>
      </c>
      <c r="J86" s="3">
        <v>20.338347212396901</v>
      </c>
      <c r="K86" s="3">
        <v>15.526404319827201</v>
      </c>
      <c r="L86" s="3">
        <v>20.260489883508299</v>
      </c>
      <c r="M86" s="3">
        <v>17.812826671475602</v>
      </c>
      <c r="N86" s="3">
        <v>11.5581456791629</v>
      </c>
    </row>
    <row r="87" spans="1:14" x14ac:dyDescent="0.35">
      <c r="A87" s="2">
        <v>44503</v>
      </c>
      <c r="B87" s="3">
        <v>33.566573900877898</v>
      </c>
      <c r="C87" s="3">
        <v>17.545603069112001</v>
      </c>
      <c r="D87" s="3">
        <v>14.925291499836799</v>
      </c>
      <c r="E87" s="3">
        <v>13.922353793607201</v>
      </c>
      <c r="F87" s="3">
        <v>16.5076409341128</v>
      </c>
      <c r="G87" s="3">
        <v>19.3630043937778</v>
      </c>
      <c r="H87" s="3">
        <v>12.1700698245574</v>
      </c>
      <c r="I87" s="3">
        <v>29.411748096540499</v>
      </c>
      <c r="J87" s="3">
        <v>21.3429114184746</v>
      </c>
      <c r="K87" s="3">
        <v>15.8619353415341</v>
      </c>
      <c r="L87" s="3">
        <v>21.45411656752</v>
      </c>
      <c r="M87" s="3">
        <v>18.4307933493936</v>
      </c>
      <c r="N87" s="3">
        <v>11.7812763667681</v>
      </c>
    </row>
    <row r="88" spans="1:14" x14ac:dyDescent="0.35">
      <c r="A88" s="2">
        <v>44533</v>
      </c>
      <c r="B88" s="3">
        <v>31.154401466857799</v>
      </c>
      <c r="C88" s="3">
        <v>16.917272551144499</v>
      </c>
      <c r="D88" s="3">
        <v>14.0775350596005</v>
      </c>
      <c r="E88" s="3">
        <v>12.8626815223707</v>
      </c>
      <c r="F88" s="3">
        <v>15.5821795929647</v>
      </c>
      <c r="G88" s="3">
        <v>18.6773071439818</v>
      </c>
      <c r="H88" s="3">
        <v>11.7308465567517</v>
      </c>
      <c r="I88" s="3">
        <v>28.1983203910881</v>
      </c>
      <c r="J88" s="3">
        <v>20.535697883447298</v>
      </c>
      <c r="K88" s="3">
        <v>15.139905041124599</v>
      </c>
      <c r="L88" s="3">
        <v>19.7739927458131</v>
      </c>
      <c r="M88" s="3">
        <v>18.381331429152699</v>
      </c>
      <c r="N88" s="3">
        <v>10.6649134370866</v>
      </c>
    </row>
    <row r="89" spans="1:14" x14ac:dyDescent="0.35">
      <c r="A89" s="2">
        <v>44564</v>
      </c>
      <c r="B89" s="3">
        <v>32.293594740344098</v>
      </c>
      <c r="C89" s="3">
        <v>17.4230504078573</v>
      </c>
      <c r="D89" s="3">
        <v>14.4533319738781</v>
      </c>
      <c r="E89" s="3">
        <v>13.5085332319504</v>
      </c>
      <c r="F89" s="3">
        <v>15.576639771564601</v>
      </c>
      <c r="G89" s="3">
        <v>19.805846670481898</v>
      </c>
      <c r="H89" s="3">
        <v>12.1341068243821</v>
      </c>
      <c r="I89" s="3">
        <v>29.450734379467999</v>
      </c>
      <c r="J89" s="3">
        <v>21.429961357713101</v>
      </c>
      <c r="K89" s="3">
        <v>15.9120973398127</v>
      </c>
      <c r="L89" s="3">
        <v>20.717017654517999</v>
      </c>
      <c r="M89" s="3">
        <v>18.607803335279701</v>
      </c>
      <c r="N89" s="3">
        <v>11.266122101333499</v>
      </c>
    </row>
    <row r="90" spans="1:14" x14ac:dyDescent="0.35">
      <c r="A90" s="2">
        <v>44595</v>
      </c>
      <c r="B90" s="3">
        <v>30.503382261095801</v>
      </c>
      <c r="C90" s="3">
        <v>15.9077265037863</v>
      </c>
      <c r="D90" s="3">
        <v>14.055184654164099</v>
      </c>
      <c r="E90" s="3">
        <v>12.8288579244283</v>
      </c>
      <c r="F90" s="3">
        <v>14.7557563176497</v>
      </c>
      <c r="G90" s="3">
        <v>18.2698526514164</v>
      </c>
      <c r="H90" s="3">
        <v>12.294347627071099</v>
      </c>
      <c r="I90" s="3">
        <v>25.536988987989599</v>
      </c>
      <c r="J90" s="3">
        <v>19.7416505011238</v>
      </c>
      <c r="K90" s="3">
        <v>14.9223149637959</v>
      </c>
      <c r="L90" s="3">
        <v>18.420032430119701</v>
      </c>
      <c r="M90" s="3">
        <v>16.5343443575564</v>
      </c>
      <c r="N90" s="3">
        <v>10.8032274590119</v>
      </c>
    </row>
    <row r="91" spans="1:14" x14ac:dyDescent="0.35">
      <c r="A91" s="2">
        <v>44623</v>
      </c>
      <c r="B91" s="3">
        <v>29.409050058201402</v>
      </c>
      <c r="C91" s="3">
        <v>15.7241750395275</v>
      </c>
      <c r="D91" s="3">
        <v>13.912233111443999</v>
      </c>
      <c r="E91" s="3">
        <v>11.1545470890195</v>
      </c>
      <c r="F91" s="3">
        <v>13.964561740111201</v>
      </c>
      <c r="G91" s="3">
        <v>17.6436871297294</v>
      </c>
      <c r="H91" s="3">
        <v>11.6308044799421</v>
      </c>
      <c r="I91" s="3">
        <v>24.441109933291798</v>
      </c>
      <c r="J91" s="3">
        <v>19.0248872833278</v>
      </c>
      <c r="K91" s="3">
        <v>13.2803724016191</v>
      </c>
      <c r="L91" s="3">
        <v>17.167141856958398</v>
      </c>
      <c r="M91" s="3">
        <v>14.4456995006499</v>
      </c>
      <c r="N91" s="3">
        <v>9.4808265528978293</v>
      </c>
    </row>
    <row r="92" spans="1:14" x14ac:dyDescent="0.35">
      <c r="A92" s="2">
        <v>44652</v>
      </c>
      <c r="B92" s="3">
        <v>29.453337985145399</v>
      </c>
      <c r="C92" s="3">
        <v>16.152751473400802</v>
      </c>
      <c r="D92" s="3">
        <v>13.5781892894371</v>
      </c>
      <c r="E92" s="3">
        <v>11.6374919242097</v>
      </c>
      <c r="F92" s="3">
        <v>14.210012129376899</v>
      </c>
      <c r="G92" s="3">
        <v>18.339321921986301</v>
      </c>
      <c r="H92" s="3">
        <v>11.249720785853601</v>
      </c>
      <c r="I92" s="3">
        <v>25.625324969825801</v>
      </c>
      <c r="J92" s="3">
        <v>19.495529181404301</v>
      </c>
      <c r="K92" s="3">
        <v>13.578126683199301</v>
      </c>
      <c r="L92" s="3">
        <v>18.378435178272301</v>
      </c>
      <c r="M92" s="3">
        <v>15.2776032536875</v>
      </c>
      <c r="N92" s="3">
        <v>9.8142128288360393</v>
      </c>
    </row>
    <row r="93" spans="1:14" x14ac:dyDescent="0.35">
      <c r="A93" s="2">
        <v>44684</v>
      </c>
      <c r="B93" s="3">
        <v>28.305807852045401</v>
      </c>
      <c r="C93" s="3">
        <v>14.7521124015199</v>
      </c>
      <c r="D93" s="3">
        <v>12.609936576216599</v>
      </c>
      <c r="E93" s="3">
        <v>10.9959630911099</v>
      </c>
      <c r="F93" s="3">
        <v>13.722768675740801</v>
      </c>
      <c r="G93" s="3">
        <v>17.640355227080502</v>
      </c>
      <c r="H93" s="3">
        <v>10.700439485853201</v>
      </c>
      <c r="I93" s="3">
        <v>22.8355710987049</v>
      </c>
      <c r="J93" s="3">
        <v>17.6947159554988</v>
      </c>
      <c r="K93" s="3">
        <v>12.6812632848377</v>
      </c>
      <c r="L93" s="3">
        <v>16.955953586830098</v>
      </c>
      <c r="M93" s="3">
        <v>14.3384170488522</v>
      </c>
      <c r="N93" s="3">
        <v>9.3694464065688994</v>
      </c>
    </row>
    <row r="94" spans="1:14" x14ac:dyDescent="0.35">
      <c r="A94" s="2">
        <v>44715</v>
      </c>
      <c r="B94" s="3">
        <v>26.9009383290656</v>
      </c>
      <c r="C94" s="3">
        <v>14.255987418612801</v>
      </c>
      <c r="D94" s="3">
        <v>12.4319886314992</v>
      </c>
      <c r="E94" s="3">
        <v>11.035417354967599</v>
      </c>
      <c r="F94" s="3">
        <v>13.855069923406999</v>
      </c>
      <c r="G94" s="3">
        <v>16.848724453765001</v>
      </c>
      <c r="H94" s="3">
        <v>10.416276470168601</v>
      </c>
      <c r="I94" s="3">
        <v>21.648358017481399</v>
      </c>
      <c r="J94" s="3">
        <v>17.233844249771799</v>
      </c>
      <c r="K94" s="3">
        <v>12.429387927477601</v>
      </c>
      <c r="L94" s="3">
        <v>17.2274206467265</v>
      </c>
      <c r="M94" s="3">
        <v>16.208110848099199</v>
      </c>
      <c r="N94" s="3">
        <v>8.7634567918341908</v>
      </c>
    </row>
    <row r="95" spans="1:14" x14ac:dyDescent="0.35">
      <c r="A95" s="2">
        <v>44743</v>
      </c>
      <c r="B95" s="3">
        <v>25.3355710494879</v>
      </c>
      <c r="C95" s="3">
        <v>12.472434732323901</v>
      </c>
      <c r="D95" s="3">
        <v>11.225587953096101</v>
      </c>
      <c r="E95" s="3">
        <v>9.7040902667214493</v>
      </c>
      <c r="F95" s="3">
        <v>13.034021425809801</v>
      </c>
      <c r="G95" s="3">
        <v>15.7364674857983</v>
      </c>
      <c r="H95" s="3">
        <v>9.5379108024759596</v>
      </c>
      <c r="I95" s="3">
        <v>20.087404694047699</v>
      </c>
      <c r="J95" s="3">
        <v>15.9841343403852</v>
      </c>
      <c r="K95" s="3">
        <v>11.1854920609667</v>
      </c>
      <c r="L95" s="3">
        <v>15.839937733291301</v>
      </c>
      <c r="M95" s="3">
        <v>14.1175287461339</v>
      </c>
      <c r="N95" s="3">
        <v>7.7034553301887501</v>
      </c>
    </row>
    <row r="96" spans="1:14" x14ac:dyDescent="0.35">
      <c r="A96" s="2">
        <v>44776</v>
      </c>
      <c r="B96" s="3">
        <v>26.739420827536399</v>
      </c>
      <c r="C96" s="3">
        <v>13.7785882894197</v>
      </c>
      <c r="D96" s="3">
        <v>11.507557687819499</v>
      </c>
      <c r="E96" s="3">
        <v>10.3717921654005</v>
      </c>
      <c r="F96" s="3">
        <v>13.6127498696936</v>
      </c>
      <c r="G96" s="3">
        <v>16.8288719120489</v>
      </c>
      <c r="H96" s="3">
        <v>9.8097028695403896</v>
      </c>
      <c r="I96" s="3">
        <v>23.526325005556501</v>
      </c>
      <c r="J96" s="3">
        <v>17.508842399622701</v>
      </c>
      <c r="K96" s="3">
        <v>11.724687431968601</v>
      </c>
      <c r="L96" s="3">
        <v>18.089823689889201</v>
      </c>
      <c r="M96" s="3">
        <v>15.0660625537557</v>
      </c>
      <c r="N96" s="3">
        <v>7.70855700687612</v>
      </c>
    </row>
    <row r="97" spans="1:14" x14ac:dyDescent="0.35">
      <c r="A97" s="2">
        <v>44806</v>
      </c>
      <c r="B97" s="3">
        <v>27.088721649751299</v>
      </c>
      <c r="C97" s="3">
        <v>13.5788553462772</v>
      </c>
      <c r="D97" s="3">
        <v>11.298260428512201</v>
      </c>
      <c r="E97" s="3">
        <v>9.7251703595914094</v>
      </c>
      <c r="F97" s="3">
        <v>13.533640556979799</v>
      </c>
      <c r="G97" s="3">
        <v>16.1352721394159</v>
      </c>
      <c r="H97" s="3">
        <v>9.2191651144285807</v>
      </c>
      <c r="I97" s="3">
        <v>21.481374269423799</v>
      </c>
      <c r="J97" s="3">
        <v>16.514180592761399</v>
      </c>
      <c r="K97" s="3">
        <v>11.1240945179385</v>
      </c>
      <c r="L97" s="3">
        <v>15.952317727928399</v>
      </c>
      <c r="M97" s="3">
        <v>13.9449496753824</v>
      </c>
      <c r="N97" s="3">
        <v>7.6407777485836501</v>
      </c>
    </row>
    <row r="98" spans="1:14" x14ac:dyDescent="0.35">
      <c r="A98" s="2">
        <v>44837</v>
      </c>
      <c r="B98" s="3">
        <v>23.804192062076901</v>
      </c>
      <c r="C98" s="3">
        <v>12.6121024220762</v>
      </c>
      <c r="D98" s="3">
        <v>11.013330580534101</v>
      </c>
      <c r="E98" s="3">
        <v>9.06983969240558</v>
      </c>
      <c r="F98" s="3">
        <v>12.7928902025683</v>
      </c>
      <c r="G98" s="3">
        <v>14.934647678995701</v>
      </c>
      <c r="H98" s="3">
        <v>8.6367399061657508</v>
      </c>
      <c r="I98" s="3">
        <v>19.969226279132499</v>
      </c>
      <c r="J98" s="3">
        <v>15.5257644601532</v>
      </c>
      <c r="K98" s="3">
        <v>10.279283177835</v>
      </c>
      <c r="L98" s="3">
        <v>14.541208486872</v>
      </c>
      <c r="M98" s="3">
        <v>13.115793682695299</v>
      </c>
      <c r="N98" s="3">
        <v>7.3056486917098598</v>
      </c>
    </row>
    <row r="99" spans="1:14" x14ac:dyDescent="0.35">
      <c r="A99" s="2">
        <v>44868</v>
      </c>
      <c r="B99" s="3">
        <v>23.486386165059098</v>
      </c>
      <c r="C99" s="3">
        <v>13.3028981148094</v>
      </c>
      <c r="D99" s="3">
        <v>11.4074230658366</v>
      </c>
      <c r="E99" s="3">
        <v>9.7334846773600798</v>
      </c>
      <c r="F99" s="3">
        <v>13.464961990721299</v>
      </c>
      <c r="G99" s="3">
        <v>15.733572545494001</v>
      </c>
      <c r="H99" s="3">
        <v>8.9721518874351993</v>
      </c>
      <c r="I99" s="3">
        <v>19.941906697341398</v>
      </c>
      <c r="J99" s="3">
        <v>16.0925675680102</v>
      </c>
      <c r="K99" s="3">
        <v>11.078154707707901</v>
      </c>
      <c r="L99" s="3">
        <v>14.588395142007499</v>
      </c>
      <c r="M99" s="3">
        <v>12.380015137938701</v>
      </c>
      <c r="N99" s="3">
        <v>7.8761047541376197</v>
      </c>
    </row>
    <row r="100" spans="1:14" x14ac:dyDescent="0.35">
      <c r="A100" s="2">
        <v>44897</v>
      </c>
      <c r="B100" s="3">
        <v>23.470197924217501</v>
      </c>
      <c r="C100" s="3">
        <v>14.5963023123388</v>
      </c>
      <c r="D100" s="3">
        <v>12.4490725801399</v>
      </c>
      <c r="E100" s="3">
        <v>10.869370776550401</v>
      </c>
      <c r="F100" s="3">
        <v>13.676369915641301</v>
      </c>
      <c r="G100" s="3">
        <v>16.911965543144799</v>
      </c>
      <c r="H100" s="3">
        <v>9.9308070686950192</v>
      </c>
      <c r="I100" s="3">
        <v>22.277224205832201</v>
      </c>
      <c r="J100" s="3">
        <v>17.596678287261899</v>
      </c>
      <c r="K100" s="3">
        <v>12.184638535583</v>
      </c>
      <c r="L100" s="3">
        <v>16.461100291144799</v>
      </c>
      <c r="M100" s="3">
        <v>13.2020133271602</v>
      </c>
      <c r="N100" s="3">
        <v>7.8885780405258501</v>
      </c>
    </row>
    <row r="101" spans="1:14" x14ac:dyDescent="0.35">
      <c r="A101" s="2">
        <v>44929</v>
      </c>
      <c r="B101" s="3">
        <v>22.9697307303176</v>
      </c>
      <c r="C101" s="3">
        <v>13.9587174655514</v>
      </c>
      <c r="D101" s="3">
        <v>11.9554981006404</v>
      </c>
      <c r="E101" s="3">
        <v>10.7004284754771</v>
      </c>
      <c r="F101" s="3">
        <v>13.105588620600299</v>
      </c>
      <c r="G101" s="3">
        <v>16.495502021359702</v>
      </c>
      <c r="H101" s="3">
        <v>9.9621292520382596</v>
      </c>
      <c r="I101" s="3">
        <v>20.722122036445501</v>
      </c>
      <c r="J101" s="3">
        <v>16.585932577897399</v>
      </c>
      <c r="K101" s="3">
        <v>12.0512785994966</v>
      </c>
      <c r="L101" s="3">
        <v>15.766575471852599</v>
      </c>
      <c r="M101" s="3">
        <v>12.9000871332881</v>
      </c>
      <c r="N101" s="3">
        <v>7.8305464211326301</v>
      </c>
    </row>
    <row r="102" spans="1:14" x14ac:dyDescent="0.35">
      <c r="A102" s="2">
        <v>44960</v>
      </c>
      <c r="B102" s="3">
        <v>24.4182625447013</v>
      </c>
      <c r="C102" s="3">
        <v>15.0568337909699</v>
      </c>
      <c r="D102" s="3">
        <v>13.068455910617001</v>
      </c>
      <c r="E102" s="3">
        <v>11.7708886987739</v>
      </c>
      <c r="F102" s="3">
        <v>13.815181850423301</v>
      </c>
      <c r="G102" s="3">
        <v>17.420384369086001</v>
      </c>
      <c r="H102" s="3">
        <v>10.497171104525901</v>
      </c>
      <c r="I102" s="3">
        <v>24.328771729871001</v>
      </c>
      <c r="J102" s="3">
        <v>18.2600208200598</v>
      </c>
      <c r="K102" s="3">
        <v>13.4168543024106</v>
      </c>
      <c r="L102" s="3">
        <v>17.3668687397087</v>
      </c>
      <c r="M102" s="3">
        <v>14.5489479765727</v>
      </c>
      <c r="N102" s="3">
        <v>8.4120325693579598</v>
      </c>
    </row>
    <row r="103" spans="1:14" x14ac:dyDescent="0.35">
      <c r="A103" s="2">
        <v>44988</v>
      </c>
      <c r="B103" s="3">
        <v>23.569910403488901</v>
      </c>
      <c r="C103" s="3">
        <v>14.520146099182099</v>
      </c>
      <c r="D103" s="3">
        <v>12.9696040312464</v>
      </c>
      <c r="E103" s="3">
        <v>11.675323341027999</v>
      </c>
      <c r="F103" s="3">
        <v>14.3087264758505</v>
      </c>
      <c r="G103" s="3">
        <v>17.147580343227801</v>
      </c>
      <c r="H103" s="3">
        <v>10.543592306508501</v>
      </c>
      <c r="I103" s="3">
        <v>23.5610648536918</v>
      </c>
      <c r="J103" s="3">
        <v>17.8029503865761</v>
      </c>
      <c r="K103" s="3">
        <v>13.3424173809201</v>
      </c>
      <c r="L103" s="3">
        <v>16.7098725564767</v>
      </c>
      <c r="M103" s="3">
        <v>14.2596382657626</v>
      </c>
      <c r="N103" s="3">
        <v>8.7761051157397993</v>
      </c>
    </row>
    <row r="104" spans="1:14" x14ac:dyDescent="0.35">
      <c r="A104" s="2">
        <v>45019</v>
      </c>
      <c r="B104" s="3">
        <v>23.2248929501148</v>
      </c>
      <c r="C104" s="3">
        <v>14.4510407168759</v>
      </c>
      <c r="D104" s="3">
        <v>12.887612104102301</v>
      </c>
      <c r="E104" s="3">
        <v>11.3533695774123</v>
      </c>
      <c r="F104" s="3">
        <v>14.2426485185076</v>
      </c>
      <c r="G104" s="3">
        <v>17.118001435035101</v>
      </c>
      <c r="H104" s="3">
        <v>10.429789859792599</v>
      </c>
      <c r="I104" s="3">
        <v>24.9764730078874</v>
      </c>
      <c r="J104" s="3">
        <v>18.1239283387761</v>
      </c>
      <c r="K104" s="3">
        <v>13.347369935204201</v>
      </c>
      <c r="L104" s="3">
        <v>16.457637048962699</v>
      </c>
      <c r="M104" s="3">
        <v>13.7224115859291</v>
      </c>
      <c r="N104" s="3">
        <v>8.5431515225712698</v>
      </c>
    </row>
    <row r="105" spans="1:14" x14ac:dyDescent="0.35">
      <c r="A105" s="2">
        <v>45049</v>
      </c>
      <c r="B105" s="3">
        <v>23.512690089513701</v>
      </c>
      <c r="C105" s="3">
        <v>14.387589659825</v>
      </c>
      <c r="D105" s="3">
        <v>12.8812526338409</v>
      </c>
      <c r="E105" s="3">
        <v>11.267058735949499</v>
      </c>
      <c r="F105" s="3">
        <v>14.646787315675899</v>
      </c>
      <c r="G105" s="3">
        <v>17.6451168159671</v>
      </c>
      <c r="H105" s="3">
        <v>10.6173453001835</v>
      </c>
      <c r="I105" s="3">
        <v>24.112706908921801</v>
      </c>
      <c r="J105" s="3">
        <v>17.807182718084</v>
      </c>
      <c r="K105" s="3">
        <v>13.538173874090999</v>
      </c>
      <c r="L105" s="3">
        <v>15.662760767100099</v>
      </c>
      <c r="M105" s="3">
        <v>13.656208151866901</v>
      </c>
      <c r="N105" s="3">
        <v>8.4079192751580596</v>
      </c>
    </row>
    <row r="106" spans="1:14" x14ac:dyDescent="0.35">
      <c r="A106" s="2">
        <v>45079</v>
      </c>
      <c r="B106" s="3">
        <v>21.1567772124641</v>
      </c>
      <c r="C106" s="3">
        <v>14.3998475346568</v>
      </c>
      <c r="D106" s="3">
        <v>12.937338650021299</v>
      </c>
      <c r="E106" s="3">
        <v>10.86248001111</v>
      </c>
      <c r="F106" s="3">
        <v>15.3674653408097</v>
      </c>
      <c r="G106" s="3">
        <v>16.771457483731499</v>
      </c>
      <c r="H106" s="3">
        <v>10.303218713249301</v>
      </c>
      <c r="I106" s="3">
        <v>26.124296784794598</v>
      </c>
      <c r="J106" s="3">
        <v>18.462416063888401</v>
      </c>
      <c r="K106" s="3">
        <v>13.133854622626099</v>
      </c>
      <c r="L106" s="3">
        <v>15.747951119756401</v>
      </c>
      <c r="M106" s="3">
        <v>13.679822239370001</v>
      </c>
      <c r="N106" s="3">
        <v>8.5453776071113605</v>
      </c>
    </row>
    <row r="107" spans="1:14" x14ac:dyDescent="0.35">
      <c r="A107" s="2">
        <v>45110</v>
      </c>
      <c r="B107" s="3">
        <v>21.036095032903599</v>
      </c>
      <c r="C107" s="3">
        <v>15.0142265583721</v>
      </c>
      <c r="D107" s="3">
        <v>13.00512848392</v>
      </c>
      <c r="E107" s="3">
        <v>10.7941192105308</v>
      </c>
      <c r="F107" s="3">
        <v>16.199514361776501</v>
      </c>
      <c r="G107" s="3">
        <v>16.4010898701471</v>
      </c>
      <c r="H107" s="3">
        <v>10.361384920585699</v>
      </c>
      <c r="I107" s="3">
        <v>26.802555604973399</v>
      </c>
      <c r="J107" s="3">
        <v>19.145148542313301</v>
      </c>
      <c r="K107" s="3">
        <v>13.2765052198438</v>
      </c>
      <c r="L107" s="3">
        <v>15.930747266335</v>
      </c>
      <c r="M107" s="3">
        <v>13.5505957038806</v>
      </c>
      <c r="N107" s="3">
        <v>8.8444898902223308</v>
      </c>
    </row>
    <row r="108" spans="1:14" x14ac:dyDescent="0.35">
      <c r="A108" s="2">
        <v>45141</v>
      </c>
      <c r="B108" s="3">
        <v>20.949343280675802</v>
      </c>
      <c r="C108" s="3">
        <v>15.320726170501199</v>
      </c>
      <c r="D108" s="3">
        <v>13.1897487356783</v>
      </c>
      <c r="E108" s="3">
        <v>10.626878367441099</v>
      </c>
      <c r="F108" s="3">
        <v>15.4900353986227</v>
      </c>
      <c r="G108" s="3">
        <v>16.5573990892435</v>
      </c>
      <c r="H108" s="3">
        <v>10.477377206748599</v>
      </c>
      <c r="I108" s="3">
        <v>25.171458376429101</v>
      </c>
      <c r="J108" s="3">
        <v>19.1607799891726</v>
      </c>
      <c r="K108" s="3">
        <v>12.9377959574377</v>
      </c>
      <c r="L108" s="3">
        <v>15.6661040559058</v>
      </c>
      <c r="M108" s="3">
        <v>13.014524191178801</v>
      </c>
      <c r="N108" s="3">
        <v>8.4123829344209504</v>
      </c>
    </row>
    <row r="109" spans="1:14" x14ac:dyDescent="0.35">
      <c r="A109" s="2">
        <v>45170</v>
      </c>
      <c r="B109" s="3">
        <v>20.879533573698399</v>
      </c>
      <c r="C109" s="3">
        <v>15.5104648620548</v>
      </c>
      <c r="D109" s="3">
        <v>13.3546044330381</v>
      </c>
      <c r="E109" s="3">
        <v>10.6467692088693</v>
      </c>
      <c r="F109" s="3">
        <v>15.7256877954679</v>
      </c>
      <c r="G109" s="3">
        <v>16.6075138478088</v>
      </c>
      <c r="H109" s="3">
        <v>10.371054058409699</v>
      </c>
      <c r="I109" s="3">
        <v>24.646952871563101</v>
      </c>
      <c r="J109" s="3">
        <v>18.890262371490198</v>
      </c>
      <c r="K109" s="3">
        <v>12.949964999677</v>
      </c>
      <c r="L109" s="3">
        <v>14.731326208308699</v>
      </c>
      <c r="M109" s="3">
        <v>12.9978133031696</v>
      </c>
      <c r="N109" s="3">
        <v>8.4826107969633497</v>
      </c>
    </row>
    <row r="110" spans="1:14" x14ac:dyDescent="0.35">
      <c r="A110" s="2">
        <v>45202</v>
      </c>
      <c r="B110" s="3">
        <v>20.055769253059101</v>
      </c>
      <c r="C110" s="3">
        <v>14.534826743982499</v>
      </c>
      <c r="D110" s="3">
        <v>12.2477918030142</v>
      </c>
      <c r="E110" s="3">
        <v>10.1174458897883</v>
      </c>
      <c r="F110" s="3">
        <v>15.0845889553903</v>
      </c>
      <c r="G110" s="3">
        <v>15.84792166331</v>
      </c>
      <c r="H110" s="3">
        <v>10.167142136093499</v>
      </c>
      <c r="I110" s="3">
        <v>22.896378553870498</v>
      </c>
      <c r="J110" s="3">
        <v>17.5843097293501</v>
      </c>
      <c r="K110" s="3">
        <v>12.189345741761899</v>
      </c>
      <c r="L110" s="3">
        <v>13.294570550425099</v>
      </c>
      <c r="M110" s="3">
        <v>12.6707405464111</v>
      </c>
      <c r="N110" s="3">
        <v>8.0259238895206195</v>
      </c>
    </row>
    <row r="111" spans="1:14" x14ac:dyDescent="0.35">
      <c r="A111" s="2">
        <v>45233</v>
      </c>
      <c r="B111" s="3">
        <v>20.058441430709099</v>
      </c>
      <c r="C111" s="3">
        <v>14.8757381207264</v>
      </c>
      <c r="D111" s="3">
        <v>12.605314082215299</v>
      </c>
      <c r="E111" s="3">
        <v>10.1603229461148</v>
      </c>
      <c r="F111" s="3">
        <v>15.165643406269</v>
      </c>
      <c r="G111" s="3">
        <v>15.770880350193501</v>
      </c>
      <c r="H111" s="3">
        <v>10.243425379683501</v>
      </c>
      <c r="I111" s="3">
        <v>23.383465063767101</v>
      </c>
      <c r="J111" s="3">
        <v>18.038648265805101</v>
      </c>
      <c r="K111" s="3">
        <v>12.441855561520899</v>
      </c>
      <c r="L111" s="3">
        <v>13.889995525009301</v>
      </c>
      <c r="M111" s="3">
        <v>12.875937189728299</v>
      </c>
      <c r="N111" s="3">
        <v>8.1694993480562506</v>
      </c>
    </row>
    <row r="112" spans="1:14" x14ac:dyDescent="0.35">
      <c r="A112" s="2">
        <v>45261</v>
      </c>
      <c r="B112" s="3">
        <v>21.665963431328901</v>
      </c>
      <c r="C112" s="3">
        <v>15.325117378658099</v>
      </c>
      <c r="D112" s="3">
        <v>13.115805165423</v>
      </c>
      <c r="E112" s="3">
        <v>11.0354102774536</v>
      </c>
      <c r="F112" s="3">
        <v>15.337198592059</v>
      </c>
      <c r="G112" s="3">
        <v>16.348057322604301</v>
      </c>
      <c r="H112" s="3">
        <v>10.591894133803899</v>
      </c>
      <c r="I112" s="3">
        <v>24.3017034477751</v>
      </c>
      <c r="J112" s="3">
        <v>18.829186347525301</v>
      </c>
      <c r="K112" s="3">
        <v>13.005580451298201</v>
      </c>
      <c r="L112" s="3">
        <v>14.6336824245094</v>
      </c>
      <c r="M112" s="3">
        <v>14.678132156051699</v>
      </c>
      <c r="N112" s="3">
        <v>8.6468414267766498</v>
      </c>
    </row>
    <row r="113" spans="1:25" x14ac:dyDescent="0.35">
      <c r="A113" s="2">
        <v>45294</v>
      </c>
      <c r="B113" s="3">
        <v>22.783183562974799</v>
      </c>
      <c r="C113" s="3">
        <v>16.234821160518301</v>
      </c>
      <c r="D113" s="3">
        <v>13.553205012476001</v>
      </c>
      <c r="E113" s="3">
        <v>11.0184303830705</v>
      </c>
      <c r="F113" s="3">
        <v>14.965371791422299</v>
      </c>
      <c r="G113" s="3">
        <v>16.787896862273001</v>
      </c>
      <c r="H113" s="3">
        <v>10.917035021543301</v>
      </c>
      <c r="I113" s="3">
        <v>24.355874752429902</v>
      </c>
      <c r="J113" s="3">
        <v>19.2211473404437</v>
      </c>
      <c r="K113" s="3">
        <v>13.162201065106</v>
      </c>
      <c r="L113" s="3">
        <v>14.689039894966699</v>
      </c>
      <c r="M113" s="3">
        <v>15.360283464478201</v>
      </c>
      <c r="N113" s="3">
        <v>8.8435969853998202</v>
      </c>
    </row>
    <row r="114" spans="1:25" x14ac:dyDescent="0.35">
      <c r="A114" s="2">
        <v>45324</v>
      </c>
      <c r="B114" s="3">
        <v>22.446970120282199</v>
      </c>
      <c r="C114" s="3">
        <v>16.589008225401599</v>
      </c>
      <c r="D114" s="3">
        <v>13.860150357067599</v>
      </c>
      <c r="E114" s="3">
        <v>11.533728704711301</v>
      </c>
      <c r="F114" s="3">
        <v>16.0121430296198</v>
      </c>
      <c r="G114" s="3">
        <v>17.093264206318899</v>
      </c>
      <c r="H114" s="3">
        <v>11.057702525055101</v>
      </c>
      <c r="I114" s="3">
        <v>25.983101602030999</v>
      </c>
      <c r="J114" s="3">
        <v>20.162718036432299</v>
      </c>
      <c r="K114" s="3">
        <v>13.6540399318989</v>
      </c>
      <c r="L114" s="3">
        <v>15.7917304699253</v>
      </c>
      <c r="M114" s="3">
        <v>15.6426811473785</v>
      </c>
      <c r="N114" s="3">
        <v>9.0042995486536697</v>
      </c>
    </row>
    <row r="115" spans="1:25" x14ac:dyDescent="0.35">
      <c r="A115" s="2">
        <v>45352</v>
      </c>
      <c r="B115" s="3">
        <v>24.677137625189101</v>
      </c>
      <c r="C115" s="3">
        <v>16.676392318325</v>
      </c>
      <c r="D115" s="3">
        <v>14.3284271822048</v>
      </c>
      <c r="E115" s="3">
        <v>12.054291020473901</v>
      </c>
      <c r="F115" s="3">
        <v>16.9432369391556</v>
      </c>
      <c r="G115" s="3">
        <v>17.474323700383799</v>
      </c>
      <c r="H115" s="3">
        <v>11.2361575336852</v>
      </c>
      <c r="I115" s="3">
        <v>26.577312659665299</v>
      </c>
      <c r="J115" s="3">
        <v>20.632595535637201</v>
      </c>
      <c r="K115" s="3">
        <v>14.3276559280944</v>
      </c>
      <c r="L115" s="3">
        <v>16.001360621011699</v>
      </c>
      <c r="M115" s="3">
        <v>16.362120356773801</v>
      </c>
      <c r="N115" s="3">
        <v>9.3411033059742206</v>
      </c>
    </row>
    <row r="116" spans="1:25" x14ac:dyDescent="0.35">
      <c r="A116" s="2">
        <v>45385</v>
      </c>
      <c r="B116" s="3">
        <v>25.0949346288809</v>
      </c>
      <c r="C116" s="3">
        <v>16.6070515995895</v>
      </c>
      <c r="D116" s="3">
        <v>14.5603694870514</v>
      </c>
      <c r="E116" s="3">
        <v>12.3088456207895</v>
      </c>
      <c r="F116" s="3">
        <v>16.621894926026702</v>
      </c>
      <c r="G116" s="3">
        <v>17.423473862657399</v>
      </c>
      <c r="H116" s="3">
        <v>11.503640650410301</v>
      </c>
      <c r="I116" s="3">
        <v>26.003393010155701</v>
      </c>
      <c r="J116" s="3">
        <v>20.741232320866601</v>
      </c>
      <c r="K116" s="3">
        <v>14.637114875795501</v>
      </c>
      <c r="L116" s="3">
        <v>16.3099246761942</v>
      </c>
      <c r="M116" s="3">
        <v>16.3546148232303</v>
      </c>
      <c r="N116" s="3">
        <v>9.7288583703583207</v>
      </c>
    </row>
    <row r="117" spans="1:25" x14ac:dyDescent="0.35">
      <c r="A117" s="2">
        <v>45415</v>
      </c>
      <c r="B117" s="3">
        <v>25.373186159011201</v>
      </c>
      <c r="C117" s="3">
        <v>16.4521316127157</v>
      </c>
      <c r="D117" s="3">
        <v>14.292279175898001</v>
      </c>
      <c r="E117" s="3">
        <v>11.934168271446699</v>
      </c>
      <c r="F117" s="3">
        <v>16.535070207889898</v>
      </c>
      <c r="G117" s="3">
        <v>16.6959063872789</v>
      </c>
      <c r="H117" s="3">
        <v>11.6441907242278</v>
      </c>
      <c r="I117" s="3">
        <v>25.3402306963591</v>
      </c>
      <c r="J117" s="3">
        <v>20.170875300776999</v>
      </c>
      <c r="K117" s="3">
        <v>14.3407335151208</v>
      </c>
      <c r="L117" s="3">
        <v>15.7582585556514</v>
      </c>
      <c r="M117" s="3">
        <v>15.919874989402899</v>
      </c>
      <c r="N117" s="3">
        <v>9.5345872900727109</v>
      </c>
    </row>
    <row r="118" spans="1:25" x14ac:dyDescent="0.35">
      <c r="A118" s="2">
        <v>45446</v>
      </c>
      <c r="B118" s="3">
        <v>24.407498995262198</v>
      </c>
      <c r="C118" s="3">
        <v>16.7659022078183</v>
      </c>
      <c r="D118" s="3">
        <v>14.2194680577427</v>
      </c>
      <c r="E118" s="3">
        <v>11.9791215085174</v>
      </c>
      <c r="F118" s="3">
        <v>16.8941209662616</v>
      </c>
      <c r="G118" s="3">
        <v>17.246379096649701</v>
      </c>
      <c r="H118" s="3">
        <v>11.6360069481462</v>
      </c>
      <c r="I118" s="3">
        <v>25.7818983980113</v>
      </c>
      <c r="J118" s="3">
        <v>20.486032214542401</v>
      </c>
      <c r="K118" s="3">
        <v>14.3455156306646</v>
      </c>
      <c r="L118" s="3">
        <v>16.363701892882499</v>
      </c>
      <c r="M118" s="3">
        <v>16.2588475527605</v>
      </c>
      <c r="N118" s="3">
        <v>9.7646678290565099</v>
      </c>
    </row>
    <row r="119" spans="1:25" x14ac:dyDescent="0.35">
      <c r="A119" s="2">
        <v>45476</v>
      </c>
      <c r="B119" s="3">
        <v>23.937590696714601</v>
      </c>
      <c r="C119" s="3">
        <v>16.8154693828243</v>
      </c>
      <c r="D119" s="3">
        <v>14.1783319898523</v>
      </c>
      <c r="E119" s="3">
        <v>11.791720519061499</v>
      </c>
      <c r="F119" s="3">
        <v>17.110272823501798</v>
      </c>
      <c r="G119" s="3">
        <v>17.1340348764443</v>
      </c>
      <c r="H119" s="3">
        <v>11.431225511981101</v>
      </c>
      <c r="I119" s="3">
        <v>27.561894325880999</v>
      </c>
      <c r="J119" s="3">
        <v>21.283030739187499</v>
      </c>
      <c r="K119" s="3">
        <v>13.676544721243101</v>
      </c>
      <c r="L119" s="3">
        <v>16.484064208008199</v>
      </c>
      <c r="M119" s="3">
        <v>15.998157591878201</v>
      </c>
      <c r="N119" s="3">
        <v>9.48109096925835</v>
      </c>
    </row>
    <row r="120" spans="1:25" x14ac:dyDescent="0.35">
      <c r="A120" s="2">
        <v>45506</v>
      </c>
      <c r="B120" s="3">
        <v>25.281579442069098</v>
      </c>
      <c r="C120" s="3">
        <v>17.169531512843001</v>
      </c>
      <c r="D120" s="3">
        <v>13.951775668753699</v>
      </c>
      <c r="E120" s="3">
        <v>11.343378930781901</v>
      </c>
      <c r="F120" s="3">
        <v>14.811357289703899</v>
      </c>
      <c r="G120" s="3">
        <v>17.048818197063401</v>
      </c>
      <c r="H120" s="3">
        <v>11.423688031174599</v>
      </c>
      <c r="I120" s="3">
        <v>25.079600924906799</v>
      </c>
      <c r="J120" s="3">
        <v>20.365324702791298</v>
      </c>
      <c r="K120" s="3">
        <v>13.202637541446499</v>
      </c>
      <c r="L120" s="3">
        <v>14.588359591468301</v>
      </c>
      <c r="M120" s="3">
        <v>15.4070675841956</v>
      </c>
      <c r="N120" s="3">
        <v>9.2560889190424493</v>
      </c>
    </row>
    <row r="121" spans="1:25" x14ac:dyDescent="0.35">
      <c r="A121" s="2">
        <v>45538</v>
      </c>
      <c r="B121" s="3">
        <v>25.4721327658546</v>
      </c>
      <c r="C121" s="3">
        <v>17.9606696693962</v>
      </c>
      <c r="D121" s="3">
        <v>14.3977116187819</v>
      </c>
      <c r="E121" s="3">
        <v>12.146252057992299</v>
      </c>
      <c r="F121" s="3">
        <v>15.8091023206918</v>
      </c>
      <c r="G121" s="3">
        <v>17.5312609186606</v>
      </c>
      <c r="H121" s="3">
        <v>11.574481122474401</v>
      </c>
      <c r="I121" s="3">
        <v>25.439250528614199</v>
      </c>
      <c r="J121" s="3">
        <v>20.773237006101699</v>
      </c>
      <c r="K121" s="3">
        <v>13.712353018986001</v>
      </c>
      <c r="L121" s="3">
        <v>15.046143965099199</v>
      </c>
      <c r="M121" s="3">
        <v>16.100245246834</v>
      </c>
      <c r="N121" s="3">
        <v>9.9967200773751106</v>
      </c>
    </row>
    <row r="122" spans="1:25" x14ac:dyDescent="0.35">
      <c r="A122" s="2">
        <v>45566</v>
      </c>
      <c r="B122" s="3">
        <v>23.9859692680043</v>
      </c>
      <c r="C122" s="3">
        <v>18.393868275772601</v>
      </c>
      <c r="D122" s="3">
        <v>15.147776792516501</v>
      </c>
      <c r="E122" s="3">
        <v>12.8348380089753</v>
      </c>
      <c r="F122" s="3">
        <v>14.099866880142301</v>
      </c>
      <c r="G122" s="3">
        <v>17.415993716857301</v>
      </c>
      <c r="H122" s="3">
        <v>11.787320289232101</v>
      </c>
      <c r="I122" s="3">
        <v>26.1040696840838</v>
      </c>
      <c r="J122" s="3">
        <v>21.428460143056999</v>
      </c>
      <c r="K122" s="3">
        <v>13.9989231374953</v>
      </c>
      <c r="L122" s="3">
        <v>15.0981842698514</v>
      </c>
      <c r="M122" s="3">
        <v>16.574442316765701</v>
      </c>
      <c r="N122" s="3">
        <v>10.1852349509356</v>
      </c>
    </row>
    <row r="124" spans="1:25" x14ac:dyDescent="0.35">
      <c r="A124" s="2" t="s">
        <v>91</v>
      </c>
      <c r="B124" s="3" cm="1">
        <f t="array" ref="B124">MIN(_xlfn._xlws.FILTER(B1:B122, ISNUMBER(B1:B122)))</f>
        <v>16.970063539864601</v>
      </c>
      <c r="C124" s="3" cm="1">
        <f t="array" ref="C124">MIN(_xlfn._xlws.FILTER(C1:C122, ISNUMBER(C1:C122)))</f>
        <v>12.472434732323901</v>
      </c>
      <c r="D124" s="3" cm="1">
        <f t="array" ref="D124">MIN(_xlfn._xlws.FILTER(D1:D122, ISNUMBER(D1:D122)))</f>
        <v>11.013330580534101</v>
      </c>
      <c r="E124" s="3" cm="1">
        <f t="array" ref="E124">MIN(_xlfn._xlws.FILTER(E1:E122, ISNUMBER(E1:E122)))</f>
        <v>9.06983969240558</v>
      </c>
      <c r="F124" s="3" cm="1">
        <f t="array" ref="F124">MIN(_xlfn._xlws.FILTER(F1:F122, ISNUMBER(F1:F122)))</f>
        <v>11.1029436238529</v>
      </c>
      <c r="G124" s="3" cm="1">
        <f t="array" ref="G124">MIN(_xlfn._xlws.FILTER(G1:G122, ISNUMBER(G1:G122)))</f>
        <v>14.486685096329101</v>
      </c>
      <c r="H124" s="3" cm="1">
        <f t="array" ref="H124">MIN(_xlfn._xlws.FILTER(H1:H122, ISNUMBER(H1:H122)))</f>
        <v>8.6367399061657508</v>
      </c>
      <c r="I124" s="3" cm="1">
        <f t="array" ref="I124">MIN(_xlfn._xlws.FILTER(I1:I122, ISNUMBER(I1:I122)))</f>
        <v>16.8563192558777</v>
      </c>
      <c r="J124" s="3" cm="1">
        <f t="array" ref="J124">MIN(_xlfn._xlws.FILTER(J1:J122, ISNUMBER(J1:J122)))</f>
        <v>14.1253145292313</v>
      </c>
      <c r="K124" s="3" cm="1">
        <f t="array" ref="K124">MIN(_xlfn._xlws.FILTER(K1:K122, ISNUMBER(K1:K122)))</f>
        <v>10.279283177835</v>
      </c>
      <c r="L124" s="3" cm="1">
        <f t="array" ref="L124">MIN(_xlfn._xlws.FILTER(L1:L122, ISNUMBER(L1:L122)))</f>
        <v>12.8118702938193</v>
      </c>
      <c r="M124" s="3" cm="1">
        <f t="array" ref="M124">MIN(_xlfn._xlws.FILTER(M1:M122, ISNUMBER(M1:M122)))</f>
        <v>12.380015137938701</v>
      </c>
      <c r="N124" s="3" cm="1">
        <f t="array" ref="N124">MIN(_xlfn._xlws.FILTER(N1:N122, ISNUMBER(N1:N122)))</f>
        <v>7.3056486917098598</v>
      </c>
    </row>
    <row r="125" spans="1:25" x14ac:dyDescent="0.35">
      <c r="A125" s="2" t="s">
        <v>92</v>
      </c>
      <c r="B125" s="3" cm="1">
        <f t="array" ref="B125">MAX(_xlfn._xlws.FILTER(B1:B122, ISNUMBER(B1:B122)))</f>
        <v>35.055802640395598</v>
      </c>
      <c r="C125" s="3" cm="1">
        <f t="array" ref="C125">MAX(_xlfn._xlws.FILTER(C1:C122, ISNUMBER(C1:C122)))</f>
        <v>19.868227455787402</v>
      </c>
      <c r="D125" s="3" cm="1">
        <f t="array" ref="D125">MAX(_xlfn._xlws.FILTER(D1:D122, ISNUMBER(D1:D122)))</f>
        <v>18.303333749078</v>
      </c>
      <c r="E125" s="3" cm="1">
        <f t="array" ref="E125">MAX(_xlfn._xlws.FILTER(E1:E122, ISNUMBER(E1:E122)))</f>
        <v>18.152960269473802</v>
      </c>
      <c r="F125" s="3" cm="1">
        <f t="array" ref="F125">MAX(_xlfn._xlws.FILTER(F1:F122, ISNUMBER(F1:F122)))</f>
        <v>20.181740155580901</v>
      </c>
      <c r="G125" s="3" cm="1">
        <f t="array" ref="G125">MAX(_xlfn._xlws.FILTER(G1:G122, ISNUMBER(G1:G122)))</f>
        <v>19.827702225686998</v>
      </c>
      <c r="H125" s="3" cm="1">
        <f t="array" ref="H125">MAX(_xlfn._xlws.FILTER(H1:H122, ISNUMBER(H1:H122)))</f>
        <v>16.626895808596</v>
      </c>
      <c r="I125" s="3" cm="1">
        <f t="array" ref="I125">MAX(_xlfn._xlws.FILTER(I1:I122, ISNUMBER(I1:I122)))</f>
        <v>30.599467068522401</v>
      </c>
      <c r="J125" s="3" cm="1">
        <f t="array" ref="J125">MAX(_xlfn._xlws.FILTER(J1:J122, ISNUMBER(J1:J122)))</f>
        <v>22.529189037563899</v>
      </c>
      <c r="K125" s="3" cm="1">
        <f t="array" ref="K125">MAX(_xlfn._xlws.FILTER(K1:K122, ISNUMBER(K1:K122)))</f>
        <v>19.518496555006401</v>
      </c>
      <c r="L125" s="3" cm="1">
        <f t="array" ref="L125">MAX(_xlfn._xlws.FILTER(L1:L122, ISNUMBER(L1:L122)))</f>
        <v>22.738661544925598</v>
      </c>
      <c r="M125" s="3" cm="1">
        <f t="array" ref="M125">MAX(_xlfn._xlws.FILTER(M1:M122, ISNUMBER(M1:M122)))</f>
        <v>20.275064249258701</v>
      </c>
      <c r="N125" s="3" cm="1">
        <f t="array" ref="N125">MAX(_xlfn._xlws.FILTER(N1:N122, ISNUMBER(N1:N122)))</f>
        <v>17.976099175463201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0.622</v>
      </c>
      <c r="C127" s="9" cm="1">
        <f t="array" ref="C127">_xlfn.PERCENTRANK.EXC(_xlfn._xlws.FILTER(C1:C122, ISNUMBER(C1:C122)),C122)</f>
        <v>0.92600000000000005</v>
      </c>
      <c r="D127" s="9" cm="1">
        <f t="array" ref="D127">_xlfn.PERCENTRANK.EXC(_xlfn._xlws.FILTER(D1:D122, ISNUMBER(D1:D122)),D122)</f>
        <v>0.61399999999999999</v>
      </c>
      <c r="E127" s="9" cm="1">
        <f t="array" ref="E127">_xlfn.PERCENTRANK.EXC(_xlfn._xlws.FILTER(E1:E122, ISNUMBER(E1:E122)),E122)</f>
        <v>0.51600000000000001</v>
      </c>
      <c r="F127" s="9" cm="1">
        <f t="array" ref="F127">_xlfn.PERCENTRANK.EXC(_xlfn._xlws.FILTER(F1:F122, ISNUMBER(F1:F122)),F122)</f>
        <v>0.45</v>
      </c>
      <c r="G127" s="9" cm="1">
        <f t="array" ref="G127">_xlfn.PERCENTRANK.EXC(_xlfn._xlws.FILTER(G1:G122, ISNUMBER(G1:G122)),G122)</f>
        <v>0.60599999999999998</v>
      </c>
      <c r="H127" s="9" cm="1">
        <f t="array" ref="H127">_xlfn.PERCENTRANK.EXC(_xlfn._xlws.FILTER(H1:H122, ISNUMBER(H1:H122)),H122)</f>
        <v>0.29499999999999998</v>
      </c>
      <c r="I127" s="9" cm="1">
        <f t="array" ref="I127">_xlfn.PERCENTRANK.EXC(_xlfn._xlws.FILTER(I1:I122, ISNUMBER(I1:I122)),I122)</f>
        <v>0.79500000000000004</v>
      </c>
      <c r="J127" s="9" cm="1">
        <f t="array" ref="J127">_xlfn.PERCENTRANK.EXC(_xlfn._xlws.FILTER(J1:J122, ISNUMBER(J1:J122)),J122)</f>
        <v>0.90100000000000002</v>
      </c>
      <c r="K127" s="9" cm="1">
        <f t="array" ref="K127">_xlfn.PERCENTRANK.EXC(_xlfn._xlws.FILTER(K1:K122, ISNUMBER(K1:K122)),K122)</f>
        <v>0.442</v>
      </c>
      <c r="L127" s="9" cm="1">
        <f t="array" ref="L127">_xlfn.PERCENTRANK.EXC(_xlfn._xlws.FILTER(L1:L122, ISNUMBER(L1:L122)),L122)</f>
        <v>0.26200000000000001</v>
      </c>
      <c r="M127" s="9" cm="1">
        <f t="array" ref="M127">_xlfn.PERCENTRANK.EXC(_xlfn._xlws.FILTER(M1:M122, ISNUMBER(M1:M122)),M122)</f>
        <v>0.754</v>
      </c>
      <c r="N127" s="9" cm="1">
        <f t="array" ref="N127">_xlfn.PERCENTRANK.EXC(_xlfn._xlws.FILTER(N1:N122, ISNUMBER(N1:N122)),N122)</f>
        <v>0.311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41915</v>
      </c>
      <c r="B2" s="3" cm="1">
        <f t="array" ref="B2:B122">_xll.FDS(B1,"FMA_DIV_YLD(NTMA,-10AY,0,AM,""PORTAGG"",""MEANR"")")</f>
        <v>4.6018441958213003</v>
      </c>
      <c r="C2" s="3" cm="1">
        <f t="array" ref="C2:C122">_xll.FDS(C1,"FMA_DIV_YLD(NTMA,-10AY,0,AM,""PORTAGG"",""MEANR"")")</f>
        <v>5.0505751923125297</v>
      </c>
      <c r="D2" s="3" cm="1">
        <f t="array" ref="D2:D122">_xll.FDS(D1,"FMA_DIV_YLD(NTMA,-10AY,0,AM,""PORTAGG"",""MEANR"")")</f>
        <v>2.9136947450646602</v>
      </c>
      <c r="E2" s="3" cm="1">
        <f t="array" ref="E2:E122">_xll.FDS(E1,"FMA_DIV_YLD(NTMA,-10AY,0,AM,""PORTAGG"",""MEANR"")")</f>
        <v>3.2918812746062098</v>
      </c>
      <c r="F2" s="3" cm="1">
        <f t="array" ref="F2:F122">_xll.FDS(F1,"FMA_DIV_YLD(NTMA,-10AY,0,AM,""PORTAGG"",""MEANR"")")</f>
        <v>2.0950817466838201</v>
      </c>
      <c r="G2" s="3" cm="1">
        <f t="array" ref="G2:G122">_xll.FDS(G1,"FMA_DIV_YLD(NTMA,-10AY,0,AM,""PORTAGG"",""MEANR"")")</f>
        <v>3.3997593548756799</v>
      </c>
      <c r="H2" s="3" cm="1">
        <f t="array" ref="H2:H122">_xll.FDS(H1,"FMA_DIV_YLD(NTMA,-10AY,0,AM,""PORTAGG"",""MEANR"")")</f>
        <v>4.1343508821861903</v>
      </c>
      <c r="I2" s="3" cm="1">
        <f t="array" ref="I2:I122">_xll.FDS(I1,"FMA_DIV_YLD(NTMA,-10AY,0,AM,""PORTAGG"",""MEANR"")")</f>
        <v>1.2465488339708399</v>
      </c>
      <c r="J2" s="3" cm="1">
        <f t="array" ref="J2:J122">_xll.FDS(J1,"FMA_DIV_YLD(NTMA,-10AY,0,AM,""PORTAGG"",""MEANR"")")</f>
        <v>2.1383790731585202</v>
      </c>
      <c r="K2" s="3" cm="1">
        <f t="array" ref="K2:K122">_xll.FDS(K1,"FMA_DIV_YLD(NTMA,-10AY,0,AM,""PORTAGG"",""MEANR"")")</f>
        <v>3.6636616617606399</v>
      </c>
      <c r="L2" s="3" cm="1">
        <f t="array" ref="L2:L122">_xll.FDS(L1,"FMA_DIV_YLD(NTMA,-10AY,0,AM,""PORTAGG"",""MEANR"")")</f>
        <v>3.0663210573131501</v>
      </c>
      <c r="M2" s="3" cm="1">
        <f t="array" ref="M2:M122">_xll.FDS(M1,"FMA_DIV_YLD(NTMA,-10AY,0,AM,""PORTAGG"",""MEANR"")")</f>
        <v>4.3073899954270702</v>
      </c>
      <c r="N2" s="3" cm="1">
        <f t="array" ref="N2:N122">_xll.FDS(N1,"FMA_DIV_YLD(NTMA,-10AY,0,AM,""PORTAGG"",""MEANR"")")</f>
        <v>3.7721589548540599</v>
      </c>
    </row>
    <row r="3" spans="1:14" x14ac:dyDescent="0.35">
      <c r="A3" s="2">
        <v>41946</v>
      </c>
      <c r="B3" s="3">
        <v>4.4807979187378102</v>
      </c>
      <c r="C3" s="3">
        <v>4.85422559416702</v>
      </c>
      <c r="D3" s="3">
        <v>2.98521311091916</v>
      </c>
      <c r="E3" s="3">
        <v>3.29149232304021</v>
      </c>
      <c r="F3" s="3">
        <v>2.0241710661743002</v>
      </c>
      <c r="G3" s="3">
        <v>3.3572619548153599</v>
      </c>
      <c r="H3" s="3">
        <v>4.1339870112416204</v>
      </c>
      <c r="I3" s="3">
        <v>1.22421724965822</v>
      </c>
      <c r="J3" s="3">
        <v>2.1090238803913599</v>
      </c>
      <c r="K3" s="3">
        <v>3.7317560059211798</v>
      </c>
      <c r="L3" s="3">
        <v>3.1184319124898701</v>
      </c>
      <c r="M3" s="3">
        <v>4.2131990503130599</v>
      </c>
      <c r="N3" s="3">
        <v>3.9553050686675002</v>
      </c>
    </row>
    <row r="4" spans="1:14" x14ac:dyDescent="0.35">
      <c r="A4" s="2">
        <v>41976</v>
      </c>
      <c r="B4" s="3">
        <v>4.5194548218346799</v>
      </c>
      <c r="C4" s="3">
        <v>5.0333048638906996</v>
      </c>
      <c r="D4" s="3">
        <v>2.9231418554697299</v>
      </c>
      <c r="E4" s="3">
        <v>3.1312521765517101</v>
      </c>
      <c r="F4" s="3">
        <v>1.9259511745403699</v>
      </c>
      <c r="G4" s="3">
        <v>3.2357525011997801</v>
      </c>
      <c r="H4" s="3">
        <v>4.0262843148344896</v>
      </c>
      <c r="I4" s="3">
        <v>1.1972759183730799</v>
      </c>
      <c r="J4" s="3">
        <v>2.0701994585330299</v>
      </c>
      <c r="K4" s="3">
        <v>3.5562654934880502</v>
      </c>
      <c r="L4" s="3">
        <v>2.9877518162605501</v>
      </c>
      <c r="M4" s="3">
        <v>4.0679930278504699</v>
      </c>
      <c r="N4" s="3">
        <v>3.8241631734250698</v>
      </c>
    </row>
    <row r="5" spans="1:14" x14ac:dyDescent="0.35">
      <c r="A5" s="2">
        <v>42006</v>
      </c>
      <c r="B5" s="3">
        <v>4.4358679634783202</v>
      </c>
      <c r="C5" s="3">
        <v>4.9561055006104802</v>
      </c>
      <c r="D5" s="3">
        <v>2.9062713291534599</v>
      </c>
      <c r="E5" s="3">
        <v>3.2067397206617598</v>
      </c>
      <c r="F5" s="3">
        <v>1.9823228051247399</v>
      </c>
      <c r="G5" s="3">
        <v>3.31217177074199</v>
      </c>
      <c r="H5" s="3">
        <v>4.1700632662538801</v>
      </c>
      <c r="I5" s="3">
        <v>1.2078907210396901</v>
      </c>
      <c r="J5" s="3">
        <v>2.1022932342426501</v>
      </c>
      <c r="K5" s="3">
        <v>3.6491623084804501</v>
      </c>
      <c r="L5" s="3">
        <v>3.0814615464786699</v>
      </c>
      <c r="M5" s="3">
        <v>4.0974509664979504</v>
      </c>
      <c r="N5" s="3">
        <v>4.0613458766300203</v>
      </c>
    </row>
    <row r="6" spans="1:14" x14ac:dyDescent="0.35">
      <c r="A6" s="2">
        <v>42038</v>
      </c>
      <c r="B6" s="3">
        <v>4.2904739071005098</v>
      </c>
      <c r="C6" s="3">
        <v>4.7644842401532301</v>
      </c>
      <c r="D6" s="3">
        <v>2.8779754773955002</v>
      </c>
      <c r="E6" s="3">
        <v>2.9018204243173198</v>
      </c>
      <c r="F6" s="3">
        <v>2.03957274813629</v>
      </c>
      <c r="G6" s="3">
        <v>3.34670568364244</v>
      </c>
      <c r="H6" s="3">
        <v>4.0018855289011803</v>
      </c>
      <c r="I6" s="3">
        <v>1.2190123700027899</v>
      </c>
      <c r="J6" s="3">
        <v>2.1329956123745202</v>
      </c>
      <c r="K6" s="3">
        <v>3.3132797084393601</v>
      </c>
      <c r="L6" s="3">
        <v>2.8945188755305802</v>
      </c>
      <c r="M6" s="3">
        <v>3.7992739210742301</v>
      </c>
      <c r="N6" s="3">
        <v>3.68790629550577</v>
      </c>
    </row>
    <row r="7" spans="1:14" x14ac:dyDescent="0.35">
      <c r="A7" s="2">
        <v>42066</v>
      </c>
      <c r="B7" s="3">
        <v>4.2571279050879296</v>
      </c>
      <c r="C7" s="3">
        <v>4.5446771262493701</v>
      </c>
      <c r="D7" s="3">
        <v>2.8705170645204898</v>
      </c>
      <c r="E7" s="3">
        <v>2.8073884646224001</v>
      </c>
      <c r="F7" s="3">
        <v>1.8757209406611901</v>
      </c>
      <c r="G7" s="3">
        <v>3.1880775766601701</v>
      </c>
      <c r="H7" s="3">
        <v>3.9176142230588802</v>
      </c>
      <c r="I7" s="3">
        <v>1.2062288480402801</v>
      </c>
      <c r="J7" s="3">
        <v>2.1257409314207498</v>
      </c>
      <c r="K7" s="3">
        <v>3.2032843152105301</v>
      </c>
      <c r="L7" s="3">
        <v>2.7268320425967199</v>
      </c>
      <c r="M7" s="3">
        <v>3.6687469386581002</v>
      </c>
      <c r="N7" s="3">
        <v>3.4927146655092001</v>
      </c>
    </row>
    <row r="8" spans="1:14" x14ac:dyDescent="0.35">
      <c r="A8" s="2">
        <v>42096</v>
      </c>
      <c r="B8" s="3">
        <v>4.4138014957123</v>
      </c>
      <c r="C8" s="3">
        <v>4.6105427087076096</v>
      </c>
      <c r="D8" s="3">
        <v>2.8898505926306899</v>
      </c>
      <c r="E8" s="3">
        <v>2.6897686403498202</v>
      </c>
      <c r="F8" s="3">
        <v>1.87306489716522</v>
      </c>
      <c r="G8" s="3">
        <v>3.1310947975759502</v>
      </c>
      <c r="H8" s="3">
        <v>4.0204209325582001</v>
      </c>
      <c r="I8" s="3">
        <v>1.2822542300114801</v>
      </c>
      <c r="J8" s="3">
        <v>2.18037388974949</v>
      </c>
      <c r="K8" s="3">
        <v>3.1690834870554498</v>
      </c>
      <c r="L8" s="3">
        <v>2.6544686056369402</v>
      </c>
      <c r="M8" s="3">
        <v>3.6593769068961501</v>
      </c>
      <c r="N8" s="3">
        <v>3.1316035807262699</v>
      </c>
    </row>
    <row r="9" spans="1:14" x14ac:dyDescent="0.35">
      <c r="A9" s="2">
        <v>42125</v>
      </c>
      <c r="B9" s="3">
        <v>4.4598945635700602</v>
      </c>
      <c r="C9" s="3">
        <v>4.6577473100721498</v>
      </c>
      <c r="D9" s="3">
        <v>2.8202352580427501</v>
      </c>
      <c r="E9" s="3">
        <v>2.8582508474297699</v>
      </c>
      <c r="F9" s="3">
        <v>1.8620372573981501</v>
      </c>
      <c r="G9" s="3">
        <v>3.09952287960115</v>
      </c>
      <c r="H9" s="3">
        <v>3.9072735492385302</v>
      </c>
      <c r="I9" s="3">
        <v>1.2376520692410999</v>
      </c>
      <c r="J9" s="3">
        <v>2.1493103173069601</v>
      </c>
      <c r="K9" s="3">
        <v>3.2503279245133299</v>
      </c>
      <c r="L9" s="3">
        <v>2.7461343999879002</v>
      </c>
      <c r="M9" s="3">
        <v>3.7982988881022099</v>
      </c>
      <c r="N9" s="3">
        <v>3.19624753464953</v>
      </c>
    </row>
    <row r="10" spans="1:14" x14ac:dyDescent="0.35">
      <c r="A10" s="2">
        <v>42158</v>
      </c>
      <c r="B10" s="3">
        <v>4.4286137309256297</v>
      </c>
      <c r="C10" s="3">
        <v>4.8526265810220002</v>
      </c>
      <c r="D10" s="3">
        <v>2.87427391901491</v>
      </c>
      <c r="E10" s="3">
        <v>2.9415571695582901</v>
      </c>
      <c r="F10" s="3">
        <v>1.84804773331924</v>
      </c>
      <c r="G10" s="3">
        <v>3.1151079274239901</v>
      </c>
      <c r="H10" s="3">
        <v>3.9421065207372301</v>
      </c>
      <c r="I10" s="3">
        <v>1.2362569535300201</v>
      </c>
      <c r="J10" s="3">
        <v>2.1549338503662399</v>
      </c>
      <c r="K10" s="3">
        <v>3.27054802215561</v>
      </c>
      <c r="L10" s="3">
        <v>2.8557304486542598</v>
      </c>
      <c r="M10" s="3">
        <v>3.8013687241431602</v>
      </c>
      <c r="N10" s="3">
        <v>3.1967001916298501</v>
      </c>
    </row>
    <row r="11" spans="1:14" x14ac:dyDescent="0.35">
      <c r="A11" s="2">
        <v>42187</v>
      </c>
      <c r="B11" s="3">
        <v>4.6118671941691503</v>
      </c>
      <c r="C11" s="3">
        <v>4.85649458853878</v>
      </c>
      <c r="D11" s="3">
        <v>3.0015151753047</v>
      </c>
      <c r="E11" s="3">
        <v>3.05685616476568</v>
      </c>
      <c r="F11" s="3">
        <v>1.9015929706569401</v>
      </c>
      <c r="G11" s="3">
        <v>3.2380626026624202</v>
      </c>
      <c r="H11" s="3">
        <v>4.1442046729690496</v>
      </c>
      <c r="I11" s="3">
        <v>1.2612209277419599</v>
      </c>
      <c r="J11" s="3">
        <v>2.19149921343609</v>
      </c>
      <c r="K11" s="3">
        <v>3.4291090081297502</v>
      </c>
      <c r="L11" s="3">
        <v>2.9503104836919598</v>
      </c>
      <c r="M11" s="3">
        <v>4.0262084881765796</v>
      </c>
      <c r="N11" s="3">
        <v>3.3237778299065299</v>
      </c>
    </row>
    <row r="12" spans="1:14" x14ac:dyDescent="0.35">
      <c r="A12" s="2">
        <v>42219</v>
      </c>
      <c r="B12" s="3">
        <v>4.5207221465803</v>
      </c>
      <c r="C12" s="3">
        <v>4.8313293781737396</v>
      </c>
      <c r="D12" s="3">
        <v>3.0649305966909801</v>
      </c>
      <c r="E12" s="3">
        <v>2.98252985474319</v>
      </c>
      <c r="F12" s="3">
        <v>1.90053470849988</v>
      </c>
      <c r="G12" s="3">
        <v>3.0951290266788098</v>
      </c>
      <c r="H12" s="3">
        <v>4.0999941365981698</v>
      </c>
      <c r="I12" s="3">
        <v>1.2651176106648601</v>
      </c>
      <c r="J12" s="3">
        <v>2.1952272287066301</v>
      </c>
      <c r="K12" s="3">
        <v>3.2719707123064499</v>
      </c>
      <c r="L12" s="3">
        <v>2.8577645647363101</v>
      </c>
      <c r="M12" s="3">
        <v>3.9557334333976599</v>
      </c>
      <c r="N12" s="3">
        <v>3.1010379440181</v>
      </c>
    </row>
    <row r="13" spans="1:14" x14ac:dyDescent="0.35">
      <c r="A13" s="2">
        <v>42250</v>
      </c>
      <c r="B13" s="3">
        <v>5.1912359789459002</v>
      </c>
      <c r="C13" s="3">
        <v>5.5058534973764797</v>
      </c>
      <c r="D13" s="3">
        <v>3.2251453576231599</v>
      </c>
      <c r="E13" s="3">
        <v>3.3132062312609101</v>
      </c>
      <c r="F13" s="3">
        <v>2.1622829306296598</v>
      </c>
      <c r="G13" s="3">
        <v>3.3453155789056699</v>
      </c>
      <c r="H13" s="3">
        <v>4.4531027877832896</v>
      </c>
      <c r="I13" s="3">
        <v>1.37565929345392</v>
      </c>
      <c r="J13" s="3">
        <v>2.3779476557055399</v>
      </c>
      <c r="K13" s="3">
        <v>3.6160294369863499</v>
      </c>
      <c r="L13" s="3">
        <v>3.3931499547169501</v>
      </c>
      <c r="M13" s="3">
        <v>4.2925499315562101</v>
      </c>
      <c r="N13" s="3">
        <v>3.3356906381757598</v>
      </c>
    </row>
    <row r="14" spans="1:14" x14ac:dyDescent="0.35">
      <c r="A14" s="2">
        <v>42279</v>
      </c>
      <c r="B14" s="3">
        <v>5.2983767660273404</v>
      </c>
      <c r="C14" s="3">
        <v>5.4549610302002796</v>
      </c>
      <c r="D14" s="3">
        <v>3.3054713154918698</v>
      </c>
      <c r="E14" s="3">
        <v>3.51099814566017</v>
      </c>
      <c r="F14" s="3">
        <v>2.2133136853556601</v>
      </c>
      <c r="G14" s="3">
        <v>3.43939997398871</v>
      </c>
      <c r="H14" s="3">
        <v>4.4296831846613296</v>
      </c>
      <c r="I14" s="3">
        <v>1.3672001617655101</v>
      </c>
      <c r="J14" s="3">
        <v>2.3819927400980299</v>
      </c>
      <c r="K14" s="3">
        <v>3.75713712725147</v>
      </c>
      <c r="L14" s="3">
        <v>3.5927448490592102</v>
      </c>
      <c r="M14" s="3">
        <v>4.5713656665182398</v>
      </c>
      <c r="N14" s="3">
        <v>3.69527891923271</v>
      </c>
    </row>
    <row r="15" spans="1:14" x14ac:dyDescent="0.35">
      <c r="A15" s="2">
        <v>42311</v>
      </c>
      <c r="B15" s="3">
        <v>4.8879858064838899</v>
      </c>
      <c r="C15" s="3">
        <v>5.2374718222577004</v>
      </c>
      <c r="D15" s="3">
        <v>3.2219712919730399</v>
      </c>
      <c r="E15" s="3">
        <v>2.96691579204998</v>
      </c>
      <c r="F15" s="3">
        <v>2.0984416088250799</v>
      </c>
      <c r="G15" s="3">
        <v>3.24761114728144</v>
      </c>
      <c r="H15" s="3">
        <v>4.2290473621235201</v>
      </c>
      <c r="I15" s="3">
        <v>1.24977922506572</v>
      </c>
      <c r="J15" s="3">
        <v>2.2175933145600499</v>
      </c>
      <c r="K15" s="3">
        <v>3.4124738292949601</v>
      </c>
      <c r="L15" s="3">
        <v>3.2117300262589099</v>
      </c>
      <c r="M15" s="3">
        <v>4.1847344757009397</v>
      </c>
      <c r="N15" s="3">
        <v>3.5592563028515101</v>
      </c>
    </row>
    <row r="16" spans="1:14" x14ac:dyDescent="0.35">
      <c r="A16" s="2">
        <v>42341</v>
      </c>
      <c r="B16" s="3">
        <v>4.7673826923087397</v>
      </c>
      <c r="C16" s="3">
        <v>5.2099580132190599</v>
      </c>
      <c r="D16" s="3">
        <v>3.32222507493554</v>
      </c>
      <c r="E16" s="3">
        <v>3.0134597768151301</v>
      </c>
      <c r="F16" s="3">
        <v>2.0139758766746301</v>
      </c>
      <c r="G16" s="3">
        <v>3.2684304395937498</v>
      </c>
      <c r="H16" s="3">
        <v>4.2658509820656096</v>
      </c>
      <c r="I16" s="3">
        <v>1.2892221500907199</v>
      </c>
      <c r="J16" s="3">
        <v>2.3103803456625802</v>
      </c>
      <c r="K16" s="3">
        <v>3.52499360859415</v>
      </c>
      <c r="L16" s="3">
        <v>3.2420619551524301</v>
      </c>
      <c r="M16" s="3">
        <v>4.16408975027585</v>
      </c>
      <c r="N16" s="3">
        <v>3.6541410998390802</v>
      </c>
    </row>
    <row r="17" spans="1:14" x14ac:dyDescent="0.35">
      <c r="A17" s="2">
        <v>42369</v>
      </c>
      <c r="B17" s="3">
        <v>4.7251598090588898</v>
      </c>
      <c r="C17" s="3">
        <v>5.0962560197721301</v>
      </c>
      <c r="D17" s="3">
        <v>3.3535405693636999</v>
      </c>
      <c r="E17" s="3">
        <v>3.0291933924976502</v>
      </c>
      <c r="F17" s="3">
        <v>2.09547306420622</v>
      </c>
      <c r="G17" s="3">
        <v>3.2704094504136698</v>
      </c>
      <c r="H17" s="3">
        <v>4.3085630194237696</v>
      </c>
      <c r="I17" s="3">
        <v>1.2599780433658301</v>
      </c>
      <c r="J17" s="3">
        <v>2.3146834111961798</v>
      </c>
      <c r="K17" s="3">
        <v>3.60193863288813</v>
      </c>
      <c r="L17" s="3">
        <v>3.1578447626867199</v>
      </c>
      <c r="M17" s="3">
        <v>4.3132758780682803</v>
      </c>
      <c r="N17" s="3">
        <v>3.8318095522954301</v>
      </c>
    </row>
    <row r="18" spans="1:14" x14ac:dyDescent="0.35">
      <c r="A18" s="2">
        <v>42403</v>
      </c>
      <c r="B18" s="3">
        <v>4.8721183711431904</v>
      </c>
      <c r="C18" s="3">
        <v>5.2705361159364603</v>
      </c>
      <c r="D18" s="3">
        <v>3.4317361519599299</v>
      </c>
      <c r="E18" s="3">
        <v>3.4668255600265798</v>
      </c>
      <c r="F18" s="3">
        <v>2.3246959055071001</v>
      </c>
      <c r="G18" s="3">
        <v>3.48544377818477</v>
      </c>
      <c r="H18" s="3">
        <v>4.5735085197624699</v>
      </c>
      <c r="I18" s="3">
        <v>1.3967548313539799</v>
      </c>
      <c r="J18" s="3">
        <v>2.4518202590146898</v>
      </c>
      <c r="K18" s="3">
        <v>3.9241100655996202</v>
      </c>
      <c r="L18" s="3">
        <v>3.4425380479822398</v>
      </c>
      <c r="M18" s="3">
        <v>4.6270629614260903</v>
      </c>
      <c r="N18" s="3">
        <v>4.6542660080337299</v>
      </c>
    </row>
    <row r="19" spans="1:14" x14ac:dyDescent="0.35">
      <c r="A19" s="2">
        <v>42432</v>
      </c>
      <c r="B19" s="3">
        <v>4.7622127119359297</v>
      </c>
      <c r="C19" s="3">
        <v>4.8182558240600102</v>
      </c>
      <c r="D19" s="3">
        <v>3.2773672473517999</v>
      </c>
      <c r="E19" s="3">
        <v>3.3798479357001301</v>
      </c>
      <c r="F19" s="3">
        <v>2.3443590055868402</v>
      </c>
      <c r="G19" s="3">
        <v>3.50360054526098</v>
      </c>
      <c r="H19" s="3">
        <v>4.4350069119178404</v>
      </c>
      <c r="I19" s="3">
        <v>1.3743376388730799</v>
      </c>
      <c r="J19" s="3">
        <v>2.4751977345461702</v>
      </c>
      <c r="K19" s="3">
        <v>3.7691028221148599</v>
      </c>
      <c r="L19" s="3">
        <v>3.3384564413399</v>
      </c>
      <c r="M19" s="3">
        <v>4.3159619004712404</v>
      </c>
      <c r="N19" s="3">
        <v>4.3108827382471198</v>
      </c>
    </row>
    <row r="20" spans="1:14" x14ac:dyDescent="0.35">
      <c r="A20" s="2">
        <v>42461</v>
      </c>
      <c r="B20" s="3">
        <v>4.57794648713835</v>
      </c>
      <c r="C20" s="3">
        <v>4.9281671105948801</v>
      </c>
      <c r="D20" s="3">
        <v>3.1672246817146501</v>
      </c>
      <c r="E20" s="3">
        <v>3.34682933835506</v>
      </c>
      <c r="F20" s="3">
        <v>2.4842972603484799</v>
      </c>
      <c r="G20" s="3">
        <v>3.59224856747807</v>
      </c>
      <c r="H20" s="3">
        <v>4.3902824733654997</v>
      </c>
      <c r="I20" s="3">
        <v>1.3186627844285399</v>
      </c>
      <c r="J20" s="3">
        <v>2.2917987413403398</v>
      </c>
      <c r="K20" s="3">
        <v>3.8170459736460298</v>
      </c>
      <c r="L20" s="3">
        <v>3.33589768325509</v>
      </c>
      <c r="M20" s="3">
        <v>4.4073417807199604</v>
      </c>
      <c r="N20" s="3">
        <v>4.5018122358865904</v>
      </c>
    </row>
    <row r="21" spans="1:14" x14ac:dyDescent="0.35">
      <c r="A21" s="2">
        <v>42493</v>
      </c>
      <c r="B21" s="3">
        <v>4.5637476877716896</v>
      </c>
      <c r="C21" s="3">
        <v>4.5592305514669</v>
      </c>
      <c r="D21" s="3">
        <v>3.10738988839325</v>
      </c>
      <c r="E21" s="3">
        <v>3.3438771353883499</v>
      </c>
      <c r="F21" s="3">
        <v>2.4687207671115701</v>
      </c>
      <c r="G21" s="3">
        <v>3.5321305849511502</v>
      </c>
      <c r="H21" s="3">
        <v>4.3242750767458897</v>
      </c>
      <c r="I21" s="3">
        <v>1.3904784227371101</v>
      </c>
      <c r="J21" s="3">
        <v>2.2927014117324598</v>
      </c>
      <c r="K21" s="3">
        <v>3.7679454031644601</v>
      </c>
      <c r="L21" s="3">
        <v>3.41851989300593</v>
      </c>
      <c r="M21" s="3">
        <v>4.4592777296826496</v>
      </c>
      <c r="N21" s="3">
        <v>4.4709895932709296</v>
      </c>
    </row>
    <row r="22" spans="1:14" x14ac:dyDescent="0.35">
      <c r="A22" s="2">
        <v>42524</v>
      </c>
      <c r="B22" s="3">
        <v>4.3243854089323799</v>
      </c>
      <c r="C22" s="3">
        <v>4.6073685139404503</v>
      </c>
      <c r="D22" s="3">
        <v>3.0146854903203102</v>
      </c>
      <c r="E22" s="3">
        <v>3.3264989388852499</v>
      </c>
      <c r="F22" s="3">
        <v>2.3645745513007199</v>
      </c>
      <c r="G22" s="3">
        <v>3.4711195277941602</v>
      </c>
      <c r="H22" s="3">
        <v>4.2939492948551203</v>
      </c>
      <c r="I22" s="3">
        <v>1.34556864664874</v>
      </c>
      <c r="J22" s="3">
        <v>2.2720847472371499</v>
      </c>
      <c r="K22" s="3">
        <v>3.74099399348952</v>
      </c>
      <c r="L22" s="3">
        <v>3.15820379646118</v>
      </c>
      <c r="M22" s="3">
        <v>4.4492085155359398</v>
      </c>
      <c r="N22" s="3">
        <v>4.6806841080965702</v>
      </c>
    </row>
    <row r="23" spans="1:14" x14ac:dyDescent="0.35">
      <c r="A23" s="2">
        <v>42552</v>
      </c>
      <c r="B23" s="3">
        <v>4.39813902459698</v>
      </c>
      <c r="C23" s="3">
        <v>4.6711015072447699</v>
      </c>
      <c r="D23" s="3">
        <v>3.0768974137006002</v>
      </c>
      <c r="E23" s="3">
        <v>3.4509056450175302</v>
      </c>
      <c r="F23" s="3">
        <v>2.5223679725129</v>
      </c>
      <c r="G23" s="3">
        <v>3.5203014955333001</v>
      </c>
      <c r="H23" s="3">
        <v>4.1832785336422598</v>
      </c>
      <c r="I23" s="3">
        <v>1.35862473258535</v>
      </c>
      <c r="J23" s="3">
        <v>2.2767591215617702</v>
      </c>
      <c r="K23" s="3">
        <v>3.8749892885785799</v>
      </c>
      <c r="L23" s="3">
        <v>3.3296145943365199</v>
      </c>
      <c r="M23" s="3">
        <v>4.4598482880517798</v>
      </c>
      <c r="N23" s="3">
        <v>4.95911206174502</v>
      </c>
    </row>
    <row r="24" spans="1:14" x14ac:dyDescent="0.35">
      <c r="A24" s="2">
        <v>42585</v>
      </c>
      <c r="B24" s="3">
        <v>4.1879820420764604</v>
      </c>
      <c r="C24" s="3">
        <v>4.5166154247078198</v>
      </c>
      <c r="D24" s="3">
        <v>2.99145073288157</v>
      </c>
      <c r="E24" s="3">
        <v>3.31619870470981</v>
      </c>
      <c r="F24" s="3">
        <v>2.4778574899110501</v>
      </c>
      <c r="G24" s="3">
        <v>3.5420454046653398</v>
      </c>
      <c r="H24" s="3">
        <v>4.1718838145992896</v>
      </c>
      <c r="I24" s="3">
        <v>1.28967827763806</v>
      </c>
      <c r="J24" s="3">
        <v>2.22053303408092</v>
      </c>
      <c r="K24" s="3">
        <v>3.83046523987379</v>
      </c>
      <c r="L24" s="3">
        <v>3.2460366603740201</v>
      </c>
      <c r="M24" s="3">
        <v>4.4161341073320299</v>
      </c>
      <c r="N24" s="3">
        <v>4.9375074870327502</v>
      </c>
    </row>
    <row r="25" spans="1:14" x14ac:dyDescent="0.35">
      <c r="A25" s="2">
        <v>42615</v>
      </c>
      <c r="B25" s="3">
        <v>4.1999024551795703</v>
      </c>
      <c r="C25" s="3">
        <v>4.5823608241987204</v>
      </c>
      <c r="D25" s="3">
        <v>2.9357004564537701</v>
      </c>
      <c r="E25" s="3">
        <v>3.1575918083706598</v>
      </c>
      <c r="F25" s="3">
        <v>2.3410050025581901</v>
      </c>
      <c r="G25" s="3">
        <v>3.4282207094856698</v>
      </c>
      <c r="H25" s="3">
        <v>4.0356491162386998</v>
      </c>
      <c r="I25" s="3">
        <v>1.28338731892531</v>
      </c>
      <c r="J25" s="3">
        <v>2.21341278146833</v>
      </c>
      <c r="K25" s="3">
        <v>3.65727704865518</v>
      </c>
      <c r="L25" s="3">
        <v>3.0671957463802402</v>
      </c>
      <c r="M25" s="3">
        <v>4.1854020946983601</v>
      </c>
      <c r="N25" s="3">
        <v>4.71141530882967</v>
      </c>
    </row>
    <row r="26" spans="1:14" x14ac:dyDescent="0.35">
      <c r="A26" s="2">
        <v>42646</v>
      </c>
      <c r="B26" s="3">
        <v>4.3006986416512198</v>
      </c>
      <c r="C26" s="3">
        <v>4.5124522415644703</v>
      </c>
      <c r="D26" s="3">
        <v>2.94526434357704</v>
      </c>
      <c r="E26" s="3">
        <v>3.1737981095502499</v>
      </c>
      <c r="F26" s="3">
        <v>2.39636736824108</v>
      </c>
      <c r="G26" s="3">
        <v>3.4872416559130199</v>
      </c>
      <c r="H26" s="3">
        <v>4.1316194838543598</v>
      </c>
      <c r="I26" s="3">
        <v>1.26303933969636</v>
      </c>
      <c r="J26" s="3">
        <v>2.2285150019959801</v>
      </c>
      <c r="K26" s="3">
        <v>3.7308925254310998</v>
      </c>
      <c r="L26" s="3">
        <v>3.1139792634947399</v>
      </c>
      <c r="M26" s="3">
        <v>4.1766789037486198</v>
      </c>
      <c r="N26" s="3">
        <v>5.0169716792327801</v>
      </c>
    </row>
    <row r="27" spans="1:14" x14ac:dyDescent="0.35">
      <c r="A27" s="2">
        <v>42677</v>
      </c>
      <c r="B27" s="3">
        <v>4.7021579202101504</v>
      </c>
      <c r="C27" s="3">
        <v>4.7313309502564698</v>
      </c>
      <c r="D27" s="3">
        <v>2.97757999255185</v>
      </c>
      <c r="E27" s="3">
        <v>3.2546650101221402</v>
      </c>
      <c r="F27" s="3">
        <v>2.3498084593336102</v>
      </c>
      <c r="G27" s="3">
        <v>3.7022976194460799</v>
      </c>
      <c r="H27" s="3">
        <v>4.4184274190020396</v>
      </c>
      <c r="I27" s="3">
        <v>1.3261576443191301</v>
      </c>
      <c r="J27" s="3">
        <v>2.3188815070175499</v>
      </c>
      <c r="K27" s="3">
        <v>3.8105080213972902</v>
      </c>
      <c r="L27" s="3">
        <v>3.2216346928560702</v>
      </c>
      <c r="M27" s="3">
        <v>4.1995885995661304</v>
      </c>
      <c r="N27" s="3">
        <v>4.9823389807444904</v>
      </c>
    </row>
    <row r="28" spans="1:14" x14ac:dyDescent="0.35">
      <c r="A28" s="2">
        <v>42706</v>
      </c>
      <c r="B28" s="3">
        <v>4.5771612799335903</v>
      </c>
      <c r="C28" s="3">
        <v>4.5921258937981202</v>
      </c>
      <c r="D28" s="3">
        <v>2.8850908089866398</v>
      </c>
      <c r="E28" s="3">
        <v>3.2270697440505201</v>
      </c>
      <c r="F28" s="3">
        <v>2.1676026399486101</v>
      </c>
      <c r="G28" s="3">
        <v>3.7163069981916199</v>
      </c>
      <c r="H28" s="3">
        <v>4.4379286725315099</v>
      </c>
      <c r="I28" s="3">
        <v>1.3159234002306099</v>
      </c>
      <c r="J28" s="3">
        <v>2.2232763064649599</v>
      </c>
      <c r="K28" s="3">
        <v>3.6935932302750398</v>
      </c>
      <c r="L28" s="3">
        <v>3.1743143630295698</v>
      </c>
      <c r="M28" s="3">
        <v>4.03949567137985</v>
      </c>
      <c r="N28" s="3">
        <v>4.8237432990970799</v>
      </c>
    </row>
    <row r="29" spans="1:14" x14ac:dyDescent="0.35">
      <c r="A29" s="2">
        <v>42738</v>
      </c>
      <c r="B29" s="3">
        <v>4.6533453360717099</v>
      </c>
      <c r="C29" s="3">
        <v>4.4804584858363601</v>
      </c>
      <c r="D29" s="3">
        <v>2.8295677385203102</v>
      </c>
      <c r="E29" s="3">
        <v>2.9516324100592901</v>
      </c>
      <c r="F29" s="3">
        <v>2.1260854591654299</v>
      </c>
      <c r="G29" s="3">
        <v>3.5335455042321202</v>
      </c>
      <c r="H29" s="3">
        <v>4.2650837050555097</v>
      </c>
      <c r="I29" s="3">
        <v>1.2895787712346301</v>
      </c>
      <c r="J29" s="3">
        <v>2.1712363915202801</v>
      </c>
      <c r="K29" s="3">
        <v>3.4463675806176401</v>
      </c>
      <c r="L29" s="3">
        <v>2.9360163292967898</v>
      </c>
      <c r="M29" s="3">
        <v>3.85646974265457</v>
      </c>
      <c r="N29" s="3">
        <v>4.2389499586721602</v>
      </c>
    </row>
    <row r="30" spans="1:14" x14ac:dyDescent="0.35">
      <c r="A30" s="2">
        <v>42769</v>
      </c>
      <c r="B30" s="3">
        <v>4.4877159654301799</v>
      </c>
      <c r="C30" s="3">
        <v>4.5826792781228098</v>
      </c>
      <c r="D30" s="3">
        <v>2.8248768484555198</v>
      </c>
      <c r="E30" s="3">
        <v>2.96780169636894</v>
      </c>
      <c r="F30" s="3">
        <v>2.1650400585982998</v>
      </c>
      <c r="G30" s="3">
        <v>3.4472700678564099</v>
      </c>
      <c r="H30" s="3">
        <v>4.2925041356029903</v>
      </c>
      <c r="I30" s="3">
        <v>1.2389942599388299</v>
      </c>
      <c r="J30" s="3">
        <v>2.15382596381122</v>
      </c>
      <c r="K30" s="3">
        <v>3.48467204640201</v>
      </c>
      <c r="L30" s="3">
        <v>2.9453471749987998</v>
      </c>
      <c r="M30" s="3">
        <v>3.6798441314298702</v>
      </c>
      <c r="N30" s="3">
        <v>4.3562680021264697</v>
      </c>
    </row>
    <row r="31" spans="1:14" x14ac:dyDescent="0.35">
      <c r="A31" s="2">
        <v>42797</v>
      </c>
      <c r="B31" s="3">
        <v>4.5385388196988501</v>
      </c>
      <c r="C31" s="3">
        <v>4.5658548654995403</v>
      </c>
      <c r="D31" s="3">
        <v>2.87954070619418</v>
      </c>
      <c r="E31" s="3">
        <v>2.9145313297344502</v>
      </c>
      <c r="F31" s="3">
        <v>2.1333885394956198</v>
      </c>
      <c r="G31" s="3">
        <v>3.3496627877658298</v>
      </c>
      <c r="H31" s="3">
        <v>4.28452968118164</v>
      </c>
      <c r="I31" s="3">
        <v>1.2159597853727699</v>
      </c>
      <c r="J31" s="3">
        <v>2.0887819076200702</v>
      </c>
      <c r="K31" s="3">
        <v>3.43312872630518</v>
      </c>
      <c r="L31" s="3">
        <v>2.81676394391233</v>
      </c>
      <c r="M31" s="3">
        <v>3.6383066445052101</v>
      </c>
      <c r="N31" s="3">
        <v>4.0599035047738896</v>
      </c>
    </row>
    <row r="32" spans="1:14" x14ac:dyDescent="0.35">
      <c r="A32" s="2">
        <v>42828</v>
      </c>
      <c r="B32" s="3">
        <v>4.5582591150527998</v>
      </c>
      <c r="C32" s="3">
        <v>4.5007731460078304</v>
      </c>
      <c r="D32" s="3">
        <v>2.9125666592835899</v>
      </c>
      <c r="E32" s="3">
        <v>2.9234380346166202</v>
      </c>
      <c r="F32" s="3">
        <v>2.2182062810593401</v>
      </c>
      <c r="G32" s="3">
        <v>3.4309542375948898</v>
      </c>
      <c r="H32" s="3">
        <v>4.3563322593258098</v>
      </c>
      <c r="I32" s="3">
        <v>1.20844145400015</v>
      </c>
      <c r="J32" s="3">
        <v>2.1212892046365699</v>
      </c>
      <c r="K32" s="3">
        <v>3.3746151644741702</v>
      </c>
      <c r="L32" s="3">
        <v>2.7725689748020201</v>
      </c>
      <c r="M32" s="3">
        <v>3.6685909311425</v>
      </c>
      <c r="N32" s="3">
        <v>3.9546141353056798</v>
      </c>
    </row>
    <row r="33" spans="1:14" x14ac:dyDescent="0.35">
      <c r="A33" s="2">
        <v>42858</v>
      </c>
      <c r="B33" s="3">
        <v>4.4742230486574597</v>
      </c>
      <c r="C33" s="3">
        <v>4.4977774144259604</v>
      </c>
      <c r="D33" s="3">
        <v>2.94411157135632</v>
      </c>
      <c r="E33" s="3">
        <v>2.89131693492007</v>
      </c>
      <c r="F33" s="3">
        <v>2.1895178730820799</v>
      </c>
      <c r="G33" s="3">
        <v>3.3533762284136199</v>
      </c>
      <c r="H33" s="3">
        <v>4.3743675802878297</v>
      </c>
      <c r="I33" s="3">
        <v>1.1827018937454701</v>
      </c>
      <c r="J33" s="3">
        <v>2.1075624396611699</v>
      </c>
      <c r="K33" s="3">
        <v>3.2481281194944298</v>
      </c>
      <c r="L33" s="3">
        <v>2.7149031795381098</v>
      </c>
      <c r="M33" s="3">
        <v>3.5210179156206598</v>
      </c>
      <c r="N33" s="3">
        <v>3.8949581184164099</v>
      </c>
    </row>
    <row r="34" spans="1:14" x14ac:dyDescent="0.35">
      <c r="A34" s="2">
        <v>42888</v>
      </c>
      <c r="B34" s="3">
        <v>4.4118676527318099</v>
      </c>
      <c r="C34" s="3">
        <v>4.6112418730562599</v>
      </c>
      <c r="D34" s="3">
        <v>2.9794980092830601</v>
      </c>
      <c r="E34" s="3">
        <v>2.8934581401345598</v>
      </c>
      <c r="F34" s="3">
        <v>2.13768306048346</v>
      </c>
      <c r="G34" s="3">
        <v>3.2691637748831499</v>
      </c>
      <c r="H34" s="3">
        <v>4.2203661247031103</v>
      </c>
      <c r="I34" s="3">
        <v>1.1410321241391701</v>
      </c>
      <c r="J34" s="3">
        <v>2.0749453225239698</v>
      </c>
      <c r="K34" s="3">
        <v>3.2257745583614801</v>
      </c>
      <c r="L34" s="3">
        <v>2.6927038252585902</v>
      </c>
      <c r="M34" s="3">
        <v>3.3660431580176899</v>
      </c>
      <c r="N34" s="3">
        <v>3.79358750966842</v>
      </c>
    </row>
    <row r="35" spans="1:14" x14ac:dyDescent="0.35">
      <c r="A35" s="2">
        <v>42919</v>
      </c>
      <c r="B35" s="3">
        <v>4.4072224799542399</v>
      </c>
      <c r="C35" s="3">
        <v>4.6559301981127597</v>
      </c>
      <c r="D35" s="3">
        <v>3.0513431131620399</v>
      </c>
      <c r="E35" s="3">
        <v>3.0004145659501602</v>
      </c>
      <c r="F35" s="3">
        <v>2.1677046596338201</v>
      </c>
      <c r="G35" s="3">
        <v>3.2630517763917402</v>
      </c>
      <c r="H35" s="3">
        <v>4.3235689855315202</v>
      </c>
      <c r="I35" s="3">
        <v>1.21065328104709</v>
      </c>
      <c r="J35" s="3">
        <v>2.1012994409914101</v>
      </c>
      <c r="K35" s="3">
        <v>3.35209483649732</v>
      </c>
      <c r="L35" s="3">
        <v>2.8002921219541399</v>
      </c>
      <c r="M35" s="3">
        <v>3.56050769275156</v>
      </c>
      <c r="N35" s="3">
        <v>3.8099664237187998</v>
      </c>
    </row>
    <row r="36" spans="1:14" x14ac:dyDescent="0.35">
      <c r="A36" s="2">
        <v>42950</v>
      </c>
      <c r="B36" s="3">
        <v>4.3580415509018096</v>
      </c>
      <c r="C36" s="3">
        <v>4.5838844415070898</v>
      </c>
      <c r="D36" s="3">
        <v>3.0341288333745902</v>
      </c>
      <c r="E36" s="3">
        <v>3.0828978642335398</v>
      </c>
      <c r="F36" s="3">
        <v>2.1580811534225699</v>
      </c>
      <c r="G36" s="3">
        <v>3.2487844244961699</v>
      </c>
      <c r="H36" s="3">
        <v>4.2345376696551797</v>
      </c>
      <c r="I36" s="3">
        <v>1.1741862535297101</v>
      </c>
      <c r="J36" s="3">
        <v>2.0854127515638101</v>
      </c>
      <c r="K36" s="3">
        <v>3.3869595890427502</v>
      </c>
      <c r="L36" s="3">
        <v>2.77032091041325</v>
      </c>
      <c r="M36" s="3">
        <v>3.7165302505883502</v>
      </c>
      <c r="N36" s="3">
        <v>3.72052299252876</v>
      </c>
    </row>
    <row r="37" spans="1:14" x14ac:dyDescent="0.35">
      <c r="A37" s="2">
        <v>42979</v>
      </c>
      <c r="B37" s="3">
        <v>4.3877691292458101</v>
      </c>
      <c r="C37" s="3">
        <v>4.5739171505752498</v>
      </c>
      <c r="D37" s="3">
        <v>3.0708359150306999</v>
      </c>
      <c r="E37" s="3">
        <v>3.12476873166622</v>
      </c>
      <c r="F37" s="3">
        <v>2.20887719488853</v>
      </c>
      <c r="G37" s="3">
        <v>3.3196690323312401</v>
      </c>
      <c r="H37" s="3">
        <v>4.3144270116887604</v>
      </c>
      <c r="I37" s="3">
        <v>1.16027732463639</v>
      </c>
      <c r="J37" s="3">
        <v>2.0926726252533601</v>
      </c>
      <c r="K37" s="3">
        <v>3.4048012319706702</v>
      </c>
      <c r="L37" s="3">
        <v>2.86919605885253</v>
      </c>
      <c r="M37" s="3">
        <v>3.7410051753084601</v>
      </c>
      <c r="N37" s="3">
        <v>3.7636520894242902</v>
      </c>
    </row>
    <row r="38" spans="1:14" x14ac:dyDescent="0.35">
      <c r="A38" s="2">
        <v>43011</v>
      </c>
      <c r="B38" s="3">
        <v>4.4206076877883298</v>
      </c>
      <c r="C38" s="3">
        <v>4.6092393743782702</v>
      </c>
      <c r="D38" s="3">
        <v>2.96444028609399</v>
      </c>
      <c r="E38" s="3">
        <v>2.9730289928249101</v>
      </c>
      <c r="F38" s="3">
        <v>2.1538393832725</v>
      </c>
      <c r="G38" s="3">
        <v>3.2354820820586201</v>
      </c>
      <c r="H38" s="3">
        <v>4.2691707747381997</v>
      </c>
      <c r="I38" s="3">
        <v>1.16069592661258</v>
      </c>
      <c r="J38" s="3">
        <v>2.0496229215031501</v>
      </c>
      <c r="K38" s="3">
        <v>3.2782877318449799</v>
      </c>
      <c r="L38" s="3">
        <v>2.7698421344761099</v>
      </c>
      <c r="M38" s="3">
        <v>3.53025046147456</v>
      </c>
      <c r="N38" s="3">
        <v>3.7525672935327701</v>
      </c>
    </row>
    <row r="39" spans="1:14" x14ac:dyDescent="0.35">
      <c r="A39" s="2">
        <v>43042</v>
      </c>
      <c r="B39" s="3">
        <v>4.4075702403316797</v>
      </c>
      <c r="C39" s="3">
        <v>4.4690097871741399</v>
      </c>
      <c r="D39" s="3">
        <v>2.9155958220189202</v>
      </c>
      <c r="E39" s="3">
        <v>2.8528624226719299</v>
      </c>
      <c r="F39" s="3">
        <v>2.0362271998346899</v>
      </c>
      <c r="G39" s="3">
        <v>3.2263265005114699</v>
      </c>
      <c r="H39" s="3">
        <v>4.2861520225808203</v>
      </c>
      <c r="I39" s="3">
        <v>1.11336772703611</v>
      </c>
      <c r="J39" s="3">
        <v>2.02482466402925</v>
      </c>
      <c r="K39" s="3">
        <v>3.2288127284464498</v>
      </c>
      <c r="L39" s="3">
        <v>2.7432985167933799</v>
      </c>
      <c r="M39" s="3">
        <v>3.5137970766270499</v>
      </c>
      <c r="N39" s="3">
        <v>3.7384130467608299</v>
      </c>
    </row>
    <row r="40" spans="1:14" x14ac:dyDescent="0.35">
      <c r="A40" s="2">
        <v>43070</v>
      </c>
      <c r="B40" s="3">
        <v>4.3148540991592599</v>
      </c>
      <c r="C40" s="3">
        <v>4.4972461811548898</v>
      </c>
      <c r="D40" s="3">
        <v>2.9185533096231802</v>
      </c>
      <c r="E40" s="3">
        <v>2.9514935627897199</v>
      </c>
      <c r="F40" s="3">
        <v>2.07112668125357</v>
      </c>
      <c r="G40" s="3">
        <v>3.2504472447529</v>
      </c>
      <c r="H40" s="3">
        <v>4.4051747101623997</v>
      </c>
      <c r="I40" s="3">
        <v>1.10938838728236</v>
      </c>
      <c r="J40" s="3">
        <v>1.9745252714719801</v>
      </c>
      <c r="K40" s="3">
        <v>3.3108365060302001</v>
      </c>
      <c r="L40" s="3">
        <v>2.8724087550228199</v>
      </c>
      <c r="M40" s="3">
        <v>3.7148085578828902</v>
      </c>
      <c r="N40" s="3">
        <v>3.9321922357615899</v>
      </c>
    </row>
    <row r="41" spans="1:14" x14ac:dyDescent="0.35">
      <c r="A41" s="2">
        <v>43103</v>
      </c>
      <c r="B41" s="3">
        <v>4.1992892335261498</v>
      </c>
      <c r="C41" s="3">
        <v>4.4462128222267099</v>
      </c>
      <c r="D41" s="3">
        <v>2.8881943314677101</v>
      </c>
      <c r="E41" s="3">
        <v>2.9395260966211998</v>
      </c>
      <c r="F41" s="3">
        <v>2.06107499225508</v>
      </c>
      <c r="G41" s="3">
        <v>3.1963757515395401</v>
      </c>
      <c r="H41" s="3">
        <v>4.2045266586425596</v>
      </c>
      <c r="I41" s="3">
        <v>1.07251608328371</v>
      </c>
      <c r="J41" s="3">
        <v>1.936775235659</v>
      </c>
      <c r="K41" s="3">
        <v>3.3135319743611902</v>
      </c>
      <c r="L41" s="3">
        <v>2.84269707646851</v>
      </c>
      <c r="M41" s="3">
        <v>3.7418140906214301</v>
      </c>
      <c r="N41" s="3">
        <v>3.9902612257787</v>
      </c>
    </row>
    <row r="42" spans="1:14" x14ac:dyDescent="0.35">
      <c r="A42" s="2">
        <v>43133</v>
      </c>
      <c r="B42" s="3">
        <v>4.1922913911989399</v>
      </c>
      <c r="C42" s="3">
        <v>4.4730608812452299</v>
      </c>
      <c r="D42" s="3">
        <v>3.0344459458536699</v>
      </c>
      <c r="E42" s="3">
        <v>3.03486414155075</v>
      </c>
      <c r="F42" s="3">
        <v>2.03511276396523</v>
      </c>
      <c r="G42" s="3">
        <v>3.2339927761948202</v>
      </c>
      <c r="H42" s="3">
        <v>4.2797272394745001</v>
      </c>
      <c r="I42" s="3">
        <v>1.0631498940693</v>
      </c>
      <c r="J42" s="3">
        <v>1.9280779015741101</v>
      </c>
      <c r="K42" s="3">
        <v>3.2879864495511599</v>
      </c>
      <c r="L42" s="3">
        <v>2.8516294004674898</v>
      </c>
      <c r="M42" s="3">
        <v>3.8127309028438501</v>
      </c>
      <c r="N42" s="3">
        <v>3.8234207733703802</v>
      </c>
    </row>
    <row r="43" spans="1:14" x14ac:dyDescent="0.35">
      <c r="A43" s="2">
        <v>43161</v>
      </c>
      <c r="B43" s="3">
        <v>4.2890364617011603</v>
      </c>
      <c r="C43" s="3">
        <v>4.6655946532039101</v>
      </c>
      <c r="D43" s="3">
        <v>3.1664404485766302</v>
      </c>
      <c r="E43" s="3">
        <v>3.2641544217434202</v>
      </c>
      <c r="F43" s="3">
        <v>2.2691825195966699</v>
      </c>
      <c r="G43" s="3">
        <v>3.5284385682339199</v>
      </c>
      <c r="H43" s="3">
        <v>4.7258745631615602</v>
      </c>
      <c r="I43" s="3">
        <v>1.07210358135772</v>
      </c>
      <c r="J43" s="3">
        <v>2.00588531378872</v>
      </c>
      <c r="K43" s="3">
        <v>3.4729556178548999</v>
      </c>
      <c r="L43" s="3">
        <v>3.0171312447530401</v>
      </c>
      <c r="M43" s="3">
        <v>3.9858224750922502</v>
      </c>
      <c r="N43" s="3">
        <v>4.1433448917959197</v>
      </c>
    </row>
    <row r="44" spans="1:14" x14ac:dyDescent="0.35">
      <c r="A44" s="2">
        <v>43193</v>
      </c>
      <c r="B44" s="3">
        <v>4.31676551095227</v>
      </c>
      <c r="C44" s="3">
        <v>4.8492360719703003</v>
      </c>
      <c r="D44" s="3">
        <v>3.2292128739944599</v>
      </c>
      <c r="E44" s="3">
        <v>3.2748275367223401</v>
      </c>
      <c r="F44" s="3">
        <v>2.2903432030838702</v>
      </c>
      <c r="G44" s="3">
        <v>3.5392132005444998</v>
      </c>
      <c r="H44" s="3">
        <v>4.5820252186515997</v>
      </c>
      <c r="I44" s="3">
        <v>1.1441308775238299</v>
      </c>
      <c r="J44" s="3">
        <v>2.0802317558753001</v>
      </c>
      <c r="K44" s="3">
        <v>3.4819873621686002</v>
      </c>
      <c r="L44" s="3">
        <v>2.9993541949740599</v>
      </c>
      <c r="M44" s="3">
        <v>4.1166139070141803</v>
      </c>
      <c r="N44" s="3">
        <v>4.1062189235762503</v>
      </c>
    </row>
    <row r="45" spans="1:14" x14ac:dyDescent="0.35">
      <c r="A45" s="2">
        <v>43223</v>
      </c>
      <c r="B45" s="3">
        <v>4.2147169828084996</v>
      </c>
      <c r="C45" s="3">
        <v>4.63735652392982</v>
      </c>
      <c r="D45" s="3">
        <v>3.1552705315958902</v>
      </c>
      <c r="E45" s="3">
        <v>3.1403838462567002</v>
      </c>
      <c r="F45" s="3">
        <v>2.2143080027651099</v>
      </c>
      <c r="G45" s="3">
        <v>3.4935161425662198</v>
      </c>
      <c r="H45" s="3">
        <v>4.3862706470503801</v>
      </c>
      <c r="I45" s="3">
        <v>1.12984161971372</v>
      </c>
      <c r="J45" s="3">
        <v>2.0919784307792701</v>
      </c>
      <c r="K45" s="3">
        <v>3.3130946689604901</v>
      </c>
      <c r="L45" s="3">
        <v>2.9607763090019601</v>
      </c>
      <c r="M45" s="3">
        <v>4.0559017702033398</v>
      </c>
      <c r="N45" s="3">
        <v>3.8815781567355598</v>
      </c>
    </row>
    <row r="46" spans="1:14" x14ac:dyDescent="0.35">
      <c r="A46" s="2">
        <v>43252</v>
      </c>
      <c r="B46" s="3">
        <v>4.1679985743724304</v>
      </c>
      <c r="C46" s="3">
        <v>4.7643423411267998</v>
      </c>
      <c r="D46" s="3">
        <v>3.0933840195799598</v>
      </c>
      <c r="E46" s="3">
        <v>3.15662323993141</v>
      </c>
      <c r="F46" s="3">
        <v>2.2718789706156599</v>
      </c>
      <c r="G46" s="3">
        <v>3.5535266718116301</v>
      </c>
      <c r="H46" s="3">
        <v>4.3296467488619799</v>
      </c>
      <c r="I46" s="3">
        <v>1.0647320038664301</v>
      </c>
      <c r="J46" s="3">
        <v>2.0224137270290501</v>
      </c>
      <c r="K46" s="3">
        <v>3.3611844204511101</v>
      </c>
      <c r="L46" s="3">
        <v>2.8819208146754902</v>
      </c>
      <c r="M46" s="3">
        <v>4.0821995372591902</v>
      </c>
      <c r="N46" s="3">
        <v>4.2961830494836803</v>
      </c>
    </row>
    <row r="47" spans="1:14" x14ac:dyDescent="0.35">
      <c r="A47" s="2">
        <v>43284</v>
      </c>
      <c r="B47" s="3">
        <v>4.0145683088214001</v>
      </c>
      <c r="C47" s="3">
        <v>4.5929636200057704</v>
      </c>
      <c r="D47" s="3">
        <v>3.0753412419583199</v>
      </c>
      <c r="E47" s="3">
        <v>3.2681498878459299</v>
      </c>
      <c r="F47" s="3">
        <v>2.3515379573335702</v>
      </c>
      <c r="G47" s="3">
        <v>3.5522652063850502</v>
      </c>
      <c r="H47" s="3">
        <v>4.4355280619011204</v>
      </c>
      <c r="I47" s="3">
        <v>1.0810501539859301</v>
      </c>
      <c r="J47" s="3">
        <v>2.0587995920464599</v>
      </c>
      <c r="K47" s="3">
        <v>3.4665935651196</v>
      </c>
      <c r="L47" s="3">
        <v>2.9666762201022201</v>
      </c>
      <c r="M47" s="3">
        <v>4.17906637120055</v>
      </c>
      <c r="N47" s="3">
        <v>4.4734304311105797</v>
      </c>
    </row>
    <row r="48" spans="1:14" x14ac:dyDescent="0.35">
      <c r="A48" s="2">
        <v>43315</v>
      </c>
      <c r="B48" s="3">
        <v>4.1403200013465797</v>
      </c>
      <c r="C48" s="3">
        <v>4.63159948350894</v>
      </c>
      <c r="D48" s="3">
        <v>3.0707001063754502</v>
      </c>
      <c r="E48" s="3">
        <v>3.20173208428678</v>
      </c>
      <c r="F48" s="3">
        <v>2.2928213476572901</v>
      </c>
      <c r="G48" s="3">
        <v>3.3745904544224499</v>
      </c>
      <c r="H48" s="3">
        <v>4.4234967968111603</v>
      </c>
      <c r="I48" s="3">
        <v>1.0795035387195699</v>
      </c>
      <c r="J48" s="3">
        <v>1.98851052453935</v>
      </c>
      <c r="K48" s="3">
        <v>3.3947373539399499</v>
      </c>
      <c r="L48" s="3">
        <v>2.8361045196146999</v>
      </c>
      <c r="M48" s="3">
        <v>4.0956234979869102</v>
      </c>
      <c r="N48" s="3">
        <v>4.4423208419397504</v>
      </c>
    </row>
    <row r="49" spans="1:14" x14ac:dyDescent="0.35">
      <c r="A49" s="2">
        <v>43343</v>
      </c>
      <c r="B49" s="3">
        <v>3.8955733123540899</v>
      </c>
      <c r="C49" s="3">
        <v>4.6144316496254696</v>
      </c>
      <c r="D49" s="3">
        <v>3.12182649824625</v>
      </c>
      <c r="E49" s="3">
        <v>3.2571169349565499</v>
      </c>
      <c r="F49" s="3">
        <v>2.3170207298104901</v>
      </c>
      <c r="G49" s="3">
        <v>3.41830060980553</v>
      </c>
      <c r="H49" s="3">
        <v>4.5766306421934999</v>
      </c>
      <c r="I49" s="3">
        <v>1.05046082475478</v>
      </c>
      <c r="J49" s="3">
        <v>1.95551789133049</v>
      </c>
      <c r="K49" s="3">
        <v>3.4550461231607899</v>
      </c>
      <c r="L49" s="3">
        <v>2.9031838112027</v>
      </c>
      <c r="M49" s="3">
        <v>4.0194639263428904</v>
      </c>
      <c r="N49" s="3">
        <v>4.7677066505411503</v>
      </c>
    </row>
    <row r="50" spans="1:14" x14ac:dyDescent="0.35">
      <c r="A50" s="2">
        <v>43376</v>
      </c>
      <c r="B50" s="3">
        <v>4.0062010086569098</v>
      </c>
      <c r="C50" s="3">
        <v>4.8116101506648601</v>
      </c>
      <c r="D50" s="3">
        <v>3.1739551248962101</v>
      </c>
      <c r="E50" s="3">
        <v>3.3063155419862298</v>
      </c>
      <c r="F50" s="3">
        <v>2.23883549040927</v>
      </c>
      <c r="G50" s="3">
        <v>3.3932518584487599</v>
      </c>
      <c r="H50" s="3">
        <v>4.5227801508255396</v>
      </c>
      <c r="I50" s="3">
        <v>1.0614799270574999</v>
      </c>
      <c r="J50" s="3">
        <v>1.95151189650942</v>
      </c>
      <c r="K50" s="3">
        <v>3.4395503077774898</v>
      </c>
      <c r="L50" s="3">
        <v>3.0098863893753398</v>
      </c>
      <c r="M50" s="3">
        <v>4.0137650628544597</v>
      </c>
      <c r="N50" s="3">
        <v>4.7059351859546004</v>
      </c>
    </row>
    <row r="51" spans="1:14" x14ac:dyDescent="0.35">
      <c r="A51" s="2">
        <v>43406</v>
      </c>
      <c r="B51" s="3">
        <v>4.2119740238094998</v>
      </c>
      <c r="C51" s="3">
        <v>5.0732344328433499</v>
      </c>
      <c r="D51" s="3">
        <v>3.38607122550708</v>
      </c>
      <c r="E51" s="3">
        <v>3.5880819167473201</v>
      </c>
      <c r="F51" s="3">
        <v>2.4450371195043599</v>
      </c>
      <c r="G51" s="3">
        <v>3.5045369907554602</v>
      </c>
      <c r="H51" s="3">
        <v>4.8525065115873698</v>
      </c>
      <c r="I51" s="3">
        <v>1.1821925784935201</v>
      </c>
      <c r="J51" s="3">
        <v>2.1013667816829402</v>
      </c>
      <c r="K51" s="3">
        <v>3.7018332273390899</v>
      </c>
      <c r="L51" s="3">
        <v>3.1999416607388702</v>
      </c>
      <c r="M51" s="3">
        <v>4.3071938840821904</v>
      </c>
      <c r="N51" s="3">
        <v>5.02846733666882</v>
      </c>
    </row>
    <row r="52" spans="1:14" x14ac:dyDescent="0.35">
      <c r="A52" s="2">
        <v>43437</v>
      </c>
      <c r="B52" s="3">
        <v>4.1217832897297697</v>
      </c>
      <c r="C52" s="3">
        <v>5.2162156331212097</v>
      </c>
      <c r="D52" s="3">
        <v>3.3578047011511698</v>
      </c>
      <c r="E52" s="3">
        <v>3.6135808311104398</v>
      </c>
      <c r="F52" s="3">
        <v>2.4270693446582299</v>
      </c>
      <c r="G52" s="3">
        <v>3.49633207941159</v>
      </c>
      <c r="H52" s="3">
        <v>4.9349985242891599</v>
      </c>
      <c r="I52" s="3">
        <v>1.1720092671233899</v>
      </c>
      <c r="J52" s="3">
        <v>2.06545387156079</v>
      </c>
      <c r="K52" s="3">
        <v>3.7403248164502898</v>
      </c>
      <c r="L52" s="3">
        <v>3.2035656583032099</v>
      </c>
      <c r="M52" s="3">
        <v>4.3977170466651998</v>
      </c>
      <c r="N52" s="3">
        <v>5.1285520138656597</v>
      </c>
    </row>
    <row r="53" spans="1:14" x14ac:dyDescent="0.35">
      <c r="A53" s="2">
        <v>43468</v>
      </c>
      <c r="B53" s="3">
        <v>4.2018950641003903</v>
      </c>
      <c r="C53" s="3">
        <v>5.3807724716970897</v>
      </c>
      <c r="D53" s="3">
        <v>3.6329927223721401</v>
      </c>
      <c r="E53" s="3">
        <v>4.01653082416572</v>
      </c>
      <c r="F53" s="3">
        <v>2.7528692280791498</v>
      </c>
      <c r="G53" s="3">
        <v>3.7093352509192301</v>
      </c>
      <c r="H53" s="3">
        <v>5.3919990996050302</v>
      </c>
      <c r="I53" s="3">
        <v>1.3615990944582601</v>
      </c>
      <c r="J53" s="3">
        <v>2.37770513288763</v>
      </c>
      <c r="K53" s="3">
        <v>4.1104069944731201</v>
      </c>
      <c r="L53" s="3">
        <v>3.5286508179305001</v>
      </c>
      <c r="M53" s="3">
        <v>4.8034920910933998</v>
      </c>
      <c r="N53" s="3">
        <v>5.4750302170649601</v>
      </c>
    </row>
    <row r="54" spans="1:14" x14ac:dyDescent="0.35">
      <c r="A54" s="2">
        <v>43497</v>
      </c>
      <c r="B54" s="3">
        <v>4.0989739418008</v>
      </c>
      <c r="C54" s="3">
        <v>5.12153635098732</v>
      </c>
      <c r="D54" s="3">
        <v>3.3421449041331601</v>
      </c>
      <c r="E54" s="3">
        <v>3.71929133890379</v>
      </c>
      <c r="F54" s="3">
        <v>2.6349268188557899</v>
      </c>
      <c r="G54" s="3">
        <v>3.46170458346392</v>
      </c>
      <c r="H54" s="3">
        <v>5.0485504699158401</v>
      </c>
      <c r="I54" s="3">
        <v>1.22445201957326</v>
      </c>
      <c r="J54" s="3">
        <v>2.1611042285680302</v>
      </c>
      <c r="K54" s="3">
        <v>3.7758925073513301</v>
      </c>
      <c r="L54" s="3">
        <v>3.2642245382825901</v>
      </c>
      <c r="M54" s="3">
        <v>4.3146024316061302</v>
      </c>
      <c r="N54" s="3">
        <v>5.1230138199694002</v>
      </c>
    </row>
    <row r="55" spans="1:14" x14ac:dyDescent="0.35">
      <c r="A55" s="2">
        <v>43525</v>
      </c>
      <c r="B55" s="3">
        <v>3.92348559420387</v>
      </c>
      <c r="C55" s="3">
        <v>4.9317877788052797</v>
      </c>
      <c r="D55" s="3">
        <v>3.2622522595519099</v>
      </c>
      <c r="E55" s="3">
        <v>3.5812632358127301</v>
      </c>
      <c r="F55" s="3">
        <v>2.5543060750266098</v>
      </c>
      <c r="G55" s="3">
        <v>3.33694159663307</v>
      </c>
      <c r="H55" s="3">
        <v>4.9714505368775903</v>
      </c>
      <c r="I55" s="3">
        <v>1.1693555171643999</v>
      </c>
      <c r="J55" s="3">
        <v>2.0943613189264298</v>
      </c>
      <c r="K55" s="3">
        <v>3.62006056995402</v>
      </c>
      <c r="L55" s="3">
        <v>3.10551316904025</v>
      </c>
      <c r="M55" s="3">
        <v>4.1454273453988497</v>
      </c>
      <c r="N55" s="3">
        <v>4.7761264762427196</v>
      </c>
    </row>
    <row r="56" spans="1:14" x14ac:dyDescent="0.35">
      <c r="A56" s="2">
        <v>43558</v>
      </c>
      <c r="B56" s="3">
        <v>3.72202081911828</v>
      </c>
      <c r="C56" s="3">
        <v>4.8544747486087196</v>
      </c>
      <c r="D56" s="3">
        <v>3.2392495498027101</v>
      </c>
      <c r="E56" s="3">
        <v>3.4933364589276499</v>
      </c>
      <c r="F56" s="3">
        <v>2.5550326358814499</v>
      </c>
      <c r="G56" s="3">
        <v>3.2879738008047799</v>
      </c>
      <c r="H56" s="3">
        <v>4.8012229737068797</v>
      </c>
      <c r="I56" s="3">
        <v>1.1143188344716899</v>
      </c>
      <c r="J56" s="3">
        <v>2.0641156275765402</v>
      </c>
      <c r="K56" s="3">
        <v>3.5261724412940199</v>
      </c>
      <c r="L56" s="3">
        <v>3.0087020070535599</v>
      </c>
      <c r="M56" s="3">
        <v>4.0479808802772199</v>
      </c>
      <c r="N56" s="3">
        <v>4.6007173913116199</v>
      </c>
    </row>
    <row r="57" spans="1:14" x14ac:dyDescent="0.35">
      <c r="A57" s="2">
        <v>43588</v>
      </c>
      <c r="B57" s="3">
        <v>3.6933471545993299</v>
      </c>
      <c r="C57" s="3">
        <v>4.8789762186178303</v>
      </c>
      <c r="D57" s="3">
        <v>3.2212488066083398</v>
      </c>
      <c r="E57" s="3">
        <v>3.3798528009891502</v>
      </c>
      <c r="F57" s="3">
        <v>2.5679259861291999</v>
      </c>
      <c r="G57" s="3">
        <v>3.2613671467848602</v>
      </c>
      <c r="H57" s="3">
        <v>4.8524683957399199</v>
      </c>
      <c r="I57" s="3">
        <v>1.0802552840141899</v>
      </c>
      <c r="J57" s="3">
        <v>2.0238384183684999</v>
      </c>
      <c r="K57" s="3">
        <v>3.4898344139045601</v>
      </c>
      <c r="L57" s="3">
        <v>2.9531329821735399</v>
      </c>
      <c r="M57" s="3">
        <v>4.0250773763548899</v>
      </c>
      <c r="N57" s="3">
        <v>4.6341291795723496</v>
      </c>
    </row>
    <row r="58" spans="1:14" x14ac:dyDescent="0.35">
      <c r="A58" s="2">
        <v>43619</v>
      </c>
      <c r="B58" s="3">
        <v>3.7040967843894599</v>
      </c>
      <c r="C58" s="3">
        <v>4.89514376383217</v>
      </c>
      <c r="D58" s="3">
        <v>3.3873301341633302</v>
      </c>
      <c r="E58" s="3">
        <v>3.63680608840298</v>
      </c>
      <c r="F58" s="3">
        <v>2.77545399443256</v>
      </c>
      <c r="G58" s="3">
        <v>3.31235641932791</v>
      </c>
      <c r="H58" s="3">
        <v>4.9394212861789804</v>
      </c>
      <c r="I58" s="3">
        <v>1.2266485102095599</v>
      </c>
      <c r="J58" s="3">
        <v>2.1847993123706102</v>
      </c>
      <c r="K58" s="3">
        <v>3.7059140234488201</v>
      </c>
      <c r="L58" s="3">
        <v>3.1746722809879602</v>
      </c>
      <c r="M58" s="3">
        <v>4.4212526917834598</v>
      </c>
      <c r="N58" s="3">
        <v>5.1373053413552201</v>
      </c>
    </row>
    <row r="59" spans="1:14" x14ac:dyDescent="0.35">
      <c r="A59" s="2">
        <v>43649</v>
      </c>
      <c r="B59" s="3">
        <v>3.5487745125634498</v>
      </c>
      <c r="C59" s="3">
        <v>4.6132305304365202</v>
      </c>
      <c r="D59" s="3">
        <v>3.28350093395983</v>
      </c>
      <c r="E59" s="3">
        <v>3.4263104497266301</v>
      </c>
      <c r="F59" s="3">
        <v>2.64058840198406</v>
      </c>
      <c r="G59" s="3">
        <v>3.1791284894457199</v>
      </c>
      <c r="H59" s="3">
        <v>4.6996200149759604</v>
      </c>
      <c r="I59" s="3">
        <v>1.08864064799322</v>
      </c>
      <c r="J59" s="3">
        <v>2.01162769205833</v>
      </c>
      <c r="K59" s="3">
        <v>3.4830783579513098</v>
      </c>
      <c r="L59" s="3">
        <v>2.9424171200666098</v>
      </c>
      <c r="M59" s="3">
        <v>4.0949415378259602</v>
      </c>
      <c r="N59" s="3">
        <v>4.6971118470554796</v>
      </c>
    </row>
    <row r="60" spans="1:14" x14ac:dyDescent="0.35">
      <c r="A60" s="2">
        <v>43679</v>
      </c>
      <c r="B60" s="3">
        <v>3.4045182177879001</v>
      </c>
      <c r="C60" s="3">
        <v>4.56425079486326</v>
      </c>
      <c r="D60" s="3">
        <v>3.3863835796186601</v>
      </c>
      <c r="E60" s="3">
        <v>3.5395087204224698</v>
      </c>
      <c r="F60" s="3">
        <v>2.7160504999233499</v>
      </c>
      <c r="G60" s="3">
        <v>3.2536793091485801</v>
      </c>
      <c r="H60" s="3">
        <v>4.95549492712638</v>
      </c>
      <c r="I60" s="3">
        <v>1.11621918769169</v>
      </c>
      <c r="J60" s="3">
        <v>2.0652722220665298</v>
      </c>
      <c r="K60" s="3">
        <v>3.6599211018194899</v>
      </c>
      <c r="L60" s="3">
        <v>2.96913778293588</v>
      </c>
      <c r="M60" s="3">
        <v>4.1520859279437703</v>
      </c>
      <c r="N60" s="3">
        <v>4.9104069267287302</v>
      </c>
    </row>
    <row r="61" spans="1:14" x14ac:dyDescent="0.35">
      <c r="A61" s="2">
        <v>43711</v>
      </c>
      <c r="B61" s="3">
        <v>3.31365793978709</v>
      </c>
      <c r="C61" s="3">
        <v>4.6045481013645304</v>
      </c>
      <c r="D61" s="3">
        <v>3.39600365418735</v>
      </c>
      <c r="E61" s="3">
        <v>3.5247172432899099</v>
      </c>
      <c r="F61" s="3">
        <v>2.7536947451591098</v>
      </c>
      <c r="G61" s="3">
        <v>3.2434325938617201</v>
      </c>
      <c r="H61" s="3">
        <v>5.0390605098838703</v>
      </c>
      <c r="I61" s="3">
        <v>1.1176635972232101</v>
      </c>
      <c r="J61" s="3">
        <v>2.0957590600661602</v>
      </c>
      <c r="K61" s="3">
        <v>3.6172076054175601</v>
      </c>
      <c r="L61" s="3">
        <v>2.95075067982008</v>
      </c>
      <c r="M61" s="3">
        <v>4.1976251686235404</v>
      </c>
      <c r="N61" s="3">
        <v>4.8752542773920098</v>
      </c>
    </row>
    <row r="62" spans="1:14" x14ac:dyDescent="0.35">
      <c r="A62" s="2">
        <v>43741</v>
      </c>
      <c r="B62" s="3">
        <v>3.3680234376623401</v>
      </c>
      <c r="C62" s="3">
        <v>4.57339072569573</v>
      </c>
      <c r="D62" s="3">
        <v>3.4033818492003598</v>
      </c>
      <c r="E62" s="3">
        <v>3.5243828107003901</v>
      </c>
      <c r="F62" s="3">
        <v>2.50679486234031</v>
      </c>
      <c r="G62" s="3">
        <v>3.30375197385756</v>
      </c>
      <c r="H62" s="3">
        <v>5.09265429306289</v>
      </c>
      <c r="I62" s="3">
        <v>1.13299845334909</v>
      </c>
      <c r="J62" s="3">
        <v>2.1024606047850298</v>
      </c>
      <c r="K62" s="3">
        <v>3.6347076682137902</v>
      </c>
      <c r="L62" s="3">
        <v>2.8431746197449801</v>
      </c>
      <c r="M62" s="3">
        <v>4.0540355913395398</v>
      </c>
      <c r="N62" s="3">
        <v>4.9148712213450398</v>
      </c>
    </row>
    <row r="63" spans="1:14" x14ac:dyDescent="0.35">
      <c r="A63" s="2">
        <v>43770</v>
      </c>
      <c r="B63" s="3">
        <v>3.3799459153724798</v>
      </c>
      <c r="C63" s="3">
        <v>4.4076844661833796</v>
      </c>
      <c r="D63" s="3">
        <v>3.3378159423571399</v>
      </c>
      <c r="E63" s="3">
        <v>3.2542040431201502</v>
      </c>
      <c r="F63" s="3">
        <v>2.3729427898109399</v>
      </c>
      <c r="G63" s="3">
        <v>3.1455954577069201</v>
      </c>
      <c r="H63" s="3">
        <v>4.81327990527494</v>
      </c>
      <c r="I63" s="3">
        <v>1.0738404175978999</v>
      </c>
      <c r="J63" s="3">
        <v>2.0107030139795299</v>
      </c>
      <c r="K63" s="3">
        <v>3.4317923626456399</v>
      </c>
      <c r="L63" s="3">
        <v>2.72748033360936</v>
      </c>
      <c r="M63" s="3">
        <v>3.72747315673289</v>
      </c>
      <c r="N63" s="3">
        <v>4.5989106785697498</v>
      </c>
    </row>
    <row r="64" spans="1:14" x14ac:dyDescent="0.35">
      <c r="A64" s="2">
        <v>43802</v>
      </c>
      <c r="B64" s="3">
        <v>3.25672515768842</v>
      </c>
      <c r="C64" s="3">
        <v>4.34542875744207</v>
      </c>
      <c r="D64" s="3">
        <v>3.2816807850595602</v>
      </c>
      <c r="E64" s="3">
        <v>3.1523917449349899</v>
      </c>
      <c r="F64" s="3">
        <v>2.3135742503180898</v>
      </c>
      <c r="G64" s="3">
        <v>3.16067071364201</v>
      </c>
      <c r="H64" s="3">
        <v>4.8609573866486597</v>
      </c>
      <c r="I64" s="3">
        <v>1.09182641529687</v>
      </c>
      <c r="J64" s="3">
        <v>2.0073829431550099</v>
      </c>
      <c r="K64" s="3">
        <v>3.4787657213687102</v>
      </c>
      <c r="L64" s="3">
        <v>2.7120343409768299</v>
      </c>
      <c r="M64" s="3">
        <v>3.7924609684699502</v>
      </c>
      <c r="N64" s="3">
        <v>4.6739741690280701</v>
      </c>
    </row>
    <row r="65" spans="1:14" x14ac:dyDescent="0.35">
      <c r="A65" s="2">
        <v>43833</v>
      </c>
      <c r="B65" s="3">
        <v>3.1539880816891399</v>
      </c>
      <c r="C65" s="3">
        <v>4.2914732539444298</v>
      </c>
      <c r="D65" s="3">
        <v>3.2643285217039599</v>
      </c>
      <c r="E65" s="3">
        <v>3.0987281538940801</v>
      </c>
      <c r="F65" s="3">
        <v>2.3063661835681701</v>
      </c>
      <c r="G65" s="3">
        <v>3.0226171047913701</v>
      </c>
      <c r="H65" s="3">
        <v>4.5539228173407</v>
      </c>
      <c r="I65" s="3">
        <v>1.0411164846680401</v>
      </c>
      <c r="J65" s="3">
        <v>1.93167259149295</v>
      </c>
      <c r="K65" s="3">
        <v>3.32107568916215</v>
      </c>
      <c r="L65" s="3">
        <v>2.57692311266818</v>
      </c>
      <c r="M65" s="3">
        <v>3.5945517573792198</v>
      </c>
      <c r="N65" s="3">
        <v>4.4842432747532097</v>
      </c>
    </row>
    <row r="66" spans="1:14" x14ac:dyDescent="0.35">
      <c r="A66" s="2">
        <v>43864</v>
      </c>
      <c r="B66" s="3">
        <v>3.14420633699525</v>
      </c>
      <c r="C66" s="3">
        <v>4.2116265870593699</v>
      </c>
      <c r="D66" s="3">
        <v>3.26703181960962</v>
      </c>
      <c r="E66" s="3">
        <v>3.15107499206845</v>
      </c>
      <c r="F66" s="3">
        <v>2.3702768227725799</v>
      </c>
      <c r="G66" s="3">
        <v>3.0219546406825</v>
      </c>
      <c r="H66" s="3">
        <v>4.7517756843746302</v>
      </c>
      <c r="I66" s="3">
        <v>1.00878023139285</v>
      </c>
      <c r="J66" s="3">
        <v>1.9398485350721</v>
      </c>
      <c r="K66" s="3">
        <v>3.4172267440129298</v>
      </c>
      <c r="L66" s="3">
        <v>2.6596164103303099</v>
      </c>
      <c r="M66" s="3">
        <v>3.6325423305386901</v>
      </c>
      <c r="N66" s="3">
        <v>4.5599655759633402</v>
      </c>
    </row>
    <row r="67" spans="1:14" x14ac:dyDescent="0.35">
      <c r="A67" s="2">
        <v>43893</v>
      </c>
      <c r="B67" s="3">
        <v>3.1523493980231598</v>
      </c>
      <c r="C67" s="3">
        <v>4.4785320544478804</v>
      </c>
      <c r="D67" s="3">
        <v>3.5016223121096002</v>
      </c>
      <c r="E67" s="3">
        <v>3.4176506870786501</v>
      </c>
      <c r="F67" s="3">
        <v>2.6155047634775199</v>
      </c>
      <c r="G67" s="3">
        <v>3.1966102060405199</v>
      </c>
      <c r="H67" s="3">
        <v>5.2214836353501504</v>
      </c>
      <c r="I67" s="3">
        <v>1.0782638364539701</v>
      </c>
      <c r="J67" s="3">
        <v>2.1120951454961499</v>
      </c>
      <c r="K67" s="3">
        <v>3.6637164888426201</v>
      </c>
      <c r="L67" s="3">
        <v>2.8271009622757699</v>
      </c>
      <c r="M67" s="3">
        <v>3.7676633416747798</v>
      </c>
      <c r="N67" s="3">
        <v>5.0283093646070904</v>
      </c>
    </row>
    <row r="68" spans="1:14" x14ac:dyDescent="0.35">
      <c r="A68" s="2">
        <v>43924</v>
      </c>
      <c r="B68" s="3">
        <v>3.1903300890193802</v>
      </c>
      <c r="C68" s="3">
        <v>5.1303438877595298</v>
      </c>
      <c r="D68" s="3">
        <v>4.4274093345019603</v>
      </c>
      <c r="E68" s="3">
        <v>4.0076095072639299</v>
      </c>
      <c r="F68" s="3">
        <v>2.9579741068698402</v>
      </c>
      <c r="G68" s="3">
        <v>3.5340052396166901</v>
      </c>
      <c r="H68" s="3">
        <v>6.3808817523765597</v>
      </c>
      <c r="I68" s="3">
        <v>1.23145700254171</v>
      </c>
      <c r="J68" s="3">
        <v>2.5174298456750002</v>
      </c>
      <c r="K68" s="3">
        <v>4.4884395232788101</v>
      </c>
      <c r="L68" s="3">
        <v>3.2048560582471</v>
      </c>
      <c r="M68" s="3">
        <v>3.9919705599992898</v>
      </c>
      <c r="N68" s="3">
        <v>6.36779775197604</v>
      </c>
    </row>
    <row r="69" spans="1:14" x14ac:dyDescent="0.35">
      <c r="A69" s="2">
        <v>43952</v>
      </c>
      <c r="B69" s="3">
        <v>2.7149178873638098</v>
      </c>
      <c r="C69" s="3">
        <v>4.0782154311356296</v>
      </c>
      <c r="D69" s="3">
        <v>3.9094621829445</v>
      </c>
      <c r="E69" s="3">
        <v>3.3462663737299998</v>
      </c>
      <c r="F69" s="3">
        <v>2.69591899383926</v>
      </c>
      <c r="G69" s="3">
        <v>3.26156325188524</v>
      </c>
      <c r="H69" s="3">
        <v>4.8403998959321601</v>
      </c>
      <c r="I69" s="3">
        <v>1.0447820578915701</v>
      </c>
      <c r="J69" s="3">
        <v>2.1522642646677501</v>
      </c>
      <c r="K69" s="3">
        <v>3.5170636509956901</v>
      </c>
      <c r="L69" s="3">
        <v>2.7052258483775198</v>
      </c>
      <c r="M69" s="3">
        <v>3.29514658547268</v>
      </c>
      <c r="N69" s="3">
        <v>5.25468343349546</v>
      </c>
    </row>
    <row r="70" spans="1:14" x14ac:dyDescent="0.35">
      <c r="A70" s="2">
        <v>43985</v>
      </c>
      <c r="B70" s="3">
        <v>2.5600714281658998</v>
      </c>
      <c r="C70" s="3">
        <v>3.3838678034353702</v>
      </c>
      <c r="D70" s="3">
        <v>3.5280218156932102</v>
      </c>
      <c r="E70" s="3">
        <v>2.8522968759918701</v>
      </c>
      <c r="F70" s="3">
        <v>2.3289258595434101</v>
      </c>
      <c r="G70" s="3">
        <v>3.06173416733813</v>
      </c>
      <c r="H70" s="3">
        <v>3.9256718131222499</v>
      </c>
      <c r="I70" s="3">
        <v>0.93643757863370103</v>
      </c>
      <c r="J70" s="3">
        <v>1.9337151976175999</v>
      </c>
      <c r="K70" s="3">
        <v>3.1023991428105502</v>
      </c>
      <c r="L70" s="3">
        <v>2.3803012729467898</v>
      </c>
      <c r="M70" s="3">
        <v>2.9270218733350699</v>
      </c>
      <c r="N70" s="3">
        <v>4.2246511128534596</v>
      </c>
    </row>
    <row r="71" spans="1:14" x14ac:dyDescent="0.35">
      <c r="A71" s="2">
        <v>44014</v>
      </c>
      <c r="B71" s="3">
        <v>2.46940636216753</v>
      </c>
      <c r="C71" s="3">
        <v>3.3886707717089299</v>
      </c>
      <c r="D71" s="3">
        <v>3.5263001010409001</v>
      </c>
      <c r="E71" s="3">
        <v>2.8655914908376801</v>
      </c>
      <c r="F71" s="3">
        <v>2.3757613082445901</v>
      </c>
      <c r="G71" s="3">
        <v>3.0430185724154399</v>
      </c>
      <c r="H71" s="3">
        <v>4.0845478487221003</v>
      </c>
      <c r="I71" s="3">
        <v>0.879624689923442</v>
      </c>
      <c r="J71" s="3">
        <v>1.9141150361144801</v>
      </c>
      <c r="K71" s="3">
        <v>3.0826010369631001</v>
      </c>
      <c r="L71" s="3">
        <v>2.3437097239924101</v>
      </c>
      <c r="M71" s="3">
        <v>3.0040605486734702</v>
      </c>
      <c r="N71" s="3">
        <v>4.26315896223712</v>
      </c>
    </row>
    <row r="72" spans="1:14" x14ac:dyDescent="0.35">
      <c r="A72" s="2">
        <v>44046</v>
      </c>
      <c r="B72" s="3">
        <v>2.3919589406864499</v>
      </c>
      <c r="C72" s="3">
        <v>3.4432284868576102</v>
      </c>
      <c r="D72" s="3">
        <v>3.4253960811512201</v>
      </c>
      <c r="E72" s="3">
        <v>2.8614963732811298</v>
      </c>
      <c r="F72" s="3">
        <v>2.3995951016836998</v>
      </c>
      <c r="G72" s="3">
        <v>2.9532929267618702</v>
      </c>
      <c r="H72" s="3">
        <v>4.0693762074763402</v>
      </c>
      <c r="I72" s="3">
        <v>0.82439088065563204</v>
      </c>
      <c r="J72" s="3">
        <v>1.80608099687472</v>
      </c>
      <c r="K72" s="3">
        <v>3.1804799150430898</v>
      </c>
      <c r="L72" s="3">
        <v>2.3628198178435098</v>
      </c>
      <c r="M72" s="3">
        <v>3.0078559301683301</v>
      </c>
      <c r="N72" s="3">
        <v>3.9970629945238301</v>
      </c>
    </row>
    <row r="73" spans="1:14" x14ac:dyDescent="0.35">
      <c r="A73" s="2">
        <v>44077</v>
      </c>
      <c r="B73" s="3">
        <v>2.33698918497974</v>
      </c>
      <c r="C73" s="3">
        <v>3.3902891344709398</v>
      </c>
      <c r="D73" s="3">
        <v>3.3634817717528298</v>
      </c>
      <c r="E73" s="3">
        <v>2.81062236628373</v>
      </c>
      <c r="F73" s="3">
        <v>2.2057926078064698</v>
      </c>
      <c r="G73" s="3">
        <v>2.9508746876659901</v>
      </c>
      <c r="H73" s="3">
        <v>4.1352581127206403</v>
      </c>
      <c r="I73" s="3">
        <v>0.77585329610938103</v>
      </c>
      <c r="J73" s="3">
        <v>1.7270603670087299</v>
      </c>
      <c r="K73" s="3">
        <v>3.12081622524359</v>
      </c>
      <c r="L73" s="3">
        <v>2.3078785081564699</v>
      </c>
      <c r="M73" s="3">
        <v>3.04395026818329</v>
      </c>
      <c r="N73" s="3">
        <v>4.0693224829385102</v>
      </c>
    </row>
    <row r="74" spans="1:14" x14ac:dyDescent="0.35">
      <c r="A74" s="2">
        <v>44106</v>
      </c>
      <c r="B74" s="3">
        <v>2.4501519011147401</v>
      </c>
      <c r="C74" s="3">
        <v>3.7249684558637202</v>
      </c>
      <c r="D74" s="3">
        <v>3.4366620539640498</v>
      </c>
      <c r="E74" s="3">
        <v>2.87796489297879</v>
      </c>
      <c r="F74" s="3">
        <v>2.24312826132934</v>
      </c>
      <c r="G74" s="3">
        <v>2.95441049163062</v>
      </c>
      <c r="H74" s="3">
        <v>4.2348595964351698</v>
      </c>
      <c r="I74" s="3">
        <v>0.81263970725613699</v>
      </c>
      <c r="J74" s="3">
        <v>1.7815290087409601</v>
      </c>
      <c r="K74" s="3">
        <v>3.2759021172115199</v>
      </c>
      <c r="L74" s="3">
        <v>2.3266707187439701</v>
      </c>
      <c r="M74" s="3">
        <v>3.0318464776010301</v>
      </c>
      <c r="N74" s="3">
        <v>4.2128087944612904</v>
      </c>
    </row>
    <row r="75" spans="1:14" x14ac:dyDescent="0.35">
      <c r="A75" s="2">
        <v>44138</v>
      </c>
      <c r="B75" s="3">
        <v>2.4283326768524698</v>
      </c>
      <c r="C75" s="3">
        <v>3.6865089131958801</v>
      </c>
      <c r="D75" s="3">
        <v>3.4819333093613598</v>
      </c>
      <c r="E75" s="3">
        <v>3.0577558949530199</v>
      </c>
      <c r="F75" s="3">
        <v>2.24403031884738</v>
      </c>
      <c r="G75" s="3">
        <v>3.0201913570302001</v>
      </c>
      <c r="H75" s="3">
        <v>4.4320815972214698</v>
      </c>
      <c r="I75" s="3">
        <v>0.82156543696140405</v>
      </c>
      <c r="J75" s="3">
        <v>1.7795425531790501</v>
      </c>
      <c r="K75" s="3">
        <v>3.29660852253238</v>
      </c>
      <c r="L75" s="3">
        <v>2.3384574815058601</v>
      </c>
      <c r="M75" s="3">
        <v>3.2194247099347599</v>
      </c>
      <c r="N75" s="3">
        <v>4.3265178177444801</v>
      </c>
    </row>
    <row r="76" spans="1:14" x14ac:dyDescent="0.35">
      <c r="A76" s="2">
        <v>44168</v>
      </c>
      <c r="B76" s="3">
        <v>2.4021582322025701</v>
      </c>
      <c r="C76" s="3">
        <v>3.4284531524537498</v>
      </c>
      <c r="D76" s="3">
        <v>3.1497997586857198</v>
      </c>
      <c r="E76" s="3">
        <v>2.79572615952888</v>
      </c>
      <c r="F76" s="3">
        <v>2.00091336775824</v>
      </c>
      <c r="G76" s="3">
        <v>2.92792674378954</v>
      </c>
      <c r="H76" s="3">
        <v>3.8789214501387201</v>
      </c>
      <c r="I76" s="3">
        <v>0.74508299852136395</v>
      </c>
      <c r="J76" s="3">
        <v>1.63616554561525</v>
      </c>
      <c r="K76" s="3">
        <v>2.87880047333373</v>
      </c>
      <c r="L76" s="3">
        <v>2.07511249060778</v>
      </c>
      <c r="M76" s="3">
        <v>3.0155854634908099</v>
      </c>
      <c r="N76" s="3">
        <v>3.96277722498776</v>
      </c>
    </row>
    <row r="77" spans="1:14" x14ac:dyDescent="0.35">
      <c r="A77" s="2">
        <v>44196</v>
      </c>
      <c r="B77" s="3">
        <v>2.4053926222328998</v>
      </c>
      <c r="C77" s="3">
        <v>3.5844448381884302</v>
      </c>
      <c r="D77" s="3">
        <v>3.1389385776855399</v>
      </c>
      <c r="E77" s="3">
        <v>2.7202595320454299</v>
      </c>
      <c r="F77" s="3">
        <v>1.97858107415621</v>
      </c>
      <c r="G77" s="3">
        <v>2.8207752385023102</v>
      </c>
      <c r="H77" s="3">
        <v>3.9485408288853301</v>
      </c>
      <c r="I77" s="3">
        <v>0.76306679869519101</v>
      </c>
      <c r="J77" s="3">
        <v>1.57770775561851</v>
      </c>
      <c r="K77" s="3">
        <v>2.9395543476635302</v>
      </c>
      <c r="L77" s="3">
        <v>1.9681814798734101</v>
      </c>
      <c r="M77" s="3">
        <v>3.1072978233720101</v>
      </c>
      <c r="N77" s="3">
        <v>3.9446405353127498</v>
      </c>
    </row>
    <row r="78" spans="1:14" x14ac:dyDescent="0.35">
      <c r="A78" s="2">
        <v>44230</v>
      </c>
      <c r="B78" s="3">
        <v>2.48677789788995</v>
      </c>
      <c r="C78" s="3">
        <v>3.5851838390855901</v>
      </c>
      <c r="D78" s="3">
        <v>3.0408340656170001</v>
      </c>
      <c r="E78" s="3">
        <v>2.7343082465616702</v>
      </c>
      <c r="F78" s="3">
        <v>1.9321797915360599</v>
      </c>
      <c r="G78" s="3">
        <v>2.8416773725223501</v>
      </c>
      <c r="H78" s="3">
        <v>4.0664301860734504</v>
      </c>
      <c r="I78" s="3">
        <v>0.74034136468665801</v>
      </c>
      <c r="J78" s="3">
        <v>1.55979240959466</v>
      </c>
      <c r="K78" s="3">
        <v>2.9563080841014302</v>
      </c>
      <c r="L78" s="3">
        <v>1.9541644695498399</v>
      </c>
      <c r="M78" s="3">
        <v>2.9646925810092899</v>
      </c>
      <c r="N78" s="3">
        <v>4.0080923120802003</v>
      </c>
    </row>
    <row r="79" spans="1:14" x14ac:dyDescent="0.35">
      <c r="A79" s="2">
        <v>44258</v>
      </c>
      <c r="B79" s="3">
        <v>2.5776680231929801</v>
      </c>
      <c r="C79" s="3">
        <v>3.8257151637492002</v>
      </c>
      <c r="D79" s="3">
        <v>2.9249598830747199</v>
      </c>
      <c r="E79" s="3">
        <v>2.7963651808205499</v>
      </c>
      <c r="F79" s="3">
        <v>1.9320688045668899</v>
      </c>
      <c r="G79" s="3">
        <v>2.8771416006582902</v>
      </c>
      <c r="H79" s="3">
        <v>3.95021948956032</v>
      </c>
      <c r="I79" s="3">
        <v>0.789430192399872</v>
      </c>
      <c r="J79" s="3">
        <v>1.57730305250284</v>
      </c>
      <c r="K79" s="3">
        <v>2.8207020271491499</v>
      </c>
      <c r="L79" s="3">
        <v>2.0630422706206102</v>
      </c>
      <c r="M79" s="3">
        <v>2.8959156096248599</v>
      </c>
      <c r="N79" s="3">
        <v>4.1905135626230701</v>
      </c>
    </row>
    <row r="80" spans="1:14" x14ac:dyDescent="0.35">
      <c r="A80" s="2">
        <v>44287</v>
      </c>
      <c r="B80" s="3">
        <v>2.5951383759396802</v>
      </c>
      <c r="C80" s="3">
        <v>3.9716370179114899</v>
      </c>
      <c r="D80" s="3">
        <v>2.80258135035122</v>
      </c>
      <c r="E80" s="3">
        <v>2.6899830780700902</v>
      </c>
      <c r="F80" s="3">
        <v>1.91179506431632</v>
      </c>
      <c r="G80" s="3">
        <v>2.79350069710843</v>
      </c>
      <c r="H80" s="3">
        <v>4.0496127997374902</v>
      </c>
      <c r="I80" s="3">
        <v>0.75417258717761604</v>
      </c>
      <c r="J80" s="3">
        <v>1.50646577862943</v>
      </c>
      <c r="K80" s="3">
        <v>2.74011410693292</v>
      </c>
      <c r="L80" s="3">
        <v>1.91768257939403</v>
      </c>
      <c r="M80" s="3">
        <v>2.7547793033497099</v>
      </c>
      <c r="N80" s="3">
        <v>3.9963737163555502</v>
      </c>
    </row>
    <row r="81" spans="1:14" x14ac:dyDescent="0.35">
      <c r="A81" s="2">
        <v>44319</v>
      </c>
      <c r="B81" s="3">
        <v>2.5864676378589002</v>
      </c>
      <c r="C81" s="3">
        <v>3.9242392987949501</v>
      </c>
      <c r="D81" s="3">
        <v>2.7460939512855198</v>
      </c>
      <c r="E81" s="3">
        <v>2.7665174749598398</v>
      </c>
      <c r="F81" s="3">
        <v>2.0035962110782402</v>
      </c>
      <c r="G81" s="3">
        <v>2.7537767805620601</v>
      </c>
      <c r="H81" s="3">
        <v>3.95974571561855</v>
      </c>
      <c r="I81" s="3">
        <v>0.73413768715185201</v>
      </c>
      <c r="J81" s="3">
        <v>1.4570245309243699</v>
      </c>
      <c r="K81" s="3">
        <v>2.69826998503452</v>
      </c>
      <c r="L81" s="3">
        <v>1.96121173304953</v>
      </c>
      <c r="M81" s="3">
        <v>2.8255948846014198</v>
      </c>
      <c r="N81" s="3">
        <v>4.1548461518617597</v>
      </c>
    </row>
    <row r="82" spans="1:14" x14ac:dyDescent="0.35">
      <c r="A82" s="2">
        <v>44350</v>
      </c>
      <c r="B82" s="3">
        <v>2.70445909419883</v>
      </c>
      <c r="C82" s="3">
        <v>3.8445716370747198</v>
      </c>
      <c r="D82" s="3">
        <v>2.6103609400801902</v>
      </c>
      <c r="E82" s="3">
        <v>2.7886483228094998</v>
      </c>
      <c r="F82" s="3">
        <v>1.9891077733610001</v>
      </c>
      <c r="G82" s="3">
        <v>2.69317189825435</v>
      </c>
      <c r="H82" s="3">
        <v>3.8912241812705801</v>
      </c>
      <c r="I82" s="3">
        <v>0.75180938727257696</v>
      </c>
      <c r="J82" s="3">
        <v>1.46530000139719</v>
      </c>
      <c r="K82" s="3">
        <v>2.67059455919365</v>
      </c>
      <c r="L82" s="3">
        <v>2.0111214027306099</v>
      </c>
      <c r="M82" s="3">
        <v>2.6735110225213501</v>
      </c>
      <c r="N82" s="3">
        <v>4.07504850755197</v>
      </c>
    </row>
    <row r="83" spans="1:14" x14ac:dyDescent="0.35">
      <c r="A83" s="2">
        <v>44379</v>
      </c>
      <c r="B83" s="3">
        <v>2.6251517644999298</v>
      </c>
      <c r="C83" s="3">
        <v>4.05887339968994</v>
      </c>
      <c r="D83" s="3">
        <v>2.7041918481249398</v>
      </c>
      <c r="E83" s="3">
        <v>2.8025126165715899</v>
      </c>
      <c r="F83" s="3">
        <v>2.0251858264109401</v>
      </c>
      <c r="G83" s="3">
        <v>2.6310063326827202</v>
      </c>
      <c r="H83" s="3">
        <v>3.99465105912553</v>
      </c>
      <c r="I83" s="3">
        <v>0.69620933903174398</v>
      </c>
      <c r="J83" s="3">
        <v>1.4259322207698599</v>
      </c>
      <c r="K83" s="3">
        <v>2.6931803847440001</v>
      </c>
      <c r="L83" s="3">
        <v>2.0086946945303499</v>
      </c>
      <c r="M83" s="3">
        <v>2.69545486892775</v>
      </c>
      <c r="N83" s="3">
        <v>4.1376130952577999</v>
      </c>
    </row>
    <row r="84" spans="1:14" x14ac:dyDescent="0.35">
      <c r="A84" s="2">
        <v>44411</v>
      </c>
      <c r="B84" s="3">
        <v>2.6293661224874199</v>
      </c>
      <c r="C84" s="3">
        <v>4.0727538352445203</v>
      </c>
      <c r="D84" s="3">
        <v>2.7032801770506398</v>
      </c>
      <c r="E84" s="3">
        <v>2.8494369152453798</v>
      </c>
      <c r="F84" s="3">
        <v>2.08207823378959</v>
      </c>
      <c r="G84" s="3">
        <v>2.5809733990766199</v>
      </c>
      <c r="H84" s="3">
        <v>4.1544223192471703</v>
      </c>
      <c r="I84" s="3">
        <v>0.70012782505127902</v>
      </c>
      <c r="J84" s="3">
        <v>1.4213720433630701</v>
      </c>
      <c r="K84" s="3">
        <v>2.6959402451649601</v>
      </c>
      <c r="L84" s="3">
        <v>1.9458712058007499</v>
      </c>
      <c r="M84" s="3">
        <v>2.7258868809980399</v>
      </c>
      <c r="N84" s="3">
        <v>4.34245271312962</v>
      </c>
    </row>
    <row r="85" spans="1:14" x14ac:dyDescent="0.35">
      <c r="A85" s="2">
        <v>44442</v>
      </c>
      <c r="B85" s="3">
        <v>2.5643717099546501</v>
      </c>
      <c r="C85" s="3">
        <v>4.0138660279532896</v>
      </c>
      <c r="D85" s="3">
        <v>2.7130578577917199</v>
      </c>
      <c r="E85" s="3">
        <v>2.84332633997915</v>
      </c>
      <c r="F85" s="3">
        <v>2.03821227626546</v>
      </c>
      <c r="G85" s="3">
        <v>2.5755871069350902</v>
      </c>
      <c r="H85" s="3">
        <v>4.1652022590226503</v>
      </c>
      <c r="I85" s="3">
        <v>0.67707934077916498</v>
      </c>
      <c r="J85" s="3">
        <v>1.3970980019669701</v>
      </c>
      <c r="K85" s="3">
        <v>2.7563101333215698</v>
      </c>
      <c r="L85" s="3">
        <v>1.8382556893575801</v>
      </c>
      <c r="M85" s="3">
        <v>2.7295762704754201</v>
      </c>
      <c r="N85" s="3">
        <v>4.4217926580871003</v>
      </c>
    </row>
    <row r="86" spans="1:14" x14ac:dyDescent="0.35">
      <c r="A86" s="2">
        <v>44470</v>
      </c>
      <c r="B86" s="3">
        <v>2.6187125057214198</v>
      </c>
      <c r="C86" s="3">
        <v>4.1535813794773304</v>
      </c>
      <c r="D86" s="3">
        <v>2.8261989003586501</v>
      </c>
      <c r="E86" s="3">
        <v>3.0078935552655999</v>
      </c>
      <c r="F86" s="3">
        <v>2.0938231742153999</v>
      </c>
      <c r="G86" s="3">
        <v>2.7791957942677601</v>
      </c>
      <c r="H86" s="3">
        <v>4.2097341238589898</v>
      </c>
      <c r="I86" s="3">
        <v>0.72325560100113495</v>
      </c>
      <c r="J86" s="3">
        <v>1.4591706658885299</v>
      </c>
      <c r="K86" s="3">
        <v>2.8661540996860801</v>
      </c>
      <c r="L86" s="3">
        <v>1.97422166671737</v>
      </c>
      <c r="M86" s="3">
        <v>2.9011971633382299</v>
      </c>
      <c r="N86" s="3">
        <v>4.5586557107830297</v>
      </c>
    </row>
    <row r="87" spans="1:14" x14ac:dyDescent="0.35">
      <c r="A87" s="2">
        <v>44503</v>
      </c>
      <c r="B87" s="3">
        <v>2.6774663468061499</v>
      </c>
      <c r="C87" s="3">
        <v>3.9485581992043701</v>
      </c>
      <c r="D87" s="3">
        <v>2.7195679042731502</v>
      </c>
      <c r="E87" s="3">
        <v>2.9154898002213998</v>
      </c>
      <c r="F87" s="3">
        <v>2.0672259445001302</v>
      </c>
      <c r="G87" s="3">
        <v>2.5875252252822198</v>
      </c>
      <c r="H87" s="3">
        <v>4.0441495932163001</v>
      </c>
      <c r="I87" s="3">
        <v>0.66673539315554997</v>
      </c>
      <c r="J87" s="3">
        <v>1.3799605085267099</v>
      </c>
      <c r="K87" s="3">
        <v>2.7469931954577298</v>
      </c>
      <c r="L87" s="3">
        <v>1.8868038481774301</v>
      </c>
      <c r="M87" s="3">
        <v>3.0061461633188302</v>
      </c>
      <c r="N87" s="3">
        <v>4.3298046184208001</v>
      </c>
    </row>
    <row r="88" spans="1:14" x14ac:dyDescent="0.35">
      <c r="A88" s="2">
        <v>44533</v>
      </c>
      <c r="B88" s="3">
        <v>2.79726862480778</v>
      </c>
      <c r="C88" s="3">
        <v>4.0399429948750898</v>
      </c>
      <c r="D88" s="3">
        <v>2.8714511077597402</v>
      </c>
      <c r="E88" s="3">
        <v>3.1543619624858801</v>
      </c>
      <c r="F88" s="3">
        <v>2.1745109379608998</v>
      </c>
      <c r="G88" s="3">
        <v>2.67077607476083</v>
      </c>
      <c r="H88" s="3">
        <v>4.10837664648062</v>
      </c>
      <c r="I88" s="3">
        <v>0.69027890436943196</v>
      </c>
      <c r="J88" s="3">
        <v>1.4199731503402899</v>
      </c>
      <c r="K88" s="3">
        <v>2.8762762934669199</v>
      </c>
      <c r="L88" s="3">
        <v>2.00595870564382</v>
      </c>
      <c r="M88" s="3">
        <v>3.0255724295658002</v>
      </c>
      <c r="N88" s="3">
        <v>4.7523535882579697</v>
      </c>
    </row>
    <row r="89" spans="1:14" x14ac:dyDescent="0.35">
      <c r="A89" s="2">
        <v>44564</v>
      </c>
      <c r="B89" s="3">
        <v>2.76710281410754</v>
      </c>
      <c r="C89" s="3">
        <v>3.8943428811716401</v>
      </c>
      <c r="D89" s="3">
        <v>2.7814183291077001</v>
      </c>
      <c r="E89" s="3">
        <v>3.01997254027272</v>
      </c>
      <c r="F89" s="3">
        <v>2.1533378455701002</v>
      </c>
      <c r="G89" s="3">
        <v>2.5276605735921902</v>
      </c>
      <c r="H89" s="3">
        <v>3.9177095545962302</v>
      </c>
      <c r="I89" s="3">
        <v>0.66123240730565802</v>
      </c>
      <c r="J89" s="3">
        <v>1.34694121768054</v>
      </c>
      <c r="K89" s="3">
        <v>2.7212788103135002</v>
      </c>
      <c r="L89" s="3">
        <v>1.92309868762391</v>
      </c>
      <c r="M89" s="3">
        <v>2.8324360732191698</v>
      </c>
      <c r="N89" s="3">
        <v>4.5371870598140296</v>
      </c>
    </row>
    <row r="90" spans="1:14" x14ac:dyDescent="0.35">
      <c r="A90" s="2">
        <v>44595</v>
      </c>
      <c r="B90" s="3">
        <v>2.9302897468958902</v>
      </c>
      <c r="C90" s="3">
        <v>4.3124800742323703</v>
      </c>
      <c r="D90" s="3">
        <v>2.8276843797263198</v>
      </c>
      <c r="E90" s="3">
        <v>3.19752613735381</v>
      </c>
      <c r="F90" s="3">
        <v>2.2812943499547802</v>
      </c>
      <c r="G90" s="3">
        <v>2.7459182838398002</v>
      </c>
      <c r="H90" s="3">
        <v>3.79719146301455</v>
      </c>
      <c r="I90" s="3">
        <v>0.76105519217842399</v>
      </c>
      <c r="J90" s="3">
        <v>1.4621989396695101</v>
      </c>
      <c r="K90" s="3">
        <v>2.8648011045351698</v>
      </c>
      <c r="L90" s="3">
        <v>2.21442033362267</v>
      </c>
      <c r="M90" s="3">
        <v>2.90837359672215</v>
      </c>
      <c r="N90" s="3">
        <v>4.7221466040103497</v>
      </c>
    </row>
    <row r="91" spans="1:14" x14ac:dyDescent="0.35">
      <c r="A91" s="2">
        <v>44623</v>
      </c>
      <c r="B91" s="3">
        <v>2.9904933821644502</v>
      </c>
      <c r="C91" s="3">
        <v>4.30145858461887</v>
      </c>
      <c r="D91" s="3">
        <v>2.85842945846337</v>
      </c>
      <c r="E91" s="3">
        <v>3.6836021139847501</v>
      </c>
      <c r="F91" s="3">
        <v>2.3967688979889599</v>
      </c>
      <c r="G91" s="3">
        <v>2.8754737460015498</v>
      </c>
      <c r="H91" s="3">
        <v>4.0235956333469298</v>
      </c>
      <c r="I91" s="3">
        <v>0.79919310486641604</v>
      </c>
      <c r="J91" s="3">
        <v>1.51514599574523</v>
      </c>
      <c r="K91" s="3">
        <v>3.2291833003180601</v>
      </c>
      <c r="L91" s="3">
        <v>2.3719699099519902</v>
      </c>
      <c r="M91" s="3">
        <v>3.2846552393403998</v>
      </c>
      <c r="N91" s="3">
        <v>5.32226206792956</v>
      </c>
    </row>
    <row r="92" spans="1:14" x14ac:dyDescent="0.35">
      <c r="A92" s="2">
        <v>44652</v>
      </c>
      <c r="B92" s="3">
        <v>3.06349188101699</v>
      </c>
      <c r="C92" s="3">
        <v>4.2407604967941301</v>
      </c>
      <c r="D92" s="3">
        <v>2.8310748335118001</v>
      </c>
      <c r="E92" s="3">
        <v>3.5348435627422701</v>
      </c>
      <c r="F92" s="3">
        <v>2.3476707407651798</v>
      </c>
      <c r="G92" s="3">
        <v>2.7815893629968702</v>
      </c>
      <c r="H92" s="3">
        <v>4.0030961252352997</v>
      </c>
      <c r="I92" s="3">
        <v>0.75760489842532497</v>
      </c>
      <c r="J92" s="3">
        <v>1.4505502568116899</v>
      </c>
      <c r="K92" s="3">
        <v>3.08139101129037</v>
      </c>
      <c r="L92" s="3">
        <v>2.2377347462732602</v>
      </c>
      <c r="M92" s="3">
        <v>3.09699512884962</v>
      </c>
      <c r="N92" s="3">
        <v>5.0079433585054298</v>
      </c>
    </row>
    <row r="93" spans="1:14" x14ac:dyDescent="0.35">
      <c r="A93" s="2">
        <v>44684</v>
      </c>
      <c r="B93" s="3">
        <v>3.1144255803613499</v>
      </c>
      <c r="C93" s="3">
        <v>4.5518994630802299</v>
      </c>
      <c r="D93" s="3">
        <v>3.0437244048731502</v>
      </c>
      <c r="E93" s="3">
        <v>3.7564490741005101</v>
      </c>
      <c r="F93" s="3">
        <v>2.4194064459133702</v>
      </c>
      <c r="G93" s="3">
        <v>2.8834465249832002</v>
      </c>
      <c r="H93" s="3">
        <v>4.0593869040166801</v>
      </c>
      <c r="I93" s="3">
        <v>0.86362212664740901</v>
      </c>
      <c r="J93" s="3">
        <v>1.58401105084784</v>
      </c>
      <c r="K93" s="3">
        <v>3.1922512150922899</v>
      </c>
      <c r="L93" s="3">
        <v>2.4118790621363102</v>
      </c>
      <c r="M93" s="3">
        <v>3.34568758513399</v>
      </c>
      <c r="N93" s="3">
        <v>5.1165912092552697</v>
      </c>
    </row>
    <row r="94" spans="1:14" x14ac:dyDescent="0.35">
      <c r="A94" s="2">
        <v>44715</v>
      </c>
      <c r="B94" s="3">
        <v>3.2006022974051702</v>
      </c>
      <c r="C94" s="3">
        <v>4.67171506929082</v>
      </c>
      <c r="D94" s="3">
        <v>3.1024299942501798</v>
      </c>
      <c r="E94" s="3">
        <v>3.7265513975275399</v>
      </c>
      <c r="F94" s="3">
        <v>2.4087387175747899</v>
      </c>
      <c r="G94" s="3">
        <v>2.97445030051647</v>
      </c>
      <c r="H94" s="3">
        <v>4.0706093420230998</v>
      </c>
      <c r="I94" s="3">
        <v>0.90889348507496603</v>
      </c>
      <c r="J94" s="3">
        <v>1.61780052606074</v>
      </c>
      <c r="K94" s="3">
        <v>3.2081468363791901</v>
      </c>
      <c r="L94" s="3">
        <v>2.5610723814773699</v>
      </c>
      <c r="M94" s="3">
        <v>3.23859299265796</v>
      </c>
      <c r="N94" s="3">
        <v>5.2622055760474398</v>
      </c>
    </row>
    <row r="95" spans="1:14" x14ac:dyDescent="0.35">
      <c r="A95" s="2">
        <v>44743</v>
      </c>
      <c r="B95" s="3">
        <v>3.4063392208238898</v>
      </c>
      <c r="C95" s="3">
        <v>5.3160403707034201</v>
      </c>
      <c r="D95" s="3">
        <v>3.42241268976922</v>
      </c>
      <c r="E95" s="3">
        <v>4.21178417068705</v>
      </c>
      <c r="F95" s="3">
        <v>2.5575430645417701</v>
      </c>
      <c r="G95" s="3">
        <v>3.1965228346668</v>
      </c>
      <c r="H95" s="3">
        <v>4.32396103570579</v>
      </c>
      <c r="I95" s="3">
        <v>0.99234214114326202</v>
      </c>
      <c r="J95" s="3">
        <v>1.75495807526175</v>
      </c>
      <c r="K95" s="3">
        <v>3.5373327212541601</v>
      </c>
      <c r="L95" s="3">
        <v>3.4842035208358402</v>
      </c>
      <c r="M95" s="3">
        <v>3.6385290367084799</v>
      </c>
      <c r="N95" s="3">
        <v>5.9288194662000402</v>
      </c>
    </row>
    <row r="96" spans="1:14" x14ac:dyDescent="0.35">
      <c r="A96" s="2">
        <v>44776</v>
      </c>
      <c r="B96" s="3">
        <v>3.1908889206198801</v>
      </c>
      <c r="C96" s="3">
        <v>4.8339729219513501</v>
      </c>
      <c r="D96" s="3">
        <v>3.34745116369132</v>
      </c>
      <c r="E96" s="3">
        <v>3.9778027497504702</v>
      </c>
      <c r="F96" s="3">
        <v>2.44717251278241</v>
      </c>
      <c r="G96" s="3">
        <v>3.0696108484139599</v>
      </c>
      <c r="H96" s="3">
        <v>4.1899363287791704</v>
      </c>
      <c r="I96" s="3">
        <v>0.873573804138427</v>
      </c>
      <c r="J96" s="3">
        <v>1.62368765899506</v>
      </c>
      <c r="K96" s="3">
        <v>3.2750052902388802</v>
      </c>
      <c r="L96" s="3">
        <v>3.0318149855837602</v>
      </c>
      <c r="M96" s="3">
        <v>3.4908647077863102</v>
      </c>
      <c r="N96" s="3">
        <v>5.7960117427176803</v>
      </c>
    </row>
    <row r="97" spans="1:14" x14ac:dyDescent="0.35">
      <c r="A97" s="2">
        <v>44806</v>
      </c>
      <c r="B97" s="3">
        <v>3.1945586695871602</v>
      </c>
      <c r="C97" s="3">
        <v>4.8731086435394504</v>
      </c>
      <c r="D97" s="3">
        <v>3.4774993126967799</v>
      </c>
      <c r="E97" s="3">
        <v>4.1383766174527796</v>
      </c>
      <c r="F97" s="3">
        <v>2.4650286350689301</v>
      </c>
      <c r="G97" s="3">
        <v>3.1965103602527098</v>
      </c>
      <c r="H97" s="3">
        <v>4.4391779817680899</v>
      </c>
      <c r="I97" s="3">
        <v>0.96251918335652498</v>
      </c>
      <c r="J97" s="3">
        <v>1.74086662512774</v>
      </c>
      <c r="K97" s="3">
        <v>3.4976306502388899</v>
      </c>
      <c r="L97" s="3">
        <v>3.7930401317215598</v>
      </c>
      <c r="M97" s="3">
        <v>3.7112199859302</v>
      </c>
      <c r="N97" s="3">
        <v>5.6446969685769401</v>
      </c>
    </row>
    <row r="98" spans="1:14" x14ac:dyDescent="0.35">
      <c r="A98" s="2">
        <v>44837</v>
      </c>
      <c r="B98" s="3">
        <v>3.4550306143249201</v>
      </c>
      <c r="C98" s="3">
        <v>5.2224115758118002</v>
      </c>
      <c r="D98" s="3">
        <v>3.5526810474808901</v>
      </c>
      <c r="E98" s="3">
        <v>4.4375686293449599</v>
      </c>
      <c r="F98" s="3">
        <v>2.6051199894928301</v>
      </c>
      <c r="G98" s="3">
        <v>3.4327318456407898</v>
      </c>
      <c r="H98" s="3">
        <v>4.7266924823243999</v>
      </c>
      <c r="I98" s="3">
        <v>1.0460401272106501</v>
      </c>
      <c r="J98" s="3">
        <v>1.8638667320862401</v>
      </c>
      <c r="K98" s="3">
        <v>3.7529891568646798</v>
      </c>
      <c r="L98" s="3">
        <v>3.04754749271325</v>
      </c>
      <c r="M98" s="3">
        <v>3.7641920687386299</v>
      </c>
      <c r="N98" s="3">
        <v>6.10438909771264</v>
      </c>
    </row>
    <row r="99" spans="1:14" x14ac:dyDescent="0.35">
      <c r="A99" s="2">
        <v>44868</v>
      </c>
      <c r="B99" s="3">
        <v>3.4108502827612099</v>
      </c>
      <c r="C99" s="3">
        <v>4.9874605886627199</v>
      </c>
      <c r="D99" s="3">
        <v>3.50056130903149</v>
      </c>
      <c r="E99" s="3">
        <v>4.1788721385101297</v>
      </c>
      <c r="F99" s="3">
        <v>2.4907622086551302</v>
      </c>
      <c r="G99" s="3">
        <v>3.3407233204414601</v>
      </c>
      <c r="H99" s="3">
        <v>4.5493423887266999</v>
      </c>
      <c r="I99" s="3">
        <v>1.1081338070386599</v>
      </c>
      <c r="J99" s="3">
        <v>1.8572238987238701</v>
      </c>
      <c r="K99" s="3">
        <v>3.5276260536829902</v>
      </c>
      <c r="L99" s="3">
        <v>3.0204754874193398</v>
      </c>
      <c r="M99" s="3">
        <v>3.7975511125584198</v>
      </c>
      <c r="N99" s="3">
        <v>5.6897519117290196</v>
      </c>
    </row>
    <row r="100" spans="1:14" x14ac:dyDescent="0.35">
      <c r="A100" s="2">
        <v>44897</v>
      </c>
      <c r="B100" s="3">
        <v>3.3856709241705998</v>
      </c>
      <c r="C100" s="3">
        <v>4.4336585340010597</v>
      </c>
      <c r="D100" s="3">
        <v>3.2817011342395501</v>
      </c>
      <c r="E100" s="3">
        <v>3.7096152777159901</v>
      </c>
      <c r="F100" s="3">
        <v>2.46414427084341</v>
      </c>
      <c r="G100" s="3">
        <v>3.0846754010656601</v>
      </c>
      <c r="H100" s="3">
        <v>4.21267202738892</v>
      </c>
      <c r="I100" s="3">
        <v>0.98703769109906703</v>
      </c>
      <c r="J100" s="3">
        <v>1.6991976163308</v>
      </c>
      <c r="K100" s="3">
        <v>3.2608795686899699</v>
      </c>
      <c r="L100" s="3">
        <v>2.63424290174967</v>
      </c>
      <c r="M100" s="3">
        <v>3.5593136057966199</v>
      </c>
      <c r="N100" s="3">
        <v>5.6775556387591504</v>
      </c>
    </row>
    <row r="101" spans="1:14" x14ac:dyDescent="0.35">
      <c r="A101" s="2">
        <v>44929</v>
      </c>
      <c r="B101" s="3">
        <v>3.4848523343083602</v>
      </c>
      <c r="C101" s="3">
        <v>4.6150068611367203</v>
      </c>
      <c r="D101" s="3">
        <v>3.4595811343203402</v>
      </c>
      <c r="E101" s="3">
        <v>3.7652670556598098</v>
      </c>
      <c r="F101" s="3">
        <v>2.5778292487104699</v>
      </c>
      <c r="G101" s="3">
        <v>3.1712714572960001</v>
      </c>
      <c r="H101" s="3">
        <v>4.23063593239194</v>
      </c>
      <c r="I101" s="3">
        <v>1.0466785376140599</v>
      </c>
      <c r="J101" s="3">
        <v>1.81687164768108</v>
      </c>
      <c r="K101" s="3">
        <v>3.3213320055559001</v>
      </c>
      <c r="L101" s="3">
        <v>2.7392839049972202</v>
      </c>
      <c r="M101" s="3">
        <v>3.6889308496602302</v>
      </c>
      <c r="N101" s="3">
        <v>5.752368631855</v>
      </c>
    </row>
    <row r="102" spans="1:14" x14ac:dyDescent="0.35">
      <c r="A102" s="2">
        <v>44960</v>
      </c>
      <c r="B102" s="3">
        <v>3.2761515341434699</v>
      </c>
      <c r="C102" s="3">
        <v>4.2493445040074604</v>
      </c>
      <c r="D102" s="3">
        <v>3.2543708724161</v>
      </c>
      <c r="E102" s="3">
        <v>3.4258411305254999</v>
      </c>
      <c r="F102" s="3">
        <v>2.45541498074377</v>
      </c>
      <c r="G102" s="3">
        <v>3.0274275271663802</v>
      </c>
      <c r="H102" s="3">
        <v>4.0950833133892797</v>
      </c>
      <c r="I102" s="3">
        <v>0.91467686102653101</v>
      </c>
      <c r="J102" s="3">
        <v>1.6915258578958099</v>
      </c>
      <c r="K102" s="3">
        <v>3.0582108743446601</v>
      </c>
      <c r="L102" s="3">
        <v>2.50476079928558</v>
      </c>
      <c r="M102" s="3">
        <v>3.4271808690816901</v>
      </c>
      <c r="N102" s="3">
        <v>5.4338696736761802</v>
      </c>
    </row>
    <row r="103" spans="1:14" x14ac:dyDescent="0.35">
      <c r="A103" s="2">
        <v>44988</v>
      </c>
      <c r="B103" s="3">
        <v>3.3888399996977001</v>
      </c>
      <c r="C103" s="3">
        <v>4.4570027669012102</v>
      </c>
      <c r="D103" s="3">
        <v>3.2870141103251802</v>
      </c>
      <c r="E103" s="3">
        <v>3.4824019350794302</v>
      </c>
      <c r="F103" s="3">
        <v>2.40138816883336</v>
      </c>
      <c r="G103" s="3">
        <v>3.1339928569195701</v>
      </c>
      <c r="H103" s="3">
        <v>4.1263184079893804</v>
      </c>
      <c r="I103" s="3">
        <v>0.94246865922522205</v>
      </c>
      <c r="J103" s="3">
        <v>1.73637962368359</v>
      </c>
      <c r="K103" s="3">
        <v>3.13610251859614</v>
      </c>
      <c r="L103" s="3">
        <v>2.6272185204483902</v>
      </c>
      <c r="M103" s="3">
        <v>3.4974281912174399</v>
      </c>
      <c r="N103" s="3">
        <v>5.2194612572616901</v>
      </c>
    </row>
    <row r="104" spans="1:14" x14ac:dyDescent="0.35">
      <c r="A104" s="2">
        <v>45019</v>
      </c>
      <c r="B104" s="3">
        <v>3.4096421522772702</v>
      </c>
      <c r="C104" s="3">
        <v>4.4982869528978604</v>
      </c>
      <c r="D104" s="3">
        <v>3.3056776285401002</v>
      </c>
      <c r="E104" s="3">
        <v>3.5400730202060302</v>
      </c>
      <c r="F104" s="3">
        <v>2.43010157348662</v>
      </c>
      <c r="G104" s="3">
        <v>3.1676380924024001</v>
      </c>
      <c r="H104" s="3">
        <v>4.1970150543627502</v>
      </c>
      <c r="I104" s="3">
        <v>0.88584481589786002</v>
      </c>
      <c r="J104" s="3">
        <v>1.7106352245765599</v>
      </c>
      <c r="K104" s="3">
        <v>3.1688786952853301</v>
      </c>
      <c r="L104" s="3">
        <v>2.6512882470810699</v>
      </c>
      <c r="M104" s="3">
        <v>3.6551229154425098</v>
      </c>
      <c r="N104" s="3">
        <v>5.4212541984327096</v>
      </c>
    </row>
    <row r="105" spans="1:14" x14ac:dyDescent="0.35">
      <c r="A105" s="2">
        <v>45049</v>
      </c>
      <c r="B105" s="3">
        <v>3.4199366000004399</v>
      </c>
      <c r="C105" s="3">
        <v>4.4742660583088201</v>
      </c>
      <c r="D105" s="3">
        <v>3.2797005113569502</v>
      </c>
      <c r="E105" s="3">
        <v>3.5404375066743898</v>
      </c>
      <c r="F105" s="3">
        <v>2.3656374399909699</v>
      </c>
      <c r="G105" s="3">
        <v>3.0520971574987099</v>
      </c>
      <c r="H105" s="3">
        <v>4.2054800942897002</v>
      </c>
      <c r="I105" s="3">
        <v>0.87868958278757803</v>
      </c>
      <c r="J105" s="3">
        <v>1.72606906572751</v>
      </c>
      <c r="K105" s="3">
        <v>3.1665851608644799</v>
      </c>
      <c r="L105" s="3">
        <v>2.7098501743060202</v>
      </c>
      <c r="M105" s="3">
        <v>3.6865300114517101</v>
      </c>
      <c r="N105" s="3">
        <v>5.4700389536248801</v>
      </c>
    </row>
    <row r="106" spans="1:14" x14ac:dyDescent="0.35">
      <c r="A106" s="2">
        <v>45079</v>
      </c>
      <c r="B106" s="3">
        <v>3.4149805507297502</v>
      </c>
      <c r="C106" s="3">
        <v>4.4791514095311404</v>
      </c>
      <c r="D106" s="3">
        <v>3.3111025967832801</v>
      </c>
      <c r="E106" s="3">
        <v>3.6181495339138898</v>
      </c>
      <c r="F106" s="3">
        <v>2.2563733201796699</v>
      </c>
      <c r="G106" s="3">
        <v>3.12627979885354</v>
      </c>
      <c r="H106" s="3">
        <v>4.3534786573302604</v>
      </c>
      <c r="I106" s="3">
        <v>0.79164031323977502</v>
      </c>
      <c r="J106" s="3">
        <v>1.65609088871319</v>
      </c>
      <c r="K106" s="3">
        <v>3.2604345683449201</v>
      </c>
      <c r="L106" s="3">
        <v>2.6879028251978498</v>
      </c>
      <c r="M106" s="3">
        <v>3.7094284338116399</v>
      </c>
      <c r="N106" s="3">
        <v>5.43936078668085</v>
      </c>
    </row>
    <row r="107" spans="1:14" x14ac:dyDescent="0.35">
      <c r="A107" s="2">
        <v>45110</v>
      </c>
      <c r="B107" s="3">
        <v>3.4117985272479898</v>
      </c>
      <c r="C107" s="3">
        <v>4.2792914278406702</v>
      </c>
      <c r="D107" s="3">
        <v>3.2470151307481001</v>
      </c>
      <c r="E107" s="3">
        <v>3.64063165485183</v>
      </c>
      <c r="F107" s="3">
        <v>2.1433109461024502</v>
      </c>
      <c r="G107" s="3">
        <v>3.1855511409335699</v>
      </c>
      <c r="H107" s="3">
        <v>4.3753792760652201</v>
      </c>
      <c r="I107" s="3">
        <v>0.76142570361567996</v>
      </c>
      <c r="J107" s="3">
        <v>1.5950899116787001</v>
      </c>
      <c r="K107" s="3">
        <v>3.24105305642881</v>
      </c>
      <c r="L107" s="3">
        <v>2.6869293188140402</v>
      </c>
      <c r="M107" s="3">
        <v>3.7274214203493501</v>
      </c>
      <c r="N107" s="3">
        <v>5.2626367402740497</v>
      </c>
    </row>
    <row r="108" spans="1:14" x14ac:dyDescent="0.35">
      <c r="A108" s="2">
        <v>45141</v>
      </c>
      <c r="B108" s="3">
        <v>3.4226930269982598</v>
      </c>
      <c r="C108" s="3">
        <v>4.1844747040914898</v>
      </c>
      <c r="D108" s="3">
        <v>3.2234496333251301</v>
      </c>
      <c r="E108" s="3">
        <v>3.7153610358284399</v>
      </c>
      <c r="F108" s="3">
        <v>2.2245198669204398</v>
      </c>
      <c r="G108" s="3">
        <v>3.2111150476561399</v>
      </c>
      <c r="H108" s="3">
        <v>4.4173883285988396</v>
      </c>
      <c r="I108" s="3">
        <v>0.87779240804629399</v>
      </c>
      <c r="J108" s="3">
        <v>1.58709318031744</v>
      </c>
      <c r="K108" s="3">
        <v>3.3355277951585198</v>
      </c>
      <c r="L108" s="3">
        <v>2.7355173358018301</v>
      </c>
      <c r="M108" s="3">
        <v>3.89074550807829</v>
      </c>
      <c r="N108" s="3">
        <v>5.4375690993146</v>
      </c>
    </row>
    <row r="109" spans="1:14" x14ac:dyDescent="0.35">
      <c r="A109" s="2">
        <v>45170</v>
      </c>
      <c r="B109" s="3">
        <v>3.30573005842523</v>
      </c>
      <c r="C109" s="3">
        <v>4.1546426241545404</v>
      </c>
      <c r="D109" s="3">
        <v>3.4466674697377599</v>
      </c>
      <c r="E109" s="3">
        <v>3.71753673276881</v>
      </c>
      <c r="F109" s="3">
        <v>2.1786711133853598</v>
      </c>
      <c r="G109" s="3">
        <v>3.2453674033270001</v>
      </c>
      <c r="H109" s="3">
        <v>4.4750043313412702</v>
      </c>
      <c r="I109" s="3">
        <v>0.87420294399488696</v>
      </c>
      <c r="J109" s="3">
        <v>1.59260646099435</v>
      </c>
      <c r="K109" s="3">
        <v>3.3249747996917298</v>
      </c>
      <c r="L109" s="3">
        <v>2.8834296668564301</v>
      </c>
      <c r="M109" s="3">
        <v>3.95389923996707</v>
      </c>
      <c r="N109" s="3">
        <v>5.3873841436868402</v>
      </c>
    </row>
    <row r="110" spans="1:14" x14ac:dyDescent="0.35">
      <c r="A110" s="2">
        <v>45202</v>
      </c>
      <c r="B110" s="3">
        <v>3.4422823333621402</v>
      </c>
      <c r="C110" s="3">
        <v>4.3879727341128598</v>
      </c>
      <c r="D110" s="3">
        <v>3.7390555741344298</v>
      </c>
      <c r="E110" s="3">
        <v>3.9358865665854301</v>
      </c>
      <c r="F110" s="3">
        <v>2.2774989011173901</v>
      </c>
      <c r="G110" s="3">
        <v>3.4240818327799998</v>
      </c>
      <c r="H110" s="3">
        <v>4.5679163105075302</v>
      </c>
      <c r="I110" s="3">
        <v>0.95618920859855205</v>
      </c>
      <c r="J110" s="3">
        <v>1.71390543450744</v>
      </c>
      <c r="K110" s="3">
        <v>3.4962014721505699</v>
      </c>
      <c r="L110" s="3">
        <v>3.1074988960776002</v>
      </c>
      <c r="M110" s="3">
        <v>4.0812166939762999</v>
      </c>
      <c r="N110" s="3">
        <v>5.6836093775227097</v>
      </c>
    </row>
    <row r="111" spans="1:14" x14ac:dyDescent="0.35">
      <c r="A111" s="2">
        <v>45233</v>
      </c>
      <c r="B111" s="3">
        <v>3.4712841420807901</v>
      </c>
      <c r="C111" s="3">
        <v>4.3654809027651096</v>
      </c>
      <c r="D111" s="3">
        <v>3.6149891933656999</v>
      </c>
      <c r="E111" s="3">
        <v>3.93031420690237</v>
      </c>
      <c r="F111" s="3">
        <v>2.2482210206715001</v>
      </c>
      <c r="G111" s="3">
        <v>3.4626005786433498</v>
      </c>
      <c r="H111" s="3">
        <v>4.5566168818082602</v>
      </c>
      <c r="I111" s="3">
        <v>0.928321953459184</v>
      </c>
      <c r="J111" s="3">
        <v>1.6692842617644299</v>
      </c>
      <c r="K111" s="3">
        <v>3.4544460956129099</v>
      </c>
      <c r="L111" s="3">
        <v>2.9738970362256301</v>
      </c>
      <c r="M111" s="3">
        <v>3.8528452066291501</v>
      </c>
      <c r="N111" s="3">
        <v>5.5752846282580304</v>
      </c>
    </row>
    <row r="112" spans="1:14" x14ac:dyDescent="0.35">
      <c r="A112" s="2">
        <v>45261</v>
      </c>
      <c r="B112" s="3">
        <v>3.105679102701</v>
      </c>
      <c r="C112" s="3">
        <v>4.2906480702969398</v>
      </c>
      <c r="D112" s="3">
        <v>3.4406107772630001</v>
      </c>
      <c r="E112" s="3">
        <v>3.6181587689138301</v>
      </c>
      <c r="F112" s="3">
        <v>2.22538887163287</v>
      </c>
      <c r="G112" s="3">
        <v>3.3647868004724</v>
      </c>
      <c r="H112" s="3">
        <v>4.4120125839209896</v>
      </c>
      <c r="I112" s="3">
        <v>0.88476172765406802</v>
      </c>
      <c r="J112" s="3">
        <v>1.5870780482383</v>
      </c>
      <c r="K112" s="3">
        <v>3.3222650724598499</v>
      </c>
      <c r="L112" s="3">
        <v>2.8017672576894501</v>
      </c>
      <c r="M112" s="3">
        <v>3.1435520151650098</v>
      </c>
      <c r="N112" s="3">
        <v>5.4535548821951201</v>
      </c>
    </row>
    <row r="113" spans="1:25" x14ac:dyDescent="0.35">
      <c r="A113" s="2">
        <v>45294</v>
      </c>
      <c r="B113" s="3">
        <v>2.99294458930023</v>
      </c>
      <c r="C113" s="3">
        <v>4.0319322020791502</v>
      </c>
      <c r="D113" s="3">
        <v>3.3784473345276602</v>
      </c>
      <c r="E113" s="3">
        <v>3.6058818866041098</v>
      </c>
      <c r="F113" s="3">
        <v>2.2746343589094402</v>
      </c>
      <c r="G113" s="3">
        <v>3.28739273393361</v>
      </c>
      <c r="H113" s="3">
        <v>4.3093630180710898</v>
      </c>
      <c r="I113" s="3">
        <v>0.94542793830134197</v>
      </c>
      <c r="J113" s="3">
        <v>1.56594663762354</v>
      </c>
      <c r="K113" s="3">
        <v>3.2888291574304001</v>
      </c>
      <c r="L113" s="3">
        <v>2.7522826560191298</v>
      </c>
      <c r="M113" s="3">
        <v>2.9859678446246001</v>
      </c>
      <c r="N113" s="3">
        <v>5.5283848420863304</v>
      </c>
    </row>
    <row r="114" spans="1:25" x14ac:dyDescent="0.35">
      <c r="A114" s="2">
        <v>45324</v>
      </c>
      <c r="B114" s="3">
        <v>2.9801677892696299</v>
      </c>
      <c r="C114" s="3">
        <v>3.9590217475359801</v>
      </c>
      <c r="D114" s="3">
        <v>3.3261202820851099</v>
      </c>
      <c r="E114" s="3">
        <v>3.5332605997216202</v>
      </c>
      <c r="F114" s="3">
        <v>2.1262737222795498</v>
      </c>
      <c r="G114" s="3">
        <v>3.31234120879826</v>
      </c>
      <c r="H114" s="3">
        <v>4.3028095484683799</v>
      </c>
      <c r="I114" s="3">
        <v>0.89479597262487498</v>
      </c>
      <c r="J114" s="3">
        <v>1.50262785051875</v>
      </c>
      <c r="K114" s="3">
        <v>3.2081507131304798</v>
      </c>
      <c r="L114" s="3">
        <v>2.55304738078806</v>
      </c>
      <c r="M114" s="3">
        <v>3.3282976395155099</v>
      </c>
      <c r="N114" s="3">
        <v>5.3796633097102102</v>
      </c>
    </row>
    <row r="115" spans="1:25" x14ac:dyDescent="0.35">
      <c r="A115" s="2">
        <v>45352</v>
      </c>
      <c r="B115" s="3">
        <v>2.7621745845824202</v>
      </c>
      <c r="C115" s="3">
        <v>3.95046016639566</v>
      </c>
      <c r="D115" s="3">
        <v>3.2241557238524599</v>
      </c>
      <c r="E115" s="3">
        <v>3.4523899065812702</v>
      </c>
      <c r="F115" s="3">
        <v>2.0072323842902402</v>
      </c>
      <c r="G115" s="3">
        <v>3.29531729714116</v>
      </c>
      <c r="H115" s="3">
        <v>4.1596777320177702</v>
      </c>
      <c r="I115" s="3">
        <v>0.87017085963776997</v>
      </c>
      <c r="J115" s="3">
        <v>1.4616380008558101</v>
      </c>
      <c r="K115" s="3">
        <v>3.1288840848497799</v>
      </c>
      <c r="L115" s="3">
        <v>2.5826740728780599</v>
      </c>
      <c r="M115" s="3">
        <v>3.2804579119965198</v>
      </c>
      <c r="N115" s="3">
        <v>5.2744152485417501</v>
      </c>
    </row>
    <row r="116" spans="1:25" x14ac:dyDescent="0.35">
      <c r="A116" s="2">
        <v>45385</v>
      </c>
      <c r="B116" s="3">
        <v>2.7638895733828002</v>
      </c>
      <c r="C116" s="3">
        <v>3.9429399529082598</v>
      </c>
      <c r="D116" s="3">
        <v>3.10686542675609</v>
      </c>
      <c r="E116" s="3">
        <v>3.2684155010932399</v>
      </c>
      <c r="F116" s="3">
        <v>2.0526795004372</v>
      </c>
      <c r="G116" s="3">
        <v>3.30160598705897</v>
      </c>
      <c r="H116" s="3">
        <v>4.0317197244322003</v>
      </c>
      <c r="I116" s="3">
        <v>0.88880215754511904</v>
      </c>
      <c r="J116" s="3">
        <v>1.4409640320488599</v>
      </c>
      <c r="K116" s="3">
        <v>3.0716376001135899</v>
      </c>
      <c r="L116" s="3">
        <v>2.52230670945531</v>
      </c>
      <c r="M116" s="3">
        <v>3.2341541991053</v>
      </c>
      <c r="N116" s="3">
        <v>5.1315559563978601</v>
      </c>
    </row>
    <row r="117" spans="1:25" x14ac:dyDescent="0.35">
      <c r="A117" s="2">
        <v>45415</v>
      </c>
      <c r="B117" s="3">
        <v>2.7478267961867799</v>
      </c>
      <c r="C117" s="3">
        <v>4.0027876772434396</v>
      </c>
      <c r="D117" s="3">
        <v>3.0957857152628998</v>
      </c>
      <c r="E117" s="3">
        <v>3.3820483088738298</v>
      </c>
      <c r="F117" s="3">
        <v>2.0696443290243498</v>
      </c>
      <c r="G117" s="3">
        <v>3.3902847304287902</v>
      </c>
      <c r="H117" s="3">
        <v>3.9075587545942101</v>
      </c>
      <c r="I117" s="3">
        <v>0.92657336670763002</v>
      </c>
      <c r="J117" s="3">
        <v>1.48862546074229</v>
      </c>
      <c r="K117" s="3">
        <v>3.1483294438059399</v>
      </c>
      <c r="L117" s="3">
        <v>2.56068016391766</v>
      </c>
      <c r="M117" s="3">
        <v>3.2911563497439502</v>
      </c>
      <c r="N117" s="3">
        <v>5.3267698996606896</v>
      </c>
    </row>
    <row r="118" spans="1:25" x14ac:dyDescent="0.35">
      <c r="A118" s="2">
        <v>45446</v>
      </c>
      <c r="B118" s="3">
        <v>2.7258083106426301</v>
      </c>
      <c r="C118" s="3">
        <v>3.9382049570461501</v>
      </c>
      <c r="D118" s="3">
        <v>3.28069717624345</v>
      </c>
      <c r="E118" s="3">
        <v>3.35075540276193</v>
      </c>
      <c r="F118" s="3">
        <v>2.0516034517086901</v>
      </c>
      <c r="G118" s="3">
        <v>3.21858205677596</v>
      </c>
      <c r="H118" s="3">
        <v>3.89746893290681</v>
      </c>
      <c r="I118" s="3">
        <v>0.89432127799352201</v>
      </c>
      <c r="J118" s="3">
        <v>1.45336616277175</v>
      </c>
      <c r="K118" s="3">
        <v>3.1603861952395702</v>
      </c>
      <c r="L118" s="3">
        <v>2.4658622568721902</v>
      </c>
      <c r="M118" s="3">
        <v>3.181433434678</v>
      </c>
      <c r="N118" s="3">
        <v>5.2204259746743604</v>
      </c>
    </row>
    <row r="119" spans="1:25" x14ac:dyDescent="0.35">
      <c r="A119" s="2">
        <v>45476</v>
      </c>
      <c r="B119" s="3">
        <v>2.7641277073442998</v>
      </c>
      <c r="C119" s="3">
        <v>3.9490939615722498</v>
      </c>
      <c r="D119" s="3">
        <v>3.28489788059415</v>
      </c>
      <c r="E119" s="3">
        <v>3.39731370129546</v>
      </c>
      <c r="F119" s="3">
        <v>2.0385592661847101</v>
      </c>
      <c r="G119" s="3">
        <v>3.2300886325589899</v>
      </c>
      <c r="H119" s="3">
        <v>3.9549379255041002</v>
      </c>
      <c r="I119" s="3">
        <v>0.82290882486242001</v>
      </c>
      <c r="J119" s="3">
        <v>1.38983275861046</v>
      </c>
      <c r="K119" s="3">
        <v>3.3255458544957799</v>
      </c>
      <c r="L119" s="3">
        <v>2.4649567627925801</v>
      </c>
      <c r="M119" s="3">
        <v>3.2149976231372999</v>
      </c>
      <c r="N119" s="3">
        <v>5.3906214847419998</v>
      </c>
    </row>
    <row r="120" spans="1:25" x14ac:dyDescent="0.35">
      <c r="A120" s="2">
        <v>45506</v>
      </c>
      <c r="B120" s="3">
        <v>2.6057115334089098</v>
      </c>
      <c r="C120" s="3">
        <v>3.8546799617460299</v>
      </c>
      <c r="D120" s="3">
        <v>3.3013955856025801</v>
      </c>
      <c r="E120" s="3">
        <v>3.5585411559325801</v>
      </c>
      <c r="F120" s="3">
        <v>2.35105072420895</v>
      </c>
      <c r="G120" s="3">
        <v>3.2140287690328901</v>
      </c>
      <c r="H120" s="3">
        <v>3.9380997120503101</v>
      </c>
      <c r="I120" s="3">
        <v>0.88467073551533404</v>
      </c>
      <c r="J120" s="3">
        <v>1.44533568251682</v>
      </c>
      <c r="K120" s="3">
        <v>3.4844576032083401</v>
      </c>
      <c r="L120" s="3">
        <v>2.7368425098974001</v>
      </c>
      <c r="M120" s="3">
        <v>3.3748681606314102</v>
      </c>
      <c r="N120" s="3">
        <v>5.6130127705022099</v>
      </c>
    </row>
    <row r="121" spans="1:25" x14ac:dyDescent="0.35">
      <c r="A121" s="2">
        <v>45538</v>
      </c>
      <c r="B121" s="3">
        <v>2.9179432335797699</v>
      </c>
      <c r="C121" s="3">
        <v>3.7028198352725799</v>
      </c>
      <c r="D121" s="3">
        <v>3.1631525647266501</v>
      </c>
      <c r="E121" s="3">
        <v>3.3330867908783501</v>
      </c>
      <c r="F121" s="3">
        <v>2.1987067714536899</v>
      </c>
      <c r="G121" s="3">
        <v>3.1044966898677999</v>
      </c>
      <c r="H121" s="3">
        <v>3.8930183383066899</v>
      </c>
      <c r="I121" s="3">
        <v>0.86317033528520404</v>
      </c>
      <c r="J121" s="3">
        <v>1.4043610269112401</v>
      </c>
      <c r="K121" s="3">
        <v>3.3696906165837701</v>
      </c>
      <c r="L121" s="3">
        <v>2.6301195726217999</v>
      </c>
      <c r="M121" s="3">
        <v>3.22147575220658</v>
      </c>
      <c r="N121" s="3">
        <v>5.3489668313537599</v>
      </c>
    </row>
    <row r="122" spans="1:25" x14ac:dyDescent="0.35">
      <c r="A122" s="2">
        <v>45566</v>
      </c>
      <c r="B122" s="3">
        <v>3.0919471744528901</v>
      </c>
      <c r="C122" s="3">
        <v>3.60873212087288</v>
      </c>
      <c r="D122" s="3">
        <v>3.0545221257907098</v>
      </c>
      <c r="E122" s="3">
        <v>3.1832723461946202</v>
      </c>
      <c r="F122" s="3">
        <v>2.4628355931619899</v>
      </c>
      <c r="G122" s="3">
        <v>3.1338484450121902</v>
      </c>
      <c r="H122" s="3">
        <v>3.87281371347721</v>
      </c>
      <c r="I122" s="3">
        <v>0.82960885399171902</v>
      </c>
      <c r="J122" s="3">
        <v>1.35902446481307</v>
      </c>
      <c r="K122" s="3">
        <v>3.3331385768219399</v>
      </c>
      <c r="L122" s="3">
        <v>2.6191176818399899</v>
      </c>
      <c r="M122" s="3">
        <v>3.12328948102815</v>
      </c>
      <c r="N122" s="3">
        <v>5.2458991413186196</v>
      </c>
    </row>
    <row r="125" spans="1:25" x14ac:dyDescent="0.35">
      <c r="A125" s="2" t="s">
        <v>91</v>
      </c>
      <c r="B125" s="3" cm="1">
        <f t="array" ref="B125">MIN(_xlfn._xlws.FILTER(B1:B122, ISNUMBER(B1:B122)))</f>
        <v>2.33698918497974</v>
      </c>
      <c r="C125" s="3" cm="1">
        <f t="array" ref="C125">MIN(_xlfn._xlws.FILTER(C1:C122, ISNUMBER(C1:C122)))</f>
        <v>3.3838678034353702</v>
      </c>
      <c r="D125" s="3" cm="1">
        <f t="array" ref="D125">MIN(_xlfn._xlws.FILTER(D1:D122, ISNUMBER(D1:D122)))</f>
        <v>2.6103609400801902</v>
      </c>
      <c r="E125" s="3" cm="1">
        <f t="array" ref="E125">MIN(_xlfn._xlws.FILTER(E1:E122, ISNUMBER(E1:E122)))</f>
        <v>2.6897686403498202</v>
      </c>
      <c r="F125" s="3" cm="1">
        <f t="array" ref="F125">MIN(_xlfn._xlws.FILTER(F1:F122, ISNUMBER(F1:F122)))</f>
        <v>1.84804773331924</v>
      </c>
      <c r="G125" s="3" cm="1">
        <f t="array" ref="G125">MIN(_xlfn._xlws.FILTER(G1:G122, ISNUMBER(G1:G122)))</f>
        <v>2.5276605735921902</v>
      </c>
      <c r="H125" s="3" cm="1">
        <f t="array" ref="H125">MIN(_xlfn._xlws.FILTER(H1:H122, ISNUMBER(H1:H122)))</f>
        <v>3.79719146301455</v>
      </c>
      <c r="I125" s="3" cm="1">
        <f t="array" ref="I125">MIN(_xlfn._xlws.FILTER(I1:I122, ISNUMBER(I1:I122)))</f>
        <v>0.66123240730565802</v>
      </c>
      <c r="J125" s="3" cm="1">
        <f t="array" ref="J125">MIN(_xlfn._xlws.FILTER(J1:J122, ISNUMBER(J1:J122)))</f>
        <v>1.34694121768054</v>
      </c>
      <c r="K125" s="3" cm="1">
        <f t="array" ref="K125">MIN(_xlfn._xlws.FILTER(K1:K122, ISNUMBER(K1:K122)))</f>
        <v>2.67059455919365</v>
      </c>
      <c r="L125" s="3" cm="1">
        <f t="array" ref="L125">MIN(_xlfn._xlws.FILTER(L1:L122, ISNUMBER(L1:L122)))</f>
        <v>1.8382556893575801</v>
      </c>
      <c r="M125" s="3" cm="1">
        <f t="array" ref="M125">MIN(_xlfn._xlws.FILTER(M1:M122, ISNUMBER(M1:M122)))</f>
        <v>2.6735110225213501</v>
      </c>
      <c r="N125" s="3" cm="1">
        <f t="array" ref="N125">MIN(_xlfn._xlws.FILTER(N1:N122, ISNUMBER(N1:N122)))</f>
        <v>3.1010379440181</v>
      </c>
    </row>
    <row r="126" spans="1:25" x14ac:dyDescent="0.35">
      <c r="A126" s="2" t="s">
        <v>92</v>
      </c>
      <c r="B126" s="3" cm="1">
        <f t="array" ref="B126">MAX(_xlfn._xlws.FILTER(B1:B122, ISNUMBER(B1:B122)))</f>
        <v>5.2983767660273404</v>
      </c>
      <c r="C126" s="3" cm="1">
        <f t="array" ref="C126">MAX(_xlfn._xlws.FILTER(C1:C122, ISNUMBER(C1:C122)))</f>
        <v>5.5058534973764797</v>
      </c>
      <c r="D126" s="3" cm="1">
        <f t="array" ref="D126">MAX(_xlfn._xlws.FILTER(D1:D122, ISNUMBER(D1:D122)))</f>
        <v>4.4274093345019603</v>
      </c>
      <c r="E126" s="3" cm="1">
        <f t="array" ref="E126">MAX(_xlfn._xlws.FILTER(E1:E122, ISNUMBER(E1:E122)))</f>
        <v>4.4375686293449599</v>
      </c>
      <c r="F126" s="3" cm="1">
        <f t="array" ref="F126">MAX(_xlfn._xlws.FILTER(F1:F122, ISNUMBER(F1:F122)))</f>
        <v>2.9579741068698402</v>
      </c>
      <c r="G126" s="3" cm="1">
        <f t="array" ref="G126">MAX(_xlfn._xlws.FILTER(G1:G122, ISNUMBER(G1:G122)))</f>
        <v>3.7163069981916199</v>
      </c>
      <c r="H126" s="3" cm="1">
        <f t="array" ref="H126">MAX(_xlfn._xlws.FILTER(H1:H122, ISNUMBER(H1:H122)))</f>
        <v>6.3808817523765597</v>
      </c>
      <c r="I126" s="3" cm="1">
        <f t="array" ref="I126">MAX(_xlfn._xlws.FILTER(I1:I122, ISNUMBER(I1:I122)))</f>
        <v>1.3967548313539799</v>
      </c>
      <c r="J126" s="3" cm="1">
        <f t="array" ref="J126">MAX(_xlfn._xlws.FILTER(J1:J122, ISNUMBER(J1:J122)))</f>
        <v>2.5174298456750002</v>
      </c>
      <c r="K126" s="3" cm="1">
        <f t="array" ref="K126">MAX(_xlfn._xlws.FILTER(K1:K122, ISNUMBER(K1:K122)))</f>
        <v>4.4884395232788101</v>
      </c>
      <c r="L126" s="3" cm="1">
        <f t="array" ref="L126">MAX(_xlfn._xlws.FILTER(L1:L122, ISNUMBER(L1:L122)))</f>
        <v>3.7930401317215598</v>
      </c>
      <c r="M126" s="3" cm="1">
        <f t="array" ref="M126">MAX(_xlfn._xlws.FILTER(M1:M122, ISNUMBER(M1:M122)))</f>
        <v>4.8034920910933998</v>
      </c>
      <c r="N126" s="3" cm="1">
        <f t="array" ref="N126">MAX(_xlfn._xlws.FILTER(N1:N122, ISNUMBER(N1:N122)))</f>
        <v>6.36779775197604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0.27800000000000002</v>
      </c>
      <c r="C128" s="9" cm="1">
        <f t="array" ref="C128">_xlfn.PERCENTRANK.EXC(_xlfn._xlws.FILTER(C1:C122, ISNUMBER(C1:C122)),C122)</f>
        <v>6.5000000000000002E-2</v>
      </c>
      <c r="D128" s="9" cm="1">
        <f t="array" ref="D128">_xlfn.PERCENTRANK.EXC(_xlfn._xlws.FILTER(D1:D122, ISNUMBER(D1:D122)),D122)</f>
        <v>0.377</v>
      </c>
      <c r="E128" s="9" cm="1">
        <f t="array" ref="E128">_xlfn.PERCENTRANK.EXC(_xlfn._xlws.FILTER(E1:E122, ISNUMBER(E1:E122)),E122)</f>
        <v>0.434</v>
      </c>
      <c r="F128" s="9" cm="1">
        <f t="array" ref="F128">_xlfn.PERCENTRANK.EXC(_xlfn._xlws.FILTER(F1:F122, ISNUMBER(F1:F122)),F122)</f>
        <v>0.80300000000000005</v>
      </c>
      <c r="G128" s="9" cm="1">
        <f t="array" ref="G128">_xlfn.PERCENTRANK.EXC(_xlfn._xlws.FILTER(G1:G122, ISNUMBER(G1:G122)),G122)</f>
        <v>0.311</v>
      </c>
      <c r="H128" s="9" cm="1">
        <f t="array" ref="H128">_xlfn.PERCENTRANK.EXC(_xlfn._xlws.FILTER(H1:H122, ISNUMBER(H1:H122)),H122)</f>
        <v>1.6E-2</v>
      </c>
      <c r="I128" s="9" cm="1">
        <f t="array" ref="I128">_xlfn.PERCENTRANK.EXC(_xlfn._xlws.FILTER(I1:I122, ISNUMBER(I1:I122)),I122)</f>
        <v>0.20399999999999999</v>
      </c>
      <c r="J128" s="9" cm="1">
        <f t="array" ref="J128">_xlfn.PERCENTRANK.EXC(_xlfn._xlws.FILTER(J1:J122, ISNUMBER(J1:J122)),J122)</f>
        <v>1.6E-2</v>
      </c>
      <c r="K128" s="9" cm="1">
        <f t="array" ref="K128">_xlfn.PERCENTRANK.EXC(_xlfn._xlws.FILTER(K1:K122, ISNUMBER(K1:K122)),K122)</f>
        <v>0.48299999999999998</v>
      </c>
      <c r="L128" s="9" cm="1">
        <f t="array" ref="L128">_xlfn.PERCENTRANK.EXC(_xlfn._xlws.FILTER(L1:L122, ISNUMBER(L1:L122)),L122)</f>
        <v>0.27800000000000002</v>
      </c>
      <c r="M128" s="9" cm="1">
        <f t="array" ref="M128">_xlfn.PERCENTRANK.EXC(_xlfn._xlws.FILTER(M1:M122, ISNUMBER(M1:M122)),M122)</f>
        <v>0.188</v>
      </c>
      <c r="N128" s="9" cm="1">
        <f t="array" ref="N128">_xlfn.PERCENTRANK.EXC(_xlfn._xlws.FILTER(N1:N122, ISNUMBER(N1:N122)),N122)</f>
        <v>0.754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35">
      <c r="A2" s="2" cm="1">
        <f t="array" ref="A2:A122">_xll.FDS(B1,"JULIAN(FG_TOTAL_RETURNC(-10AY,0,AM).dates)")</f>
        <v>41915</v>
      </c>
      <c r="B2" s="24" cm="1">
        <f t="array" ref="B2:B122">_xll.FDS(B1,"FG_TOTAL_RETURNC(-10AY,0,AM)")/100</f>
        <v>-5.7708796999999999E-2</v>
      </c>
      <c r="C2" s="24" cm="1">
        <f t="array" ref="C2:C122">_xll.FDS(C1,"FG_TOTAL_RETURNC(-10AY,0,AM)")/100</f>
        <v>-0.12143379</v>
      </c>
      <c r="D2" s="24" cm="1">
        <f t="array" ref="D2:D122">_xll.FDS(D1,"FG_TOTAL_RETURNC(-10AY,0,AM)")/100</f>
        <v>-8.1335359999999995E-2</v>
      </c>
      <c r="E2" s="24" cm="1">
        <f t="array" ref="E2:E122">_xll.FDS(E1,"FG_TOTAL_RETURNC(-10AY,0,AM)")/100</f>
        <v>-7.9359650000000004E-2</v>
      </c>
      <c r="F2" s="24" cm="1">
        <f t="array" ref="F2:F122">_xll.FDS(F1,"FG_TOTAL_RETURNC(-10AY,0,AM)")/100</f>
        <v>-3.6043584000000004E-2</v>
      </c>
      <c r="G2" s="24" cm="1">
        <f t="array" ref="G2:G122">_xll.FDS(G1,"FG_TOTAL_RETURNC(-10AY,0,AM)")/100</f>
        <v>-7.075751000000001E-2</v>
      </c>
      <c r="H2" s="24" cm="1">
        <f t="array" ref="H2:H122">_xll.FDS(H1,"FG_TOTAL_RETURNC(-10AY,0,AM)")/100</f>
        <v>-8.1186179999999997E-2</v>
      </c>
      <c r="I2" s="24" cm="1">
        <f t="array" ref="I2:I122">_xll.FDS(I1,"FG_TOTAL_RETURNC(-10AY,0,AM)")/100</f>
        <v>-1.0821402000000001E-2</v>
      </c>
      <c r="J2" s="24" cm="1">
        <f t="array" ref="J2:J122">_xll.FDS(J1,"FG_TOTAL_RETURNC(-10AY,0,AM)")/100</f>
        <v>-1.5263617E-2</v>
      </c>
      <c r="K2" s="24" cm="1">
        <f t="array" ref="K2:K122">_xll.FDS(K1,"FG_TOTAL_RETURNC(-10AY,0,AM)")/100</f>
        <v>-7.6231537000000002E-2</v>
      </c>
      <c r="L2" s="24" cm="1">
        <f t="array" ref="L2:L122">_xll.FDS(L1,"FG_TOTAL_RETURNC(-10AY,0,AM)")/100</f>
        <v>-5.3076030000000003E-2</v>
      </c>
      <c r="M2" s="24" cm="1">
        <f t="array" ref="M2:M122">_xll.FDS(M1,"FG_TOTAL_RETURNC(-10AY,0,AM)")/100</f>
        <v>-5.6271910000000001E-2</v>
      </c>
      <c r="N2" s="24" cm="1">
        <f t="array" ref="N2:N122">_xll.FDS(N1,"FG_TOTAL_RETURNC(-10AY,0,AM)")/100</f>
        <v>-6.9050493000000004E-2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41946</v>
      </c>
      <c r="B3" s="24">
        <v>3.0295133999999998E-2</v>
      </c>
      <c r="C3" s="24">
        <v>3.788507E-2</v>
      </c>
      <c r="D3" s="24">
        <v>-2.6759206999999997E-2</v>
      </c>
      <c r="E3" s="24">
        <v>-3.3296347E-3</v>
      </c>
      <c r="F3" s="24">
        <v>5.5652260000000002E-2</v>
      </c>
      <c r="G3" s="24">
        <v>7.898927E-3</v>
      </c>
      <c r="H3" s="24">
        <v>-7.4073670000000006E-3</v>
      </c>
      <c r="I3" s="24">
        <v>3.5958051999999997E-2</v>
      </c>
      <c r="J3" s="24">
        <v>2.6714801999999999E-2</v>
      </c>
      <c r="K3" s="24">
        <v>-1.7516553000000001E-2</v>
      </c>
      <c r="L3" s="24">
        <v>4.2462350000000001E-4</v>
      </c>
      <c r="M3" s="24">
        <v>5.5900810000000002E-3</v>
      </c>
      <c r="N3" s="24">
        <v>-3.8410604000000001E-2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41976</v>
      </c>
      <c r="B4" s="24">
        <v>2.1292806000000001E-2</v>
      </c>
      <c r="C4" s="24">
        <v>-5.8363440000000003E-2</v>
      </c>
      <c r="D4" s="24">
        <v>1.9348383E-2</v>
      </c>
      <c r="E4" s="24">
        <v>6.0504794000000001E-2</v>
      </c>
      <c r="F4" s="24">
        <v>-3.0889630000000001E-2</v>
      </c>
      <c r="G4" s="24">
        <v>3.3855796000000001E-2</v>
      </c>
      <c r="H4" s="24">
        <v>2.2654532999999998E-2</v>
      </c>
      <c r="I4" s="24">
        <v>3.6578178000000003E-2</v>
      </c>
      <c r="J4" s="24">
        <v>3.0331492000000002E-2</v>
      </c>
      <c r="K4" s="24">
        <v>3.5261512000000002E-2</v>
      </c>
      <c r="L4" s="24">
        <v>5.3904889999999997E-2</v>
      </c>
      <c r="M4" s="24">
        <v>3.0883312E-2</v>
      </c>
      <c r="N4" s="24">
        <v>1.7217636000000001E-2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42006</v>
      </c>
      <c r="B5" s="24">
        <v>1.1211872000000001E-2</v>
      </c>
      <c r="C5" s="24">
        <v>-2.7981818000000002E-2</v>
      </c>
      <c r="D5" s="24">
        <v>-3.1429051999999999E-2</v>
      </c>
      <c r="E5" s="24">
        <v>-4.5152245000000008E-2</v>
      </c>
      <c r="F5" s="24">
        <v>-3.7291825000000001E-2</v>
      </c>
      <c r="G5" s="24">
        <v>-4.3966000000000005E-2</v>
      </c>
      <c r="H5" s="24">
        <v>-5.068988E-2</v>
      </c>
      <c r="I5" s="24">
        <v>-1.9904195999999999E-2</v>
      </c>
      <c r="J5" s="24">
        <v>-6.4027905E-3</v>
      </c>
      <c r="K5" s="24">
        <v>-5.3279220000000002E-2</v>
      </c>
      <c r="L5" s="24">
        <v>-3.8203239999999999E-2</v>
      </c>
      <c r="M5" s="24">
        <v>-5.059868E-2</v>
      </c>
      <c r="N5" s="24">
        <v>-7.0770025E-2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42038</v>
      </c>
      <c r="B6" s="24">
        <v>2.0185708999999998E-3</v>
      </c>
      <c r="C6" s="24">
        <v>3.3936620000000001E-2</v>
      </c>
      <c r="D6" s="24">
        <v>-2.858138E-2</v>
      </c>
      <c r="E6" s="24">
        <v>7.1114300000000005E-2</v>
      </c>
      <c r="F6" s="24">
        <v>2.9307245999999999E-2</v>
      </c>
      <c r="G6" s="24">
        <v>2.4104E-2</v>
      </c>
      <c r="H6" s="24">
        <v>4.4232845E-2</v>
      </c>
      <c r="I6" s="24">
        <v>1.9431114E-4</v>
      </c>
      <c r="J6" s="24">
        <v>-2.8719902000000001E-3</v>
      </c>
      <c r="K6" s="24">
        <v>5.7911872999999996E-2</v>
      </c>
      <c r="L6" s="24">
        <v>3.1512617999999999E-2</v>
      </c>
      <c r="M6" s="24">
        <v>5.8169126999999994E-2</v>
      </c>
      <c r="N6" s="24">
        <v>5.4291964000000005E-2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42066</v>
      </c>
      <c r="B7" s="24">
        <v>3.3744692999999999E-2</v>
      </c>
      <c r="C7" s="24">
        <v>3.7636757E-2</v>
      </c>
      <c r="D7" s="24">
        <v>0</v>
      </c>
      <c r="E7" s="24">
        <v>9.2402696999999995E-3</v>
      </c>
      <c r="F7" s="24">
        <v>6.2985300000000008E-2</v>
      </c>
      <c r="G7" s="24">
        <v>2.3536682E-2</v>
      </c>
      <c r="H7" s="24">
        <v>1.6085862999999999E-2</v>
      </c>
      <c r="I7" s="24">
        <v>5.7400939999999998E-2</v>
      </c>
      <c r="J7" s="24">
        <v>3.0658126000000001E-2</v>
      </c>
      <c r="K7" s="24">
        <v>1.2721658E-2</v>
      </c>
      <c r="L7" s="24">
        <v>4.3177247000000002E-2</v>
      </c>
      <c r="M7" s="24">
        <v>3.7248373000000001E-2</v>
      </c>
      <c r="N7" s="24">
        <v>2.4356365000000001E-2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42096</v>
      </c>
      <c r="B8" s="24">
        <v>-1.9488393999999999E-2</v>
      </c>
      <c r="C8" s="24">
        <v>-3.0788660000000002E-2</v>
      </c>
      <c r="D8" s="24">
        <v>-8.6114407000000004E-3</v>
      </c>
      <c r="E8" s="24">
        <v>2.8484224999999998E-2</v>
      </c>
      <c r="F8" s="24">
        <v>3.0032515999999999E-2</v>
      </c>
      <c r="G8" s="24">
        <v>2.2995472000000003E-2</v>
      </c>
      <c r="H8" s="24">
        <v>-3.8522481999999997E-2</v>
      </c>
      <c r="I8" s="24">
        <v>-3.2237887E-2</v>
      </c>
      <c r="J8" s="24">
        <v>-1.7865479E-2</v>
      </c>
      <c r="K8" s="24">
        <v>1.1039137999999999E-2</v>
      </c>
      <c r="L8" s="24">
        <v>1.1714100999999999E-2</v>
      </c>
      <c r="M8" s="24">
        <v>-2.2589028000000001E-2</v>
      </c>
      <c r="N8" s="24">
        <v>2.5815247999999999E-2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42125</v>
      </c>
      <c r="B9" s="24">
        <v>3.2298565000000003E-3</v>
      </c>
      <c r="C9" s="24">
        <v>2.0452618999999998E-2</v>
      </c>
      <c r="D9" s="24">
        <v>5.4650784000000001E-2</v>
      </c>
      <c r="E9" s="24">
        <v>-1.0880291E-2</v>
      </c>
      <c r="F9" s="24">
        <v>2.6004790999999999E-2</v>
      </c>
      <c r="G9" s="24">
        <v>3.6379695000000004E-2</v>
      </c>
      <c r="H9" s="24">
        <v>5.4884789999999996E-2</v>
      </c>
      <c r="I9" s="24">
        <v>3.7385821E-2</v>
      </c>
      <c r="J9" s="24">
        <v>2.0757197999999998E-2</v>
      </c>
      <c r="K9" s="24">
        <v>3.5768150999999998E-2</v>
      </c>
      <c r="L9" s="24">
        <v>1.8139719999999998E-2</v>
      </c>
      <c r="M9" s="24">
        <v>1.2740731E-2</v>
      </c>
      <c r="N9" s="24">
        <v>2.6490092E-2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42158</v>
      </c>
      <c r="B10" s="24">
        <v>-4.4497309999999998E-2</v>
      </c>
      <c r="C10" s="24">
        <v>-4.9466968E-2</v>
      </c>
      <c r="D10" s="24">
        <v>-3.8778304999999999E-2</v>
      </c>
      <c r="E10" s="24">
        <v>-8.6666940000000008E-3</v>
      </c>
      <c r="F10" s="24">
        <v>8.4484816000000001E-3</v>
      </c>
      <c r="G10" s="24">
        <v>1.1415481999999999E-2</v>
      </c>
      <c r="H10" s="24">
        <v>0</v>
      </c>
      <c r="I10" s="24">
        <v>1.2379645999999999E-2</v>
      </c>
      <c r="J10" s="24">
        <v>5.694747E-3</v>
      </c>
      <c r="K10" s="24">
        <v>3.635049E-3</v>
      </c>
      <c r="L10" s="24">
        <v>1.8574714999999999E-2</v>
      </c>
      <c r="M10" s="24">
        <v>2.3113011999999999E-2</v>
      </c>
      <c r="N10" s="24">
        <v>2.9677389999999998E-2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42187</v>
      </c>
      <c r="B11" s="24">
        <v>-7.1525392999999993E-2</v>
      </c>
      <c r="C11" s="24">
        <v>-1.7121434000000001E-2</v>
      </c>
      <c r="D11" s="24">
        <v>-3.9430797000000004E-2</v>
      </c>
      <c r="E11" s="24">
        <v>-4.1141566999999997E-2</v>
      </c>
      <c r="F11" s="24">
        <v>-1.2560307999999999E-2</v>
      </c>
      <c r="G11" s="24">
        <v>-4.1986647000000002E-2</v>
      </c>
      <c r="H11" s="24">
        <v>-2.6275813999999998E-2</v>
      </c>
      <c r="I11" s="24">
        <v>-1.9930600999999999E-2</v>
      </c>
      <c r="J11" s="24">
        <v>-1.6973555000000001E-2</v>
      </c>
      <c r="K11" s="24">
        <v>-5.0114989999999998E-2</v>
      </c>
      <c r="L11" s="24">
        <v>-3.1523406999999996E-2</v>
      </c>
      <c r="M11" s="24">
        <v>-6.1910510000000002E-2</v>
      </c>
      <c r="N11" s="24">
        <v>-4.4867573000000001E-2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42219</v>
      </c>
      <c r="B12" s="24">
        <v>4.5820475000000003E-3</v>
      </c>
      <c r="C12" s="24">
        <v>-3.0387997999999999E-2</v>
      </c>
      <c r="D12" s="24">
        <v>-5.468166E-2</v>
      </c>
      <c r="E12" s="24">
        <v>1.7838001000000003E-2</v>
      </c>
      <c r="F12" s="24">
        <v>-1.5503764000000001E-3</v>
      </c>
      <c r="G12" s="24">
        <v>2.7442694E-2</v>
      </c>
      <c r="H12" s="24">
        <v>2.7203559999999997E-3</v>
      </c>
      <c r="I12" s="24">
        <v>3.3811926999999999E-2</v>
      </c>
      <c r="J12" s="24">
        <v>1.1962771000000001E-2</v>
      </c>
      <c r="K12" s="24">
        <v>4.1101216999999995E-2</v>
      </c>
      <c r="L12" s="24">
        <v>3.6547421999999996E-2</v>
      </c>
      <c r="M12" s="24">
        <v>6.626725E-3</v>
      </c>
      <c r="N12" s="24">
        <v>3.3377886000000002E-2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42250</v>
      </c>
      <c r="B13" s="24">
        <v>-9.207528999999999E-2</v>
      </c>
      <c r="C13" s="24">
        <v>-0.13500476</v>
      </c>
      <c r="D13" s="24">
        <v>-5.9429464000000001E-2</v>
      </c>
      <c r="E13" s="24">
        <v>-8.4122000000000002E-2</v>
      </c>
      <c r="F13" s="24">
        <v>-7.8416165999999995E-2</v>
      </c>
      <c r="G13" s="24">
        <v>-7.7487526000000001E-2</v>
      </c>
      <c r="H13" s="24">
        <v>-9.1698350000000012E-2</v>
      </c>
      <c r="I13" s="24">
        <v>-7.3566317999999992E-2</v>
      </c>
      <c r="J13" s="24">
        <v>-6.7877350000000003E-2</v>
      </c>
      <c r="K13" s="24">
        <v>-7.8957200000000005E-2</v>
      </c>
      <c r="L13" s="24">
        <v>-9.2273049999999995E-2</v>
      </c>
      <c r="M13" s="24">
        <v>-4.8589287000000002E-2</v>
      </c>
      <c r="N13" s="24">
        <v>-5.1679554000000003E-2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42279</v>
      </c>
      <c r="B14" s="24">
        <v>1.3186812000000001E-2</v>
      </c>
      <c r="C14" s="24">
        <v>1.7279744E-2</v>
      </c>
      <c r="D14" s="24">
        <v>-1.6427933999999998E-2</v>
      </c>
      <c r="E14" s="24">
        <v>-4.8603059999999997E-2</v>
      </c>
      <c r="F14" s="24">
        <v>-1.8534123999999999E-2</v>
      </c>
      <c r="G14" s="24">
        <v>-1.3999402999999999E-2</v>
      </c>
      <c r="H14" s="24">
        <v>8.9606046999999994E-3</v>
      </c>
      <c r="I14" s="24">
        <v>8.4797143999999994E-3</v>
      </c>
      <c r="J14" s="24">
        <v>2.4600029000000001E-3</v>
      </c>
      <c r="K14" s="24">
        <v>-9.7048280000000004E-3</v>
      </c>
      <c r="L14" s="24">
        <v>-1.9008278999999999E-2</v>
      </c>
      <c r="M14" s="24">
        <v>-3.0642510000000001E-2</v>
      </c>
      <c r="N14" s="24">
        <v>-6.8122150000000004E-4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42311</v>
      </c>
      <c r="B15" s="24">
        <v>0.12209474999999999</v>
      </c>
      <c r="C15" s="24">
        <v>5.2602650000000001E-2</v>
      </c>
      <c r="D15" s="24">
        <v>3.9828657999999996E-2</v>
      </c>
      <c r="E15" s="24">
        <v>9.9356410000000006E-2</v>
      </c>
      <c r="F15" s="24">
        <v>6.4377666E-2</v>
      </c>
      <c r="G15" s="24">
        <v>3.2913803999999998E-2</v>
      </c>
      <c r="H15" s="24">
        <v>4.4404984000000002E-2</v>
      </c>
      <c r="I15" s="24">
        <v>0.10575903</v>
      </c>
      <c r="J15" s="24">
        <v>8.2051280000000004E-2</v>
      </c>
      <c r="K15" s="24">
        <v>6.3699484000000001E-2</v>
      </c>
      <c r="L15" s="24">
        <v>6.1499595999999997E-2</v>
      </c>
      <c r="M15" s="24">
        <v>3.3990501999999999E-2</v>
      </c>
      <c r="N15" s="24">
        <v>1.2951611999999999E-2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42341</v>
      </c>
      <c r="B16" s="24">
        <v>4.9710273999999995E-3</v>
      </c>
      <c r="C16" s="24">
        <v>4.6850442999999999E-3</v>
      </c>
      <c r="D16" s="24">
        <v>-5.0247190000000004E-2</v>
      </c>
      <c r="E16" s="24">
        <v>-2.4149299000000003E-2</v>
      </c>
      <c r="F16" s="24">
        <v>-4.0321945999999996E-3</v>
      </c>
      <c r="G16" s="24">
        <v>-2.4054945000000001E-2</v>
      </c>
      <c r="H16" s="24">
        <v>-4.2517003999999997E-2</v>
      </c>
      <c r="I16" s="24">
        <v>-2.1737217999999999E-2</v>
      </c>
      <c r="J16" s="24">
        <v>-2.5544999999999998E-2</v>
      </c>
      <c r="K16" s="24">
        <v>-4.9520134999999993E-2</v>
      </c>
      <c r="L16" s="24">
        <v>-3.6904751999999999E-2</v>
      </c>
      <c r="M16" s="24">
        <v>-4.930973E-3</v>
      </c>
      <c r="N16" s="24">
        <v>-3.7012040000000003E-2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42369</v>
      </c>
      <c r="B17" s="24">
        <v>4.9646496999999998E-2</v>
      </c>
      <c r="C17" s="24">
        <v>9.8175999999999992E-3</v>
      </c>
      <c r="D17" s="24">
        <v>-5.4986953999999998E-2</v>
      </c>
      <c r="E17" s="24">
        <v>-1.7997742000000001E-2</v>
      </c>
      <c r="F17" s="24">
        <v>-1.1479139000000001E-2</v>
      </c>
      <c r="G17" s="24">
        <v>-6.4020157000000003E-3</v>
      </c>
      <c r="H17" s="24">
        <v>-2.5323749000000003E-2</v>
      </c>
      <c r="I17" s="24">
        <v>-2.6784540000000003E-3</v>
      </c>
      <c r="J17" s="24">
        <v>-2.4568439000000001E-3</v>
      </c>
      <c r="K17" s="24">
        <v>-1.8661618000000001E-2</v>
      </c>
      <c r="L17" s="24">
        <v>-1.1676431000000001E-2</v>
      </c>
      <c r="M17" s="24">
        <v>-3.5153746999999999E-2</v>
      </c>
      <c r="N17" s="24">
        <v>-3.6930919E-2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42403</v>
      </c>
      <c r="B18" s="24">
        <v>-4.2689380000000006E-2</v>
      </c>
      <c r="C18" s="24">
        <v>-8.4915520000000008E-2</v>
      </c>
      <c r="D18" s="24">
        <v>-2.7907014000000001E-2</v>
      </c>
      <c r="E18" s="24">
        <v>-7.7892359999999994E-2</v>
      </c>
      <c r="F18" s="24">
        <v>-7.8382850000000004E-2</v>
      </c>
      <c r="G18" s="24">
        <v>-6.1855673999999999E-2</v>
      </c>
      <c r="H18" s="24">
        <v>-6.2577429999999989E-2</v>
      </c>
      <c r="I18" s="24">
        <v>-9.1185390000000005E-2</v>
      </c>
      <c r="J18" s="24">
        <v>-6.1656895000000003E-2</v>
      </c>
      <c r="K18" s="24">
        <v>-4.9979329999999995E-2</v>
      </c>
      <c r="L18" s="24">
        <v>-2.8104007E-2</v>
      </c>
      <c r="M18" s="24">
        <v>-8.0191909999999991E-2</v>
      </c>
      <c r="N18" s="24">
        <v>-0.15429401000000001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42432</v>
      </c>
      <c r="B19" s="24">
        <v>4.9052360000000003E-2</v>
      </c>
      <c r="C19" s="24">
        <v>7.8962444999999992E-2</v>
      </c>
      <c r="D19" s="24">
        <v>7.1291804E-2</v>
      </c>
      <c r="E19" s="24">
        <v>1.2836456000000001E-2</v>
      </c>
      <c r="F19" s="24">
        <v>2.0590782000000002E-2</v>
      </c>
      <c r="G19" s="24">
        <v>8.9285373999999987E-3</v>
      </c>
      <c r="H19" s="24">
        <v>2.2471905E-2</v>
      </c>
      <c r="I19" s="24">
        <v>3.9051651999999999E-2</v>
      </c>
      <c r="J19" s="24">
        <v>4.4302105999999994E-2</v>
      </c>
      <c r="K19" s="24">
        <v>2.1739125000000002E-2</v>
      </c>
      <c r="L19" s="24">
        <v>1.424253E-2</v>
      </c>
      <c r="M19" s="24">
        <v>5.1415800000000005E-2</v>
      </c>
      <c r="N19" s="24">
        <v>3.4423469999999998E-2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42461</v>
      </c>
      <c r="B20" s="24">
        <v>8.7672709999999987E-2</v>
      </c>
      <c r="C20" s="24">
        <v>2.5641083999999998E-2</v>
      </c>
      <c r="D20" s="24">
        <v>5.4488659999999994E-2</v>
      </c>
      <c r="E20" s="24">
        <v>4.3336153000000002E-2</v>
      </c>
      <c r="F20" s="24">
        <v>-2.3684143999999997E-2</v>
      </c>
      <c r="G20" s="24">
        <v>6.4669849999999997E-3</v>
      </c>
      <c r="H20" s="24">
        <v>3.8784741999999999E-3</v>
      </c>
      <c r="I20" s="24">
        <v>4.7871469999999999E-2</v>
      </c>
      <c r="J20" s="24">
        <v>4.1084530000000001E-2</v>
      </c>
      <c r="K20" s="24">
        <v>1.9999981E-2</v>
      </c>
      <c r="L20" s="24">
        <v>4.2127610000000003E-2</v>
      </c>
      <c r="M20" s="24">
        <v>4.5003532999999998E-2</v>
      </c>
      <c r="N20" s="24">
        <v>1.6638040000000001E-3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42493</v>
      </c>
      <c r="B21" s="24">
        <v>1.4655708999999999E-2</v>
      </c>
      <c r="C21" s="24">
        <v>3.2812476E-2</v>
      </c>
      <c r="D21" s="24">
        <v>4.3201923000000003E-2</v>
      </c>
      <c r="E21" s="24">
        <v>2.0376205000000001E-2</v>
      </c>
      <c r="F21" s="24">
        <v>3.5040498000000003E-2</v>
      </c>
      <c r="G21" s="24">
        <v>3.0436277000000001E-2</v>
      </c>
      <c r="H21" s="24">
        <v>3.3483504999999997E-2</v>
      </c>
      <c r="I21" s="24">
        <v>-4.1953563999999999E-2</v>
      </c>
      <c r="J21" s="24">
        <v>-3.676772E-3</v>
      </c>
      <c r="K21" s="24">
        <v>2.5031327999999999E-2</v>
      </c>
      <c r="L21" s="24">
        <v>2.6541947999999998E-3</v>
      </c>
      <c r="M21" s="24">
        <v>3.7300587000000003E-3</v>
      </c>
      <c r="N21" s="24">
        <v>2.1594763000000003E-2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42524</v>
      </c>
      <c r="B22" s="24">
        <v>3.8757799999999995E-2</v>
      </c>
      <c r="C22" s="24">
        <v>-9.5814465999999997E-3</v>
      </c>
      <c r="D22" s="24">
        <v>1.7052411999999999E-2</v>
      </c>
      <c r="E22" s="24">
        <v>3.0721426000000001E-3</v>
      </c>
      <c r="F22" s="24">
        <v>1.8229127000000001E-2</v>
      </c>
      <c r="G22" s="24">
        <v>1.5096903E-2</v>
      </c>
      <c r="H22" s="24">
        <v>1.3707279999999999E-2</v>
      </c>
      <c r="I22" s="24">
        <v>4.0953280000000002E-2</v>
      </c>
      <c r="J22" s="24">
        <v>1.9988417999999997E-2</v>
      </c>
      <c r="K22" s="24">
        <v>1.1803030999999999E-2</v>
      </c>
      <c r="L22" s="24">
        <v>2.7081965999999999E-2</v>
      </c>
      <c r="M22" s="24">
        <v>7.4324610000000004E-3</v>
      </c>
      <c r="N22" s="24">
        <v>-2.0325184E-2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42552</v>
      </c>
      <c r="B23" s="24">
        <v>1.8619895000000001E-2</v>
      </c>
      <c r="C23" s="24">
        <v>9.0146064999999994E-3</v>
      </c>
      <c r="D23" s="24">
        <v>-9.1099740000000001E-4</v>
      </c>
      <c r="E23" s="24">
        <v>-5.4130609999999996E-2</v>
      </c>
      <c r="F23" s="24">
        <v>-1.3546883999999999E-2</v>
      </c>
      <c r="G23" s="24">
        <v>-1.0553478999999999E-2</v>
      </c>
      <c r="H23" s="24">
        <v>-3.2005430000000001E-2</v>
      </c>
      <c r="I23" s="24">
        <v>-1.5346825E-2</v>
      </c>
      <c r="J23" s="24">
        <v>3.5048722999999997E-3</v>
      </c>
      <c r="K23" s="24">
        <v>-5.5503902000000001E-2</v>
      </c>
      <c r="L23" s="24">
        <v>-7.0414542999999996E-2</v>
      </c>
      <c r="M23" s="24">
        <v>-4.233551E-2</v>
      </c>
      <c r="N23" s="24">
        <v>-7.6491299999999998E-2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42585</v>
      </c>
      <c r="B24" s="24">
        <v>5.3917050000000001E-2</v>
      </c>
      <c r="C24" s="24">
        <v>5.2200556000000002E-2</v>
      </c>
      <c r="D24" s="24">
        <v>1.0873914E-2</v>
      </c>
      <c r="E24" s="24">
        <v>4.8507450000000001E-2</v>
      </c>
      <c r="F24" s="24">
        <v>3.5714388E-2</v>
      </c>
      <c r="G24" s="24">
        <v>-6.7085030000000006E-4</v>
      </c>
      <c r="H24" s="24">
        <v>9.1086626000000011E-3</v>
      </c>
      <c r="I24" s="24">
        <v>6.7172410000000002E-2</v>
      </c>
      <c r="J24" s="24">
        <v>2.9816866000000001E-2</v>
      </c>
      <c r="K24" s="24">
        <v>2.0533085E-2</v>
      </c>
      <c r="L24" s="24">
        <v>2.7693629999999997E-2</v>
      </c>
      <c r="M24" s="24">
        <v>2.5483369999999999E-3</v>
      </c>
      <c r="N24" s="24">
        <v>-6.4694879999999998E-3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42615</v>
      </c>
      <c r="B25" s="24">
        <v>4.0008663999999999E-2</v>
      </c>
      <c r="C25" s="24">
        <v>-1.0700345E-2</v>
      </c>
      <c r="D25" s="24">
        <v>3.0278920000000001E-2</v>
      </c>
      <c r="E25" s="24">
        <v>4.9426674999999996E-2</v>
      </c>
      <c r="F25" s="24">
        <v>4.7939420000000003E-2</v>
      </c>
      <c r="G25" s="24">
        <v>2.7861714000000003E-2</v>
      </c>
      <c r="H25" s="24">
        <v>4.4487475999999998E-2</v>
      </c>
      <c r="I25" s="24">
        <v>1.5432715E-2</v>
      </c>
      <c r="J25" s="24">
        <v>1.0130405E-2</v>
      </c>
      <c r="K25" s="24">
        <v>4.7517060000000007E-2</v>
      </c>
      <c r="L25" s="24">
        <v>6.7789555000000001E-2</v>
      </c>
      <c r="M25" s="24">
        <v>5.0835132999999998E-2</v>
      </c>
      <c r="N25" s="24">
        <v>6.6976785999999996E-2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42646</v>
      </c>
      <c r="B26" s="24">
        <v>-1.9129693999999999E-2</v>
      </c>
      <c r="C26" s="24">
        <v>2.9498576999999998E-2</v>
      </c>
      <c r="D26" s="24">
        <v>-8.5073709999999997E-3</v>
      </c>
      <c r="E26" s="24">
        <v>-1.4318048999999999E-2</v>
      </c>
      <c r="F26" s="24">
        <v>3.2103062000000001E-3</v>
      </c>
      <c r="G26" s="24">
        <v>-4.5722126999999998E-3</v>
      </c>
      <c r="H26" s="24">
        <v>-2.2839545999999999E-2</v>
      </c>
      <c r="I26" s="24">
        <v>1.4745831000000001E-2</v>
      </c>
      <c r="J26" s="24">
        <v>-6.8494080000000004E-3</v>
      </c>
      <c r="K26" s="24">
        <v>-1.5529215000000001E-2</v>
      </c>
      <c r="L26" s="24">
        <v>-1.3406932E-2</v>
      </c>
      <c r="M26" s="24">
        <v>8.6386203999999998E-3</v>
      </c>
      <c r="N26" s="24">
        <v>-4.6207547000000002E-2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42677</v>
      </c>
      <c r="B27" s="24">
        <v>-8.0154359999999994E-2</v>
      </c>
      <c r="C27" s="24">
        <v>-4.2024909999999999E-2</v>
      </c>
      <c r="D27" s="24">
        <v>-2.2230864000000003E-2</v>
      </c>
      <c r="E27" s="24">
        <v>-3.0198752999999998E-2</v>
      </c>
      <c r="F27" s="24">
        <v>2.3999213999999999E-3</v>
      </c>
      <c r="G27" s="24">
        <v>-5.8070899999999995E-2</v>
      </c>
      <c r="H27" s="24">
        <v>-6.0012635999999994E-2</v>
      </c>
      <c r="I27" s="24">
        <v>-3.7958682000000001E-2</v>
      </c>
      <c r="J27" s="24">
        <v>-3.2440424000000002E-2</v>
      </c>
      <c r="K27" s="24">
        <v>-1.2038231E-2</v>
      </c>
      <c r="L27" s="24">
        <v>-3.8369357999999999E-2</v>
      </c>
      <c r="M27" s="24">
        <v>-6.9886980000000001E-2</v>
      </c>
      <c r="N27" s="24">
        <v>9.1409679999999993E-4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42706</v>
      </c>
      <c r="B28" s="24">
        <v>-6.7566633000000001E-3</v>
      </c>
      <c r="C28" s="24">
        <v>3.1405807000000001E-2</v>
      </c>
      <c r="D28" s="24">
        <v>4.6270490000000004E-2</v>
      </c>
      <c r="E28" s="24">
        <v>-2.4832546999999996E-2</v>
      </c>
      <c r="F28" s="24">
        <v>-9.976029400000001E-3</v>
      </c>
      <c r="G28" s="24">
        <v>-1.3932407000000001E-2</v>
      </c>
      <c r="H28" s="24">
        <v>1.9825219999999998E-2</v>
      </c>
      <c r="I28" s="24">
        <v>1.4467239E-2</v>
      </c>
      <c r="J28" s="24">
        <v>5.2208066000000004E-2</v>
      </c>
      <c r="K28" s="24">
        <v>-1.7226874999999999E-2</v>
      </c>
      <c r="L28" s="24">
        <v>-3.6990821E-2</v>
      </c>
      <c r="M28" s="24">
        <v>1.0681391E-2</v>
      </c>
      <c r="N28" s="24">
        <v>1.0502219E-2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42738</v>
      </c>
      <c r="B29" s="24">
        <v>-3.2433271E-2</v>
      </c>
      <c r="C29" s="24">
        <v>2.1776556999999998E-2</v>
      </c>
      <c r="D29" s="24">
        <v>1.2687087E-2</v>
      </c>
      <c r="E29" s="24">
        <v>7.1507929999999997E-2</v>
      </c>
      <c r="F29" s="24">
        <v>4.3884516E-3</v>
      </c>
      <c r="G29" s="24">
        <v>4.5158980000000001E-2</v>
      </c>
      <c r="H29" s="24">
        <v>2.9213904999999998E-2</v>
      </c>
      <c r="I29" s="24">
        <v>3.625548E-2</v>
      </c>
      <c r="J29" s="24">
        <v>3.136444E-2</v>
      </c>
      <c r="K29" s="24">
        <v>5.8086039999999999E-2</v>
      </c>
      <c r="L29" s="24">
        <v>5.6163906999999999E-2</v>
      </c>
      <c r="M29" s="24">
        <v>5.4479956999999996E-2</v>
      </c>
      <c r="N29" s="24">
        <v>0.11685382999999999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42769</v>
      </c>
      <c r="B30" s="24">
        <v>9.4808219999999999E-2</v>
      </c>
      <c r="C30" s="24">
        <v>4.8567295000000003E-2</v>
      </c>
      <c r="D30" s="24">
        <v>3.6882161999999996E-2</v>
      </c>
      <c r="E30" s="24">
        <v>4.3396234999999998E-2</v>
      </c>
      <c r="F30" s="24">
        <v>3.6337852000000004E-2</v>
      </c>
      <c r="G30" s="24">
        <v>4.1596174E-2</v>
      </c>
      <c r="H30" s="24">
        <v>2.2395372E-2</v>
      </c>
      <c r="I30" s="24">
        <v>5.1363586999999995E-2</v>
      </c>
      <c r="J30" s="24">
        <v>1.8202782000000001E-2</v>
      </c>
      <c r="K30" s="24">
        <v>2.2708773999999998E-2</v>
      </c>
      <c r="L30" s="24">
        <v>4.0148973000000004E-2</v>
      </c>
      <c r="M30" s="24">
        <v>6.8786739999999999E-2</v>
      </c>
      <c r="N30" s="24">
        <v>-7.7583193999999998E-3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42797</v>
      </c>
      <c r="B31" s="24">
        <v>-3.5509825000000002E-2</v>
      </c>
      <c r="C31" s="24">
        <v>1.8063902999999999E-2</v>
      </c>
      <c r="D31" s="24">
        <v>-1.5768230000000001E-2</v>
      </c>
      <c r="E31" s="24">
        <v>1.2296557E-2</v>
      </c>
      <c r="F31" s="24">
        <v>6.2683820000000003E-3</v>
      </c>
      <c r="G31" s="24">
        <v>2.1753192000000001E-2</v>
      </c>
      <c r="H31" s="24">
        <v>1.6825317999999999E-2</v>
      </c>
      <c r="I31" s="24">
        <v>4.2488933E-2</v>
      </c>
      <c r="J31" s="24">
        <v>3.9591908000000002E-2</v>
      </c>
      <c r="K31" s="24">
        <v>1.5860437999999998E-2</v>
      </c>
      <c r="L31" s="24">
        <v>3.5415888E-2</v>
      </c>
      <c r="M31" s="24">
        <v>-6.4683557000000001E-3</v>
      </c>
      <c r="N31" s="24">
        <v>9.4650984000000001E-3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42828</v>
      </c>
      <c r="B32" s="24">
        <v>7.1259736999999997E-3</v>
      </c>
      <c r="C32" s="24">
        <v>2.5477766999999998E-2</v>
      </c>
      <c r="D32" s="24">
        <v>-2.2354721999999997E-3</v>
      </c>
      <c r="E32" s="24">
        <v>2.5723457000000002E-2</v>
      </c>
      <c r="F32" s="24">
        <v>7.5919630000000002E-3</v>
      </c>
      <c r="G32" s="24">
        <v>1.5888095000000001E-2</v>
      </c>
      <c r="H32" s="24">
        <v>9.9905730000000009E-3</v>
      </c>
      <c r="I32" s="24">
        <v>1.1871696000000001E-2</v>
      </c>
      <c r="J32" s="24">
        <v>-8.6581707000000004E-3</v>
      </c>
      <c r="K32" s="24">
        <v>3.2396555E-2</v>
      </c>
      <c r="L32" s="24">
        <v>2.9976845000000002E-2</v>
      </c>
      <c r="M32" s="24">
        <v>1.953125E-2</v>
      </c>
      <c r="N32" s="24">
        <v>3.9951085999999997E-2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42858</v>
      </c>
      <c r="B33" s="24">
        <v>8.9621544000000001E-3</v>
      </c>
      <c r="C33" s="24">
        <v>-1.6858934999999999E-2</v>
      </c>
      <c r="D33" s="24">
        <v>-2.4271905E-2</v>
      </c>
      <c r="E33" s="24">
        <v>4.1797279999999999E-2</v>
      </c>
      <c r="F33" s="24">
        <v>1.1398792E-2</v>
      </c>
      <c r="G33" s="24">
        <v>5.1610826999999998E-2</v>
      </c>
      <c r="H33" s="24">
        <v>2.4420380000000002E-2</v>
      </c>
      <c r="I33" s="24">
        <v>3.5449742999999999E-2</v>
      </c>
      <c r="J33" s="24">
        <v>1.3385415000000001E-2</v>
      </c>
      <c r="K33" s="24">
        <v>6.9187163999999995E-2</v>
      </c>
      <c r="L33" s="24">
        <v>6.2313436999999999E-2</v>
      </c>
      <c r="M33" s="24">
        <v>6.9284916000000002E-2</v>
      </c>
      <c r="N33" s="24">
        <v>4.5080304000000002E-2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42888</v>
      </c>
      <c r="B34" s="24">
        <v>5.5984140000000002E-2</v>
      </c>
      <c r="C34" s="24">
        <v>-1.9855617999999998E-2</v>
      </c>
      <c r="D34" s="24">
        <v>8.0367327000000002E-3</v>
      </c>
      <c r="E34" s="24">
        <v>5.9511900000000006E-2</v>
      </c>
      <c r="F34" s="24">
        <v>4.8710704000000001E-2</v>
      </c>
      <c r="G34" s="24">
        <v>5.2349805999999999E-2</v>
      </c>
      <c r="H34" s="24">
        <v>5.0090549999999998E-2</v>
      </c>
      <c r="I34" s="24">
        <v>4.7229767000000006E-2</v>
      </c>
      <c r="J34" s="24">
        <v>2.3859499999999999E-2</v>
      </c>
      <c r="K34" s="24">
        <v>5.7284236000000002E-2</v>
      </c>
      <c r="L34" s="24">
        <v>4.9174665999999999E-2</v>
      </c>
      <c r="M34" s="24">
        <v>3.4935713E-2</v>
      </c>
      <c r="N34" s="24">
        <v>6.3390849999999999E-2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42919</v>
      </c>
      <c r="B35" s="24">
        <v>3.5700679999999999E-2</v>
      </c>
      <c r="C35" s="24">
        <v>1.5399814000000001E-2</v>
      </c>
      <c r="D35" s="24">
        <v>3.1214355999999999E-2</v>
      </c>
      <c r="E35" s="24">
        <v>-2.5563300000000001E-2</v>
      </c>
      <c r="F35" s="24">
        <v>-2.1239758000000001E-2</v>
      </c>
      <c r="G35" s="24">
        <v>-8.9314579999999998E-3</v>
      </c>
      <c r="H35" s="24">
        <v>-2.0758450000000001E-2</v>
      </c>
      <c r="I35" s="24">
        <v>-4.8075795000000004E-2</v>
      </c>
      <c r="J35" s="24">
        <v>-3.1903386000000002E-3</v>
      </c>
      <c r="K35" s="24">
        <v>-2.1837354000000003E-2</v>
      </c>
      <c r="L35" s="24">
        <v>-2.1290182999999997E-2</v>
      </c>
      <c r="M35" s="24">
        <v>2.6469229999999998E-3</v>
      </c>
      <c r="N35" s="24">
        <v>7.4261427E-3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42950</v>
      </c>
      <c r="B36" s="24">
        <v>3.7665962999999997E-2</v>
      </c>
      <c r="C36" s="24">
        <v>4.4022319999999997E-2</v>
      </c>
      <c r="D36" s="24">
        <v>3.0809164E-2</v>
      </c>
      <c r="E36" s="24">
        <v>2.0138620999999999E-2</v>
      </c>
      <c r="F36" s="24">
        <v>3.3714174999999999E-2</v>
      </c>
      <c r="G36" s="24">
        <v>1.1360288000000001E-2</v>
      </c>
      <c r="H36" s="24">
        <v>3.1803129999999999E-2</v>
      </c>
      <c r="I36" s="24">
        <v>5.2867293000000003E-2</v>
      </c>
      <c r="J36" s="24">
        <v>1.9611119999999999E-2</v>
      </c>
      <c r="K36" s="24">
        <v>3.5826087E-2</v>
      </c>
      <c r="L36" s="24">
        <v>6.9944619999999999E-2</v>
      </c>
      <c r="M36" s="24">
        <v>8.8287590000000003E-3</v>
      </c>
      <c r="N36" s="24">
        <v>7.8074930000000001E-2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42979</v>
      </c>
      <c r="B37" s="24">
        <v>-2.9164910000000002E-2</v>
      </c>
      <c r="C37" s="24">
        <v>1.2871623E-2</v>
      </c>
      <c r="D37" s="24">
        <v>1.224339E-2</v>
      </c>
      <c r="E37" s="24">
        <v>-1.6180873000000001E-3</v>
      </c>
      <c r="F37" s="24">
        <v>-1.2683392E-2</v>
      </c>
      <c r="G37" s="24">
        <v>-1.3248919999999999E-2</v>
      </c>
      <c r="H37" s="24">
        <v>-1.1631249999999999E-2</v>
      </c>
      <c r="I37" s="24">
        <v>1.8202065999999999E-2</v>
      </c>
      <c r="J37" s="24">
        <v>3.5632849999999998E-3</v>
      </c>
      <c r="K37" s="24">
        <v>6.7150589999999996E-4</v>
      </c>
      <c r="L37" s="24">
        <v>-7.1197149999999996E-3</v>
      </c>
      <c r="M37" s="24">
        <v>1.5460967999999999E-2</v>
      </c>
      <c r="N37" s="24">
        <v>6.2830450000000001E-3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43011</v>
      </c>
      <c r="B38" s="24">
        <v>1.0157823999999999E-2</v>
      </c>
      <c r="C38" s="24">
        <v>-1.6652047999999999E-2</v>
      </c>
      <c r="D38" s="24">
        <v>3.4507275000000004E-2</v>
      </c>
      <c r="E38" s="24">
        <v>5.2512169999999997E-2</v>
      </c>
      <c r="F38" s="24">
        <v>2.8445600999999997E-2</v>
      </c>
      <c r="G38" s="24">
        <v>2.8604865E-2</v>
      </c>
      <c r="H38" s="24">
        <v>2.5301456E-2</v>
      </c>
      <c r="I38" s="24">
        <v>1.4392137999999998E-3</v>
      </c>
      <c r="J38" s="24">
        <v>2.5309681999999997E-2</v>
      </c>
      <c r="K38" s="24">
        <v>3.8590670000000001E-2</v>
      </c>
      <c r="L38" s="24">
        <v>2.5749683000000002E-2</v>
      </c>
      <c r="M38" s="24">
        <v>3.7345529000000002E-2</v>
      </c>
      <c r="N38" s="24">
        <v>2.8261662E-2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43042</v>
      </c>
      <c r="B39" s="24">
        <v>-2.6101887000000001E-2</v>
      </c>
      <c r="C39" s="24">
        <v>1.8270968999999998E-2</v>
      </c>
      <c r="D39" s="24">
        <v>1.0316372E-3</v>
      </c>
      <c r="E39" s="24">
        <v>2.8333783000000001E-2</v>
      </c>
      <c r="F39" s="24">
        <v>5.6209803000000003E-2</v>
      </c>
      <c r="G39" s="24">
        <v>-1.7309904000000001E-2</v>
      </c>
      <c r="H39" s="24">
        <v>0</v>
      </c>
      <c r="I39" s="24">
        <v>5.0586104E-2</v>
      </c>
      <c r="J39" s="24">
        <v>2.2107123999999999E-2</v>
      </c>
      <c r="K39" s="24">
        <v>1.2924075E-2</v>
      </c>
      <c r="L39" s="24">
        <v>5.0841570000000006E-3</v>
      </c>
      <c r="M39" s="24">
        <v>-1.5508234999999999E-2</v>
      </c>
      <c r="N39" s="24">
        <v>-2.2372006999999998E-3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43070</v>
      </c>
      <c r="B40" s="24">
        <v>1.1643171000000001E-2</v>
      </c>
      <c r="C40" s="24">
        <v>0</v>
      </c>
      <c r="D40" s="24">
        <v>8.9316369999999992E-3</v>
      </c>
      <c r="E40" s="24">
        <v>-1.3177574000000001E-2</v>
      </c>
      <c r="F40" s="24">
        <v>7.6026917000000006E-3</v>
      </c>
      <c r="G40" s="24">
        <v>1.4438391E-2</v>
      </c>
      <c r="H40" s="24">
        <v>2.2956133000000003E-3</v>
      </c>
      <c r="I40" s="24">
        <v>7.9598427000000006E-3</v>
      </c>
      <c r="J40" s="24">
        <v>2.3253917999999998E-2</v>
      </c>
      <c r="K40" s="24">
        <v>-5.7416560000000004E-3</v>
      </c>
      <c r="L40" s="24">
        <v>-8.536160000000001E-3</v>
      </c>
      <c r="M40" s="24">
        <v>-3.9943695000000001E-2</v>
      </c>
      <c r="N40" s="24">
        <v>-1.1531054999999998E-2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43103</v>
      </c>
      <c r="B41" s="24">
        <v>5.9933304999999999E-2</v>
      </c>
      <c r="C41" s="24">
        <v>5.2424429999999994E-2</v>
      </c>
      <c r="D41" s="24">
        <v>3.5222292000000002E-2</v>
      </c>
      <c r="E41" s="24">
        <v>1.7128348000000002E-2</v>
      </c>
      <c r="F41" s="24">
        <v>3.1682134000000001E-2</v>
      </c>
      <c r="G41" s="24">
        <v>2.1918654000000003E-2</v>
      </c>
      <c r="H41" s="24">
        <v>5.2732109999999999E-2</v>
      </c>
      <c r="I41" s="24">
        <v>3.8010835999999999E-2</v>
      </c>
      <c r="J41" s="24">
        <v>2.7911305000000001E-2</v>
      </c>
      <c r="K41" s="24">
        <v>1.2050033E-2</v>
      </c>
      <c r="L41" s="24">
        <v>2.5541662999999999E-2</v>
      </c>
      <c r="M41" s="24">
        <v>1.4448643000000001E-2</v>
      </c>
      <c r="N41" s="24">
        <v>-1.6512275000000001E-3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43133</v>
      </c>
      <c r="B42" s="24">
        <v>2.3386955000000001E-2</v>
      </c>
      <c r="C42" s="24">
        <v>2.1303892E-3</v>
      </c>
      <c r="D42" s="24">
        <v>-3.5309849999999997E-2</v>
      </c>
      <c r="E42" s="24">
        <v>1.2862682E-2</v>
      </c>
      <c r="F42" s="24">
        <v>1.9633531999999999E-2</v>
      </c>
      <c r="G42" s="24">
        <v>1.8105744999999999E-2</v>
      </c>
      <c r="H42" s="24">
        <v>4.9875974999999996E-3</v>
      </c>
      <c r="I42" s="24">
        <v>2.8619647000000002E-2</v>
      </c>
      <c r="J42" s="24">
        <v>1.8412471E-2</v>
      </c>
      <c r="K42" s="24">
        <v>3.5612105999999998E-2</v>
      </c>
      <c r="L42" s="24">
        <v>3.1582354999999999E-2</v>
      </c>
      <c r="M42" s="24">
        <v>3.4130691999999997E-2</v>
      </c>
      <c r="N42" s="24">
        <v>8.3550929999999995E-2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43161</v>
      </c>
      <c r="B43" s="24">
        <v>-6.7332983000000001E-3</v>
      </c>
      <c r="C43" s="24">
        <v>-3.3163310000000001E-2</v>
      </c>
      <c r="D43" s="24">
        <v>-5.1104965000000002E-2</v>
      </c>
      <c r="E43" s="24">
        <v>-6.0543420000000001E-2</v>
      </c>
      <c r="F43" s="24">
        <v>-3.7708579999999998E-2</v>
      </c>
      <c r="G43" s="24">
        <v>-5.9917870000000005E-2</v>
      </c>
      <c r="H43" s="24">
        <v>-5.238491E-2</v>
      </c>
      <c r="I43" s="24">
        <v>8.3835125000000007E-3</v>
      </c>
      <c r="J43" s="24">
        <v>-2.3125887000000001E-2</v>
      </c>
      <c r="K43" s="24">
        <v>-3.6843657000000002E-2</v>
      </c>
      <c r="L43" s="24">
        <v>-4.1830896999999999E-2</v>
      </c>
      <c r="M43" s="24">
        <v>-6.2341269999999997E-2</v>
      </c>
      <c r="N43" s="24">
        <v>-5.0903615999999999E-2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43193</v>
      </c>
      <c r="B44" s="24">
        <v>7.8060627000000006E-3</v>
      </c>
      <c r="C44" s="24">
        <v>-3.7379085999999999E-2</v>
      </c>
      <c r="D44" s="24">
        <v>-5.0945879999999997E-3</v>
      </c>
      <c r="E44" s="24">
        <v>-1.5718340999999999E-3</v>
      </c>
      <c r="F44" s="24">
        <v>4.0019749999999996E-3</v>
      </c>
      <c r="G44" s="24">
        <v>-1.4260828000000001E-2</v>
      </c>
      <c r="H44" s="24">
        <v>8.4376334999999997E-3</v>
      </c>
      <c r="I44" s="24">
        <v>-5.1025630000000002E-2</v>
      </c>
      <c r="J44" s="24">
        <v>-2.7006567000000002E-2</v>
      </c>
      <c r="K44" s="24">
        <v>-4.144132E-3</v>
      </c>
      <c r="L44" s="24">
        <v>6.6434145E-3</v>
      </c>
      <c r="M44" s="24">
        <v>-1.5343009999999999E-2</v>
      </c>
      <c r="N44" s="24">
        <v>2.1263122999999998E-2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43223</v>
      </c>
      <c r="B45" s="24">
        <v>-1.3452888000000001E-2</v>
      </c>
      <c r="C45" s="24">
        <v>3.7003279E-2</v>
      </c>
      <c r="D45" s="24">
        <v>2.816391E-2</v>
      </c>
      <c r="E45" s="24">
        <v>2.865231E-2</v>
      </c>
      <c r="F45" s="24">
        <v>1.3287067E-3</v>
      </c>
      <c r="G45" s="24">
        <v>4.7239065000000005E-3</v>
      </c>
      <c r="H45" s="24">
        <v>3.8084269000000004E-2</v>
      </c>
      <c r="I45" s="24">
        <v>2.8869389999999998E-2</v>
      </c>
      <c r="J45" s="24">
        <v>7.0943829999999992E-3</v>
      </c>
      <c r="K45" s="24">
        <v>4.7375199999999999E-2</v>
      </c>
      <c r="L45" s="24">
        <v>-2.1998882000000002E-3</v>
      </c>
      <c r="M45" s="24">
        <v>0</v>
      </c>
      <c r="N45" s="24">
        <v>4.9720287000000002E-2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43252</v>
      </c>
      <c r="B46" s="24">
        <v>6.8181752999999998E-3</v>
      </c>
      <c r="C46" s="24">
        <v>8.8095665000000002E-4</v>
      </c>
      <c r="D46" s="24">
        <v>2.0988940999999997E-2</v>
      </c>
      <c r="E46" s="24">
        <v>-2.6323794999999997E-2</v>
      </c>
      <c r="F46" s="24">
        <v>-2.3220777999999999E-3</v>
      </c>
      <c r="G46" s="24">
        <v>-9.4034670000000004E-3</v>
      </c>
      <c r="H46" s="24">
        <v>8.0600976999999994E-3</v>
      </c>
      <c r="I46" s="24">
        <v>6.7614317000000007E-2</v>
      </c>
      <c r="J46" s="24">
        <v>4.1809560000000003E-2</v>
      </c>
      <c r="K46" s="24">
        <v>-1.9254327000000002E-2</v>
      </c>
      <c r="L46" s="24">
        <v>-3.1496286E-3</v>
      </c>
      <c r="M46" s="24">
        <v>1.8332005000000001E-3</v>
      </c>
      <c r="N46" s="24">
        <v>-0.10124331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43284</v>
      </c>
      <c r="B47" s="24">
        <v>1.4329076000000001E-2</v>
      </c>
      <c r="C47" s="24">
        <v>6.5455437000000007E-3</v>
      </c>
      <c r="D47" s="24">
        <v>-1.19155645E-3</v>
      </c>
      <c r="E47" s="24">
        <v>-3.6383329999999998E-2</v>
      </c>
      <c r="F47" s="24">
        <v>-4.6288070000000001E-2</v>
      </c>
      <c r="G47" s="24">
        <v>-6.2446000000000003E-3</v>
      </c>
      <c r="H47" s="24">
        <v>-2.6740134000000002E-2</v>
      </c>
      <c r="I47" s="24">
        <v>-9.1110470000000006E-3</v>
      </c>
      <c r="J47" s="24">
        <v>-5.4183599999999997E-3</v>
      </c>
      <c r="K47" s="24">
        <v>-3.0329347000000003E-2</v>
      </c>
      <c r="L47" s="24">
        <v>-2.4836838E-2</v>
      </c>
      <c r="M47" s="24">
        <v>-2.1388470000000003E-2</v>
      </c>
      <c r="N47" s="24">
        <v>-1.9045174000000002E-2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43315</v>
      </c>
      <c r="B48" s="24">
        <v>-2.3863374999999999E-2</v>
      </c>
      <c r="C48" s="24">
        <v>1.2929082000000001E-2</v>
      </c>
      <c r="D48" s="24">
        <v>2.8129339999999999E-2</v>
      </c>
      <c r="E48" s="24">
        <v>2.5392532000000002E-2</v>
      </c>
      <c r="F48" s="24">
        <v>2.8988122999999998E-2</v>
      </c>
      <c r="G48" s="24">
        <v>5.9057592999999999E-2</v>
      </c>
      <c r="H48" s="24">
        <v>2.9003619999999999E-4</v>
      </c>
      <c r="I48" s="24">
        <v>5.4332494999999995E-2</v>
      </c>
      <c r="J48" s="24">
        <v>4.688084E-2</v>
      </c>
      <c r="K48" s="24">
        <v>2.9855610000000001E-2</v>
      </c>
      <c r="L48" s="24">
        <v>4.2146800000000005E-2</v>
      </c>
      <c r="M48" s="24">
        <v>4.0769696000000001E-2</v>
      </c>
      <c r="N48" s="24">
        <v>-3.7969947E-3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43343</v>
      </c>
      <c r="B49" s="24">
        <v>3.3719659999999999E-2</v>
      </c>
      <c r="C49" s="24">
        <v>-1.0123192999999999E-2</v>
      </c>
      <c r="D49" s="24">
        <v>-1.5047908E-2</v>
      </c>
      <c r="E49" s="24">
        <v>-1.4988600999999999E-2</v>
      </c>
      <c r="F49" s="24">
        <v>-5.9757229999999996E-3</v>
      </c>
      <c r="G49" s="24">
        <v>4.6229362000000003E-3</v>
      </c>
      <c r="H49" s="24">
        <v>-2.6674449999999999E-2</v>
      </c>
      <c r="I49" s="24">
        <v>3.6483765000000001E-2</v>
      </c>
      <c r="J49" s="24">
        <v>2.3660063999999998E-2</v>
      </c>
      <c r="K49" s="24">
        <v>-1.1787176E-2</v>
      </c>
      <c r="L49" s="24">
        <v>-1.9273281E-2</v>
      </c>
      <c r="M49" s="24">
        <v>-1.2534857E-3</v>
      </c>
      <c r="N49" s="24">
        <v>-6.0984076999999998E-2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43376</v>
      </c>
      <c r="B50" s="24">
        <v>-2.2426069000000003E-2</v>
      </c>
      <c r="C50" s="24">
        <v>-3.5126685999999997E-2</v>
      </c>
      <c r="D50" s="24">
        <v>5.2083729999999996E-3</v>
      </c>
      <c r="E50" s="24">
        <v>-1.3562678999999999E-2</v>
      </c>
      <c r="F50" s="24">
        <v>3.0058384E-2</v>
      </c>
      <c r="G50" s="24">
        <v>-3.7388802E-3</v>
      </c>
      <c r="H50" s="24">
        <v>1.4298439000000001E-2</v>
      </c>
      <c r="I50" s="24">
        <v>-1.9638538000000001E-3</v>
      </c>
      <c r="J50" s="24">
        <v>9.4085929999999998E-3</v>
      </c>
      <c r="K50" s="24">
        <v>5.1579474999999993E-3</v>
      </c>
      <c r="L50" s="24">
        <v>-2.8672694999999998E-2</v>
      </c>
      <c r="M50" s="24">
        <v>1.8826485E-2</v>
      </c>
      <c r="N50" s="24">
        <v>1.6236186E-2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43406</v>
      </c>
      <c r="B51" s="24">
        <v>-3.8998960999999999E-2</v>
      </c>
      <c r="C51" s="24">
        <v>-3.7788092999999995E-2</v>
      </c>
      <c r="D51" s="24">
        <v>-7.6338530000000002E-2</v>
      </c>
      <c r="E51" s="24">
        <v>-6.8410453999999996E-2</v>
      </c>
      <c r="F51" s="24">
        <v>-8.2541279999999995E-2</v>
      </c>
      <c r="G51" s="24">
        <v>-4.1281757000000002E-2</v>
      </c>
      <c r="H51" s="24">
        <v>-5.2569809999999995E-2</v>
      </c>
      <c r="I51" s="24">
        <v>-8.9109955000000005E-2</v>
      </c>
      <c r="J51" s="24">
        <v>-6.7976117000000003E-2</v>
      </c>
      <c r="K51" s="24">
        <v>-7.6651692000000007E-2</v>
      </c>
      <c r="L51" s="24">
        <v>-5.14096E-2</v>
      </c>
      <c r="M51" s="24">
        <v>-7.7918109999999999E-2</v>
      </c>
      <c r="N51" s="24">
        <v>-6.4633309999999999E-2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43437</v>
      </c>
      <c r="B52" s="24">
        <v>6.0112715000000004E-2</v>
      </c>
      <c r="C52" s="24">
        <v>1.3409971999999999E-2</v>
      </c>
      <c r="D52" s="24">
        <v>6.3575506000000002E-3</v>
      </c>
      <c r="E52" s="24">
        <v>-1.7998575999999999E-2</v>
      </c>
      <c r="F52" s="24">
        <v>1.9447446E-2</v>
      </c>
      <c r="G52" s="24">
        <v>1.0237932E-2</v>
      </c>
      <c r="H52" s="24">
        <v>-1.6429006999999999E-2</v>
      </c>
      <c r="I52" s="24">
        <v>1.7416477E-2</v>
      </c>
      <c r="J52" s="24">
        <v>2.7253628000000002E-2</v>
      </c>
      <c r="K52" s="24">
        <v>-1.59778E-2</v>
      </c>
      <c r="L52" s="24">
        <v>1.7482042E-3</v>
      </c>
      <c r="M52" s="24">
        <v>-6.6800714000000002E-3</v>
      </c>
      <c r="N52" s="24">
        <v>8.9285373999999987E-3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43468</v>
      </c>
      <c r="B53" s="24">
        <v>-5.1199380000000003E-2</v>
      </c>
      <c r="C53" s="24">
        <v>-6.9388446999999992E-2</v>
      </c>
      <c r="D53" s="24">
        <v>-9.2071769999999997E-2</v>
      </c>
      <c r="E53" s="24">
        <v>-8.9809420000000001E-2</v>
      </c>
      <c r="F53" s="24">
        <v>-8.818674E-2</v>
      </c>
      <c r="G53" s="24">
        <v>-6.8256319999999995E-2</v>
      </c>
      <c r="H53" s="24">
        <v>-6.122768E-2</v>
      </c>
      <c r="I53" s="24">
        <v>-0.12807327000000002</v>
      </c>
      <c r="J53" s="24">
        <v>-0.12042111</v>
      </c>
      <c r="K53" s="24">
        <v>-8.1215800000000005E-2</v>
      </c>
      <c r="L53" s="24">
        <v>-9.5490340000000007E-2</v>
      </c>
      <c r="M53" s="24">
        <v>-7.9140844000000002E-2</v>
      </c>
      <c r="N53" s="24">
        <v>-6.3988447000000004E-2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43497</v>
      </c>
      <c r="B54" s="24">
        <v>6.2376500000000001E-2</v>
      </c>
      <c r="C54" s="24">
        <v>8.4388260000000007E-2</v>
      </c>
      <c r="D54" s="24">
        <v>0.12900532000000001</v>
      </c>
      <c r="E54" s="24">
        <v>7.9742193000000003E-2</v>
      </c>
      <c r="F54" s="24">
        <v>6.5221666999999997E-2</v>
      </c>
      <c r="G54" s="24">
        <v>6.1740160000000002E-2</v>
      </c>
      <c r="H54" s="24">
        <v>8.4048029999999996E-2</v>
      </c>
      <c r="I54" s="24">
        <v>0.11767446500000001</v>
      </c>
      <c r="J54" s="24">
        <v>0.10585153999999999</v>
      </c>
      <c r="K54" s="24">
        <v>9.0312599999999993E-2</v>
      </c>
      <c r="L54" s="24">
        <v>0.10275305</v>
      </c>
      <c r="M54" s="24">
        <v>9.1340900000000003E-2</v>
      </c>
      <c r="N54" s="24">
        <v>8.0765959999999998E-2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43525</v>
      </c>
      <c r="B55" s="24">
        <v>3.1631231000000003E-2</v>
      </c>
      <c r="C55" s="24">
        <v>4.2315245000000001E-2</v>
      </c>
      <c r="D55" s="24">
        <v>2.1747111999999999E-2</v>
      </c>
      <c r="E55" s="24">
        <v>2.9466630000000001E-2</v>
      </c>
      <c r="F55" s="24">
        <v>8.5090400000000007E-3</v>
      </c>
      <c r="G55" s="24">
        <v>4.9111247000000004E-2</v>
      </c>
      <c r="H55" s="24">
        <v>3.2594919999999999E-2</v>
      </c>
      <c r="I55" s="24">
        <v>4.1445255E-2</v>
      </c>
      <c r="J55" s="24">
        <v>3.8361907000000001E-2</v>
      </c>
      <c r="K55" s="24">
        <v>4.7079679999999999E-2</v>
      </c>
      <c r="L55" s="24">
        <v>4.7819969999999996E-2</v>
      </c>
      <c r="M55" s="24">
        <v>1.6069651000000001E-2</v>
      </c>
      <c r="N55" s="24">
        <v>5.238831E-2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43558</v>
      </c>
      <c r="B56" s="24">
        <v>4.8496959999999999E-2</v>
      </c>
      <c r="C56" s="24">
        <v>1.8665432999999999E-2</v>
      </c>
      <c r="D56" s="24">
        <v>1.1183262000000001E-2</v>
      </c>
      <c r="E56" s="24">
        <v>1.0869503000000001E-2</v>
      </c>
      <c r="F56" s="24">
        <v>1.5407205E-2</v>
      </c>
      <c r="G56" s="24">
        <v>2.6421666E-2</v>
      </c>
      <c r="H56" s="24">
        <v>3.7082434000000004E-2</v>
      </c>
      <c r="I56" s="24">
        <v>5.5759429999999999E-2</v>
      </c>
      <c r="J56" s="24">
        <v>2.5873780000000002E-2</v>
      </c>
      <c r="K56" s="24">
        <v>1.9607782000000001E-2</v>
      </c>
      <c r="L56" s="24">
        <v>2.6677846999999998E-2</v>
      </c>
      <c r="M56" s="24">
        <v>4.0197610000000002E-2</v>
      </c>
      <c r="N56" s="24">
        <v>3.5139084000000001E-2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43588</v>
      </c>
      <c r="B57" s="24">
        <v>-6.1162114E-3</v>
      </c>
      <c r="C57" s="24">
        <v>0</v>
      </c>
      <c r="D57" s="24">
        <v>1.2486577E-2</v>
      </c>
      <c r="E57" s="24">
        <v>3.7634491999999999E-2</v>
      </c>
      <c r="F57" s="24">
        <v>1.0838151000000001E-2</v>
      </c>
      <c r="G57" s="24">
        <v>1.5388846000000001E-2</v>
      </c>
      <c r="H57" s="24">
        <v>8.8644029999999994E-4</v>
      </c>
      <c r="I57" s="24">
        <v>3.9884686000000003E-2</v>
      </c>
      <c r="J57" s="24">
        <v>2.6569365999999997E-2</v>
      </c>
      <c r="K57" s="24">
        <v>1.8567561999999999E-2</v>
      </c>
      <c r="L57" s="24">
        <v>3.2848597E-2</v>
      </c>
      <c r="M57" s="24">
        <v>1.4254093000000001E-2</v>
      </c>
      <c r="N57" s="24">
        <v>-4.9505234000000002E-3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43619</v>
      </c>
      <c r="B58" s="24">
        <v>-1.2884557000000001E-2</v>
      </c>
      <c r="C58" s="24">
        <v>-5.4970384000000002E-3</v>
      </c>
      <c r="D58" s="24">
        <v>-3.4531355E-2</v>
      </c>
      <c r="E58" s="24">
        <v>-6.2867044999999996E-2</v>
      </c>
      <c r="F58" s="24">
        <v>-5.2358809999999999E-2</v>
      </c>
      <c r="G58" s="24">
        <v>5.5111646999999996E-3</v>
      </c>
      <c r="H58" s="24">
        <v>-6.2296986999999998E-2</v>
      </c>
      <c r="I58" s="24">
        <v>-0.10983205</v>
      </c>
      <c r="J58" s="24">
        <v>-6.6183686000000005E-2</v>
      </c>
      <c r="K58" s="24">
        <v>-4.8828125E-2</v>
      </c>
      <c r="L58" s="24">
        <v>-5.854434E-2</v>
      </c>
      <c r="M58" s="24">
        <v>-8.8069919999999996E-2</v>
      </c>
      <c r="N58" s="24">
        <v>-6.9651722999999999E-2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43649</v>
      </c>
      <c r="B59" s="24">
        <v>6.6339135000000007E-2</v>
      </c>
      <c r="C59" s="24">
        <v>7.0251106999999993E-2</v>
      </c>
      <c r="D59" s="24">
        <v>6.8010807000000006E-2</v>
      </c>
      <c r="E59" s="24">
        <v>7.4365854000000009E-2</v>
      </c>
      <c r="F59" s="24">
        <v>5.9695125000000002E-2</v>
      </c>
      <c r="G59" s="24">
        <v>5.8586119999999998E-2</v>
      </c>
      <c r="H59" s="24">
        <v>5.860257E-2</v>
      </c>
      <c r="I59" s="24">
        <v>0.12780880999999999</v>
      </c>
      <c r="J59" s="24">
        <v>9.3546279999999996E-2</v>
      </c>
      <c r="K59" s="24">
        <v>8.6171150000000002E-2</v>
      </c>
      <c r="L59" s="24">
        <v>7.9714655999999995E-2</v>
      </c>
      <c r="M59" s="24">
        <v>0.10906326</v>
      </c>
      <c r="N59" s="24">
        <v>0.11780441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43679</v>
      </c>
      <c r="B60" s="24">
        <v>4.0801763999999997E-3</v>
      </c>
      <c r="C60" s="24">
        <v>-2.5032937999999998E-2</v>
      </c>
      <c r="D60" s="24">
        <v>-3.2413839999999999E-2</v>
      </c>
      <c r="E60" s="24">
        <v>-6.5209745999999999E-2</v>
      </c>
      <c r="F60" s="24">
        <v>-2.9269099999999999E-2</v>
      </c>
      <c r="G60" s="24">
        <v>-1.5852034000000001E-2</v>
      </c>
      <c r="H60" s="24">
        <v>-6.3148259999999998E-2</v>
      </c>
      <c r="I60" s="24">
        <v>-2.136439E-2</v>
      </c>
      <c r="J60" s="24">
        <v>-2.0682692999999999E-2</v>
      </c>
      <c r="K60" s="24">
        <v>-5.7797850000000005E-2</v>
      </c>
      <c r="L60" s="24">
        <v>-2.8070211000000001E-2</v>
      </c>
      <c r="M60" s="24">
        <v>-8.3811339999999998E-2</v>
      </c>
      <c r="N60" s="24">
        <v>-5.1272989999999997E-2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43711</v>
      </c>
      <c r="B61" s="24">
        <v>-2.8260052000000001E-2</v>
      </c>
      <c r="C61" s="24">
        <v>-2.8378426999999998E-2</v>
      </c>
      <c r="D61" s="24">
        <v>-2.4946332000000001E-3</v>
      </c>
      <c r="E61" s="24">
        <v>-1.4328837000000001E-2</v>
      </c>
      <c r="F61" s="24">
        <v>-2.0347834000000002E-3</v>
      </c>
      <c r="G61" s="24">
        <v>-8.0531835999999993E-4</v>
      </c>
      <c r="H61" s="24">
        <v>-1.2699425E-2</v>
      </c>
      <c r="I61" s="24">
        <v>-9.0739729999999991E-3</v>
      </c>
      <c r="J61" s="24">
        <v>-6.4247250000000001E-3</v>
      </c>
      <c r="K61" s="24">
        <v>4.4550896E-3</v>
      </c>
      <c r="L61" s="24">
        <v>-1.3127327000000001E-3</v>
      </c>
      <c r="M61" s="24">
        <v>-2.1912991999999999E-2</v>
      </c>
      <c r="N61" s="24">
        <v>7.4543949999999999E-3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43741</v>
      </c>
      <c r="B62" s="24">
        <v>-1.3115406000000001E-2</v>
      </c>
      <c r="C62" s="24">
        <v>9.2720985000000009E-4</v>
      </c>
      <c r="D62" s="24">
        <v>3.2154322000000003E-3</v>
      </c>
      <c r="E62" s="24">
        <v>1.5302896E-3</v>
      </c>
      <c r="F62" s="24">
        <v>3.9295673000000003E-2</v>
      </c>
      <c r="G62" s="24">
        <v>-1.6926408E-2</v>
      </c>
      <c r="H62" s="24">
        <v>1.3192892E-3</v>
      </c>
      <c r="I62" s="24">
        <v>4.2835474000000005E-3</v>
      </c>
      <c r="J62" s="24">
        <v>3.5330056999999999E-3</v>
      </c>
      <c r="K62" s="24">
        <v>-2.0470619000000001E-3</v>
      </c>
      <c r="L62" s="24">
        <v>8.3798170000000012E-3</v>
      </c>
      <c r="M62" s="24">
        <v>9.9573135000000004E-3</v>
      </c>
      <c r="N62" s="24">
        <v>-7.7691673999999997E-3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43770</v>
      </c>
      <c r="B63" s="24">
        <v>1.5600920000000001E-2</v>
      </c>
      <c r="C63" s="24">
        <v>5.4191710000000004E-2</v>
      </c>
      <c r="D63" s="24">
        <v>3.3831953999999997E-2</v>
      </c>
      <c r="E63" s="24">
        <v>9.9312419999999998E-2</v>
      </c>
      <c r="F63" s="24">
        <v>5.6893109999999997E-2</v>
      </c>
      <c r="G63" s="24">
        <v>5.7939290000000004E-2</v>
      </c>
      <c r="H63" s="24">
        <v>7.6416372999999996E-2</v>
      </c>
      <c r="I63" s="24">
        <v>6.8791270000000002E-2</v>
      </c>
      <c r="J63" s="24">
        <v>5.4128530000000001E-2</v>
      </c>
      <c r="K63" s="24">
        <v>7.4529886000000004E-2</v>
      </c>
      <c r="L63" s="24">
        <v>5.3609369999999996E-2</v>
      </c>
      <c r="M63" s="24">
        <v>0.125</v>
      </c>
      <c r="N63" s="24">
        <v>8.9485410000000001E-2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43802</v>
      </c>
      <c r="B64" s="24">
        <v>5.8790089999999996E-2</v>
      </c>
      <c r="C64" s="24">
        <v>-1.8892824999999999E-2</v>
      </c>
      <c r="D64" s="24">
        <v>6.5449475999999999E-3</v>
      </c>
      <c r="E64" s="24">
        <v>0</v>
      </c>
      <c r="F64" s="24">
        <v>4.7249793999999999E-3</v>
      </c>
      <c r="G64" s="24">
        <v>-2.5832653000000001E-3</v>
      </c>
      <c r="H64" s="24">
        <v>-1.1321902E-2</v>
      </c>
      <c r="I64" s="24">
        <v>1.2772202E-2</v>
      </c>
      <c r="J64" s="24">
        <v>1.1138558E-2</v>
      </c>
      <c r="K64" s="24">
        <v>-8.2723500000000012E-3</v>
      </c>
      <c r="L64" s="24">
        <v>-2.4745463999999999E-3</v>
      </c>
      <c r="M64" s="24">
        <v>-1.7527401000000001E-2</v>
      </c>
      <c r="N64" s="24">
        <v>-2.1560549999999998E-2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43833</v>
      </c>
      <c r="B65" s="24">
        <v>4.9482702999999996E-2</v>
      </c>
      <c r="C65" s="24">
        <v>2.7757645000000001E-2</v>
      </c>
      <c r="D65" s="24">
        <v>3.4503222E-2</v>
      </c>
      <c r="E65" s="24">
        <v>1.8415570000000003E-2</v>
      </c>
      <c r="F65" s="24">
        <v>6.0975550000000002E-3</v>
      </c>
      <c r="G65" s="24">
        <v>5.3871990000000002E-2</v>
      </c>
      <c r="H65" s="24">
        <v>6.5690636999999996E-2</v>
      </c>
      <c r="I65" s="24">
        <v>6.5700649999999999E-2</v>
      </c>
      <c r="J65" s="24">
        <v>4.6642780000000002E-2</v>
      </c>
      <c r="K65" s="24">
        <v>4.8104763000000002E-2</v>
      </c>
      <c r="L65" s="24">
        <v>5.267906E-2</v>
      </c>
      <c r="M65" s="24">
        <v>6.1887860000000003E-2</v>
      </c>
      <c r="N65" s="24">
        <v>3.8661121999999999E-2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43864</v>
      </c>
      <c r="B66" s="24">
        <v>-2.5797427000000001E-2</v>
      </c>
      <c r="C66" s="24">
        <v>-8.444488E-3</v>
      </c>
      <c r="D66" s="24">
        <v>-7.0398450000000003E-3</v>
      </c>
      <c r="E66" s="24">
        <v>-2.4564981E-2</v>
      </c>
      <c r="F66" s="24">
        <v>-1.7060875999999999E-2</v>
      </c>
      <c r="G66" s="24">
        <v>2.2118092E-3</v>
      </c>
      <c r="H66" s="24">
        <v>-4.2848705999999993E-2</v>
      </c>
      <c r="I66" s="24">
        <v>3.8285613000000003E-2</v>
      </c>
      <c r="J66" s="24">
        <v>5.3037405000000001E-3</v>
      </c>
      <c r="K66" s="24">
        <v>-3.3128798000000001E-2</v>
      </c>
      <c r="L66" s="24">
        <v>-2.4253190000000001E-2</v>
      </c>
      <c r="M66" s="24">
        <v>-2.8250277000000001E-2</v>
      </c>
      <c r="N66" s="24">
        <v>-1.9328593999999998E-2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43893</v>
      </c>
      <c r="B67" s="24">
        <v>-4.7772408000000002E-2</v>
      </c>
      <c r="C67" s="24">
        <v>-9.3679959999999993E-2</v>
      </c>
      <c r="D67" s="24">
        <v>-6.0432195999999994E-2</v>
      </c>
      <c r="E67" s="24">
        <v>-8.0447669999999999E-2</v>
      </c>
      <c r="F67" s="24">
        <v>-9.0221699999999988E-2</v>
      </c>
      <c r="G67" s="24">
        <v>-4.8553230000000003E-2</v>
      </c>
      <c r="H67" s="24">
        <v>-9.9722150000000009E-2</v>
      </c>
      <c r="I67" s="24">
        <v>-5.8008850000000001E-2</v>
      </c>
      <c r="J67" s="24">
        <v>-7.3676405E-2</v>
      </c>
      <c r="K67" s="24">
        <v>-7.2969556000000005E-2</v>
      </c>
      <c r="L67" s="24">
        <v>-6.2443200000000004E-2</v>
      </c>
      <c r="M67" s="24">
        <v>-3.5948693999999996E-2</v>
      </c>
      <c r="N67" s="24">
        <v>-7.6417739999999998E-2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43924</v>
      </c>
      <c r="B68" s="24">
        <v>-0.16608418</v>
      </c>
      <c r="C68" s="24">
        <v>-0.26656770000000002</v>
      </c>
      <c r="D68" s="24">
        <v>-0.24505924000000001</v>
      </c>
      <c r="E68" s="24">
        <v>-0.22289847999999998</v>
      </c>
      <c r="F68" s="24">
        <v>-0.12032485</v>
      </c>
      <c r="G68" s="24">
        <v>-0.10463910999999999</v>
      </c>
      <c r="H68" s="24">
        <v>-0.2266804</v>
      </c>
      <c r="I68" s="24">
        <v>-0.12277948</v>
      </c>
      <c r="J68" s="24">
        <v>-0.16828309999999999</v>
      </c>
      <c r="K68" s="24">
        <v>-0.25222444999999999</v>
      </c>
      <c r="L68" s="24">
        <v>-0.19786621000000001</v>
      </c>
      <c r="M68" s="24">
        <v>-0.22730219000000002</v>
      </c>
      <c r="N68" s="24">
        <v>-0.26656680999999999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43952</v>
      </c>
      <c r="B69" s="24">
        <v>7.7713489999999996E-2</v>
      </c>
      <c r="C69" s="24">
        <v>9.1706040000000003E-2</v>
      </c>
      <c r="D69" s="24">
        <v>0.12993812999999999</v>
      </c>
      <c r="E69" s="24">
        <v>0.12922168000000001</v>
      </c>
      <c r="F69" s="24">
        <v>9.190464000000001E-2</v>
      </c>
      <c r="G69" s="24">
        <v>4.7495603999999997E-2</v>
      </c>
      <c r="H69" s="24">
        <v>9.0465660000000003E-2</v>
      </c>
      <c r="I69" s="24">
        <v>0.16016806</v>
      </c>
      <c r="J69" s="24">
        <v>0.13940929999999999</v>
      </c>
      <c r="K69" s="24">
        <v>9.8855860000000004E-2</v>
      </c>
      <c r="L69" s="24">
        <v>0.12051594</v>
      </c>
      <c r="M69" s="24">
        <v>0.11917746</v>
      </c>
      <c r="N69" s="24">
        <v>5.7682394999999997E-2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43985</v>
      </c>
      <c r="B70" s="24">
        <v>0.14969683</v>
      </c>
      <c r="C70" s="24">
        <v>0.22359477999999999</v>
      </c>
      <c r="D70" s="24">
        <v>0.11331092999999999</v>
      </c>
      <c r="E70" s="24">
        <v>0.21022975999999999</v>
      </c>
      <c r="F70" s="24">
        <v>0.11878073</v>
      </c>
      <c r="G70" s="24">
        <v>8.8760610000000004E-2</v>
      </c>
      <c r="H70" s="24">
        <v>0.11630750000000001</v>
      </c>
      <c r="I70" s="24">
        <v>0.11257875000000001</v>
      </c>
      <c r="J70" s="24">
        <v>0.10392868</v>
      </c>
      <c r="K70" s="24">
        <v>0.16743029000000001</v>
      </c>
      <c r="L70" s="24">
        <v>0.16474830000000001</v>
      </c>
      <c r="M70" s="24">
        <v>0.20584928999999999</v>
      </c>
      <c r="N70" s="24">
        <v>0.18918918999999998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44014</v>
      </c>
      <c r="B71" s="24">
        <v>4.7794223000000004E-2</v>
      </c>
      <c r="C71" s="24">
        <v>1.5849352000000001E-2</v>
      </c>
      <c r="D71" s="24">
        <v>-4.4567584999999996E-3</v>
      </c>
      <c r="E71" s="24">
        <v>-2.237916E-3</v>
      </c>
      <c r="F71" s="24">
        <v>-2.2458969999999998E-2</v>
      </c>
      <c r="G71" s="24">
        <v>1.3182401999999999E-2</v>
      </c>
      <c r="H71" s="24">
        <v>-3.3288359999999996E-2</v>
      </c>
      <c r="I71" s="24">
        <v>6.731856E-2</v>
      </c>
      <c r="J71" s="24">
        <v>4.5875310000000006E-3</v>
      </c>
      <c r="K71" s="24">
        <v>-2.8920174000000002E-4</v>
      </c>
      <c r="L71" s="24">
        <v>3.1171321999999998E-2</v>
      </c>
      <c r="M71" s="24">
        <v>-1.5883148E-2</v>
      </c>
      <c r="N71" s="24">
        <v>8.0013274999999988E-3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44046</v>
      </c>
      <c r="B72" s="24">
        <v>3.9489864999999999E-2</v>
      </c>
      <c r="C72" s="24">
        <v>1.8154383E-2</v>
      </c>
      <c r="D72" s="24">
        <v>5.1055669999999997E-2</v>
      </c>
      <c r="E72" s="24">
        <v>5.1142573000000004E-2</v>
      </c>
      <c r="F72" s="24">
        <v>4.8940182E-3</v>
      </c>
      <c r="G72" s="24">
        <v>4.2278409999999995E-2</v>
      </c>
      <c r="H72" s="24">
        <v>9.9464654999999996E-3</v>
      </c>
      <c r="I72" s="24">
        <v>6.8162920000000002E-2</v>
      </c>
      <c r="J72" s="24">
        <v>5.3037763000000002E-2</v>
      </c>
      <c r="K72" s="24">
        <v>2.2629260000000002E-2</v>
      </c>
      <c r="L72" s="24">
        <v>4.7303439999999995E-2</v>
      </c>
      <c r="M72" s="24">
        <v>0.10301113000000001</v>
      </c>
      <c r="N72" s="24">
        <v>2.4003266999999998E-2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44077</v>
      </c>
      <c r="B73" s="24">
        <v>-6.5557957000000004E-3</v>
      </c>
      <c r="C73" s="24">
        <v>1.7830491E-2</v>
      </c>
      <c r="D73" s="24">
        <v>3.8349152000000004E-2</v>
      </c>
      <c r="E73" s="24">
        <v>3.2091139999999997E-2</v>
      </c>
      <c r="F73" s="24">
        <v>4.13059E-2</v>
      </c>
      <c r="G73" s="24">
        <v>7.0439580000000003E-3</v>
      </c>
      <c r="H73" s="24">
        <v>-1.2499988E-2</v>
      </c>
      <c r="I73" s="24">
        <v>6.6931485999999998E-2</v>
      </c>
      <c r="J73" s="24">
        <v>5.0488114000000001E-2</v>
      </c>
      <c r="K73" s="24">
        <v>2.7397274999999999E-2</v>
      </c>
      <c r="L73" s="24">
        <v>7.7675579999999999E-3</v>
      </c>
      <c r="M73" s="24">
        <v>4.0229559999999994E-3</v>
      </c>
      <c r="N73" s="24">
        <v>8.7405442999999999E-3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44106</v>
      </c>
      <c r="B74" s="24">
        <v>-1.2463629E-2</v>
      </c>
      <c r="C74" s="24">
        <v>-3.4063219999999998E-2</v>
      </c>
      <c r="D74" s="24">
        <v>-3.1304954999999995E-2</v>
      </c>
      <c r="E74" s="24">
        <v>-2.4740874999999999E-2</v>
      </c>
      <c r="F74" s="24">
        <v>1.8361329999999999E-2</v>
      </c>
      <c r="G74" s="24">
        <v>4.8244E-4</v>
      </c>
      <c r="H74" s="24">
        <v>-1.2658237999999999E-2</v>
      </c>
      <c r="I74" s="24">
        <v>-4.4194280000000002E-2</v>
      </c>
      <c r="J74" s="24">
        <v>-2.9525638E-2</v>
      </c>
      <c r="K74" s="24">
        <v>-3.9316236999999997E-2</v>
      </c>
      <c r="L74" s="24">
        <v>9.9915265999999999E-3</v>
      </c>
      <c r="M74" s="24">
        <v>1.1734366000000001E-2</v>
      </c>
      <c r="N74" s="24">
        <v>-3.6234736000000003E-2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44138</v>
      </c>
      <c r="B75" s="24">
        <v>3.2924770999999999E-2</v>
      </c>
      <c r="C75" s="24">
        <v>3.3753156999999999E-2</v>
      </c>
      <c r="D75" s="24">
        <v>-4.7204494E-3</v>
      </c>
      <c r="E75" s="24">
        <v>-5.6907772999999995E-2</v>
      </c>
      <c r="F75" s="24">
        <v>2.2112607999999999E-2</v>
      </c>
      <c r="G75" s="24">
        <v>-1.6875625000000002E-2</v>
      </c>
      <c r="H75" s="24">
        <v>-1.6705513000000002E-2</v>
      </c>
      <c r="I75" s="24">
        <v>1.2394189999999999E-3</v>
      </c>
      <c r="J75" s="24">
        <v>6.560087E-3</v>
      </c>
      <c r="K75" s="24">
        <v>-3.2028556000000003E-3</v>
      </c>
      <c r="L75" s="24">
        <v>-3.3918023000000003E-3</v>
      </c>
      <c r="M75" s="24">
        <v>-5.9405565000000002E-3</v>
      </c>
      <c r="N75" s="24">
        <v>-9.807943999999999E-3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44168</v>
      </c>
      <c r="B76" s="24">
        <v>9.8780750000000014E-2</v>
      </c>
      <c r="C76" s="24">
        <v>0.13888895000000001</v>
      </c>
      <c r="D76" s="24">
        <v>0.12623131000000001</v>
      </c>
      <c r="E76" s="24">
        <v>0.12795353000000001</v>
      </c>
      <c r="F76" s="24">
        <v>9.4358439999999988E-2</v>
      </c>
      <c r="G76" s="24">
        <v>5.4683685000000003E-2</v>
      </c>
      <c r="H76" s="24">
        <v>0.16712772000000001</v>
      </c>
      <c r="I76" s="24">
        <v>0.10788273999999999</v>
      </c>
      <c r="J76" s="24">
        <v>9.1241839999999991E-2</v>
      </c>
      <c r="K76" s="24">
        <v>0.19136023999999999</v>
      </c>
      <c r="L76" s="24">
        <v>0.13669896000000001</v>
      </c>
      <c r="M76" s="24">
        <v>0.12720549</v>
      </c>
      <c r="N76" s="24">
        <v>0.19603802000000001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44196</v>
      </c>
      <c r="B77" s="24">
        <v>3.9494395000000002E-2</v>
      </c>
      <c r="C77" s="24">
        <v>3.3514857000000002E-2</v>
      </c>
      <c r="D77" s="24">
        <v>1.1531352999999999E-2</v>
      </c>
      <c r="E77" s="24">
        <v>3.6746978999999999E-2</v>
      </c>
      <c r="F77" s="24">
        <v>3.1398058E-2</v>
      </c>
      <c r="G77" s="24">
        <v>3.9371014000000003E-2</v>
      </c>
      <c r="H77" s="24">
        <v>2.8973817999999999E-3</v>
      </c>
      <c r="I77" s="24">
        <v>3.2963276E-2</v>
      </c>
      <c r="J77" s="24">
        <v>2.3971437999999998E-2</v>
      </c>
      <c r="K77" s="24">
        <v>1.6372204000000001E-3</v>
      </c>
      <c r="L77" s="24">
        <v>3.4809231999999996E-2</v>
      </c>
      <c r="M77" s="24">
        <v>1.2316704000000001E-2</v>
      </c>
      <c r="N77" s="24">
        <v>2.4263739999999999E-2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44230</v>
      </c>
      <c r="B78" s="24">
        <v>-1.9097328E-3</v>
      </c>
      <c r="C78" s="24">
        <v>2.5469659999999998E-2</v>
      </c>
      <c r="D78" s="24">
        <v>2.4643301999999999E-2</v>
      </c>
      <c r="E78" s="24">
        <v>2.1403908999999999E-2</v>
      </c>
      <c r="F78" s="24">
        <v>1.5837789000000001E-2</v>
      </c>
      <c r="G78" s="24">
        <v>-1.1190772000000001E-3</v>
      </c>
      <c r="H78" s="24">
        <v>1.4680743000000001E-2</v>
      </c>
      <c r="I78" s="24">
        <v>4.0288209999999998E-2</v>
      </c>
      <c r="J78" s="24">
        <v>2.1317005E-2</v>
      </c>
      <c r="K78" s="24">
        <v>-1.5032887E-3</v>
      </c>
      <c r="L78" s="24">
        <v>5.1765800000000001E-2</v>
      </c>
      <c r="M78" s="24">
        <v>5.3266286999999995E-2</v>
      </c>
      <c r="N78" s="24">
        <v>4.7553778000000001E-3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44258</v>
      </c>
      <c r="B79" s="24">
        <v>-6.5204678000000002E-2</v>
      </c>
      <c r="C79" s="24">
        <v>2.4837136000000003E-2</v>
      </c>
      <c r="D79" s="24">
        <v>4.3670893000000002E-2</v>
      </c>
      <c r="E79" s="24">
        <v>0</v>
      </c>
      <c r="F79" s="24">
        <v>-5.3911805000000004E-3</v>
      </c>
      <c r="G79" s="24">
        <v>-2.5095284000000002E-2</v>
      </c>
      <c r="H79" s="24">
        <v>4.6433450000000001E-2</v>
      </c>
      <c r="I79" s="24">
        <v>-5.2760600000000005E-2</v>
      </c>
      <c r="J79" s="24">
        <v>-1.1260509500000001E-3</v>
      </c>
      <c r="K79" s="24">
        <v>3.4929275999999995E-2</v>
      </c>
      <c r="L79" s="24">
        <v>1.0349631E-2</v>
      </c>
      <c r="M79" s="24">
        <v>3.125E-2</v>
      </c>
      <c r="N79" s="24">
        <v>1.5889048999999999E-2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44287</v>
      </c>
      <c r="B80" s="24">
        <v>-1.8264829999999999E-2</v>
      </c>
      <c r="C80" s="24">
        <v>-1.5892386E-3</v>
      </c>
      <c r="D80" s="24">
        <v>5.0333500000000003E-2</v>
      </c>
      <c r="E80" s="24">
        <v>4.6224950000000001E-2</v>
      </c>
      <c r="F80" s="24">
        <v>1.2891889E-2</v>
      </c>
      <c r="G80" s="24">
        <v>3.3095956000000003E-2</v>
      </c>
      <c r="H80" s="24">
        <v>1.8327950999999999E-2</v>
      </c>
      <c r="I80" s="24">
        <v>5.1145314999999997E-2</v>
      </c>
      <c r="J80" s="24">
        <v>5.3757668000000002E-2</v>
      </c>
      <c r="K80" s="24">
        <v>2.9677033000000002E-2</v>
      </c>
      <c r="L80" s="24">
        <v>7.8306317E-2</v>
      </c>
      <c r="M80" s="24">
        <v>4.6726823000000001E-2</v>
      </c>
      <c r="N80" s="24">
        <v>5.8901906000000004E-2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44319</v>
      </c>
      <c r="B81" s="24">
        <v>5.0200579999999995E-2</v>
      </c>
      <c r="C81" s="24">
        <v>4.3374420000000004E-2</v>
      </c>
      <c r="D81" s="24">
        <v>3.3776044999999998E-2</v>
      </c>
      <c r="E81" s="24">
        <v>3.1222343E-2</v>
      </c>
      <c r="F81" s="24">
        <v>-1.330632E-2</v>
      </c>
      <c r="G81" s="24">
        <v>4.0044427E-2</v>
      </c>
      <c r="H81" s="24">
        <v>4.1995525000000006E-2</v>
      </c>
      <c r="I81" s="24">
        <v>3.5801171999999999E-2</v>
      </c>
      <c r="J81" s="24">
        <v>4.3908120000000002E-2</v>
      </c>
      <c r="K81" s="24">
        <v>5.7078239999999995E-2</v>
      </c>
      <c r="L81" s="24">
        <v>2.5965809999999999E-2</v>
      </c>
      <c r="M81" s="24">
        <v>4.1988969999999994E-2</v>
      </c>
      <c r="N81" s="24">
        <v>1.2256384E-2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44350</v>
      </c>
      <c r="B82" s="24">
        <v>-6.017107E-2</v>
      </c>
      <c r="C82" s="24">
        <v>2.7459980000000002E-2</v>
      </c>
      <c r="D82" s="24">
        <v>6.0039043E-2</v>
      </c>
      <c r="E82" s="24">
        <v>2.7135134000000002E-2</v>
      </c>
      <c r="F82" s="24">
        <v>8.5018873000000002E-3</v>
      </c>
      <c r="G82" s="24">
        <v>4.6630979999999995E-2</v>
      </c>
      <c r="H82" s="24">
        <v>2.7575731000000003E-2</v>
      </c>
      <c r="I82" s="24">
        <v>-1.8412232000000001E-2</v>
      </c>
      <c r="J82" s="24">
        <v>1.3629198E-3</v>
      </c>
      <c r="K82" s="24">
        <v>4.0898085000000001E-2</v>
      </c>
      <c r="L82" s="24">
        <v>1.6872406E-2</v>
      </c>
      <c r="M82" s="24">
        <v>3.5630940999999999E-2</v>
      </c>
      <c r="N82" s="24">
        <v>4.6879888000000002E-2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44379</v>
      </c>
      <c r="B83" s="24">
        <v>1.0689615999999999E-2</v>
      </c>
      <c r="C83" s="24">
        <v>-1.5795231E-2</v>
      </c>
      <c r="D83" s="24">
        <v>-2.5914906999999999E-3</v>
      </c>
      <c r="E83" s="24">
        <v>-1.5814959999999999E-2</v>
      </c>
      <c r="F83" s="24">
        <v>-5.6908130000000003E-3</v>
      </c>
      <c r="G83" s="24">
        <v>1.9069195000000001E-2</v>
      </c>
      <c r="H83" s="24">
        <v>-9.1928244000000006E-3</v>
      </c>
      <c r="I83" s="24">
        <v>8.8040109999999991E-2</v>
      </c>
      <c r="J83" s="24">
        <v>3.9134145000000002E-2</v>
      </c>
      <c r="K83" s="24">
        <v>-1.1421262999999999E-2</v>
      </c>
      <c r="L83" s="24">
        <v>-1.3746262E-2</v>
      </c>
      <c r="M83" s="24">
        <v>-1.4433979999999999E-2</v>
      </c>
      <c r="N83" s="24">
        <v>-2.3528337E-2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44411</v>
      </c>
      <c r="B84" s="24">
        <v>4.8673152999999995E-4</v>
      </c>
      <c r="C84" s="24">
        <v>7.6484679999999996E-4</v>
      </c>
      <c r="D84" s="24">
        <v>-9.5668435E-3</v>
      </c>
      <c r="E84" s="24">
        <v>-3.4482479999999997E-3</v>
      </c>
      <c r="F84" s="24">
        <v>5.1538944000000001E-3</v>
      </c>
      <c r="G84" s="24">
        <v>3.5130740000000001E-2</v>
      </c>
      <c r="H84" s="24">
        <v>7.5665709999999994E-3</v>
      </c>
      <c r="I84" s="24">
        <v>2.2780418E-2</v>
      </c>
      <c r="J84" s="24">
        <v>1.7130852000000002E-2</v>
      </c>
      <c r="K84" s="24">
        <v>2.3115396E-2</v>
      </c>
      <c r="L84" s="24">
        <v>3.8207412000000003E-2</v>
      </c>
      <c r="M84" s="24">
        <v>3.5721898000000002E-2</v>
      </c>
      <c r="N84" s="24">
        <v>1.8445253E-3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44442</v>
      </c>
      <c r="B85" s="24">
        <v>5.0267577000000001E-2</v>
      </c>
      <c r="C85" s="24">
        <v>1.4138341E-2</v>
      </c>
      <c r="D85" s="24">
        <v>2.2269845E-2</v>
      </c>
      <c r="E85" s="24">
        <v>1.2687444999999999E-2</v>
      </c>
      <c r="F85" s="24">
        <v>5.2006959999999998E-2</v>
      </c>
      <c r="G85" s="24">
        <v>1.1838674500000001E-3</v>
      </c>
      <c r="H85" s="24">
        <v>5.4070949999999998E-3</v>
      </c>
      <c r="I85" s="24">
        <v>4.0238857000000003E-2</v>
      </c>
      <c r="J85" s="24">
        <v>2.7042985000000002E-2</v>
      </c>
      <c r="K85" s="24">
        <v>2.0538568E-3</v>
      </c>
      <c r="L85" s="24">
        <v>6.7634699999999992E-2</v>
      </c>
      <c r="M85" s="24">
        <v>-6.1583519999999997E-4</v>
      </c>
      <c r="N85" s="24">
        <v>1.5955805999999999E-2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44470</v>
      </c>
      <c r="B86" s="24">
        <v>-3.257674E-2</v>
      </c>
      <c r="C86" s="24">
        <v>-6.0286340000000001E-2</v>
      </c>
      <c r="D86" s="24">
        <v>-3.8582622999999996E-2</v>
      </c>
      <c r="E86" s="24">
        <v>-6.2072934999999996E-2</v>
      </c>
      <c r="F86" s="24">
        <v>-2.6180148E-2</v>
      </c>
      <c r="G86" s="24">
        <v>-7.4103299999999997E-2</v>
      </c>
      <c r="H86" s="24">
        <v>-3.2267749999999998E-2</v>
      </c>
      <c r="I86" s="24">
        <v>-5.498952E-2</v>
      </c>
      <c r="J86" s="24">
        <v>-3.8481116000000003E-2</v>
      </c>
      <c r="K86" s="24">
        <v>-3.6894679999999999E-2</v>
      </c>
      <c r="L86" s="24">
        <v>-7.9560222999999999E-2</v>
      </c>
      <c r="M86" s="24">
        <v>-6.9433030000000007E-2</v>
      </c>
      <c r="N86" s="24">
        <v>-3.6544859999999998E-2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44503</v>
      </c>
      <c r="B87" s="24">
        <v>1.5320778E-2</v>
      </c>
      <c r="C87" s="24">
        <v>5.7337639999999995E-2</v>
      </c>
      <c r="D87" s="24">
        <v>8.1354030000000008E-2</v>
      </c>
      <c r="E87" s="24">
        <v>5.2823424000000001E-2</v>
      </c>
      <c r="F87" s="24">
        <v>-2.2880434999999998E-3</v>
      </c>
      <c r="G87" s="24">
        <v>8.8335510000000006E-2</v>
      </c>
      <c r="H87" s="24">
        <v>4.3223260000000006E-2</v>
      </c>
      <c r="I87" s="24">
        <v>9.1620810000000011E-2</v>
      </c>
      <c r="J87" s="24">
        <v>7.0191619999999996E-2</v>
      </c>
      <c r="K87" s="24">
        <v>6.916725600000001E-2</v>
      </c>
      <c r="L87" s="24">
        <v>7.449388500000001E-2</v>
      </c>
      <c r="M87" s="24">
        <v>7.8587173999999996E-2</v>
      </c>
      <c r="N87" s="24">
        <v>7.0846439999999997E-2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44533</v>
      </c>
      <c r="B88" s="24">
        <v>-8.755106E-2</v>
      </c>
      <c r="C88" s="24">
        <v>-7.8119096999999998E-2</v>
      </c>
      <c r="D88" s="24">
        <v>-6.1853113000000001E-2</v>
      </c>
      <c r="E88" s="24">
        <v>-8.2468269999999996E-2</v>
      </c>
      <c r="F88" s="24">
        <v>-3.4542023999999998E-2</v>
      </c>
      <c r="G88" s="24">
        <v>-2.9532611E-2</v>
      </c>
      <c r="H88" s="24">
        <v>-4.5575619999999997E-2</v>
      </c>
      <c r="I88" s="24">
        <v>-2.5560796E-2</v>
      </c>
      <c r="J88" s="24">
        <v>-2.4315715000000002E-2</v>
      </c>
      <c r="K88" s="24">
        <v>-5.9218645E-2</v>
      </c>
      <c r="L88" s="24">
        <v>-9.0806369999999997E-2</v>
      </c>
      <c r="M88" s="24">
        <v>-9.087192999999999E-2</v>
      </c>
      <c r="N88" s="24">
        <v>-7.5234175E-2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44564</v>
      </c>
      <c r="B89" s="24">
        <v>1.4966607E-2</v>
      </c>
      <c r="C89" s="24">
        <v>6.0320020000000002E-2</v>
      </c>
      <c r="D89" s="24">
        <v>5.1379203999999998E-2</v>
      </c>
      <c r="E89" s="24">
        <v>5.1128030000000005E-2</v>
      </c>
      <c r="F89" s="24">
        <v>8.3134174000000002E-3</v>
      </c>
      <c r="G89" s="24">
        <v>6.6102385999999999E-2</v>
      </c>
      <c r="H89" s="24">
        <v>6.8311570000000002E-2</v>
      </c>
      <c r="I89" s="24">
        <v>4.9770355000000002E-2</v>
      </c>
      <c r="J89" s="24">
        <v>5.7319639999999998E-2</v>
      </c>
      <c r="K89" s="24">
        <v>6.5986989999999995E-2</v>
      </c>
      <c r="L89" s="24">
        <v>5.0934790000000001E-2</v>
      </c>
      <c r="M89" s="24">
        <v>8.5776569999999996E-2</v>
      </c>
      <c r="N89" s="24">
        <v>7.0425033999999997E-2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44595</v>
      </c>
      <c r="B90" s="24">
        <v>-6.668961000000001E-2</v>
      </c>
      <c r="C90" s="24">
        <v>-7.4386834999999998E-2</v>
      </c>
      <c r="D90" s="24">
        <v>-1.0111451E-2</v>
      </c>
      <c r="E90" s="24">
        <v>-3.2870948000000004E-2</v>
      </c>
      <c r="F90" s="24">
        <v>-4.9380835999999997E-2</v>
      </c>
      <c r="G90" s="24">
        <v>-7.4102106000000001E-2</v>
      </c>
      <c r="H90" s="24">
        <v>2.1175145999999999E-2</v>
      </c>
      <c r="I90" s="24">
        <v>-0.11982179</v>
      </c>
      <c r="J90" s="24">
        <v>-6.5123139999999996E-2</v>
      </c>
      <c r="K90" s="24">
        <v>-2.8046966000000003E-2</v>
      </c>
      <c r="L90" s="24">
        <v>-9.3013999999999986E-2</v>
      </c>
      <c r="M90" s="24">
        <v>-9.281439000000001E-2</v>
      </c>
      <c r="N90" s="24">
        <v>-1.1397778999999999E-2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44623</v>
      </c>
      <c r="B91" s="24">
        <v>1.4770985E-2</v>
      </c>
      <c r="C91" s="24">
        <v>5.9079050000000001E-2</v>
      </c>
      <c r="D91" s="24">
        <v>6.8098307E-3</v>
      </c>
      <c r="E91" s="24">
        <v>-0.14686621</v>
      </c>
      <c r="F91" s="24">
        <v>-2.7306973999999998E-2</v>
      </c>
      <c r="G91" s="24">
        <v>-3.9199650000000003E-2</v>
      </c>
      <c r="H91" s="24">
        <v>-4.2348146000000003E-2</v>
      </c>
      <c r="I91" s="24">
        <v>-3.1933188000000001E-2</v>
      </c>
      <c r="J91" s="24">
        <v>-2.4384260000000001E-2</v>
      </c>
      <c r="K91" s="24">
        <v>-0.11594957</v>
      </c>
      <c r="L91" s="24">
        <v>-0.10931706000000001</v>
      </c>
      <c r="M91" s="24">
        <v>-0.16053740999999999</v>
      </c>
      <c r="N91" s="24">
        <v>-0.13652914999999999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44652</v>
      </c>
      <c r="B92" s="24">
        <v>6.5501929999999993E-3</v>
      </c>
      <c r="C92" s="24">
        <v>9.474980999999999E-2</v>
      </c>
      <c r="D92" s="24">
        <v>4.6306014E-2</v>
      </c>
      <c r="E92" s="24">
        <v>4.5687079999999998E-2</v>
      </c>
      <c r="F92" s="24">
        <v>-8.0668926000000002E-4</v>
      </c>
      <c r="G92" s="24">
        <v>5.2061080000000003E-2</v>
      </c>
      <c r="H92" s="24">
        <v>3.4766674000000004E-2</v>
      </c>
      <c r="I92" s="24">
        <v>5.8546899999999999E-2</v>
      </c>
      <c r="J92" s="24">
        <v>4.2693256999999998E-2</v>
      </c>
      <c r="K92" s="24">
        <v>5.7566759999999995E-2</v>
      </c>
      <c r="L92" s="24">
        <v>4.7035812999999996E-2</v>
      </c>
      <c r="M92" s="24">
        <v>0.11597872000000001</v>
      </c>
      <c r="N92" s="24">
        <v>5.3056954999999996E-2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44684</v>
      </c>
      <c r="B93" s="24">
        <v>-0.10827904999999999</v>
      </c>
      <c r="C93" s="24">
        <v>-7.1187677000000005E-2</v>
      </c>
      <c r="D93" s="24">
        <v>-6.8622645999999995E-2</v>
      </c>
      <c r="E93" s="24">
        <v>-8.7731539999999997E-2</v>
      </c>
      <c r="F93" s="24">
        <v>-7.8798649999999998E-2</v>
      </c>
      <c r="G93" s="24">
        <v>-7.1096659999999992E-2</v>
      </c>
      <c r="H93" s="24">
        <v>-3.9493083999999998E-2</v>
      </c>
      <c r="I93" s="24">
        <v>-0.11891669000000001</v>
      </c>
      <c r="J93" s="24">
        <v>-8.0676499999999998E-2</v>
      </c>
      <c r="K93" s="24">
        <v>-7.0707083000000004E-2</v>
      </c>
      <c r="L93" s="24">
        <v>-9.4525039999999991E-2</v>
      </c>
      <c r="M93" s="24">
        <v>-0.10140919999999999</v>
      </c>
      <c r="N93" s="24">
        <v>-7.4074029999999999E-2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44715</v>
      </c>
      <c r="B94" s="24">
        <v>-8.3114505000000012E-3</v>
      </c>
      <c r="C94" s="24">
        <v>7.6643229999999998E-3</v>
      </c>
      <c r="D94" s="24">
        <v>1.4949322000000001E-2</v>
      </c>
      <c r="E94" s="24">
        <v>4.8658967000000004E-2</v>
      </c>
      <c r="F94" s="24">
        <v>-7.0112940000000002E-4</v>
      </c>
      <c r="G94" s="24">
        <v>-2.2613645000000002E-2</v>
      </c>
      <c r="H94" s="24">
        <v>8.8984965999999999E-3</v>
      </c>
      <c r="I94" s="24">
        <v>-3.9583445000000002E-2</v>
      </c>
      <c r="J94" s="24">
        <v>-1.4025629E-2</v>
      </c>
      <c r="K94" s="24">
        <v>3.7137627999999999E-2</v>
      </c>
      <c r="L94" s="24">
        <v>6.4599514000000004E-3</v>
      </c>
      <c r="M94" s="24">
        <v>3.2483934999999999E-2</v>
      </c>
      <c r="N94" s="24">
        <v>2.1621584999999999E-2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44743</v>
      </c>
      <c r="B95" s="24">
        <v>-8.2780599999999996E-2</v>
      </c>
      <c r="C95" s="24">
        <v>-0.1284486</v>
      </c>
      <c r="D95" s="24">
        <v>-9.800774000000001E-2</v>
      </c>
      <c r="E95" s="24">
        <v>-0.13255042</v>
      </c>
      <c r="F95" s="24">
        <v>-6.0357865999999996E-2</v>
      </c>
      <c r="G95" s="24">
        <v>-5.6098994999999999E-2</v>
      </c>
      <c r="H95" s="24">
        <v>-7.4246764000000007E-2</v>
      </c>
      <c r="I95" s="24">
        <v>-7.6879980000000001E-2</v>
      </c>
      <c r="J95" s="24">
        <v>-6.736702E-2</v>
      </c>
      <c r="K95" s="24">
        <v>-9.7579659999999999E-2</v>
      </c>
      <c r="L95" s="24">
        <v>-9.641087000000001E-2</v>
      </c>
      <c r="M95" s="24">
        <v>-0.14770830000000001</v>
      </c>
      <c r="N95" s="24">
        <v>-0.11981976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44776</v>
      </c>
      <c r="B96" s="24">
        <v>0.10326945999999999</v>
      </c>
      <c r="C96" s="24">
        <v>6.92271E-2</v>
      </c>
      <c r="D96" s="24">
        <v>2.7320861999999998E-2</v>
      </c>
      <c r="E96" s="24">
        <v>2.5618791999999998E-2</v>
      </c>
      <c r="F96" s="24">
        <v>4.9387335999999997E-2</v>
      </c>
      <c r="G96" s="24">
        <v>3.4872412999999998E-2</v>
      </c>
      <c r="H96" s="24">
        <v>3.0779480000000001E-2</v>
      </c>
      <c r="I96" s="24">
        <v>0.14447248000000001</v>
      </c>
      <c r="J96" s="24">
        <v>8.7110520000000011E-2</v>
      </c>
      <c r="K96" s="24">
        <v>5.380273E-2</v>
      </c>
      <c r="L96" s="24">
        <v>9.4127655000000005E-2</v>
      </c>
      <c r="M96" s="24">
        <v>8.9390990000000004E-2</v>
      </c>
      <c r="N96" s="24">
        <v>1.2391567000000001E-2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44806</v>
      </c>
      <c r="B97" s="24">
        <v>-4.2100964000000005E-2</v>
      </c>
      <c r="C97" s="24">
        <v>-3.4589767E-2</v>
      </c>
      <c r="D97" s="24">
        <v>-3.7460743999999997E-2</v>
      </c>
      <c r="E97" s="24">
        <v>-9.6105040000000003E-2</v>
      </c>
      <c r="F97" s="24">
        <v>-5.927789E-2</v>
      </c>
      <c r="G97" s="24">
        <v>-7.0183635000000008E-2</v>
      </c>
      <c r="H97" s="24">
        <v>-7.7896776000000001E-2</v>
      </c>
      <c r="I97" s="24">
        <v>-8.584965E-2</v>
      </c>
      <c r="J97" s="24">
        <v>-5.3589162999999995E-2</v>
      </c>
      <c r="K97" s="24">
        <v>-8.7614169999999991E-2</v>
      </c>
      <c r="L97" s="24">
        <v>-0.12865036999999999</v>
      </c>
      <c r="M97" s="24">
        <v>-0.12293357000000001</v>
      </c>
      <c r="N97" s="24">
        <v>-6.9359483999999999E-2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44837</v>
      </c>
      <c r="B98" s="24">
        <v>-0.10646462</v>
      </c>
      <c r="C98" s="24">
        <v>-7.3036313000000005E-2</v>
      </c>
      <c r="D98" s="24">
        <v>-5.1693379999999997E-2</v>
      </c>
      <c r="E98" s="24">
        <v>-5.2927437000000001E-2</v>
      </c>
      <c r="F98" s="24">
        <v>-5.0410510000000006E-2</v>
      </c>
      <c r="G98" s="24">
        <v>-6.0734750000000004E-2</v>
      </c>
      <c r="H98" s="24">
        <v>-5.4206250000000004E-2</v>
      </c>
      <c r="I98" s="24">
        <v>-7.1662664000000001E-2</v>
      </c>
      <c r="J98" s="24">
        <v>-6.1472774000000001E-2</v>
      </c>
      <c r="K98" s="24">
        <v>-5.3540650000000002E-2</v>
      </c>
      <c r="L98" s="24">
        <v>-5.2838086999999999E-2</v>
      </c>
      <c r="M98" s="24">
        <v>-4.3522954000000003E-2</v>
      </c>
      <c r="N98" s="24">
        <v>-3.0249834E-2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44868</v>
      </c>
      <c r="B99" s="24">
        <v>2.2206305999999999E-2</v>
      </c>
      <c r="C99" s="24">
        <v>6.9375039999999997E-3</v>
      </c>
      <c r="D99" s="24">
        <v>1.3157845E-2</v>
      </c>
      <c r="E99" s="24">
        <v>4.5994042999999998E-2</v>
      </c>
      <c r="F99" s="24">
        <v>3.4184456000000002E-3</v>
      </c>
      <c r="G99" s="24">
        <v>1.1974335000000001E-2</v>
      </c>
      <c r="H99" s="24">
        <v>2.8656483E-2</v>
      </c>
      <c r="I99" s="24">
        <v>-4.7673044000000005E-2</v>
      </c>
      <c r="J99" s="24">
        <v>1.2001872E-2</v>
      </c>
      <c r="K99" s="24">
        <v>6.2043786000000004E-2</v>
      </c>
      <c r="L99" s="24">
        <v>7.3318479999999993E-3</v>
      </c>
      <c r="M99" s="24">
        <v>3.1529902999999998E-2</v>
      </c>
      <c r="N99" s="24">
        <v>7.4141025999999999E-2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44897</v>
      </c>
      <c r="B100" s="24">
        <v>0.16654979999999997</v>
      </c>
      <c r="C100" s="24">
        <v>0.16338587000000002</v>
      </c>
      <c r="D100" s="24">
        <v>8.8435410000000006E-2</v>
      </c>
      <c r="E100" s="24">
        <v>0.21702134999999997</v>
      </c>
      <c r="F100" s="24">
        <v>0.12084162</v>
      </c>
      <c r="G100" s="24">
        <v>0.14120436</v>
      </c>
      <c r="H100" s="24">
        <v>0.1541245</v>
      </c>
      <c r="I100" s="24">
        <v>0.12307572</v>
      </c>
      <c r="J100" s="24">
        <v>9.6762899999999999E-2</v>
      </c>
      <c r="K100" s="24">
        <v>0.17113409999999998</v>
      </c>
      <c r="L100" s="24">
        <v>0.24685752999999999</v>
      </c>
      <c r="M100" s="24">
        <v>0.1910386</v>
      </c>
      <c r="N100" s="24">
        <v>0.17676758000000001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44929</v>
      </c>
      <c r="B101" s="24">
        <v>-3.7003219999999996E-2</v>
      </c>
      <c r="C101" s="24">
        <v>-5.3336979999999999E-2</v>
      </c>
      <c r="D101" s="24">
        <v>-6.2097907000000001E-2</v>
      </c>
      <c r="E101" s="24">
        <v>-2.2593200000000001E-2</v>
      </c>
      <c r="F101" s="24">
        <v>-1.9818187000000001E-2</v>
      </c>
      <c r="G101" s="24">
        <v>-1.8894016999999999E-2</v>
      </c>
      <c r="H101" s="24">
        <v>-2.0990372E-2</v>
      </c>
      <c r="I101" s="24">
        <v>-9.3752749999999996E-2</v>
      </c>
      <c r="J101" s="24">
        <v>-5.9767426999999998E-2</v>
      </c>
      <c r="K101" s="24">
        <v>-1.5240252000000001E-2</v>
      </c>
      <c r="L101" s="24">
        <v>-3.0326962000000002E-2</v>
      </c>
      <c r="M101" s="24">
        <v>-4.0917215E-2</v>
      </c>
      <c r="N101" s="24">
        <v>-4.9297809999999994E-3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44960</v>
      </c>
      <c r="B102" s="24">
        <v>8.4412939999999992E-2</v>
      </c>
      <c r="C102" s="24">
        <v>0.11652255</v>
      </c>
      <c r="D102" s="24">
        <v>9.1579549999999996E-2</v>
      </c>
      <c r="E102" s="24">
        <v>0.13001989999999999</v>
      </c>
      <c r="F102" s="24">
        <v>6.1425924E-2</v>
      </c>
      <c r="G102" s="24">
        <v>5.8243274999999997E-2</v>
      </c>
      <c r="H102" s="24">
        <v>4.7123790000000006E-2</v>
      </c>
      <c r="I102" s="24">
        <v>0.15766775</v>
      </c>
      <c r="J102" s="24">
        <v>8.2795030000000006E-2</v>
      </c>
      <c r="K102" s="24">
        <v>0.11094511000000001</v>
      </c>
      <c r="L102" s="24">
        <v>0.12773239</v>
      </c>
      <c r="M102" s="24">
        <v>0.10183477000000001</v>
      </c>
      <c r="N102" s="24">
        <v>9.6315150000000002E-2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44988</v>
      </c>
      <c r="B103" s="24">
        <v>-4.1425824E-2</v>
      </c>
      <c r="C103" s="24">
        <v>-4.2804774999999996E-2</v>
      </c>
      <c r="D103" s="24">
        <v>-1.9144176999999998E-2</v>
      </c>
      <c r="E103" s="24">
        <v>-1.6889513000000002E-2</v>
      </c>
      <c r="F103" s="24">
        <v>-1.1712014999999999E-2</v>
      </c>
      <c r="G103" s="24">
        <v>-2.0195305E-2</v>
      </c>
      <c r="H103" s="24">
        <v>1.5518308000000001E-2</v>
      </c>
      <c r="I103" s="24">
        <v>-2.1229326999999999E-2</v>
      </c>
      <c r="J103" s="24">
        <v>-1.9789040000000001E-2</v>
      </c>
      <c r="K103" s="24">
        <v>4.3069123999999997E-3</v>
      </c>
      <c r="L103" s="24">
        <v>-2.4287760000000002E-2</v>
      </c>
      <c r="M103" s="24">
        <v>5.5515765999999999E-4</v>
      </c>
      <c r="N103" s="24">
        <v>2.5291204000000001E-2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45019</v>
      </c>
      <c r="B104" s="24">
        <v>3.8191079999999999E-3</v>
      </c>
      <c r="C104" s="24">
        <v>-6.388426E-3</v>
      </c>
      <c r="D104" s="24">
        <v>-1.1481047000000001E-3</v>
      </c>
      <c r="E104" s="24">
        <v>2.1116733999999998E-2</v>
      </c>
      <c r="F104" s="24">
        <v>2.7535677000000001E-2</v>
      </c>
      <c r="G104" s="24">
        <v>2.9898047000000001E-2</v>
      </c>
      <c r="H104" s="24">
        <v>3.055334E-4</v>
      </c>
      <c r="I104" s="24">
        <v>6.9954989999999995E-2</v>
      </c>
      <c r="J104" s="24">
        <v>2.0651579999999999E-2</v>
      </c>
      <c r="K104" s="24">
        <v>2.4926305000000003E-2</v>
      </c>
      <c r="L104" s="24">
        <v>1.4839649E-2</v>
      </c>
      <c r="M104" s="24">
        <v>-1.5533923999999999E-2</v>
      </c>
      <c r="N104" s="24">
        <v>-1.6227959999999999E-3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45049</v>
      </c>
      <c r="B105" s="24">
        <v>-4.4052599999999994E-3</v>
      </c>
      <c r="C105" s="24">
        <v>-2.7861118000000001E-2</v>
      </c>
      <c r="D105" s="24">
        <v>-1.0344862999999999E-2</v>
      </c>
      <c r="E105" s="24">
        <v>2.3484109999999999E-2</v>
      </c>
      <c r="F105" s="24">
        <v>-5.5969953999999997E-3</v>
      </c>
      <c r="G105" s="24">
        <v>6.751704E-2</v>
      </c>
      <c r="H105" s="24">
        <v>2.1387100000000003E-2</v>
      </c>
      <c r="I105" s="24">
        <v>-8.9332460000000006E-3</v>
      </c>
      <c r="J105" s="24">
        <v>-7.1298479999999994E-3</v>
      </c>
      <c r="K105" s="24">
        <v>2.4842977999999998E-2</v>
      </c>
      <c r="L105" s="24">
        <v>-1.2971759000000001E-2</v>
      </c>
      <c r="M105" s="24">
        <v>2.8458714E-2</v>
      </c>
      <c r="N105" s="24">
        <v>1.9505858000000001E-2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45079</v>
      </c>
      <c r="B106" s="24">
        <v>-1.7498016000000002E-2</v>
      </c>
      <c r="C106" s="24">
        <v>1.3227463E-3</v>
      </c>
      <c r="D106" s="24">
        <v>0</v>
      </c>
      <c r="E106" s="24">
        <v>-2.0205497999999999E-2</v>
      </c>
      <c r="F106" s="24">
        <v>5.7479142999999996E-2</v>
      </c>
      <c r="G106" s="24">
        <v>-2.7812183000000001E-2</v>
      </c>
      <c r="H106" s="24">
        <v>-2.3930549999999998E-2</v>
      </c>
      <c r="I106" s="24">
        <v>0.11774707</v>
      </c>
      <c r="J106" s="24">
        <v>4.8772216000000007E-2</v>
      </c>
      <c r="K106" s="24">
        <v>-3.5468220000000002E-2</v>
      </c>
      <c r="L106" s="24">
        <v>1.983273E-2</v>
      </c>
      <c r="M106" s="24">
        <v>-3.3972620000000002E-2</v>
      </c>
      <c r="N106" s="24">
        <v>-1.8494904E-2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45110</v>
      </c>
      <c r="B107" s="24">
        <v>1.476562E-2</v>
      </c>
      <c r="C107" s="24">
        <v>1.7107009999999999E-2</v>
      </c>
      <c r="D107" s="24">
        <v>3.2423019999999997E-2</v>
      </c>
      <c r="E107" s="24">
        <v>2.0994544E-2</v>
      </c>
      <c r="F107" s="24">
        <v>8.5216760000000006E-3</v>
      </c>
      <c r="G107" s="24">
        <v>-5.0671697000000005E-3</v>
      </c>
      <c r="H107" s="24">
        <v>6.3036680000000001E-3</v>
      </c>
      <c r="I107" s="24">
        <v>4.5534014999999997E-2</v>
      </c>
      <c r="J107" s="24">
        <v>4.0952799999999998E-2</v>
      </c>
      <c r="K107" s="24">
        <v>3.8854837000000003E-2</v>
      </c>
      <c r="L107" s="24">
        <v>2.7551532E-2</v>
      </c>
      <c r="M107" s="24">
        <v>-1.4179944999999998E-3</v>
      </c>
      <c r="N107" s="24">
        <v>6.3148736999999996E-2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45141</v>
      </c>
      <c r="B108" s="24">
        <v>-1.3447522999999999E-2</v>
      </c>
      <c r="C108" s="24">
        <v>-1.4556705999999999E-2</v>
      </c>
      <c r="D108" s="24">
        <v>-1.3352333999999999E-2</v>
      </c>
      <c r="E108" s="24">
        <v>-9.4970465E-3</v>
      </c>
      <c r="F108" s="24">
        <v>-1.4495134E-2</v>
      </c>
      <c r="G108" s="24">
        <v>1.3066292E-2</v>
      </c>
      <c r="H108" s="24">
        <v>4.9674510000000003E-3</v>
      </c>
      <c r="I108" s="24">
        <v>9.4521046000000004E-3</v>
      </c>
      <c r="J108" s="24">
        <v>1.1379242000000001E-2</v>
      </c>
      <c r="K108" s="24">
        <v>-1.6141592999999999E-2</v>
      </c>
      <c r="L108" s="24">
        <v>1.1527538000000001E-4</v>
      </c>
      <c r="M108" s="24">
        <v>-2.4424910000000001E-2</v>
      </c>
      <c r="N108" s="24">
        <v>1.1584282E-2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45170</v>
      </c>
      <c r="B109" s="24">
        <v>-6.0305594999999997E-2</v>
      </c>
      <c r="C109" s="24">
        <v>-4.0286779999999999E-3</v>
      </c>
      <c r="D109" s="24">
        <v>5.7587624000000007E-3</v>
      </c>
      <c r="E109" s="24">
        <v>-1.953125E-2</v>
      </c>
      <c r="F109" s="24">
        <v>1.3891219999999999E-2</v>
      </c>
      <c r="G109" s="24">
        <v>-1.2682735999999998E-2</v>
      </c>
      <c r="H109" s="24">
        <v>-9.5766779999999999E-3</v>
      </c>
      <c r="I109" s="24">
        <v>1.0166049E-2</v>
      </c>
      <c r="J109" s="24">
        <v>5.2357910000000001E-3</v>
      </c>
      <c r="K109" s="24">
        <v>-9.526372E-3</v>
      </c>
      <c r="L109" s="24">
        <v>-5.2219032999999998E-2</v>
      </c>
      <c r="M109" s="24">
        <v>-3.4934402000000003E-2</v>
      </c>
      <c r="N109" s="24">
        <v>-1.4546633E-2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45202</v>
      </c>
      <c r="B110" s="24">
        <v>-4.54945E-2</v>
      </c>
      <c r="C110" s="24">
        <v>-6.5617919999999996E-2</v>
      </c>
      <c r="D110" s="24">
        <v>-7.5293483999999994E-2</v>
      </c>
      <c r="E110" s="24">
        <v>-7.6783775999999998E-2</v>
      </c>
      <c r="F110" s="24">
        <v>-5.3352713999999996E-2</v>
      </c>
      <c r="G110" s="24">
        <v>-7.2066190000000002E-2</v>
      </c>
      <c r="H110" s="24">
        <v>-3.7117898000000003E-2</v>
      </c>
      <c r="I110" s="24">
        <v>-5.8680533999999999E-2</v>
      </c>
      <c r="J110" s="24">
        <v>-6.2267780000000002E-2</v>
      </c>
      <c r="K110" s="24">
        <v>-7.4806270000000008E-2</v>
      </c>
      <c r="L110" s="24">
        <v>-0.10216493</v>
      </c>
      <c r="M110" s="24">
        <v>-3.0769229999999998E-2</v>
      </c>
      <c r="N110" s="24">
        <v>-7.7261330000000003E-2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45233</v>
      </c>
      <c r="B111" s="24">
        <v>2.0262479999999999E-2</v>
      </c>
      <c r="C111" s="24">
        <v>4.9062013999999994E-2</v>
      </c>
      <c r="D111" s="24">
        <v>4.6439649999999999E-2</v>
      </c>
      <c r="E111" s="24">
        <v>2.5892496000000001E-2</v>
      </c>
      <c r="F111" s="24">
        <v>5.5678486999999999E-2</v>
      </c>
      <c r="G111" s="24">
        <v>1.3373971E-2</v>
      </c>
      <c r="H111" s="24">
        <v>1.4901161000000001E-2</v>
      </c>
      <c r="I111" s="24">
        <v>3.6036252999999997E-2</v>
      </c>
      <c r="J111" s="24">
        <v>3.1072855E-2</v>
      </c>
      <c r="K111" s="24">
        <v>2.9454231000000001E-2</v>
      </c>
      <c r="L111" s="24">
        <v>7.0170640000000006E-2</v>
      </c>
      <c r="M111" s="24">
        <v>2.9567359999999997E-2</v>
      </c>
      <c r="N111" s="24">
        <v>6.6712140000000003E-2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45261</v>
      </c>
      <c r="B112" s="24">
        <v>6.5447927000000003E-2</v>
      </c>
      <c r="C112" s="24">
        <v>5.1352620000000002E-2</v>
      </c>
      <c r="D112" s="24">
        <v>5.0000070000000001E-2</v>
      </c>
      <c r="E112" s="24">
        <v>9.8661539999999992E-2</v>
      </c>
      <c r="F112" s="24">
        <v>1.951611E-2</v>
      </c>
      <c r="G112" s="24">
        <v>6.1125280000000004E-2</v>
      </c>
      <c r="H112" s="24">
        <v>4.9473404999999998E-2</v>
      </c>
      <c r="I112" s="24">
        <v>6.045532E-2</v>
      </c>
      <c r="J112" s="24">
        <v>5.6154966000000001E-2</v>
      </c>
      <c r="K112" s="24">
        <v>5.8905960000000007E-2</v>
      </c>
      <c r="L112" s="24">
        <v>7.4936630000000004E-2</v>
      </c>
      <c r="M112" s="24">
        <v>0.11215234</v>
      </c>
      <c r="N112" s="24">
        <v>5.7753680000000002E-2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45294</v>
      </c>
      <c r="B113" s="24">
        <v>2.1026373000000001E-2</v>
      </c>
      <c r="C113" s="24">
        <v>6.3777565999999994E-2</v>
      </c>
      <c r="D113" s="24">
        <v>3.3332109999999998E-2</v>
      </c>
      <c r="E113" s="24">
        <v>6.6660640000000002E-3</v>
      </c>
      <c r="F113" s="24">
        <v>1.4095067999999999E-2</v>
      </c>
      <c r="G113" s="24">
        <v>4.2984843000000002E-2</v>
      </c>
      <c r="H113" s="24">
        <v>1.8665670999999998E-2</v>
      </c>
      <c r="I113" s="24">
        <v>2.4081109999999999E-2</v>
      </c>
      <c r="J113" s="24">
        <v>2.5253534000000001E-2</v>
      </c>
      <c r="K113" s="24">
        <v>1.3711929000000001E-2</v>
      </c>
      <c r="L113" s="24">
        <v>1.8460154999999999E-2</v>
      </c>
      <c r="M113" s="24">
        <v>5.4496408000000003E-2</v>
      </c>
      <c r="N113" s="24">
        <v>1.35324E-2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45324</v>
      </c>
      <c r="B114" s="24">
        <v>-1.9695043999999998E-2</v>
      </c>
      <c r="C114" s="24">
        <v>-1.2552261E-2</v>
      </c>
      <c r="D114" s="24">
        <v>5.8043003000000006E-3</v>
      </c>
      <c r="E114" s="24">
        <v>1.071918E-2</v>
      </c>
      <c r="F114" s="24">
        <v>5.2206993E-2</v>
      </c>
      <c r="G114" s="24">
        <v>-9.8325610000000001E-3</v>
      </c>
      <c r="H114" s="24">
        <v>-8.5523130000000006E-3</v>
      </c>
      <c r="I114" s="24">
        <v>7.7021599999999996E-2</v>
      </c>
      <c r="J114" s="24">
        <v>5.4523349999999998E-2</v>
      </c>
      <c r="K114" s="24">
        <v>1.5255094E-2</v>
      </c>
      <c r="L114" s="24">
        <v>6.7567586999999998E-2</v>
      </c>
      <c r="M114" s="24">
        <v>-9.7728369999999995E-3</v>
      </c>
      <c r="N114" s="24">
        <v>1.3562441000000001E-2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45352</v>
      </c>
      <c r="B115" s="24">
        <v>-1.5554129999999999E-2</v>
      </c>
      <c r="C115" s="24">
        <v>2.4999976E-2</v>
      </c>
      <c r="D115" s="24">
        <v>1.9785642999999999E-2</v>
      </c>
      <c r="E115" s="24">
        <v>5.3027749999999998E-2</v>
      </c>
      <c r="F115" s="24">
        <v>5.7434915999999996E-2</v>
      </c>
      <c r="G115" s="24">
        <v>-5.0708055E-3</v>
      </c>
      <c r="H115" s="24">
        <v>1.4171243E-2</v>
      </c>
      <c r="I115" s="24">
        <v>3.8693666000000002E-2</v>
      </c>
      <c r="J115" s="24">
        <v>3.7422775999999998E-2</v>
      </c>
      <c r="K115" s="24">
        <v>4.2487143999999998E-2</v>
      </c>
      <c r="L115" s="24">
        <v>5.4779649999999999E-2</v>
      </c>
      <c r="M115" s="24">
        <v>6.6684484000000002E-2</v>
      </c>
      <c r="N115" s="24">
        <v>6.779658999999999E-2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45385</v>
      </c>
      <c r="B116" s="24">
        <v>-2.6332736E-3</v>
      </c>
      <c r="C116" s="24">
        <v>1.5708923E-2</v>
      </c>
      <c r="D116" s="24">
        <v>2.9372096E-2</v>
      </c>
      <c r="E116" s="24">
        <v>2.8265118999999998E-2</v>
      </c>
      <c r="F116" s="24">
        <v>9.9527835999999991E-4</v>
      </c>
      <c r="G116" s="24">
        <v>-2.9730200000000003E-3</v>
      </c>
      <c r="H116" s="24">
        <v>3.8274645999999996E-2</v>
      </c>
      <c r="I116" s="24">
        <v>-6.5762996999999997E-3</v>
      </c>
      <c r="J116" s="24">
        <v>1.595974E-2</v>
      </c>
      <c r="K116" s="24">
        <v>2.5347830000000002E-2</v>
      </c>
      <c r="L116" s="24">
        <v>2.89675E-2</v>
      </c>
      <c r="M116" s="24">
        <v>1.5003681E-3</v>
      </c>
      <c r="N116" s="24">
        <v>4.5112730000000004E-2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45415</v>
      </c>
      <c r="B117" s="24">
        <v>6.6006184000000001E-3</v>
      </c>
      <c r="C117" s="24">
        <v>-1.6687035999999999E-2</v>
      </c>
      <c r="D117" s="24">
        <v>-1.6492188000000001E-2</v>
      </c>
      <c r="E117" s="24">
        <v>-2.2116839999999999E-2</v>
      </c>
      <c r="F117" s="24">
        <v>-1.6193150999999999E-2</v>
      </c>
      <c r="G117" s="24">
        <v>-1.53355E-2</v>
      </c>
      <c r="H117" s="24">
        <v>3.3937929999999998E-2</v>
      </c>
      <c r="I117" s="24">
        <v>-1.4973997999999999E-2</v>
      </c>
      <c r="J117" s="24">
        <v>-1.5633047000000001E-2</v>
      </c>
      <c r="K117" s="24">
        <v>-1.5026629E-2</v>
      </c>
      <c r="L117" s="24">
        <v>-9.6521379999999993E-3</v>
      </c>
      <c r="M117" s="24">
        <v>-1.498121E-2</v>
      </c>
      <c r="N117" s="24">
        <v>-1.5187859999999999E-2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45446</v>
      </c>
      <c r="B118" s="24">
        <v>1.4426231000000001E-2</v>
      </c>
      <c r="C118" s="24">
        <v>2.6903986999999997E-2</v>
      </c>
      <c r="D118" s="24">
        <v>9.8482369999999993E-3</v>
      </c>
      <c r="E118" s="24">
        <v>4.038775E-2</v>
      </c>
      <c r="F118" s="24">
        <v>2.0213127000000002E-3</v>
      </c>
      <c r="G118" s="24">
        <v>6.7056060000000001E-2</v>
      </c>
      <c r="H118" s="24">
        <v>2.4901032E-2</v>
      </c>
      <c r="I118" s="24">
        <v>4.0529966000000001E-2</v>
      </c>
      <c r="J118" s="24">
        <v>3.2290816E-2</v>
      </c>
      <c r="K118" s="24">
        <v>2.6820897999999999E-2</v>
      </c>
      <c r="L118" s="24">
        <v>4.1421293999999997E-2</v>
      </c>
      <c r="M118" s="24">
        <v>7.1229340000000002E-2</v>
      </c>
      <c r="N118" s="24">
        <v>5.492437E-2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45476</v>
      </c>
      <c r="B119" s="24">
        <v>-1.1009872E-2</v>
      </c>
      <c r="C119" s="24">
        <v>1.8664240999999998E-2</v>
      </c>
      <c r="D119" s="24">
        <v>6.5416099999999998E-3</v>
      </c>
      <c r="E119" s="24">
        <v>-1.4156877999999999E-2</v>
      </c>
      <c r="F119" s="24">
        <v>8.7800025999999996E-3</v>
      </c>
      <c r="G119" s="24">
        <v>2.8049945999999998E-4</v>
      </c>
      <c r="H119" s="24">
        <v>-8.5662602999999997E-3</v>
      </c>
      <c r="I119" s="24">
        <v>8.540368000000001E-2</v>
      </c>
      <c r="J119" s="24">
        <v>4.8202870000000002E-2</v>
      </c>
      <c r="K119" s="24">
        <v>-4.6651896999999998E-2</v>
      </c>
      <c r="L119" s="24">
        <v>1.7590523E-2</v>
      </c>
      <c r="M119" s="24">
        <v>-1.9472182000000001E-2</v>
      </c>
      <c r="N119" s="24">
        <v>-3.4370959E-2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45506</v>
      </c>
      <c r="B120" s="24">
        <v>1.1635660999999999E-2</v>
      </c>
      <c r="C120" s="24">
        <v>-3.1060933999999998E-2</v>
      </c>
      <c r="D120" s="24">
        <v>-1.6653477999999999E-2</v>
      </c>
      <c r="E120" s="24">
        <v>-2.7114272000000002E-2</v>
      </c>
      <c r="F120" s="24">
        <v>-6.9650230000000007E-2</v>
      </c>
      <c r="G120" s="24">
        <v>3.4760951999999998E-2</v>
      </c>
      <c r="H120" s="24">
        <v>7.098198E-3</v>
      </c>
      <c r="I120" s="24">
        <v>-8.6123350000000001E-2</v>
      </c>
      <c r="J120" s="24">
        <v>-3.3656119999999998E-2</v>
      </c>
      <c r="K120" s="24">
        <v>-3.3950626999999997E-2</v>
      </c>
      <c r="L120" s="24">
        <v>-9.5717909999999989E-2</v>
      </c>
      <c r="M120" s="24">
        <v>-4.8553230000000003E-2</v>
      </c>
      <c r="N120" s="24">
        <v>-2.3679972000000001E-2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45538</v>
      </c>
      <c r="B121" s="24">
        <v>5.7725669999999993E-2</v>
      </c>
      <c r="C121" s="24">
        <v>6.1615349999999999E-2</v>
      </c>
      <c r="D121" s="24">
        <v>6.9623710000000005E-2</v>
      </c>
      <c r="E121" s="24">
        <v>6.7352295000000006E-2</v>
      </c>
      <c r="F121" s="24">
        <v>9.6519709999999995E-2</v>
      </c>
      <c r="G121" s="24">
        <v>4.2191625000000003E-2</v>
      </c>
      <c r="H121" s="24">
        <v>3.7778378000000001E-2</v>
      </c>
      <c r="I121" s="24">
        <v>2.910304E-2</v>
      </c>
      <c r="J121" s="24">
        <v>3.5991669000000004E-2</v>
      </c>
      <c r="K121" s="24">
        <v>4.7923326000000002E-2</v>
      </c>
      <c r="L121" s="24">
        <v>5.6567429999999995E-2</v>
      </c>
      <c r="M121" s="24">
        <v>6.2628864999999992E-2</v>
      </c>
      <c r="N121" s="24">
        <v>6.0496330000000001E-2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45568</v>
      </c>
      <c r="B122" s="24">
        <v>3.8982630000000003E-3</v>
      </c>
      <c r="C122" s="24">
        <v>4.4313669999999999E-2</v>
      </c>
      <c r="D122" s="24">
        <v>4.0964960000000002E-2</v>
      </c>
      <c r="E122" s="24">
        <v>2.2381186000000001E-2</v>
      </c>
      <c r="F122" s="24">
        <v>8.4638595999999991E-4</v>
      </c>
      <c r="G122" s="24">
        <v>-2.2256314999999999E-2</v>
      </c>
      <c r="H122" s="24">
        <v>5.4335593999999996E-4</v>
      </c>
      <c r="I122" s="24">
        <v>4.4292689999999996E-2</v>
      </c>
      <c r="J122" s="24">
        <v>3.1669735999999997E-2</v>
      </c>
      <c r="K122" s="24">
        <v>-7.3679090000000006E-3</v>
      </c>
      <c r="L122" s="24">
        <v>1.3993024999999999E-2</v>
      </c>
      <c r="M122" s="24">
        <v>1.9888401E-2</v>
      </c>
      <c r="N122" s="50">
        <v>-1.4721394E-2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782</v>
      </c>
      <c r="B126" s="24" cm="1">
        <f t="array" ref="B126">MAX(_xlfn._xlws.FILTER(B1:B122, ISNUMBER(B1:B122)))</f>
        <v>0.16654979999999997</v>
      </c>
      <c r="C126" s="24" cm="1">
        <f t="array" ref="C126">MAX(_xlfn._xlws.FILTER(C1:C122, ISNUMBER(C1:C122)))</f>
        <v>0.22359477999999999</v>
      </c>
      <c r="D126" s="24" cm="1">
        <f t="array" ref="D126">MAX(_xlfn._xlws.FILTER(D1:D122, ISNUMBER(D1:D122)))</f>
        <v>0.12993812999999999</v>
      </c>
      <c r="E126" s="24" cm="1">
        <f t="array" ref="E126">MAX(_xlfn._xlws.FILTER(E1:E122, ISNUMBER(E1:E122)))</f>
        <v>0.21702134999999997</v>
      </c>
      <c r="F126" s="24" cm="1">
        <f t="array" ref="F126">MAX(_xlfn._xlws.FILTER(F1:F122, ISNUMBER(F1:F122)))</f>
        <v>0.12084162</v>
      </c>
      <c r="G126" s="24" cm="1">
        <f t="array" ref="G126">MAX(_xlfn._xlws.FILTER(G1:G122, ISNUMBER(G1:G122)))</f>
        <v>0.14120436</v>
      </c>
      <c r="H126" s="24" cm="1">
        <f t="array" ref="H126">MAX(_xlfn._xlws.FILTER(H1:H122, ISNUMBER(H1:H122)))</f>
        <v>0.16712772000000001</v>
      </c>
      <c r="I126" s="24" cm="1">
        <f t="array" ref="I126">MAX(_xlfn._xlws.FILTER(I1:I122, ISNUMBER(I1:I122)))</f>
        <v>0.16016806</v>
      </c>
      <c r="J126" s="24" cm="1">
        <f t="array" ref="J126">MAX(_xlfn._xlws.FILTER(J1:J122, ISNUMBER(J1:J122)))</f>
        <v>0.13940929999999999</v>
      </c>
      <c r="K126" s="24" cm="1">
        <f t="array" ref="K126">MAX(_xlfn._xlws.FILTER(K1:K122, ISNUMBER(K1:K122)))</f>
        <v>0.19136023999999999</v>
      </c>
      <c r="L126" s="24" cm="1">
        <f t="array" ref="L126">MAX(_xlfn._xlws.FILTER(L1:L122, ISNUMBER(L1:L122)))</f>
        <v>0.24685752999999999</v>
      </c>
      <c r="M126" s="24" cm="1">
        <f t="array" ref="M126">MAX(_xlfn._xlws.FILTER(M1:M122, ISNUMBER(M1:M122)))</f>
        <v>0.20584928999999999</v>
      </c>
      <c r="N126" s="24" cm="1">
        <f t="array" ref="N126">MAX(_xlfn._xlws.FILTER(N1:N122, ISNUMBER(N1:N122)))</f>
        <v>0.19603802000000001</v>
      </c>
    </row>
    <row r="127" spans="1:26" x14ac:dyDescent="0.35">
      <c r="A127" t="s">
        <v>85</v>
      </c>
      <c r="B127" s="24" cm="1">
        <f t="array" ref="B127">MIN(_xlfn._xlws.FILTER(B2:B122, ISNUMBER(B2:B122)))</f>
        <v>-0.16608418</v>
      </c>
      <c r="C127" s="24" cm="1">
        <f t="array" ref="C127">MIN(_xlfn._xlws.FILTER(C2:C122, ISNUMBER(C2:C122)))</f>
        <v>-0.26656770000000002</v>
      </c>
      <c r="D127" s="24" cm="1">
        <f t="array" ref="D127">MIN(_xlfn._xlws.FILTER(D2:D122, ISNUMBER(D2:D122)))</f>
        <v>-0.24505924000000001</v>
      </c>
      <c r="E127" s="24" cm="1">
        <f t="array" ref="E127">MIN(_xlfn._xlws.FILTER(E2:E122, ISNUMBER(E2:E122)))</f>
        <v>-0.22289847999999998</v>
      </c>
      <c r="F127" s="24" cm="1">
        <f t="array" ref="F127">MIN(_xlfn._xlws.FILTER(F2:F122, ISNUMBER(F2:F122)))</f>
        <v>-0.12032485</v>
      </c>
      <c r="G127" s="24" cm="1">
        <f t="array" ref="G127">MIN(_xlfn._xlws.FILTER(G2:G122, ISNUMBER(G2:G122)))</f>
        <v>-0.10463910999999999</v>
      </c>
      <c r="H127" s="24" cm="1">
        <f t="array" ref="H127">MIN(_xlfn._xlws.FILTER(H2:H122, ISNUMBER(H2:H122)))</f>
        <v>-0.2266804</v>
      </c>
      <c r="I127" s="24" cm="1">
        <f t="array" ref="I127">MIN(_xlfn._xlws.FILTER(I2:I122, ISNUMBER(I2:I122)))</f>
        <v>-0.12807327000000002</v>
      </c>
      <c r="J127" s="24" cm="1">
        <f t="array" ref="J127">MIN(_xlfn._xlws.FILTER(J2:J122, ISNUMBER(J2:J122)))</f>
        <v>-0.16828309999999999</v>
      </c>
      <c r="K127" s="24" cm="1">
        <f t="array" ref="K127">MIN(_xlfn._xlws.FILTER(K2:K122, ISNUMBER(K2:K122)))</f>
        <v>-0.25222444999999999</v>
      </c>
      <c r="L127" s="24" cm="1">
        <f t="array" ref="L127">MIN(_xlfn._xlws.FILTER(L2:L122, ISNUMBER(L2:L122)))</f>
        <v>-0.19786621000000001</v>
      </c>
      <c r="M127" s="24" cm="1">
        <f t="array" ref="M127">MIN(_xlfn._xlws.FILTER(M2:M122, ISNUMBER(M2:M122)))</f>
        <v>-0.22730219000000002</v>
      </c>
      <c r="N127" s="24" cm="1">
        <f t="array" ref="N127">MIN(_xlfn._xlws.FILTER(N2:N122, ISNUMBER(N2:N122)))</f>
        <v>-0.26656680999999999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14</v>
      </c>
      <c r="C129">
        <f>COUNTIF(C2:C122, "&lt;"&amp;Assumption!$E$50)</f>
        <v>15</v>
      </c>
      <c r="D129">
        <f>COUNTIF(D2:D122, "&lt;"&amp;Assumption!$E$50)</f>
        <v>16</v>
      </c>
      <c r="E129">
        <f>COUNTIF(E2:E122, "&lt;"&amp;Assumption!$E$50)</f>
        <v>20</v>
      </c>
      <c r="F129">
        <f>COUNTIF(F2:F122, "&lt;"&amp;Assumption!$E$50)</f>
        <v>13</v>
      </c>
      <c r="G129">
        <f>COUNTIF(G2:G122, "&lt;"&amp;Assumption!$E$50)</f>
        <v>14</v>
      </c>
      <c r="H129">
        <f>COUNTIF(H2:H122, "&lt;"&amp;Assumption!$E$50)</f>
        <v>15</v>
      </c>
      <c r="I129">
        <f>COUNTIF(I2:I122, "&lt;"&amp;Assumption!$E$50)</f>
        <v>18</v>
      </c>
      <c r="J129">
        <f>COUNTIF(J2:J122, "&lt;"&amp;Assumption!$E$50)</f>
        <v>14</v>
      </c>
      <c r="K129">
        <f>COUNTIF(K2:K122, "&lt;"&amp;Assumption!$E$50)</f>
        <v>17</v>
      </c>
      <c r="L129">
        <f>COUNTIF(L2:L122, "&lt;"&amp;Assumption!$E$50)</f>
        <v>19</v>
      </c>
      <c r="M129">
        <f>COUNTIF(M2:M122, "&lt;"&amp;Assumption!$E$50)</f>
        <v>18</v>
      </c>
      <c r="N129">
        <f>COUNTIF(N2:N122, "&lt;"&amp;Assumption!$E$50)</f>
        <v>20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0.11570247933884298</v>
      </c>
      <c r="C132" s="9">
        <f t="shared" si="2"/>
        <v>0.12396694214876033</v>
      </c>
      <c r="D132" s="9">
        <f t="shared" si="2"/>
        <v>0.13223140495867769</v>
      </c>
      <c r="E132" s="9">
        <f t="shared" si="2"/>
        <v>0.16528925619834711</v>
      </c>
      <c r="F132" s="9">
        <f t="shared" si="2"/>
        <v>0.10743801652892562</v>
      </c>
      <c r="G132" s="9">
        <f t="shared" si="2"/>
        <v>0.11570247933884298</v>
      </c>
      <c r="H132" s="9">
        <f t="shared" si="2"/>
        <v>0.12396694214876033</v>
      </c>
      <c r="I132" s="9">
        <f t="shared" si="2"/>
        <v>0.1487603305785124</v>
      </c>
      <c r="J132" s="9">
        <f t="shared" si="2"/>
        <v>0.11570247933884298</v>
      </c>
      <c r="K132" s="9">
        <f t="shared" ref="K132:N132" si="3">K129/K130</f>
        <v>0.14049586776859505</v>
      </c>
      <c r="L132" s="9">
        <f t="shared" si="3"/>
        <v>0.15702479338842976</v>
      </c>
      <c r="M132" s="9">
        <f t="shared" si="3"/>
        <v>0.1487603305785124</v>
      </c>
      <c r="N132" s="9">
        <f t="shared" si="3"/>
        <v>0.16528925619834711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0.45900000000000002</v>
      </c>
      <c r="C134" s="9" cm="1">
        <f t="array" ref="C134">_xlfn.PERCENTRANK.EXC(_xlfn._xlws.FILTER(C2:C122, ISNUMBER(C2:C122)),C122)</f>
        <v>0.81100000000000005</v>
      </c>
      <c r="D134" s="9" cm="1">
        <f t="array" ref="D134">_xlfn.PERCENTRANK.EXC(_xlfn._xlws.FILTER(D2:D122, ISNUMBER(D2:D122)),D122)</f>
        <v>0.81100000000000005</v>
      </c>
      <c r="E134" s="9" cm="1">
        <f t="array" ref="E134">_xlfn.PERCENTRANK.EXC(_xlfn._xlws.FILTER(E2:E122, ISNUMBER(E2:E122)),E122)</f>
        <v>0.622</v>
      </c>
      <c r="F134" s="9" cm="1">
        <f t="array" ref="F134">_xlfn.PERCENTRANK.EXC(_xlfn._xlws.FILTER(F2:F122, ISNUMBER(F2:F122)),F122)</f>
        <v>0.40899999999999997</v>
      </c>
      <c r="G134" s="9" cm="1">
        <f t="array" ref="G134">_xlfn.PERCENTRANK.EXC(_xlfn._xlws.FILTER(G2:G122, ISNUMBER(G2:G122)),G122)</f>
        <v>0.20399999999999999</v>
      </c>
      <c r="H134" s="9" cm="1">
        <f t="array" ref="H134">_xlfn.PERCENTRANK.EXC(_xlfn._xlws.FILTER(H2:H122, ISNUMBER(H2:H122)),H122)</f>
        <v>0.40899999999999997</v>
      </c>
      <c r="I134" s="9" cm="1">
        <f t="array" ref="I134">_xlfn.PERCENTRANK.EXC(_xlfn._xlws.FILTER(I2:I122, ISNUMBER(I2:I122)),I122)</f>
        <v>0.70399999999999996</v>
      </c>
      <c r="J134" s="9" cm="1">
        <f t="array" ref="J134">_xlfn.PERCENTRANK.EXC(_xlfn._xlws.FILTER(J2:J122, ISNUMBER(J2:J122)),J122)</f>
        <v>0.71299999999999997</v>
      </c>
      <c r="K134" s="9" cm="1">
        <f t="array" ref="K134">_xlfn.PERCENTRANK.EXC(_xlfn._xlws.FILTER(K2:K122, ISNUMBER(K2:K122)),K122)</f>
        <v>0.377</v>
      </c>
      <c r="L134" s="9" cm="1">
        <f t="array" ref="L134">_xlfn.PERCENTRANK.EXC(_xlfn._xlws.FILTER(L2:L122, ISNUMBER(L2:L122)),L122)</f>
        <v>0.5</v>
      </c>
      <c r="M134" s="9" cm="1">
        <f t="array" ref="M134">_xlfn.PERCENTRANK.EXC(_xlfn._xlws.FILTER(M2:M122, ISNUMBER(M2:M122)),M122)</f>
        <v>0.622</v>
      </c>
      <c r="N134" s="9" cm="1">
        <f t="array" ref="N134">_xlfn.PERCENTRANK.EXC(_xlfn._xlws.FILTER(N2:N122, ISNUMBER(N2:N122)),N122)</f>
        <v>0.311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0.67500000000000004</v>
      </c>
      <c r="C136" s="9" cm="1">
        <f t="array" ref="C136">_xlfn.PERCENTRANK.EXC(_xlfn._xlws.FILTER(C4:C125, ISNUMBER(C4:C125)),C113)</f>
        <v>0.90800000000000003</v>
      </c>
      <c r="D136" s="9" cm="1">
        <f t="array" ref="D136">_xlfn.PERCENTRANK.EXC(_xlfn._xlws.FILTER(D4:D125, ISNUMBER(D4:D125)),D113)</f>
        <v>0.73299999999999998</v>
      </c>
      <c r="E136" s="9" cm="1">
        <f t="array" ref="E136">_xlfn.PERCENTRANK.EXC(_xlfn._xlws.FILTER(E4:E125, ISNUMBER(E4:E125)),E113)</f>
        <v>0.48299999999999998</v>
      </c>
      <c r="F136" s="9" cm="1">
        <f t="array" ref="F136">_xlfn.PERCENTRANK.EXC(_xlfn._xlws.FILTER(F4:F125, ISNUMBER(F4:F125)),F113)</f>
        <v>0.625</v>
      </c>
      <c r="G136" s="9" cm="1">
        <f t="array" ref="G136">_xlfn.PERCENTRANK.EXC(_xlfn._xlws.FILTER(G4:G125, ISNUMBER(G4:G125)),G113)</f>
        <v>0.81599999999999995</v>
      </c>
      <c r="H136" s="9" cm="1">
        <f t="array" ref="H136">_xlfn.PERCENTRANK.EXC(_xlfn._xlws.FILTER(H4:H125, ISNUMBER(H4:H125)),H113)</f>
        <v>0.64100000000000001</v>
      </c>
      <c r="I136" s="9" cm="1">
        <f t="array" ref="I136">_xlfn.PERCENTRANK.EXC(_xlfn._xlws.FILTER(I4:I125, ISNUMBER(I4:I125)),I113)</f>
        <v>0.5</v>
      </c>
      <c r="J136" s="9" cm="1">
        <f t="array" ref="J136">_xlfn.PERCENTRANK.EXC(_xlfn._xlws.FILTER(J4:J125, ISNUMBER(J4:J125)),J113)</f>
        <v>0.60799999999999998</v>
      </c>
      <c r="K136" s="9" cm="1">
        <f t="array" ref="K136">_xlfn.PERCENTRANK.EXC(_xlfn._xlws.FILTER(K4:K125, ISNUMBER(K4:K125)),K113)</f>
        <v>0.52500000000000002</v>
      </c>
      <c r="L136" s="9" cm="1">
        <f t="array" ref="L136">_xlfn.PERCENTRANK.EXC(_xlfn._xlws.FILTER(L4:L125, ISNUMBER(L4:L125)),L113)</f>
        <v>0.54100000000000004</v>
      </c>
      <c r="M136" s="9" cm="1">
        <f t="array" ref="M136">_xlfn.PERCENTRANK.EXC(_xlfn._xlws.FILTER(M4:M125, ISNUMBER(M4:M125)),M113)</f>
        <v>0.81599999999999995</v>
      </c>
      <c r="N136" s="9" cm="1">
        <f t="array" ref="N136">_xlfn.PERCENTRANK.EXC(_xlfn._xlws.FILTER(N4:N125, ISNUMBER(N4:N125)),N113)</f>
        <v>0.55800000000000005</v>
      </c>
    </row>
    <row r="138" spans="1:17" x14ac:dyDescent="0.35">
      <c r="A138" t="s">
        <v>829</v>
      </c>
      <c r="B138">
        <f t="shared" ref="B138:J138" si="4">STDEV(B40:B122)</f>
        <v>5.315516753170331E-2</v>
      </c>
      <c r="C138">
        <f t="shared" si="4"/>
        <v>6.3660472941375751E-2</v>
      </c>
      <c r="D138">
        <f t="shared" si="4"/>
        <v>5.4856162061829181E-2</v>
      </c>
      <c r="E138">
        <f t="shared" si="4"/>
        <v>6.7962005833355793E-2</v>
      </c>
      <c r="F138">
        <f t="shared" si="4"/>
        <v>4.5879257337531891E-2</v>
      </c>
      <c r="G138">
        <f t="shared" si="4"/>
        <v>4.4474396492481146E-2</v>
      </c>
      <c r="H138">
        <f t="shared" si="4"/>
        <v>5.3278068170386952E-2</v>
      </c>
      <c r="I138">
        <f t="shared" si="4"/>
        <v>6.7758228498336195E-2</v>
      </c>
      <c r="J138">
        <f t="shared" si="4"/>
        <v>5.2101765521456546E-2</v>
      </c>
      <c r="K138">
        <f t="shared" ref="K138:N138" si="5">STDEV(K40:K122)</f>
        <v>6.3788821325757666E-2</v>
      </c>
      <c r="L138">
        <f t="shared" si="5"/>
        <v>6.8675274476493658E-2</v>
      </c>
      <c r="M138">
        <f t="shared" si="5"/>
        <v>7.3521324118319242E-2</v>
      </c>
      <c r="N138">
        <f t="shared" si="5"/>
        <v>6.838871926437802E-2</v>
      </c>
    </row>
    <row r="139" spans="1:17" x14ac:dyDescent="0.35">
      <c r="A139" t="s">
        <v>830</v>
      </c>
      <c r="B139" s="74">
        <f t="shared" ref="B139:J139" si="6">B138*SQRT(12)</f>
        <v>0.18413490169949134</v>
      </c>
      <c r="C139" s="74">
        <f t="shared" si="6"/>
        <v>0.22052634713665306</v>
      </c>
      <c r="D139" s="74">
        <f t="shared" si="6"/>
        <v>0.19002731959864086</v>
      </c>
      <c r="E139" s="74">
        <f t="shared" si="6"/>
        <v>0.23542729417532929</v>
      </c>
      <c r="F139" s="74">
        <f t="shared" si="6"/>
        <v>0.1589304094442649</v>
      </c>
      <c r="G139" s="74">
        <f t="shared" si="6"/>
        <v>0.15406382872188082</v>
      </c>
      <c r="H139" s="74">
        <f t="shared" si="6"/>
        <v>0.18456064200045683</v>
      </c>
      <c r="I139" s="74">
        <f t="shared" si="6"/>
        <v>0.23472138877995943</v>
      </c>
      <c r="J139" s="74">
        <f t="shared" si="6"/>
        <v>0.18048581009440617</v>
      </c>
      <c r="K139" s="74">
        <f t="shared" ref="K139:N139" si="7">K138*SQRT(12)</f>
        <v>0.22097095898229077</v>
      </c>
      <c r="L139" s="74">
        <f t="shared" si="7"/>
        <v>0.23789812923405029</v>
      </c>
      <c r="M139" s="74">
        <f t="shared" si="7"/>
        <v>0.25468533762533602</v>
      </c>
      <c r="N139" s="74">
        <f t="shared" si="7"/>
        <v>0.23690547286093436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35">
      <c r="A2" s="2" cm="1">
        <f t="array" ref="A2:A122">_xll.FDS(B1,"JULIAN(P_PRICE_RETURNS_PR('52W',2,-10AY,0,AM).dates)")</f>
        <v>41915</v>
      </c>
      <c r="B2" s="7" cm="1">
        <f t="array" ref="B2:B122">_xll.FDS(B1,"P_PRICE_RETURNS_PR('52W',2,-10AY,0,AM)")</f>
        <v>3.2989383000000001</v>
      </c>
      <c r="C2" s="7" cm="1">
        <f t="array" ref="C2:C122">_xll.FDS(C1,"P_PRICE_RETURNS_PR('52W',2,-10AY,0,AM)")</f>
        <v>-1.6106427000000001</v>
      </c>
      <c r="D2" s="7" cm="1">
        <f t="array" ref="D2:D122">_xll.FDS(D1,"P_PRICE_RETURNS_PR('52W',2,-10AY,0,AM)")</f>
        <v>9.7358589999999996</v>
      </c>
      <c r="E2" s="7" cm="1">
        <f t="array" ref="E2:E122">_xll.FDS(E1,"P_PRICE_RETURNS_PR('52W',2,-10AY,0,AM)")</f>
        <v>-1.3759732</v>
      </c>
      <c r="F2" s="7" cm="1">
        <f t="array" ref="F2:F122">_xll.FDS(F1,"P_PRICE_RETURNS_PR('52W',2,-10AY,0,AM)")</f>
        <v>-0.43292641999999998</v>
      </c>
      <c r="G2" s="7" cm="1">
        <f t="array" ref="G2:G122">_xll.FDS(G1,"P_PRICE_RETURNS_PR('52W',2,-10AY,0,AM)")</f>
        <v>3.9068103000000001</v>
      </c>
      <c r="H2" s="7" cm="1">
        <f t="array" ref="H2:H122">_xll.FDS(H1,"P_PRICE_RETURNS_PR('52W',2,-10AY,0,AM)")</f>
        <v>2.7851940000000002</v>
      </c>
      <c r="I2" s="7" cm="1">
        <f t="array" ref="I2:I122">_xll.FDS(I1,"P_PRICE_RETURNS_PR('52W',2,-10AY,0,AM)")</f>
        <v>26.545883</v>
      </c>
      <c r="J2" s="7" cm="1">
        <f t="array" ref="J2:J122">_xll.FDS(J1,"P_PRICE_RETURNS_PR('52W',2,-10AY,0,AM)")</f>
        <v>19.519089999999998</v>
      </c>
      <c r="K2" s="158" cm="1">
        <f t="array" ref="K2:K122">_xll.FDS(K1,"P_PRICE_RETURNS_PR('52W',2,-10AY,0,AM)")</f>
        <v>-2.1363854</v>
      </c>
      <c r="L2" s="158" cm="1">
        <f t="array" ref="L2:L122">_xll.FDS(L1,"P_PRICE_RETURNS_PR('52W',2,-10AY,0,AM)")</f>
        <v>0.26315450000000001</v>
      </c>
      <c r="M2" s="158" cm="1">
        <f t="array" ref="M2:M122">_xll.FDS(M1,"P_PRICE_RETURNS_PR('52W',2,-10AY,0,AM)")</f>
        <v>-3.1404912</v>
      </c>
      <c r="N2" s="158" cm="1">
        <f t="array" ref="N2:N122">_xll.FDS(N1,"P_PRICE_RETURNS_PR('52W',2,-10AY,0,AM)")</f>
        <v>5.4812669999999999</v>
      </c>
    </row>
    <row r="3" spans="1:14" x14ac:dyDescent="0.35">
      <c r="A3" s="2">
        <v>41946</v>
      </c>
      <c r="B3" s="40">
        <v>4.3521403999999997</v>
      </c>
      <c r="C3" s="40">
        <v>-2.5962412000000001</v>
      </c>
      <c r="D3" s="40">
        <v>2.7857661</v>
      </c>
      <c r="E3" s="40">
        <v>-5.8624450000000001</v>
      </c>
      <c r="F3" s="40">
        <v>4.5282363999999999</v>
      </c>
      <c r="G3" s="40">
        <v>1.8193840999999999</v>
      </c>
      <c r="H3" s="40">
        <v>-1.6297817000000001</v>
      </c>
      <c r="I3" s="40">
        <v>24.621344000000001</v>
      </c>
      <c r="J3" s="40">
        <v>16.729963000000001</v>
      </c>
      <c r="K3" s="47">
        <v>-6.5243244000000002</v>
      </c>
      <c r="L3" s="47">
        <v>-3.2031596000000002</v>
      </c>
      <c r="M3" s="47">
        <v>-0.90036989999999995</v>
      </c>
      <c r="N3" s="47">
        <v>-4.0539025999999998</v>
      </c>
    </row>
    <row r="4" spans="1:14" x14ac:dyDescent="0.35">
      <c r="A4" s="2">
        <v>41976</v>
      </c>
      <c r="B4" s="40">
        <v>9.6293810000000004</v>
      </c>
      <c r="C4" s="40">
        <v>-2.266699</v>
      </c>
      <c r="D4" s="40">
        <v>6.8553924999999998</v>
      </c>
      <c r="E4" s="40">
        <v>-2.9102622999999999</v>
      </c>
      <c r="F4" s="40">
        <v>-0.39174556999999999</v>
      </c>
      <c r="G4" s="40">
        <v>6.2946676999999998</v>
      </c>
      <c r="H4" s="40">
        <v>0.77297689999999997</v>
      </c>
      <c r="I4" s="40">
        <v>25.24736</v>
      </c>
      <c r="J4" s="40">
        <v>17.901956999999999</v>
      </c>
      <c r="K4" s="47">
        <v>-1.7378150999999999</v>
      </c>
      <c r="L4" s="47">
        <v>1.4842032999999999</v>
      </c>
      <c r="M4" s="47">
        <v>1.8890977</v>
      </c>
      <c r="N4" s="47">
        <v>1.6454458000000001</v>
      </c>
    </row>
    <row r="5" spans="1:14" x14ac:dyDescent="0.35">
      <c r="A5" s="2">
        <v>42006</v>
      </c>
      <c r="B5" s="40">
        <v>12.037039</v>
      </c>
      <c r="C5" s="40">
        <v>-4.2111754000000001</v>
      </c>
      <c r="D5" s="40">
        <v>1.180768</v>
      </c>
      <c r="E5" s="40">
        <v>-9.4949010000000005</v>
      </c>
      <c r="F5" s="40">
        <v>-4.4909420000000004</v>
      </c>
      <c r="G5" s="40">
        <v>0.13849734999999999</v>
      </c>
      <c r="H5" s="40">
        <v>-7.331353</v>
      </c>
      <c r="I5" s="40">
        <v>19.760978999999999</v>
      </c>
      <c r="J5" s="40">
        <v>14.498711</v>
      </c>
      <c r="K5" s="47">
        <v>-9.0540649999999996</v>
      </c>
      <c r="L5" s="47">
        <v>-4.6979666</v>
      </c>
      <c r="M5" s="47">
        <v>-6.5948304999999996</v>
      </c>
      <c r="N5" s="47">
        <v>-9.2173870000000004</v>
      </c>
    </row>
    <row r="6" spans="1:14" x14ac:dyDescent="0.35">
      <c r="A6" s="2">
        <v>42038</v>
      </c>
      <c r="B6" s="40">
        <v>11.962223</v>
      </c>
      <c r="C6" s="40">
        <v>5.5432915999999999</v>
      </c>
      <c r="D6" s="40">
        <v>3.2443165999999999</v>
      </c>
      <c r="E6" s="40">
        <v>1.600039</v>
      </c>
      <c r="F6" s="40">
        <v>5.7477117</v>
      </c>
      <c r="G6" s="40">
        <v>4.5980809999999996</v>
      </c>
      <c r="H6" s="40">
        <v>2.4832605999999999</v>
      </c>
      <c r="I6" s="40">
        <v>24.019098</v>
      </c>
      <c r="J6" s="40">
        <v>19.905567000000001</v>
      </c>
      <c r="K6" s="47">
        <v>1.1673331</v>
      </c>
      <c r="L6" s="47">
        <v>4.4409394000000004</v>
      </c>
      <c r="M6" s="47">
        <v>3.4631848000000001</v>
      </c>
      <c r="N6" s="47">
        <v>-2.443117</v>
      </c>
    </row>
    <row r="7" spans="1:14" x14ac:dyDescent="0.35">
      <c r="A7" s="2">
        <v>42066</v>
      </c>
      <c r="B7" s="40">
        <v>7.5782537000000003</v>
      </c>
      <c r="C7" s="40">
        <v>0.35979748</v>
      </c>
      <c r="D7" s="40">
        <v>-2.2175967999999999</v>
      </c>
      <c r="E7" s="40">
        <v>-1.7475544999999999</v>
      </c>
      <c r="F7" s="40">
        <v>10.029256999999999</v>
      </c>
      <c r="G7" s="40">
        <v>1.1050819999999999</v>
      </c>
      <c r="H7" s="40">
        <v>-2.8535783000000001</v>
      </c>
      <c r="I7" s="40">
        <v>22.763453999999999</v>
      </c>
      <c r="J7" s="40">
        <v>16.359687999999998</v>
      </c>
      <c r="K7" s="47">
        <v>-4.5566440000000004</v>
      </c>
      <c r="L7" s="47">
        <v>4.6795606999999997</v>
      </c>
      <c r="M7" s="47">
        <v>1.2722610999999999</v>
      </c>
      <c r="N7" s="47">
        <v>-6.3556074999999996</v>
      </c>
    </row>
    <row r="8" spans="1:14" x14ac:dyDescent="0.35">
      <c r="A8" s="2">
        <v>42096</v>
      </c>
      <c r="B8" s="40">
        <v>0.28384924</v>
      </c>
      <c r="C8" s="40">
        <v>-7.1191072000000002</v>
      </c>
      <c r="D8" s="40">
        <v>-5.4311695000000002</v>
      </c>
      <c r="E8" s="40">
        <v>-1.9275844</v>
      </c>
      <c r="F8" s="40">
        <v>12.14695</v>
      </c>
      <c r="G8" s="40">
        <v>0.28125048000000002</v>
      </c>
      <c r="H8" s="40">
        <v>-5.8742704000000003</v>
      </c>
      <c r="I8" s="40">
        <v>18.836200000000002</v>
      </c>
      <c r="J8" s="40">
        <v>11.4277</v>
      </c>
      <c r="K8" s="47">
        <v>-7.0757684999999997</v>
      </c>
      <c r="L8" s="47">
        <v>0.70918800000000004</v>
      </c>
      <c r="M8" s="47">
        <v>-5.0725579999999999</v>
      </c>
      <c r="N8" s="47">
        <v>-12.893075</v>
      </c>
    </row>
    <row r="9" spans="1:14" x14ac:dyDescent="0.35">
      <c r="A9" s="2">
        <v>42125</v>
      </c>
      <c r="B9" s="40">
        <v>-1.970154</v>
      </c>
      <c r="C9" s="40">
        <v>-6.2319813000000002</v>
      </c>
      <c r="D9" s="40">
        <v>-2.3891567999999999</v>
      </c>
      <c r="E9" s="40">
        <v>-3.5145341999999999</v>
      </c>
      <c r="F9" s="40">
        <v>17.524564999999999</v>
      </c>
      <c r="G9" s="40">
        <v>2.2106528000000001</v>
      </c>
      <c r="H9" s="40">
        <v>-4.7111691999999996</v>
      </c>
      <c r="I9" s="40">
        <v>25.796616</v>
      </c>
      <c r="J9" s="40">
        <v>14.075815</v>
      </c>
      <c r="K9" s="47">
        <v>-5.8624687</v>
      </c>
      <c r="L9" s="47">
        <v>4.7880289999999999</v>
      </c>
      <c r="M9" s="47">
        <v>-3.8370072999999998</v>
      </c>
      <c r="N9" s="47">
        <v>-12.173438000000001</v>
      </c>
    </row>
    <row r="10" spans="1:14" x14ac:dyDescent="0.35">
      <c r="A10" s="2">
        <v>42158</v>
      </c>
      <c r="B10" s="40">
        <v>-2.6933253000000001</v>
      </c>
      <c r="C10" s="40">
        <v>-11.478329</v>
      </c>
      <c r="D10" s="40">
        <v>-6.9676580000000001</v>
      </c>
      <c r="E10" s="40">
        <v>-5.0690116999999999</v>
      </c>
      <c r="F10" s="40">
        <v>13.655222</v>
      </c>
      <c r="G10" s="40">
        <v>3.2302499999999998</v>
      </c>
      <c r="H10" s="40">
        <v>-5.2381159999999998</v>
      </c>
      <c r="I10" s="40">
        <v>22.423458</v>
      </c>
      <c r="J10" s="40">
        <v>12.062597</v>
      </c>
      <c r="K10" s="47">
        <v>-5.2369300000000001</v>
      </c>
      <c r="L10" s="47">
        <v>5.9515000000000002</v>
      </c>
      <c r="M10" s="47">
        <v>-1.480639</v>
      </c>
      <c r="N10" s="47">
        <v>-7.7757120000000004</v>
      </c>
    </row>
    <row r="11" spans="1:14" x14ac:dyDescent="0.35">
      <c r="A11" s="2">
        <v>42187</v>
      </c>
      <c r="B11" s="40">
        <v>-12.836796</v>
      </c>
      <c r="C11" s="40">
        <v>-14.640504</v>
      </c>
      <c r="D11" s="40">
        <v>-15.785461</v>
      </c>
      <c r="E11" s="40">
        <v>-9.2121960000000005</v>
      </c>
      <c r="F11" s="40">
        <v>6.7215920000000002</v>
      </c>
      <c r="G11" s="40">
        <v>-1.6312002999999999</v>
      </c>
      <c r="H11" s="40">
        <v>-9.8944010000000002</v>
      </c>
      <c r="I11" s="40">
        <v>14.729749999999999</v>
      </c>
      <c r="J11" s="40">
        <v>7.1738359999999997</v>
      </c>
      <c r="K11" s="47">
        <v>-9.4789739999999991</v>
      </c>
      <c r="L11" s="47">
        <v>1.3664007</v>
      </c>
      <c r="M11" s="47">
        <v>-7.0961832999999999</v>
      </c>
      <c r="N11" s="47">
        <v>-13.228624999999999</v>
      </c>
    </row>
    <row r="12" spans="1:14" x14ac:dyDescent="0.35">
      <c r="A12" s="2">
        <v>42219</v>
      </c>
      <c r="B12" s="40">
        <v>-8.1727319999999999</v>
      </c>
      <c r="C12" s="40">
        <v>-16.983795000000001</v>
      </c>
      <c r="D12" s="40">
        <v>-19.040716</v>
      </c>
      <c r="E12" s="40">
        <v>1.2386680000000001</v>
      </c>
      <c r="F12" s="40">
        <v>8.6001759999999994</v>
      </c>
      <c r="G12" s="40">
        <v>6.9069029999999998</v>
      </c>
      <c r="H12" s="40">
        <v>-5.3596199999999996</v>
      </c>
      <c r="I12" s="40">
        <v>19.147718000000001</v>
      </c>
      <c r="J12" s="40">
        <v>11.120855000000001</v>
      </c>
      <c r="K12" s="47">
        <v>1.6487122000000001</v>
      </c>
      <c r="L12" s="47">
        <v>12.729322</v>
      </c>
      <c r="M12" s="47">
        <v>-1.9891798000000001</v>
      </c>
      <c r="N12" s="47">
        <v>-2.3263395</v>
      </c>
    </row>
    <row r="13" spans="1:14" x14ac:dyDescent="0.35">
      <c r="A13" s="2">
        <v>42250</v>
      </c>
      <c r="B13" s="40">
        <v>-17.335599999999999</v>
      </c>
      <c r="C13" s="40">
        <v>-30.607765000000001</v>
      </c>
      <c r="D13" s="40">
        <v>-26.394200000000001</v>
      </c>
      <c r="E13" s="40">
        <v>-9.4568309999999993</v>
      </c>
      <c r="F13" s="40">
        <v>0.58752300000000002</v>
      </c>
      <c r="G13" s="40">
        <v>-5.5177092999999999</v>
      </c>
      <c r="H13" s="40">
        <v>-15.500641</v>
      </c>
      <c r="I13" s="40">
        <v>5.0453067000000003</v>
      </c>
      <c r="J13" s="40">
        <v>-0.55453180000000002</v>
      </c>
      <c r="K13" s="47">
        <v>-8.7674079999999996</v>
      </c>
      <c r="L13" s="47">
        <v>-1.2110174</v>
      </c>
      <c r="M13" s="47">
        <v>-7.2433949999999996</v>
      </c>
      <c r="N13" s="47">
        <v>-7.2598577000000004</v>
      </c>
    </row>
    <row r="14" spans="1:14" x14ac:dyDescent="0.35">
      <c r="A14" s="2">
        <v>42279</v>
      </c>
      <c r="B14" s="40">
        <v>-12.216578999999999</v>
      </c>
      <c r="C14" s="40">
        <v>-19.851887000000001</v>
      </c>
      <c r="D14" s="40">
        <v>-21.478992000000002</v>
      </c>
      <c r="E14" s="40">
        <v>-6.7425069999999998</v>
      </c>
      <c r="F14" s="40">
        <v>3.6767601999999999</v>
      </c>
      <c r="G14" s="40">
        <v>-0.75019599999999997</v>
      </c>
      <c r="H14" s="40">
        <v>-7.3083159999999996</v>
      </c>
      <c r="I14" s="40">
        <v>8.1525920000000003</v>
      </c>
      <c r="J14" s="40">
        <v>2.3498535</v>
      </c>
      <c r="K14" s="47">
        <v>-2.8776407000000002</v>
      </c>
      <c r="L14" s="47">
        <v>2.3431299999999999</v>
      </c>
      <c r="M14" s="47">
        <v>-4.9015402999999997</v>
      </c>
      <c r="N14" s="47">
        <v>-0.44898389999999999</v>
      </c>
    </row>
    <row r="15" spans="1:14" x14ac:dyDescent="0.35">
      <c r="A15" s="2">
        <v>42311</v>
      </c>
      <c r="B15" s="40">
        <v>-3.1965493999999999</v>
      </c>
      <c r="C15" s="40">
        <v>-18.512314</v>
      </c>
      <c r="D15" s="40">
        <v>-15.801817</v>
      </c>
      <c r="E15" s="40">
        <v>3.2082438</v>
      </c>
      <c r="F15" s="40">
        <v>3.2611132</v>
      </c>
      <c r="G15" s="40">
        <v>2.741444</v>
      </c>
      <c r="H15" s="40">
        <v>-2.3666917999999999</v>
      </c>
      <c r="I15" s="40">
        <v>14.310848</v>
      </c>
      <c r="J15" s="40">
        <v>6.6915750000000003</v>
      </c>
      <c r="K15" s="47">
        <v>5.8876394999999997</v>
      </c>
      <c r="L15" s="47">
        <v>8.5910910000000005</v>
      </c>
      <c r="M15" s="47">
        <v>-2.0335196999999998</v>
      </c>
      <c r="N15" s="47">
        <v>4.8684120000000002</v>
      </c>
    </row>
    <row r="16" spans="1:14" x14ac:dyDescent="0.35">
      <c r="A16" s="2">
        <v>42341</v>
      </c>
      <c r="B16" s="40">
        <v>-4.7436179999999997</v>
      </c>
      <c r="C16" s="40">
        <v>-13.056207000000001</v>
      </c>
      <c r="D16" s="40">
        <v>-21.550411</v>
      </c>
      <c r="E16" s="40">
        <v>-5.0302863000000002</v>
      </c>
      <c r="F16" s="40">
        <v>6.1228395000000004</v>
      </c>
      <c r="G16" s="40">
        <v>-3.0135393000000001</v>
      </c>
      <c r="H16" s="40">
        <v>-8.588654</v>
      </c>
      <c r="I16" s="40">
        <v>7.8799963000000002</v>
      </c>
      <c r="J16" s="40">
        <v>0.90550184</v>
      </c>
      <c r="K16" s="47">
        <v>-2.7839065000000001</v>
      </c>
      <c r="L16" s="47">
        <v>-0.76565740000000004</v>
      </c>
      <c r="M16" s="47">
        <v>-5.4369984000000002</v>
      </c>
      <c r="N16" s="47">
        <v>-0.72230696999999999</v>
      </c>
    </row>
    <row r="17" spans="1:14" x14ac:dyDescent="0.35">
      <c r="A17" s="2">
        <v>42369</v>
      </c>
      <c r="B17" s="40">
        <v>-1.9886672000000001</v>
      </c>
      <c r="C17" s="40">
        <v>-9.9603710000000003</v>
      </c>
      <c r="D17" s="40">
        <v>-23.909348000000001</v>
      </c>
      <c r="E17" s="40">
        <v>-2.79271</v>
      </c>
      <c r="F17" s="40">
        <v>9.1621640000000006</v>
      </c>
      <c r="G17" s="40">
        <v>0.28828382000000002</v>
      </c>
      <c r="H17" s="40">
        <v>-7.0310116000000003</v>
      </c>
      <c r="I17" s="40">
        <v>9.4464539999999992</v>
      </c>
      <c r="J17" s="40">
        <v>1.2520194</v>
      </c>
      <c r="K17" s="47">
        <v>0.23943186</v>
      </c>
      <c r="L17" s="47">
        <v>1.5233635999999999</v>
      </c>
      <c r="M17" s="47">
        <v>-4.5358840000000002</v>
      </c>
      <c r="N17" s="47">
        <v>3.1199813000000001</v>
      </c>
    </row>
    <row r="18" spans="1:14" x14ac:dyDescent="0.35">
      <c r="A18" s="2">
        <v>42403</v>
      </c>
      <c r="B18" s="40">
        <v>-5.5347442999999998</v>
      </c>
      <c r="C18" s="40">
        <v>-20.058119000000001</v>
      </c>
      <c r="D18" s="40">
        <v>-23.405343999999999</v>
      </c>
      <c r="E18" s="40">
        <v>-15.916795</v>
      </c>
      <c r="F18" s="40">
        <v>-2.4324178999999999</v>
      </c>
      <c r="G18" s="40">
        <v>-7.6633635</v>
      </c>
      <c r="H18" s="40">
        <v>-15.746021000000001</v>
      </c>
      <c r="I18" s="40">
        <v>-0.25328993999999999</v>
      </c>
      <c r="J18" s="40">
        <v>-4.6661796999999998</v>
      </c>
      <c r="K18" s="47">
        <v>-9.5062490000000004</v>
      </c>
      <c r="L18" s="47">
        <v>-3.9222001999999998</v>
      </c>
      <c r="M18" s="47">
        <v>-16.464393999999999</v>
      </c>
      <c r="N18" s="47">
        <v>-17.463820999999999</v>
      </c>
    </row>
    <row r="19" spans="1:14" x14ac:dyDescent="0.35">
      <c r="A19" s="2">
        <v>42432</v>
      </c>
      <c r="B19" s="40">
        <v>-4.1359066999999996</v>
      </c>
      <c r="C19" s="40">
        <v>-16.874282999999998</v>
      </c>
      <c r="D19" s="40">
        <v>-17.944765</v>
      </c>
      <c r="E19" s="40">
        <v>-15.617186</v>
      </c>
      <c r="F19" s="40">
        <v>-6.3236530000000002</v>
      </c>
      <c r="G19" s="40">
        <v>-8.9812159999999999</v>
      </c>
      <c r="H19" s="40">
        <v>-15.216481999999999</v>
      </c>
      <c r="I19" s="40">
        <v>-1.9842267</v>
      </c>
      <c r="J19" s="40">
        <v>-3.4041345000000001</v>
      </c>
      <c r="K19" s="47">
        <v>-8.7004780000000004</v>
      </c>
      <c r="L19" s="47">
        <v>-6.5871240000000002</v>
      </c>
      <c r="M19" s="47">
        <v>-15.323406</v>
      </c>
      <c r="N19" s="47">
        <v>-16.652674000000001</v>
      </c>
    </row>
    <row r="20" spans="1:14" x14ac:dyDescent="0.35">
      <c r="A20" s="2">
        <v>42461</v>
      </c>
      <c r="B20" s="40">
        <v>6.6857575999999996</v>
      </c>
      <c r="C20" s="40">
        <v>-11.727207999999999</v>
      </c>
      <c r="D20" s="40">
        <v>-11.667085</v>
      </c>
      <c r="E20" s="40">
        <v>-13.744555999999999</v>
      </c>
      <c r="F20" s="40">
        <v>-10.432518</v>
      </c>
      <c r="G20" s="40">
        <v>-9.8921240000000008</v>
      </c>
      <c r="H20" s="40">
        <v>-11.038107</v>
      </c>
      <c r="I20" s="40">
        <v>6.2000275</v>
      </c>
      <c r="J20" s="40">
        <v>2.7596354000000001</v>
      </c>
      <c r="K20" s="47">
        <v>-6.8390250000000004</v>
      </c>
      <c r="L20" s="47">
        <v>-1.9242287</v>
      </c>
      <c r="M20" s="47">
        <v>-8.6829660000000004</v>
      </c>
      <c r="N20" s="47">
        <v>-18.017745999999999</v>
      </c>
    </row>
    <row r="21" spans="1:14" x14ac:dyDescent="0.35">
      <c r="A21" s="2">
        <v>42493</v>
      </c>
      <c r="B21" s="40">
        <v>7.5523020000000001</v>
      </c>
      <c r="C21" s="40">
        <v>-10.969061</v>
      </c>
      <c r="D21" s="40">
        <v>-13.669544</v>
      </c>
      <c r="E21" s="40">
        <v>-11.693621</v>
      </c>
      <c r="F21" s="40">
        <v>-10.426962</v>
      </c>
      <c r="G21" s="40">
        <v>-10.965353</v>
      </c>
      <c r="H21" s="40">
        <v>-13.273466000000001</v>
      </c>
      <c r="I21" s="40">
        <v>-1.9874871000000001</v>
      </c>
      <c r="J21" s="40">
        <v>-5.7244299999999998E-2</v>
      </c>
      <c r="K21" s="47">
        <v>-8.8460920000000005</v>
      </c>
      <c r="L21" s="47">
        <v>-5.2424790000000003</v>
      </c>
      <c r="M21" s="47">
        <v>-10.273111</v>
      </c>
      <c r="N21" s="47">
        <v>-19.003094000000001</v>
      </c>
    </row>
    <row r="22" spans="1:14" x14ac:dyDescent="0.35">
      <c r="A22" s="2">
        <v>42524</v>
      </c>
      <c r="B22" s="40">
        <v>16.923582</v>
      </c>
      <c r="C22" s="40">
        <v>-7.2332200000000002</v>
      </c>
      <c r="D22" s="40">
        <v>-8.6552089999999993</v>
      </c>
      <c r="E22" s="40">
        <v>-10.647945999999999</v>
      </c>
      <c r="F22" s="40">
        <v>-9.5582250000000002</v>
      </c>
      <c r="G22" s="40">
        <v>-10.641277000000001</v>
      </c>
      <c r="H22" s="40">
        <v>-12.084693</v>
      </c>
      <c r="I22" s="40">
        <v>0.77885389999999999</v>
      </c>
      <c r="J22" s="40">
        <v>1.3632177999999999</v>
      </c>
      <c r="K22" s="47">
        <v>-8.1042400000000008</v>
      </c>
      <c r="L22" s="47">
        <v>-4.4510484000000003</v>
      </c>
      <c r="M22" s="47">
        <v>-11.648296999999999</v>
      </c>
      <c r="N22" s="47">
        <v>-22.936416999999999</v>
      </c>
    </row>
    <row r="23" spans="1:14" x14ac:dyDescent="0.35">
      <c r="A23" s="2">
        <v>42552</v>
      </c>
      <c r="B23" s="40">
        <v>28.644062000000002</v>
      </c>
      <c r="C23" s="40">
        <v>-4.1840973000000004</v>
      </c>
      <c r="D23" s="40">
        <v>-4.4914006999999998</v>
      </c>
      <c r="E23" s="40">
        <v>-12.140440999999999</v>
      </c>
      <c r="F23" s="40">
        <v>-9.6485909999999997</v>
      </c>
      <c r="G23" s="40">
        <v>-7.0082664000000001</v>
      </c>
      <c r="H23" s="40">
        <v>-12.171942</v>
      </c>
      <c r="I23" s="40">
        <v>1.2783289</v>
      </c>
      <c r="J23" s="40">
        <v>3.3800840000000001</v>
      </c>
      <c r="K23" s="47">
        <v>-9.0838669999999997</v>
      </c>
      <c r="L23" s="47">
        <v>-9.1708719999999992</v>
      </c>
      <c r="M23" s="47">
        <v>-11.095184</v>
      </c>
      <c r="N23" s="47">
        <v>-26.031101</v>
      </c>
    </row>
    <row r="24" spans="1:14" x14ac:dyDescent="0.35">
      <c r="A24" s="2">
        <v>42585</v>
      </c>
      <c r="B24" s="40">
        <v>34.575294</v>
      </c>
      <c r="C24" s="40">
        <v>3.345275</v>
      </c>
      <c r="D24" s="40">
        <v>1.5963674000000001</v>
      </c>
      <c r="E24" s="40">
        <v>-9.2024559999999997</v>
      </c>
      <c r="F24" s="40">
        <v>-6.2764462999999999</v>
      </c>
      <c r="G24" s="40">
        <v>-10.234666000000001</v>
      </c>
      <c r="H24" s="40">
        <v>-12.045180999999999</v>
      </c>
      <c r="I24" s="40">
        <v>4.5174719999999997</v>
      </c>
      <c r="J24" s="40">
        <v>5.3004502999999996</v>
      </c>
      <c r="K24" s="47">
        <v>-10.430795</v>
      </c>
      <c r="L24" s="47">
        <v>-9.0713799999999996</v>
      </c>
      <c r="M24" s="47">
        <v>-10.170102</v>
      </c>
      <c r="N24" s="47">
        <v>-28.361135000000001</v>
      </c>
    </row>
    <row r="25" spans="1:14" x14ac:dyDescent="0.35">
      <c r="A25" s="2">
        <v>42615</v>
      </c>
      <c r="B25" s="40">
        <v>54.736170000000001</v>
      </c>
      <c r="C25" s="40">
        <v>16.572071000000001</v>
      </c>
      <c r="D25" s="40">
        <v>12.184143000000001</v>
      </c>
      <c r="E25" s="40">
        <v>4.3566823000000001</v>
      </c>
      <c r="F25" s="40">
        <v>7.3879479999999997</v>
      </c>
      <c r="G25" s="40">
        <v>0.49598217</v>
      </c>
      <c r="H25" s="40">
        <v>1.2027383</v>
      </c>
      <c r="I25" s="40">
        <v>13.995767000000001</v>
      </c>
      <c r="J25" s="40">
        <v>14.194632</v>
      </c>
      <c r="K25" s="47">
        <v>1.7862081999999999</v>
      </c>
      <c r="L25" s="47">
        <v>7.4507833000000003</v>
      </c>
      <c r="M25" s="47">
        <v>0.40832758000000002</v>
      </c>
      <c r="N25" s="47">
        <v>-19.122028</v>
      </c>
    </row>
    <row r="26" spans="1:14" x14ac:dyDescent="0.35">
      <c r="A26" s="2">
        <v>42646</v>
      </c>
      <c r="B26" s="40">
        <v>49.236331999999997</v>
      </c>
      <c r="C26" s="40">
        <v>19.616222</v>
      </c>
      <c r="D26" s="40">
        <v>12.182449999999999</v>
      </c>
      <c r="E26" s="40">
        <v>7.7863216</v>
      </c>
      <c r="F26" s="40">
        <v>8.9348550000000007</v>
      </c>
      <c r="G26" s="40">
        <v>0.97262859999999995</v>
      </c>
      <c r="H26" s="40">
        <v>-2.0454824</v>
      </c>
      <c r="I26" s="40">
        <v>15.269876</v>
      </c>
      <c r="J26" s="40">
        <v>13.053167</v>
      </c>
      <c r="K26" s="47">
        <v>1.2693882000000001</v>
      </c>
      <c r="L26" s="47">
        <v>7.5731039999999998</v>
      </c>
      <c r="M26" s="47">
        <v>3.2378792999999999</v>
      </c>
      <c r="N26" s="47">
        <v>-23.069541999999998</v>
      </c>
    </row>
    <row r="27" spans="1:14" x14ac:dyDescent="0.35">
      <c r="A27" s="2">
        <v>42677</v>
      </c>
      <c r="B27" s="40">
        <v>22.337591</v>
      </c>
      <c r="C27" s="40">
        <v>8.8628879999999999</v>
      </c>
      <c r="D27" s="40">
        <v>5.4871319999999999</v>
      </c>
      <c r="E27" s="40">
        <v>-4.9159050000000004</v>
      </c>
      <c r="F27" s="40">
        <v>2.5916815</v>
      </c>
      <c r="G27" s="40">
        <v>-7.9215945999999997</v>
      </c>
      <c r="H27" s="40">
        <v>-11.838787999999999</v>
      </c>
      <c r="I27" s="40">
        <v>0.28802156000000001</v>
      </c>
      <c r="J27" s="40">
        <v>1.0910153</v>
      </c>
      <c r="K27" s="47">
        <v>-5.9412060000000002</v>
      </c>
      <c r="L27" s="47">
        <v>-2.5476754000000001</v>
      </c>
      <c r="M27" s="47">
        <v>-7.1336746</v>
      </c>
      <c r="N27" s="47">
        <v>-23.983747000000001</v>
      </c>
    </row>
    <row r="28" spans="1:14" x14ac:dyDescent="0.35">
      <c r="A28" s="2">
        <v>42706</v>
      </c>
      <c r="B28" s="40">
        <v>21.443928</v>
      </c>
      <c r="C28" s="40">
        <v>11.010479999999999</v>
      </c>
      <c r="D28" s="40">
        <v>15.108955</v>
      </c>
      <c r="E28" s="40">
        <v>-5.5491029999999997</v>
      </c>
      <c r="F28" s="40">
        <v>0.99806786000000003</v>
      </c>
      <c r="G28" s="40">
        <v>-6.3671170000000004</v>
      </c>
      <c r="H28" s="40">
        <v>-7.2517513999999998</v>
      </c>
      <c r="I28" s="40">
        <v>2.2367119999999998</v>
      </c>
      <c r="J28" s="40">
        <v>7.6292156999999996</v>
      </c>
      <c r="K28" s="47">
        <v>-3.5247684000000001</v>
      </c>
      <c r="L28" s="47">
        <v>-3.5498976999999998</v>
      </c>
      <c r="M28" s="47">
        <v>-5.7389080000000003</v>
      </c>
      <c r="N28" s="47">
        <v>-19.61515</v>
      </c>
    </row>
    <row r="29" spans="1:14" x14ac:dyDescent="0.35">
      <c r="A29" s="2">
        <v>42738</v>
      </c>
      <c r="B29" s="40">
        <v>11.455107</v>
      </c>
      <c r="C29" s="40">
        <v>13.081740999999999</v>
      </c>
      <c r="D29" s="40">
        <v>24.528921</v>
      </c>
      <c r="E29" s="40">
        <v>3.6779999999999999</v>
      </c>
      <c r="F29" s="40">
        <v>3.6163807000000001</v>
      </c>
      <c r="G29" s="40">
        <v>-2.1387458000000001</v>
      </c>
      <c r="H29" s="40">
        <v>-0.84434750000000003</v>
      </c>
      <c r="I29" s="40">
        <v>8.0595610000000004</v>
      </c>
      <c r="J29" s="40">
        <v>12.858129</v>
      </c>
      <c r="K29" s="47">
        <v>4.8605083999999996</v>
      </c>
      <c r="L29" s="47">
        <v>4.1323065999999997</v>
      </c>
      <c r="M29" s="47">
        <v>3.0859709</v>
      </c>
      <c r="N29" s="47">
        <v>-7.4957190000000002</v>
      </c>
    </row>
    <row r="30" spans="1:14" x14ac:dyDescent="0.35">
      <c r="A30" s="2">
        <v>42769</v>
      </c>
      <c r="B30" s="40">
        <v>27.463282</v>
      </c>
      <c r="C30" s="40">
        <v>29.576896999999999</v>
      </c>
      <c r="D30" s="40">
        <v>32.828667000000003</v>
      </c>
      <c r="E30" s="40">
        <v>17.315186000000001</v>
      </c>
      <c r="F30" s="40">
        <v>16.514289999999999</v>
      </c>
      <c r="G30" s="40">
        <v>8.6526984999999996</v>
      </c>
      <c r="H30" s="40">
        <v>8.1436399999999995</v>
      </c>
      <c r="I30" s="40">
        <v>25.008858</v>
      </c>
      <c r="J30" s="40">
        <v>22.463142000000001</v>
      </c>
      <c r="K30" s="47">
        <v>12.883604</v>
      </c>
      <c r="L30" s="47">
        <v>11.445176999999999</v>
      </c>
      <c r="M30" s="47">
        <v>19.782506999999999</v>
      </c>
      <c r="N30" s="47">
        <v>8.5325240000000004</v>
      </c>
    </row>
    <row r="31" spans="1:14" x14ac:dyDescent="0.35">
      <c r="A31" s="2">
        <v>42797</v>
      </c>
      <c r="B31" s="40">
        <v>17.188692</v>
      </c>
      <c r="C31" s="40">
        <v>22.263348000000001</v>
      </c>
      <c r="D31" s="40">
        <v>22.034157</v>
      </c>
      <c r="E31" s="40">
        <v>17.252659000000001</v>
      </c>
      <c r="F31" s="40">
        <v>14.879189999999999</v>
      </c>
      <c r="G31" s="40">
        <v>10.033810000000001</v>
      </c>
      <c r="H31" s="40">
        <v>7.5464130000000003</v>
      </c>
      <c r="I31" s="40">
        <v>25.422405000000001</v>
      </c>
      <c r="J31" s="40">
        <v>21.910799000000001</v>
      </c>
      <c r="K31" s="47">
        <v>12.234127000000001</v>
      </c>
      <c r="L31" s="47">
        <v>13.771713</v>
      </c>
      <c r="M31" s="47">
        <v>13.188065</v>
      </c>
      <c r="N31" s="47">
        <v>5.9138774999999999</v>
      </c>
    </row>
    <row r="32" spans="1:14" x14ac:dyDescent="0.35">
      <c r="A32" s="2">
        <v>42828</v>
      </c>
      <c r="B32" s="40">
        <v>8.5103869999999997</v>
      </c>
      <c r="C32" s="40">
        <v>22.243880999999998</v>
      </c>
      <c r="D32" s="40">
        <v>15.469575000000001</v>
      </c>
      <c r="E32" s="40">
        <v>15.273308999999999</v>
      </c>
      <c r="F32" s="40">
        <v>18.559324</v>
      </c>
      <c r="G32" s="40">
        <v>11.063789999999999</v>
      </c>
      <c r="H32" s="40">
        <v>8.2012060000000009</v>
      </c>
      <c r="I32" s="40">
        <v>21.113491</v>
      </c>
      <c r="J32" s="40">
        <v>16.085922</v>
      </c>
      <c r="K32" s="47">
        <v>13.598167</v>
      </c>
      <c r="L32" s="47">
        <v>12.445175000000001</v>
      </c>
      <c r="M32" s="47">
        <v>10.429085000000001</v>
      </c>
      <c r="N32" s="47">
        <v>9.9622840000000004</v>
      </c>
    </row>
    <row r="33" spans="1:14" x14ac:dyDescent="0.35">
      <c r="A33" s="2">
        <v>42858</v>
      </c>
      <c r="B33" s="40">
        <v>7.9015136000000004</v>
      </c>
      <c r="C33" s="40">
        <v>16.364754000000001</v>
      </c>
      <c r="D33" s="40">
        <v>8.0010410000000007</v>
      </c>
      <c r="E33" s="40">
        <v>17.693280999999999</v>
      </c>
      <c r="F33" s="40">
        <v>15.851271000000001</v>
      </c>
      <c r="G33" s="40">
        <v>13.346052</v>
      </c>
      <c r="H33" s="40">
        <v>7.2523474999999999</v>
      </c>
      <c r="I33" s="40">
        <v>30.898593999999999</v>
      </c>
      <c r="J33" s="40">
        <v>18.073917000000002</v>
      </c>
      <c r="K33" s="47">
        <v>18.491686000000001</v>
      </c>
      <c r="L33" s="47">
        <v>19.135819999999999</v>
      </c>
      <c r="M33" s="47">
        <v>17.641317000000001</v>
      </c>
      <c r="N33" s="47">
        <v>12.490225000000001</v>
      </c>
    </row>
    <row r="34" spans="1:14" x14ac:dyDescent="0.35">
      <c r="A34" s="2">
        <v>42888</v>
      </c>
      <c r="B34" s="40">
        <v>12.160254</v>
      </c>
      <c r="C34" s="40">
        <v>17.368756999999999</v>
      </c>
      <c r="D34" s="40">
        <v>8.9574929999999995</v>
      </c>
      <c r="E34" s="40">
        <v>24.889278000000001</v>
      </c>
      <c r="F34" s="40">
        <v>19.830168</v>
      </c>
      <c r="G34" s="40">
        <v>18.078375000000001</v>
      </c>
      <c r="H34" s="40">
        <v>12.274896999999999</v>
      </c>
      <c r="I34" s="40">
        <v>31.068587999999998</v>
      </c>
      <c r="J34" s="40">
        <v>18.167995000000001</v>
      </c>
      <c r="K34" s="47">
        <v>24.418545000000002</v>
      </c>
      <c r="L34" s="47">
        <v>22.377776999999998</v>
      </c>
      <c r="M34" s="47">
        <v>21.915959999999998</v>
      </c>
      <c r="N34" s="47">
        <v>22.102844000000001</v>
      </c>
    </row>
    <row r="35" spans="1:14" x14ac:dyDescent="0.35">
      <c r="A35" s="2">
        <v>42919</v>
      </c>
      <c r="B35" s="40">
        <v>11.530256</v>
      </c>
      <c r="C35" s="40">
        <v>15.886378000000001</v>
      </c>
      <c r="D35" s="40">
        <v>10.485638</v>
      </c>
      <c r="E35" s="40">
        <v>28.070091000000001</v>
      </c>
      <c r="F35" s="40">
        <v>18.388866</v>
      </c>
      <c r="G35" s="40">
        <v>17.698383</v>
      </c>
      <c r="H35" s="40">
        <v>12.39264</v>
      </c>
      <c r="I35" s="40">
        <v>27.310658</v>
      </c>
      <c r="J35" s="40">
        <v>17.731262000000001</v>
      </c>
      <c r="K35" s="47">
        <v>28.231466000000001</v>
      </c>
      <c r="L35" s="47">
        <v>28.129650000000002</v>
      </c>
      <c r="M35" s="47">
        <v>26.529561999999999</v>
      </c>
      <c r="N35" s="47">
        <v>33.198081999999999</v>
      </c>
    </row>
    <row r="36" spans="1:14" x14ac:dyDescent="0.35">
      <c r="A36" s="2">
        <v>42950</v>
      </c>
      <c r="B36" s="40">
        <v>9.8104840000000006</v>
      </c>
      <c r="C36" s="40">
        <v>14.985645</v>
      </c>
      <c r="D36" s="40">
        <v>12.664497000000001</v>
      </c>
      <c r="E36" s="40">
        <v>24.604987999999999</v>
      </c>
      <c r="F36" s="40">
        <v>18.160236000000001</v>
      </c>
      <c r="G36" s="40">
        <v>19.115389</v>
      </c>
      <c r="H36" s="40">
        <v>14.920294</v>
      </c>
      <c r="I36" s="40">
        <v>25.604094</v>
      </c>
      <c r="J36" s="40">
        <v>16.564512000000001</v>
      </c>
      <c r="K36" s="47">
        <v>30.15306</v>
      </c>
      <c r="L36" s="47">
        <v>33.397390000000001</v>
      </c>
      <c r="M36" s="47">
        <v>27.322196999999999</v>
      </c>
      <c r="N36" s="47">
        <v>44.532561999999999</v>
      </c>
    </row>
    <row r="37" spans="1:14" x14ac:dyDescent="0.35">
      <c r="A37" s="2">
        <v>42979</v>
      </c>
      <c r="B37" s="40">
        <v>3.5515903999999998</v>
      </c>
      <c r="C37" s="40">
        <v>17.78332</v>
      </c>
      <c r="D37" s="40">
        <v>12.299013</v>
      </c>
      <c r="E37" s="40">
        <v>19.625902</v>
      </c>
      <c r="F37" s="40">
        <v>12.134684</v>
      </c>
      <c r="G37" s="40">
        <v>15.711641</v>
      </c>
      <c r="H37" s="40">
        <v>11.007082</v>
      </c>
      <c r="I37" s="40">
        <v>26.356638</v>
      </c>
      <c r="J37" s="40">
        <v>16.328764</v>
      </c>
      <c r="K37" s="47">
        <v>26.241385999999999</v>
      </c>
      <c r="L37" s="47">
        <v>25.774944000000001</v>
      </c>
      <c r="M37" s="47">
        <v>23.978650999999999</v>
      </c>
      <c r="N37" s="47">
        <v>37.509872000000001</v>
      </c>
    </row>
    <row r="38" spans="1:14" x14ac:dyDescent="0.35">
      <c r="A38" s="2">
        <v>43011</v>
      </c>
      <c r="B38" s="40">
        <v>5.5674314000000003</v>
      </c>
      <c r="C38" s="40">
        <v>12.447988499999999</v>
      </c>
      <c r="D38" s="40">
        <v>15.4945135</v>
      </c>
      <c r="E38" s="40">
        <v>26.581526</v>
      </c>
      <c r="F38" s="40">
        <v>14.125037000000001</v>
      </c>
      <c r="G38" s="40">
        <v>18.162476999999999</v>
      </c>
      <c r="H38" s="40">
        <v>14.103306</v>
      </c>
      <c r="I38" s="40">
        <v>24.295092</v>
      </c>
      <c r="J38" s="40">
        <v>19.556618</v>
      </c>
      <c r="K38" s="47">
        <v>31.167542999999998</v>
      </c>
      <c r="L38" s="47">
        <v>28.962029000000001</v>
      </c>
      <c r="M38" s="47">
        <v>26.537907000000001</v>
      </c>
      <c r="N38" s="47">
        <v>46.953749999999999</v>
      </c>
    </row>
    <row r="39" spans="1:14" x14ac:dyDescent="0.35">
      <c r="A39" s="2">
        <v>43042</v>
      </c>
      <c r="B39" s="40">
        <v>11.770832</v>
      </c>
      <c r="C39" s="40">
        <v>19.525563999999999</v>
      </c>
      <c r="D39" s="40">
        <v>18.242287000000001</v>
      </c>
      <c r="E39" s="40">
        <v>34.221397000000003</v>
      </c>
      <c r="F39" s="40">
        <v>20.251380000000001</v>
      </c>
      <c r="G39" s="40">
        <v>23.275839999999999</v>
      </c>
      <c r="H39" s="40">
        <v>21.388126</v>
      </c>
      <c r="I39" s="40">
        <v>35.734999999999999</v>
      </c>
      <c r="J39" s="40">
        <v>26.296794999999999</v>
      </c>
      <c r="K39" s="47">
        <v>34.481679999999997</v>
      </c>
      <c r="L39" s="47">
        <v>34.789479999999998</v>
      </c>
      <c r="M39" s="47">
        <v>33.935917000000003</v>
      </c>
      <c r="N39" s="47">
        <v>46.491073999999998</v>
      </c>
    </row>
    <row r="40" spans="1:14" x14ac:dyDescent="0.35">
      <c r="A40" s="2">
        <v>43070</v>
      </c>
      <c r="B40" s="40">
        <v>14.648211</v>
      </c>
      <c r="C40" s="40">
        <v>16.054344</v>
      </c>
      <c r="D40" s="40">
        <v>14.546561000000001</v>
      </c>
      <c r="E40" s="40">
        <v>36.155773000000003</v>
      </c>
      <c r="F40" s="40">
        <v>22.757625999999998</v>
      </c>
      <c r="G40" s="40">
        <v>27.407741999999999</v>
      </c>
      <c r="H40" s="40">
        <v>20.292473000000001</v>
      </c>
      <c r="I40" s="40">
        <v>35.132945999999997</v>
      </c>
      <c r="J40" s="40">
        <v>22.882950000000001</v>
      </c>
      <c r="K40" s="47">
        <v>35.647357999999997</v>
      </c>
      <c r="L40" s="47">
        <v>38.057181999999997</v>
      </c>
      <c r="M40" s="47">
        <v>27.319849000000001</v>
      </c>
      <c r="N40" s="47">
        <v>44.274856999999997</v>
      </c>
    </row>
    <row r="41" spans="1:14" x14ac:dyDescent="0.35">
      <c r="A41" s="2">
        <v>43103</v>
      </c>
      <c r="B41" s="40">
        <v>24.709011</v>
      </c>
      <c r="C41" s="40">
        <v>19.362044999999998</v>
      </c>
      <c r="D41" s="40">
        <v>16.559840000000001</v>
      </c>
      <c r="E41" s="40">
        <v>28.932358000000001</v>
      </c>
      <c r="F41" s="40">
        <v>25.712336000000001</v>
      </c>
      <c r="G41" s="40">
        <v>24.002635999999999</v>
      </c>
      <c r="H41" s="40">
        <v>22.027705999999998</v>
      </c>
      <c r="I41" s="40">
        <v>35.092770000000002</v>
      </c>
      <c r="J41" s="40">
        <v>22.410225000000001</v>
      </c>
      <c r="K41" s="47">
        <v>30.13382</v>
      </c>
      <c r="L41" s="47">
        <v>34.748649999999998</v>
      </c>
      <c r="M41" s="47">
        <v>22.397113999999998</v>
      </c>
      <c r="N41" s="47">
        <v>28.092252999999999</v>
      </c>
    </row>
    <row r="42" spans="1:14" x14ac:dyDescent="0.35">
      <c r="A42" s="2">
        <v>43133</v>
      </c>
      <c r="B42" s="40">
        <v>17.842328999999999</v>
      </c>
      <c r="C42" s="40">
        <v>14.181746</v>
      </c>
      <c r="D42" s="40">
        <v>8.8436009999999996</v>
      </c>
      <c r="E42" s="40">
        <v>25.431501000000001</v>
      </c>
      <c r="F42" s="40">
        <v>24.245811</v>
      </c>
      <c r="G42" s="40">
        <v>21.918571</v>
      </c>
      <c r="H42" s="40">
        <v>20.064354000000002</v>
      </c>
      <c r="I42" s="40">
        <v>32.550002999999997</v>
      </c>
      <c r="J42" s="40">
        <v>23.279357999999998</v>
      </c>
      <c r="K42" s="47">
        <v>32.405650000000001</v>
      </c>
      <c r="L42" s="47">
        <v>34.76502</v>
      </c>
      <c r="M42" s="47">
        <v>18.54335</v>
      </c>
      <c r="N42" s="47">
        <v>41.687249999999999</v>
      </c>
    </row>
    <row r="43" spans="1:14" x14ac:dyDescent="0.35">
      <c r="A43" s="2">
        <v>43161</v>
      </c>
      <c r="B43" s="40">
        <v>19.512165</v>
      </c>
      <c r="C43" s="40">
        <v>8.4839339999999996</v>
      </c>
      <c r="D43" s="40">
        <v>5.1779985000000002</v>
      </c>
      <c r="E43" s="40">
        <v>17.115819999999999</v>
      </c>
      <c r="F43" s="40">
        <v>18.349706999999999</v>
      </c>
      <c r="G43" s="40">
        <v>12.266958000000001</v>
      </c>
      <c r="H43" s="40">
        <v>11.925364</v>
      </c>
      <c r="I43" s="40">
        <v>28.080952</v>
      </c>
      <c r="J43" s="40">
        <v>15.121423999999999</v>
      </c>
      <c r="K43" s="47">
        <v>27.122174999999999</v>
      </c>
      <c r="L43" s="47">
        <v>25.550604</v>
      </c>
      <c r="M43" s="47">
        <v>13.205481000000001</v>
      </c>
      <c r="N43" s="47">
        <v>34.418823000000003</v>
      </c>
    </row>
    <row r="44" spans="1:14" x14ac:dyDescent="0.35">
      <c r="A44" s="2">
        <v>43193</v>
      </c>
      <c r="B44" s="40">
        <v>20.132614</v>
      </c>
      <c r="C44" s="40">
        <v>1.6954184000000001</v>
      </c>
      <c r="D44" s="40">
        <v>4.2513966999999999</v>
      </c>
      <c r="E44" s="40">
        <v>13.062536</v>
      </c>
      <c r="F44" s="40">
        <v>17.859161</v>
      </c>
      <c r="G44" s="40">
        <v>8.2082390000000007</v>
      </c>
      <c r="H44" s="40">
        <v>11.613702999999999</v>
      </c>
      <c r="I44" s="40">
        <v>19.899487000000001</v>
      </c>
      <c r="J44" s="40">
        <v>12.919593000000001</v>
      </c>
      <c r="K44" s="47">
        <v>20.516884000000001</v>
      </c>
      <c r="L44" s="47">
        <v>20.867146000000002</v>
      </c>
      <c r="M44" s="47">
        <v>7.9451323</v>
      </c>
      <c r="N44" s="47">
        <v>29.151201</v>
      </c>
    </row>
    <row r="45" spans="1:14" x14ac:dyDescent="0.35">
      <c r="A45" s="2">
        <v>43223</v>
      </c>
      <c r="B45" s="40">
        <v>17.463743000000001</v>
      </c>
      <c r="C45" s="40">
        <v>7.2668790000000003</v>
      </c>
      <c r="D45" s="40">
        <v>9.8538990000000002</v>
      </c>
      <c r="E45" s="40">
        <v>11.635947</v>
      </c>
      <c r="F45" s="40">
        <v>16.685687999999999</v>
      </c>
      <c r="G45" s="40">
        <v>3.3836721999999999</v>
      </c>
      <c r="H45" s="40">
        <v>13.102425</v>
      </c>
      <c r="I45" s="40">
        <v>19.137526000000001</v>
      </c>
      <c r="J45" s="40">
        <v>12.218582</v>
      </c>
      <c r="K45" s="47">
        <v>18.058277</v>
      </c>
      <c r="L45" s="47">
        <v>13.526999999999999</v>
      </c>
      <c r="M45" s="47">
        <v>0.95077752999999998</v>
      </c>
      <c r="N45" s="47">
        <v>29.724609999999998</v>
      </c>
    </row>
    <row r="46" spans="1:14" x14ac:dyDescent="0.35">
      <c r="A46" s="2">
        <v>43252</v>
      </c>
      <c r="B46" s="40">
        <v>13.438582</v>
      </c>
      <c r="C46" s="40">
        <v>10.915065</v>
      </c>
      <c r="D46" s="40">
        <v>11.223172999999999</v>
      </c>
      <c r="E46" s="40">
        <v>4.3703079999999996</v>
      </c>
      <c r="F46" s="40">
        <v>13.340366</v>
      </c>
      <c r="G46" s="40">
        <v>-1.8227815999999999</v>
      </c>
      <c r="H46" s="40">
        <v>8.4196679999999997</v>
      </c>
      <c r="I46" s="40">
        <v>22.843765000000001</v>
      </c>
      <c r="J46" s="40">
        <v>14.566039999999999</v>
      </c>
      <c r="K46" s="47">
        <v>10.472465</v>
      </c>
      <c r="L46" s="47">
        <v>8.5191610000000004</v>
      </c>
      <c r="M46" s="47">
        <v>-1.2812733999999999</v>
      </c>
      <c r="N46" s="47">
        <v>10.067724999999999</v>
      </c>
    </row>
    <row r="47" spans="1:14" x14ac:dyDescent="0.35">
      <c r="A47" s="2">
        <v>43284</v>
      </c>
      <c r="B47" s="40">
        <v>9.6837160000000004</v>
      </c>
      <c r="C47" s="40">
        <v>8.5811379999999993</v>
      </c>
      <c r="D47" s="40">
        <v>7.7688813000000003</v>
      </c>
      <c r="E47" s="40">
        <v>1.4526725</v>
      </c>
      <c r="F47" s="40">
        <v>8.1665880000000008</v>
      </c>
      <c r="G47" s="40">
        <v>-2.4191916</v>
      </c>
      <c r="H47" s="40">
        <v>7.9122066000000002</v>
      </c>
      <c r="I47" s="40">
        <v>26.428090999999998</v>
      </c>
      <c r="J47" s="40">
        <v>13.93075</v>
      </c>
      <c r="K47" s="47">
        <v>8.5611104999999998</v>
      </c>
      <c r="L47" s="47">
        <v>7.4743269999999997</v>
      </c>
      <c r="M47" s="47">
        <v>-4.6207370000000001</v>
      </c>
      <c r="N47" s="47">
        <v>6.7597149999999999</v>
      </c>
    </row>
    <row r="48" spans="1:14" x14ac:dyDescent="0.35">
      <c r="A48" s="2">
        <v>43315</v>
      </c>
      <c r="B48" s="40">
        <v>3.1799197000000001</v>
      </c>
      <c r="C48" s="40">
        <v>5.347359</v>
      </c>
      <c r="D48" s="40">
        <v>7.4887037000000003</v>
      </c>
      <c r="E48" s="40">
        <v>1.9751787000000001</v>
      </c>
      <c r="F48" s="40">
        <v>7.6720715000000004</v>
      </c>
      <c r="G48" s="40">
        <v>2.1828650999999999</v>
      </c>
      <c r="H48" s="40">
        <v>4.6163917000000003</v>
      </c>
      <c r="I48" s="40">
        <v>26.604043999999998</v>
      </c>
      <c r="J48" s="40">
        <v>16.97786</v>
      </c>
      <c r="K48" s="47">
        <v>7.9353569999999998</v>
      </c>
      <c r="L48" s="47">
        <v>4.6820760000000003</v>
      </c>
      <c r="M48" s="47">
        <v>-1.6008794</v>
      </c>
      <c r="N48" s="47">
        <v>-1.3479053999999999</v>
      </c>
    </row>
    <row r="49" spans="1:14" x14ac:dyDescent="0.35">
      <c r="A49" s="2">
        <v>43343</v>
      </c>
      <c r="B49" s="40">
        <v>9.1086749999999999</v>
      </c>
      <c r="C49" s="40">
        <v>3.7284255000000002</v>
      </c>
      <c r="D49" s="40">
        <v>5.491352</v>
      </c>
      <c r="E49" s="40">
        <v>0.90388060000000003</v>
      </c>
      <c r="F49" s="40">
        <v>7.9676629999999999</v>
      </c>
      <c r="G49" s="40">
        <v>3.8819669999999999</v>
      </c>
      <c r="H49" s="40">
        <v>3.4807682</v>
      </c>
      <c r="I49" s="40">
        <v>28.700887999999999</v>
      </c>
      <c r="J49" s="40">
        <v>19.489134</v>
      </c>
      <c r="K49" s="47">
        <v>6.9504260000000002</v>
      </c>
      <c r="L49" s="47">
        <v>3.5356879999999999</v>
      </c>
      <c r="M49" s="47">
        <v>-2.9696642999999998</v>
      </c>
      <c r="N49" s="47">
        <v>-7.5170279999999998</v>
      </c>
    </row>
    <row r="50" spans="1:14" x14ac:dyDescent="0.35">
      <c r="A50" s="2">
        <v>43376</v>
      </c>
      <c r="B50" s="40">
        <v>6.3194869999999996</v>
      </c>
      <c r="C50" s="40">
        <v>1.021409</v>
      </c>
      <c r="D50" s="40">
        <v>1.6285061999999999</v>
      </c>
      <c r="E50" s="40">
        <v>-5.7065844999999999</v>
      </c>
      <c r="F50" s="40">
        <v>8.5735679999999999</v>
      </c>
      <c r="G50" s="40">
        <v>0.76231956000000001</v>
      </c>
      <c r="H50" s="40">
        <v>1.9185066</v>
      </c>
      <c r="I50" s="40">
        <v>28.439236000000001</v>
      </c>
      <c r="J50" s="40">
        <v>17.469894</v>
      </c>
      <c r="K50" s="47">
        <v>3.1603097999999998</v>
      </c>
      <c r="L50" s="47">
        <v>-2.0853459999999999</v>
      </c>
      <c r="M50" s="47">
        <v>-4.9482702999999999</v>
      </c>
      <c r="N50" s="47">
        <v>-9.0191180000000006</v>
      </c>
    </row>
    <row r="51" spans="1:14" x14ac:dyDescent="0.35">
      <c r="A51" s="2">
        <v>43406</v>
      </c>
      <c r="B51" s="40">
        <v>4.3384910000000003</v>
      </c>
      <c r="C51" s="40">
        <v>-5.0801572999999998</v>
      </c>
      <c r="D51" s="40">
        <v>-5.7732343999999998</v>
      </c>
      <c r="E51" s="40">
        <v>-14.858067</v>
      </c>
      <c r="F51" s="40">
        <v>-5.4658175</v>
      </c>
      <c r="G51" s="40">
        <v>-1.4680624</v>
      </c>
      <c r="H51" s="40">
        <v>-3.4116209</v>
      </c>
      <c r="I51" s="40">
        <v>12.431717000000001</v>
      </c>
      <c r="J51" s="40">
        <v>7.4743389999999996</v>
      </c>
      <c r="K51" s="47">
        <v>-6.3210306000000003</v>
      </c>
      <c r="L51" s="47">
        <v>-7.9382124000000003</v>
      </c>
      <c r="M51" s="47">
        <v>-11.0989275</v>
      </c>
      <c r="N51" s="47">
        <v>-15.278572</v>
      </c>
    </row>
    <row r="52" spans="1:14" x14ac:dyDescent="0.35">
      <c r="A52" s="2">
        <v>43437</v>
      </c>
      <c r="B52" s="40">
        <v>9.9380129999999998</v>
      </c>
      <c r="C52" s="40">
        <v>-3.2600164</v>
      </c>
      <c r="D52" s="40">
        <v>-6.4656615000000004</v>
      </c>
      <c r="E52" s="40">
        <v>-14.994896000000001</v>
      </c>
      <c r="F52" s="40">
        <v>-4.5807479999999998</v>
      </c>
      <c r="G52" s="40">
        <v>-2.1027326999999998</v>
      </c>
      <c r="H52" s="40">
        <v>-5.2432480000000004</v>
      </c>
      <c r="I52" s="40">
        <v>12.405502</v>
      </c>
      <c r="J52" s="40">
        <v>7.5353859999999999</v>
      </c>
      <c r="K52" s="47">
        <v>-6.9306016000000001</v>
      </c>
      <c r="L52" s="47">
        <v>-6.6303609999999997</v>
      </c>
      <c r="M52" s="47">
        <v>-7.889348</v>
      </c>
      <c r="N52" s="47">
        <v>-12.94331</v>
      </c>
    </row>
    <row r="53" spans="1:14" x14ac:dyDescent="0.35">
      <c r="A53" s="2">
        <v>43468</v>
      </c>
      <c r="B53" s="40">
        <v>-1.5888453</v>
      </c>
      <c r="C53" s="40">
        <v>-14.457190000000001</v>
      </c>
      <c r="D53" s="40">
        <v>-17.966915</v>
      </c>
      <c r="E53" s="40">
        <v>-23.93207</v>
      </c>
      <c r="F53" s="40">
        <v>-15.667301</v>
      </c>
      <c r="G53" s="40">
        <v>-10.74127</v>
      </c>
      <c r="H53" s="40">
        <v>-15.500807999999999</v>
      </c>
      <c r="I53" s="40">
        <v>-5.5796146000000002</v>
      </c>
      <c r="J53" s="40">
        <v>-7.9824685999999998</v>
      </c>
      <c r="K53" s="47">
        <v>-15.507448</v>
      </c>
      <c r="L53" s="47">
        <v>-17.649628</v>
      </c>
      <c r="M53" s="47">
        <v>-16.387165</v>
      </c>
      <c r="N53" s="47">
        <v>-18.379169999999998</v>
      </c>
    </row>
    <row r="54" spans="1:14" x14ac:dyDescent="0.35">
      <c r="A54" s="2">
        <v>43497</v>
      </c>
      <c r="B54" s="40">
        <v>0.88423490000000005</v>
      </c>
      <c r="C54" s="40">
        <v>-8.8310300000000002</v>
      </c>
      <c r="D54" s="40">
        <v>-6.6378060000000003</v>
      </c>
      <c r="E54" s="40">
        <v>-20.872295000000001</v>
      </c>
      <c r="F54" s="40">
        <v>-13.192195</v>
      </c>
      <c r="G54" s="40">
        <v>-8.7140260000000005</v>
      </c>
      <c r="H54" s="40">
        <v>-11.036414000000001</v>
      </c>
      <c r="I54" s="40">
        <v>0.54873229999999995</v>
      </c>
      <c r="J54" s="40">
        <v>-2.2572220000000001</v>
      </c>
      <c r="K54" s="47">
        <v>-13.514101</v>
      </c>
      <c r="L54" s="47">
        <v>-13.873922</v>
      </c>
      <c r="M54" s="47">
        <v>-13.946253</v>
      </c>
      <c r="N54" s="47">
        <v>-20.900005</v>
      </c>
    </row>
    <row r="55" spans="1:14" x14ac:dyDescent="0.35">
      <c r="A55" s="2">
        <v>43525</v>
      </c>
      <c r="B55" s="40">
        <v>6.7422867000000002</v>
      </c>
      <c r="C55" s="40">
        <v>9.8812579999999997E-2</v>
      </c>
      <c r="D55" s="40">
        <v>2.8898953999999999</v>
      </c>
      <c r="E55" s="40">
        <v>-11.139929</v>
      </c>
      <c r="F55" s="40">
        <v>-6.6220283999999996</v>
      </c>
      <c r="G55" s="40">
        <v>4.061687</v>
      </c>
      <c r="H55" s="40">
        <v>-0.44788718</v>
      </c>
      <c r="I55" s="40">
        <v>6.9315433999999998</v>
      </c>
      <c r="J55" s="40">
        <v>6.7546606000000002</v>
      </c>
      <c r="K55" s="47">
        <v>-3.385961</v>
      </c>
      <c r="L55" s="47">
        <v>-3.3952773000000001</v>
      </c>
      <c r="M55" s="47">
        <v>-5.0964413000000004</v>
      </c>
      <c r="N55" s="47">
        <v>-9.9574379999999998</v>
      </c>
    </row>
    <row r="56" spans="1:14" x14ac:dyDescent="0.35">
      <c r="A56" s="2">
        <v>43558</v>
      </c>
      <c r="B56" s="40">
        <v>10.390509</v>
      </c>
      <c r="C56" s="40">
        <v>5.6005716000000003</v>
      </c>
      <c r="D56" s="40">
        <v>5.068028</v>
      </c>
      <c r="E56" s="40">
        <v>-10.032648</v>
      </c>
      <c r="F56" s="40">
        <v>-6.6163660000000002</v>
      </c>
      <c r="G56" s="40">
        <v>8.1671949999999995</v>
      </c>
      <c r="H56" s="40">
        <v>2.1416187</v>
      </c>
      <c r="I56" s="40">
        <v>17.882002</v>
      </c>
      <c r="J56" s="40">
        <v>11.979329999999999</v>
      </c>
      <c r="K56" s="47">
        <v>-0.98704696000000003</v>
      </c>
      <c r="L56" s="47">
        <v>-1.8155037999999999</v>
      </c>
      <c r="M56" s="47">
        <v>1.0107279</v>
      </c>
      <c r="N56" s="47">
        <v>-8.5023110000000006</v>
      </c>
    </row>
    <row r="57" spans="1:14" x14ac:dyDescent="0.35">
      <c r="A57" s="2">
        <v>43588</v>
      </c>
      <c r="B57" s="40">
        <v>11.211442999999999</v>
      </c>
      <c r="C57" s="40">
        <v>1.8324374999999999</v>
      </c>
      <c r="D57" s="40">
        <v>3.4659624</v>
      </c>
      <c r="E57" s="40">
        <v>-9.2470649999999992</v>
      </c>
      <c r="F57" s="40">
        <v>-5.7295265000000004</v>
      </c>
      <c r="G57" s="40">
        <v>9.3153714999999995</v>
      </c>
      <c r="H57" s="40">
        <v>-1.5184401999999999</v>
      </c>
      <c r="I57" s="40">
        <v>19.144058000000001</v>
      </c>
      <c r="J57" s="40">
        <v>14.144754000000001</v>
      </c>
      <c r="K57" s="47">
        <v>-3.7103533999999998</v>
      </c>
      <c r="L57" s="47">
        <v>1.6332983999999999</v>
      </c>
      <c r="M57" s="47">
        <v>2.4505496</v>
      </c>
      <c r="N57" s="47">
        <v>-13.267631</v>
      </c>
    </row>
    <row r="58" spans="1:14" x14ac:dyDescent="0.35">
      <c r="A58" s="2">
        <v>43619</v>
      </c>
      <c r="B58" s="40">
        <v>9.0351219999999994</v>
      </c>
      <c r="C58" s="40">
        <v>1.1835097999999999</v>
      </c>
      <c r="D58" s="40">
        <v>-2.160412</v>
      </c>
      <c r="E58" s="40">
        <v>-12.653124</v>
      </c>
      <c r="F58" s="40">
        <v>-10.457485999999999</v>
      </c>
      <c r="G58" s="40">
        <v>10.9612465</v>
      </c>
      <c r="H58" s="40">
        <v>-8.3919049999999995</v>
      </c>
      <c r="I58" s="40">
        <v>-0.65867900000000001</v>
      </c>
      <c r="J58" s="40">
        <v>2.3125887000000001</v>
      </c>
      <c r="K58" s="47">
        <v>-6.6139099999999997</v>
      </c>
      <c r="L58" s="47">
        <v>-4.0144323999999996</v>
      </c>
      <c r="M58" s="47">
        <v>-6.7432220000000003</v>
      </c>
      <c r="N58" s="47">
        <v>-10.218966</v>
      </c>
    </row>
    <row r="59" spans="1:14" x14ac:dyDescent="0.35">
      <c r="A59" s="2">
        <v>43649</v>
      </c>
      <c r="B59" s="40">
        <v>14.625942</v>
      </c>
      <c r="C59" s="40">
        <v>7.5875399999999997</v>
      </c>
      <c r="D59" s="40">
        <v>4.6184063000000002</v>
      </c>
      <c r="E59" s="40">
        <v>-2.6142835999999998</v>
      </c>
      <c r="F59" s="40">
        <v>-0.50688979999999995</v>
      </c>
      <c r="G59" s="40">
        <v>18.200147999999999</v>
      </c>
      <c r="H59" s="40">
        <v>-0.35901665999999999</v>
      </c>
      <c r="I59" s="40">
        <v>13.068199</v>
      </c>
      <c r="J59" s="40">
        <v>12.493086</v>
      </c>
      <c r="K59" s="47">
        <v>4.6059011999999999</v>
      </c>
      <c r="L59" s="47">
        <v>6.2765836999999998</v>
      </c>
      <c r="M59" s="47">
        <v>5.6881665999999997</v>
      </c>
      <c r="N59" s="47">
        <v>2.3060679999999998</v>
      </c>
    </row>
    <row r="60" spans="1:14" x14ac:dyDescent="0.35">
      <c r="A60" s="2">
        <v>43679</v>
      </c>
      <c r="B60" s="40">
        <v>17.511044999999999</v>
      </c>
      <c r="C60" s="40">
        <v>3.8296342000000001</v>
      </c>
      <c r="D60" s="40">
        <v>-1.407367</v>
      </c>
      <c r="E60" s="40">
        <v>-10.987126999999999</v>
      </c>
      <c r="F60" s="40">
        <v>-6.1558247000000001</v>
      </c>
      <c r="G60" s="40">
        <v>9.8078610000000008</v>
      </c>
      <c r="H60" s="40">
        <v>-6.1339319999999997</v>
      </c>
      <c r="I60" s="40">
        <v>5.2718759999999998</v>
      </c>
      <c r="J60" s="40">
        <v>5.6839230000000001</v>
      </c>
      <c r="K60" s="47">
        <v>-4.1752520000000004</v>
      </c>
      <c r="L60" s="47">
        <v>-0.85270999999999997</v>
      </c>
      <c r="M60" s="47">
        <v>-6.9919466999999997</v>
      </c>
      <c r="N60" s="47">
        <v>-2.3326337000000001</v>
      </c>
    </row>
    <row r="61" spans="1:14" x14ac:dyDescent="0.35">
      <c r="A61" s="2">
        <v>43711</v>
      </c>
      <c r="B61" s="40">
        <v>10.837816999999999</v>
      </c>
      <c r="C61" s="40">
        <v>1.6456842</v>
      </c>
      <c r="D61" s="40">
        <v>-0.28738975999999999</v>
      </c>
      <c r="E61" s="40">
        <v>-11.159694999999999</v>
      </c>
      <c r="F61" s="40">
        <v>-5.7676790000000002</v>
      </c>
      <c r="G61" s="40">
        <v>9.2460749999999994</v>
      </c>
      <c r="H61" s="40">
        <v>-5.3383229999999999</v>
      </c>
      <c r="I61" s="40">
        <v>0.33735037000000001</v>
      </c>
      <c r="J61" s="40">
        <v>2.1402717</v>
      </c>
      <c r="K61" s="47">
        <v>-2.7243911999999999</v>
      </c>
      <c r="L61" s="47">
        <v>0.93113184000000004</v>
      </c>
      <c r="M61" s="47">
        <v>-8.8873204999999995</v>
      </c>
      <c r="N61" s="47">
        <v>4.5315146000000004</v>
      </c>
    </row>
    <row r="62" spans="1:14" x14ac:dyDescent="0.35">
      <c r="A62" s="2">
        <v>43741</v>
      </c>
      <c r="B62" s="40">
        <v>11.893463000000001</v>
      </c>
      <c r="C62" s="40">
        <v>5.4438233</v>
      </c>
      <c r="D62" s="40">
        <v>-0.48508644000000001</v>
      </c>
      <c r="E62" s="40">
        <v>-9.8003979999999995</v>
      </c>
      <c r="F62" s="40">
        <v>-4.9226283999999998</v>
      </c>
      <c r="G62" s="40">
        <v>7.7999830000000001</v>
      </c>
      <c r="H62" s="40">
        <v>-6.5496325000000004</v>
      </c>
      <c r="I62" s="40">
        <v>0.96541642999999999</v>
      </c>
      <c r="J62" s="40">
        <v>1.5457392000000001</v>
      </c>
      <c r="K62" s="47">
        <v>-3.4216701999999999</v>
      </c>
      <c r="L62" s="47">
        <v>4.7812700000000001</v>
      </c>
      <c r="M62" s="47">
        <v>-9.6804860000000001</v>
      </c>
      <c r="N62" s="47">
        <v>2.0622850000000001</v>
      </c>
    </row>
    <row r="63" spans="1:14" x14ac:dyDescent="0.35">
      <c r="A63" s="2">
        <v>43770</v>
      </c>
      <c r="B63" s="40">
        <v>16.605937999999998</v>
      </c>
      <c r="C63" s="40">
        <v>15.247439999999999</v>
      </c>
      <c r="D63" s="40">
        <v>11.176753</v>
      </c>
      <c r="E63" s="40">
        <v>7.1332573999999997</v>
      </c>
      <c r="F63" s="40">
        <v>10.147738</v>
      </c>
      <c r="G63" s="40">
        <v>18.315304000000001</v>
      </c>
      <c r="H63" s="40">
        <v>5.5838704000000003</v>
      </c>
      <c r="I63" s="40">
        <v>16.622340999999999</v>
      </c>
      <c r="J63" s="40">
        <v>14.169002000000001</v>
      </c>
      <c r="K63" s="47">
        <v>12.586821</v>
      </c>
      <c r="L63" s="47">
        <v>16.503869999999999</v>
      </c>
      <c r="M63" s="47">
        <v>10.750556</v>
      </c>
      <c r="N63" s="47">
        <v>19.902920000000002</v>
      </c>
    </row>
    <row r="64" spans="1:14" x14ac:dyDescent="0.35">
      <c r="A64" s="2">
        <v>43802</v>
      </c>
      <c r="B64" s="40">
        <v>18.103217999999998</v>
      </c>
      <c r="C64" s="40">
        <v>11.84107</v>
      </c>
      <c r="D64" s="40">
        <v>11.405384</v>
      </c>
      <c r="E64" s="40">
        <v>8.3899500000000007</v>
      </c>
      <c r="F64" s="40">
        <v>7.9453826000000003</v>
      </c>
      <c r="G64" s="40">
        <v>17.446888000000001</v>
      </c>
      <c r="H64" s="40">
        <v>6.7242860000000002</v>
      </c>
      <c r="I64" s="40">
        <v>17.926825000000001</v>
      </c>
      <c r="J64" s="40">
        <v>13.047563999999999</v>
      </c>
      <c r="K64" s="47">
        <v>13.271379</v>
      </c>
      <c r="L64" s="47">
        <v>15.891064</v>
      </c>
      <c r="M64" s="47">
        <v>8.9923269999999995</v>
      </c>
      <c r="N64" s="47">
        <v>15.286481999999999</v>
      </c>
    </row>
    <row r="65" spans="1:14" x14ac:dyDescent="0.35">
      <c r="A65" s="2">
        <v>43833</v>
      </c>
      <c r="B65" s="40">
        <v>30.635750000000002</v>
      </c>
      <c r="C65" s="40">
        <v>23.516106000000001</v>
      </c>
      <c r="D65" s="40">
        <v>26.936482999999999</v>
      </c>
      <c r="E65" s="40">
        <v>21.277916000000001</v>
      </c>
      <c r="F65" s="40">
        <v>19.107258000000002</v>
      </c>
      <c r="G65" s="40">
        <v>32.841230000000003</v>
      </c>
      <c r="H65" s="40">
        <v>21.152996000000002</v>
      </c>
      <c r="I65" s="40">
        <v>44.134450000000001</v>
      </c>
      <c r="J65" s="40">
        <v>34.519398000000002</v>
      </c>
      <c r="K65" s="47">
        <v>29.214524999999998</v>
      </c>
      <c r="L65" s="47">
        <v>34.875416000000001</v>
      </c>
      <c r="M65" s="47">
        <v>25.684393</v>
      </c>
      <c r="N65" s="47">
        <v>27.929592</v>
      </c>
    </row>
    <row r="66" spans="1:14" x14ac:dyDescent="0.35">
      <c r="A66" s="2">
        <v>43864</v>
      </c>
      <c r="B66" s="40">
        <v>19.793392000000001</v>
      </c>
      <c r="C66" s="40">
        <v>12.942087000000001</v>
      </c>
      <c r="D66" s="40">
        <v>11.640632999999999</v>
      </c>
      <c r="E66" s="40">
        <v>9.5620039999999999</v>
      </c>
      <c r="F66" s="40">
        <v>9.9068640000000006</v>
      </c>
      <c r="G66" s="40">
        <v>25.393248</v>
      </c>
      <c r="H66" s="40">
        <v>6.9710254999999997</v>
      </c>
      <c r="I66" s="40">
        <v>33.896520000000002</v>
      </c>
      <c r="J66" s="40">
        <v>22.288440000000001</v>
      </c>
      <c r="K66" s="47">
        <v>14.585304000000001</v>
      </c>
      <c r="L66" s="47">
        <v>19.341553000000001</v>
      </c>
      <c r="M66" s="47">
        <v>11.911667</v>
      </c>
      <c r="N66" s="47">
        <v>16.081465000000001</v>
      </c>
    </row>
    <row r="67" spans="1:14" x14ac:dyDescent="0.35">
      <c r="A67" s="2">
        <v>43893</v>
      </c>
      <c r="B67" s="40">
        <v>10.573017</v>
      </c>
      <c r="C67" s="40">
        <v>-1.793927</v>
      </c>
      <c r="D67" s="40">
        <v>2.6613593</v>
      </c>
      <c r="E67" s="40">
        <v>-2.1357358</v>
      </c>
      <c r="F67" s="40">
        <v>-0.85276364999999998</v>
      </c>
      <c r="G67" s="40">
        <v>13.720072</v>
      </c>
      <c r="H67" s="40">
        <v>-6.7362729999999997</v>
      </c>
      <c r="I67" s="40">
        <v>21.109902999999999</v>
      </c>
      <c r="J67" s="40">
        <v>9.0936179999999993</v>
      </c>
      <c r="K67" s="47">
        <v>1.4479398999999999</v>
      </c>
      <c r="L67" s="47">
        <v>6.7831279999999996</v>
      </c>
      <c r="M67" s="47">
        <v>6.182277</v>
      </c>
      <c r="N67" s="47">
        <v>1.8737912000000001</v>
      </c>
    </row>
    <row r="68" spans="1:14" x14ac:dyDescent="0.35">
      <c r="A68" s="2">
        <v>43924</v>
      </c>
      <c r="B68" s="40">
        <v>-12.056404000000001</v>
      </c>
      <c r="C68" s="40">
        <v>-29.292292</v>
      </c>
      <c r="D68" s="40">
        <v>-23.353922000000001</v>
      </c>
      <c r="E68" s="40">
        <v>-24.767272999999999</v>
      </c>
      <c r="F68" s="40">
        <v>-14.106024</v>
      </c>
      <c r="G68" s="40">
        <v>-0.8005023</v>
      </c>
      <c r="H68" s="40">
        <v>-30.456178999999999</v>
      </c>
      <c r="I68" s="40">
        <v>0.62907933999999999</v>
      </c>
      <c r="J68" s="40">
        <v>-11.553431</v>
      </c>
      <c r="K68" s="47">
        <v>-25.598568</v>
      </c>
      <c r="L68" s="47">
        <v>-16.571337</v>
      </c>
      <c r="M68" s="47">
        <v>-21.123826999999999</v>
      </c>
      <c r="N68" s="47">
        <v>-27.818770000000001</v>
      </c>
    </row>
    <row r="69" spans="1:14" x14ac:dyDescent="0.35">
      <c r="A69" s="2">
        <v>43952</v>
      </c>
      <c r="B69" s="40">
        <v>-3.4128487000000001</v>
      </c>
      <c r="C69" s="40">
        <v>-22.309726999999999</v>
      </c>
      <c r="D69" s="40">
        <v>-14.37223</v>
      </c>
      <c r="E69" s="40">
        <v>-17.153846999999999</v>
      </c>
      <c r="F69" s="40">
        <v>-5.9912147999999998</v>
      </c>
      <c r="G69" s="40">
        <v>2.9318213000000002</v>
      </c>
      <c r="H69" s="40">
        <v>-23.119800000000001</v>
      </c>
      <c r="I69" s="40">
        <v>13.564264</v>
      </c>
      <c r="J69" s="40">
        <v>-1.084584</v>
      </c>
      <c r="K69" s="47">
        <v>-19.655449000000001</v>
      </c>
      <c r="L69" s="47">
        <v>-9.2314609999999995</v>
      </c>
      <c r="M69" s="47">
        <v>-12.664151</v>
      </c>
      <c r="N69" s="47">
        <v>-23.056608000000001</v>
      </c>
    </row>
    <row r="70" spans="1:14" x14ac:dyDescent="0.35">
      <c r="A70" s="2">
        <v>43985</v>
      </c>
      <c r="B70" s="40">
        <v>11.06757</v>
      </c>
      <c r="C70" s="40">
        <v>-5.0261554999999998</v>
      </c>
      <c r="D70" s="40">
        <v>-1.3644217999999999</v>
      </c>
      <c r="E70" s="40">
        <v>5.7324409999999997</v>
      </c>
      <c r="F70" s="40">
        <v>9.5385190000000009</v>
      </c>
      <c r="G70" s="40">
        <v>10.808921</v>
      </c>
      <c r="H70" s="40">
        <v>-9.8004874999999991</v>
      </c>
      <c r="I70" s="40">
        <v>40.319490000000002</v>
      </c>
      <c r="J70" s="40">
        <v>16.051842000000001</v>
      </c>
      <c r="K70" s="47">
        <v>-1.4846086999999999</v>
      </c>
      <c r="L70" s="47">
        <v>11.977005</v>
      </c>
      <c r="M70" s="47">
        <v>15.087866999999999</v>
      </c>
      <c r="N70" s="47">
        <v>-1.9290626</v>
      </c>
    </row>
    <row r="71" spans="1:14" x14ac:dyDescent="0.35">
      <c r="A71" s="2">
        <v>44014</v>
      </c>
      <c r="B71" s="40">
        <v>10.6545925</v>
      </c>
      <c r="C71" s="40">
        <v>-8.7314310000000006</v>
      </c>
      <c r="D71" s="40">
        <v>-7.2576102999999996</v>
      </c>
      <c r="E71" s="40">
        <v>-1.0038435000000001</v>
      </c>
      <c r="F71" s="40">
        <v>1.337564</v>
      </c>
      <c r="G71" s="40">
        <v>6.6479445000000004</v>
      </c>
      <c r="H71" s="40">
        <v>-17.175370999999998</v>
      </c>
      <c r="I71" s="40">
        <v>33.792842999999998</v>
      </c>
      <c r="J71" s="40">
        <v>7.4635267000000001</v>
      </c>
      <c r="K71" s="47">
        <v>-8.4992830000000001</v>
      </c>
      <c r="L71" s="47">
        <v>7.836938</v>
      </c>
      <c r="M71" s="47">
        <v>2.7112959999999999</v>
      </c>
      <c r="N71" s="47">
        <v>-9.3180599999999991</v>
      </c>
    </row>
    <row r="72" spans="1:14" x14ac:dyDescent="0.35">
      <c r="A72" s="2">
        <v>44046</v>
      </c>
      <c r="B72" s="40">
        <v>12.984764</v>
      </c>
      <c r="C72" s="40">
        <v>-5.8606267000000001</v>
      </c>
      <c r="D72" s="40">
        <v>-0.12560487000000001</v>
      </c>
      <c r="E72" s="40">
        <v>10.415613</v>
      </c>
      <c r="F72" s="40">
        <v>4.6025634000000002</v>
      </c>
      <c r="G72" s="40">
        <v>12.320638000000001</v>
      </c>
      <c r="H72" s="40">
        <v>-11.203550999999999</v>
      </c>
      <c r="I72" s="40">
        <v>44.941605000000003</v>
      </c>
      <c r="J72" s="40">
        <v>14.636588</v>
      </c>
      <c r="K72" s="47">
        <v>-1.5865803000000001</v>
      </c>
      <c r="L72" s="47">
        <v>15.2360325</v>
      </c>
      <c r="M72" s="47">
        <v>22.94613</v>
      </c>
      <c r="N72" s="47">
        <v>-4.5456409999999998</v>
      </c>
    </row>
    <row r="73" spans="1:14" x14ac:dyDescent="0.35">
      <c r="A73" s="2">
        <v>44077</v>
      </c>
      <c r="B73" s="40">
        <v>15.5083065</v>
      </c>
      <c r="C73" s="40">
        <v>-1.3834894</v>
      </c>
      <c r="D73" s="40">
        <v>3.9638520000000002</v>
      </c>
      <c r="E73" s="40">
        <v>15.615618</v>
      </c>
      <c r="F73" s="40">
        <v>9.1453550000000003</v>
      </c>
      <c r="G73" s="40">
        <v>13.203001</v>
      </c>
      <c r="H73" s="40">
        <v>-11.185598000000001</v>
      </c>
      <c r="I73" s="40">
        <v>56.058838000000002</v>
      </c>
      <c r="J73" s="40">
        <v>21.203077</v>
      </c>
      <c r="K73" s="47">
        <v>0.66123010000000004</v>
      </c>
      <c r="L73" s="47">
        <v>16.283798000000001</v>
      </c>
      <c r="M73" s="47">
        <v>26.206313999999999</v>
      </c>
      <c r="N73" s="47">
        <v>-4.4237795000000002</v>
      </c>
    </row>
    <row r="74" spans="1:14" x14ac:dyDescent="0.35">
      <c r="A74" s="2">
        <v>44106</v>
      </c>
      <c r="B74" s="40">
        <v>16.166342</v>
      </c>
      <c r="C74" s="40">
        <v>-4.2097806999999996</v>
      </c>
      <c r="D74" s="40">
        <v>0.38648843999999999</v>
      </c>
      <c r="E74" s="40">
        <v>13.144731500000001</v>
      </c>
      <c r="F74" s="40">
        <v>7.4836134999999997</v>
      </c>
      <c r="G74" s="40">
        <v>15.904558</v>
      </c>
      <c r="H74" s="40">
        <v>-11.932240999999999</v>
      </c>
      <c r="I74" s="40">
        <v>50.155839999999998</v>
      </c>
      <c r="J74" s="40">
        <v>18.170642999999998</v>
      </c>
      <c r="K74" s="47">
        <v>-2.1952093000000001</v>
      </c>
      <c r="L74" s="47">
        <v>17.484247</v>
      </c>
      <c r="M74" s="47">
        <v>27.00975</v>
      </c>
      <c r="N74" s="47">
        <v>-6.5384570000000002</v>
      </c>
    </row>
    <row r="75" spans="1:14" x14ac:dyDescent="0.35">
      <c r="A75" s="2">
        <v>44138</v>
      </c>
      <c r="B75" s="40">
        <v>17.556213</v>
      </c>
      <c r="C75" s="40">
        <v>-6.6760659999999996</v>
      </c>
      <c r="D75" s="40">
        <v>-3.3569992000000002</v>
      </c>
      <c r="E75" s="40">
        <v>-3.4159481999999999</v>
      </c>
      <c r="F75" s="40">
        <v>3.4274339999999999</v>
      </c>
      <c r="G75" s="40">
        <v>7.0604563000000002</v>
      </c>
      <c r="H75" s="40">
        <v>-20.001543000000002</v>
      </c>
      <c r="I75" s="40">
        <v>39.138306</v>
      </c>
      <c r="J75" s="40">
        <v>11.921144</v>
      </c>
      <c r="K75" s="47">
        <v>-10.108024</v>
      </c>
      <c r="L75" s="47">
        <v>10.168540999999999</v>
      </c>
      <c r="M75" s="47">
        <v>11.713171000000001</v>
      </c>
      <c r="N75" s="47">
        <v>-15.6264305</v>
      </c>
    </row>
    <row r="76" spans="1:14" x14ac:dyDescent="0.35">
      <c r="A76" s="2">
        <v>44168</v>
      </c>
      <c r="B76" s="40">
        <v>21.99633</v>
      </c>
      <c r="C76" s="40">
        <v>8.3323</v>
      </c>
      <c r="D76" s="40">
        <v>8.1346509999999999</v>
      </c>
      <c r="E76" s="40">
        <v>8.9423290000000009</v>
      </c>
      <c r="F76" s="40">
        <v>12.654400000000001</v>
      </c>
      <c r="G76" s="40">
        <v>13.207352</v>
      </c>
      <c r="H76" s="40">
        <v>-5.5623826999999997</v>
      </c>
      <c r="I76" s="40">
        <v>52.204940000000001</v>
      </c>
      <c r="J76" s="40">
        <v>20.787631999999999</v>
      </c>
      <c r="K76" s="47">
        <v>7.9870223999999999</v>
      </c>
      <c r="L76" s="47">
        <v>25.539100000000001</v>
      </c>
      <c r="M76" s="47">
        <v>28.170193000000001</v>
      </c>
      <c r="N76" s="47">
        <v>3.1376957999999999</v>
      </c>
    </row>
    <row r="77" spans="1:14" x14ac:dyDescent="0.35">
      <c r="A77" s="2">
        <v>44196</v>
      </c>
      <c r="B77" s="40">
        <v>20.040130000000001</v>
      </c>
      <c r="C77" s="40">
        <v>8.2654949999999996</v>
      </c>
      <c r="D77" s="40">
        <v>5.5211781999999996</v>
      </c>
      <c r="E77" s="40">
        <v>10.563791</v>
      </c>
      <c r="F77" s="40">
        <v>15.40935</v>
      </c>
      <c r="G77" s="40">
        <v>11.787022</v>
      </c>
      <c r="H77" s="40">
        <v>-11.804508999999999</v>
      </c>
      <c r="I77" s="40">
        <v>48.618769999999998</v>
      </c>
      <c r="J77" s="40">
        <v>18.373214999999998</v>
      </c>
      <c r="K77" s="47">
        <v>2.8523922000000002</v>
      </c>
      <c r="L77" s="47">
        <v>23.225773</v>
      </c>
      <c r="M77" s="47">
        <v>22.261215</v>
      </c>
      <c r="N77" s="47">
        <v>1.6735792</v>
      </c>
    </row>
    <row r="78" spans="1:14" x14ac:dyDescent="0.35">
      <c r="A78" s="2">
        <v>44230</v>
      </c>
      <c r="B78" s="40">
        <v>23.798143</v>
      </c>
      <c r="C78" s="40">
        <v>12.665188000000001</v>
      </c>
      <c r="D78" s="40">
        <v>9.1071489999999997</v>
      </c>
      <c r="E78" s="40">
        <v>16.12978</v>
      </c>
      <c r="F78" s="40">
        <v>19.352650000000001</v>
      </c>
      <c r="G78" s="40">
        <v>11.27857</v>
      </c>
      <c r="H78" s="40">
        <v>-5.7851850000000002</v>
      </c>
      <c r="I78" s="40">
        <v>47.813904000000001</v>
      </c>
      <c r="J78" s="40">
        <v>20.053577000000001</v>
      </c>
      <c r="K78" s="47">
        <v>6.5750120000000001</v>
      </c>
      <c r="L78" s="47">
        <v>33.022533000000003</v>
      </c>
      <c r="M78" s="47">
        <v>32.436751999999998</v>
      </c>
      <c r="N78" s="47">
        <v>4.2058470000000003</v>
      </c>
    </row>
    <row r="79" spans="1:14" x14ac:dyDescent="0.35">
      <c r="A79" s="2">
        <v>44258</v>
      </c>
      <c r="B79" s="40">
        <v>21.531796</v>
      </c>
      <c r="C79" s="40">
        <v>27.398132</v>
      </c>
      <c r="D79" s="40">
        <v>21.196102</v>
      </c>
      <c r="E79" s="40">
        <v>26.289473999999998</v>
      </c>
      <c r="F79" s="40">
        <v>30.481470000000002</v>
      </c>
      <c r="G79" s="40">
        <v>14.022148</v>
      </c>
      <c r="H79" s="40">
        <v>9.5101239999999994</v>
      </c>
      <c r="I79" s="40">
        <v>48.637436000000001</v>
      </c>
      <c r="J79" s="40">
        <v>29.456282000000002</v>
      </c>
      <c r="K79" s="47">
        <v>18.979476999999999</v>
      </c>
      <c r="L79" s="47">
        <v>43.350540000000002</v>
      </c>
      <c r="M79" s="47">
        <v>41.668190000000003</v>
      </c>
      <c r="N79" s="47">
        <v>14.620649</v>
      </c>
    </row>
    <row r="80" spans="1:14" x14ac:dyDescent="0.35">
      <c r="A80" s="2">
        <v>44287</v>
      </c>
      <c r="B80" s="40">
        <v>42.820213000000003</v>
      </c>
      <c r="C80" s="40">
        <v>71.345519999999993</v>
      </c>
      <c r="D80" s="40">
        <v>70.401955000000001</v>
      </c>
      <c r="E80" s="40">
        <v>70.442819999999998</v>
      </c>
      <c r="F80" s="40">
        <v>48.740229999999997</v>
      </c>
      <c r="G80" s="40">
        <v>32.477615</v>
      </c>
      <c r="H80" s="40">
        <v>43.063879999999997</v>
      </c>
      <c r="I80" s="40">
        <v>79.143035999999995</v>
      </c>
      <c r="J80" s="40">
        <v>65.376130000000003</v>
      </c>
      <c r="K80" s="47">
        <v>61.322879999999998</v>
      </c>
      <c r="L80" s="47">
        <v>92.318129999999996</v>
      </c>
      <c r="M80" s="47">
        <v>89.209710000000001</v>
      </c>
      <c r="N80" s="47">
        <v>63.152813000000002</v>
      </c>
    </row>
    <row r="81" spans="1:14" x14ac:dyDescent="0.35">
      <c r="A81" s="2">
        <v>44319</v>
      </c>
      <c r="B81" s="40">
        <v>39.421906</v>
      </c>
      <c r="C81" s="40">
        <v>65.747439999999997</v>
      </c>
      <c r="D81" s="40">
        <v>54.267629999999997</v>
      </c>
      <c r="E81" s="40">
        <v>55.269992999999999</v>
      </c>
      <c r="F81" s="40">
        <v>35.764800000000001</v>
      </c>
      <c r="G81" s="40">
        <v>30.626546999999999</v>
      </c>
      <c r="H81" s="40">
        <v>37.796055000000003</v>
      </c>
      <c r="I81" s="40">
        <v>59.014847000000003</v>
      </c>
      <c r="J81" s="40">
        <v>50.269509999999997</v>
      </c>
      <c r="K81" s="47">
        <v>57.604374</v>
      </c>
      <c r="L81" s="47">
        <v>76.445049999999995</v>
      </c>
      <c r="M81" s="47">
        <v>78.673540000000003</v>
      </c>
      <c r="N81" s="47">
        <v>58.377409999999998</v>
      </c>
    </row>
    <row r="82" spans="1:14" x14ac:dyDescent="0.35">
      <c r="A82" s="2">
        <v>44350</v>
      </c>
      <c r="B82" s="40">
        <v>13.971556</v>
      </c>
      <c r="C82" s="40">
        <v>39.179133999999998</v>
      </c>
      <c r="D82" s="40">
        <v>46.885933000000001</v>
      </c>
      <c r="E82" s="40">
        <v>31.779325</v>
      </c>
      <c r="F82" s="40">
        <v>22.382401999999999</v>
      </c>
      <c r="G82" s="40">
        <v>25.571954999999999</v>
      </c>
      <c r="H82" s="40">
        <v>26.843081999999999</v>
      </c>
      <c r="I82" s="40">
        <v>40.293014999999997</v>
      </c>
      <c r="J82" s="40">
        <v>36.308014</v>
      </c>
      <c r="K82" s="47">
        <v>40.522396000000001</v>
      </c>
      <c r="L82" s="47">
        <v>54.043674000000003</v>
      </c>
      <c r="M82" s="47">
        <v>53.451884999999997</v>
      </c>
      <c r="N82" s="47">
        <v>39.424515</v>
      </c>
    </row>
    <row r="83" spans="1:14" x14ac:dyDescent="0.35">
      <c r="A83" s="2">
        <v>44379</v>
      </c>
      <c r="B83" s="40">
        <v>9.9355810000000009</v>
      </c>
      <c r="C83" s="40">
        <v>34.843563000000003</v>
      </c>
      <c r="D83" s="40">
        <v>47.161136999999997</v>
      </c>
      <c r="E83" s="40">
        <v>29.986142999999998</v>
      </c>
      <c r="F83" s="40">
        <v>24.481677999999999</v>
      </c>
      <c r="G83" s="40">
        <v>26.301552000000001</v>
      </c>
      <c r="H83" s="40">
        <v>30.004691999999999</v>
      </c>
      <c r="I83" s="40">
        <v>43.016753999999999</v>
      </c>
      <c r="J83" s="40">
        <v>40.995480000000001</v>
      </c>
      <c r="K83" s="47">
        <v>38.957630000000002</v>
      </c>
      <c r="L83" s="47">
        <v>47.333559999999999</v>
      </c>
      <c r="M83" s="47">
        <v>53.677844999999998</v>
      </c>
      <c r="N83" s="47">
        <v>35.063395999999997</v>
      </c>
    </row>
    <row r="84" spans="1:14" x14ac:dyDescent="0.35">
      <c r="A84" s="2">
        <v>44411</v>
      </c>
      <c r="B84" s="40">
        <v>5.8106422000000002</v>
      </c>
      <c r="C84" s="40">
        <v>32.540512</v>
      </c>
      <c r="D84" s="40">
        <v>38.673209999999997</v>
      </c>
      <c r="E84" s="40">
        <v>23.235344000000001</v>
      </c>
      <c r="F84" s="40">
        <v>24.513864999999999</v>
      </c>
      <c r="G84" s="40">
        <v>25.435400000000001</v>
      </c>
      <c r="H84" s="40">
        <v>29.698336000000001</v>
      </c>
      <c r="I84" s="40">
        <v>36.940480000000001</v>
      </c>
      <c r="J84" s="40">
        <v>36.187756</v>
      </c>
      <c r="K84" s="47">
        <v>39.023674</v>
      </c>
      <c r="L84" s="47">
        <v>46.053947000000001</v>
      </c>
      <c r="M84" s="47">
        <v>44.302726999999997</v>
      </c>
      <c r="N84" s="47">
        <v>32.140709999999999</v>
      </c>
    </row>
    <row r="85" spans="1:14" x14ac:dyDescent="0.35">
      <c r="A85" s="2">
        <v>44442</v>
      </c>
      <c r="B85" s="40">
        <v>11.862826</v>
      </c>
      <c r="C85" s="40">
        <v>32.059714999999997</v>
      </c>
      <c r="D85" s="40">
        <v>36.525787000000001</v>
      </c>
      <c r="E85" s="40">
        <v>20.918475999999998</v>
      </c>
      <c r="F85" s="40">
        <v>25.793434000000001</v>
      </c>
      <c r="G85" s="40">
        <v>24.705482</v>
      </c>
      <c r="H85" s="40">
        <v>32.050249999999998</v>
      </c>
      <c r="I85" s="40">
        <v>33.514499999999998</v>
      </c>
      <c r="J85" s="40">
        <v>33.148266</v>
      </c>
      <c r="K85" s="47">
        <v>35.594296</v>
      </c>
      <c r="L85" s="47">
        <v>54.730392000000002</v>
      </c>
      <c r="M85" s="47">
        <v>43.636012999999998</v>
      </c>
      <c r="N85" s="47">
        <v>33.085884</v>
      </c>
    </row>
    <row r="86" spans="1:14" x14ac:dyDescent="0.35">
      <c r="A86" s="2">
        <v>44470</v>
      </c>
      <c r="B86" s="40">
        <v>9.7036840000000009</v>
      </c>
      <c r="C86" s="40">
        <v>28.280698999999998</v>
      </c>
      <c r="D86" s="40">
        <v>35.35266</v>
      </c>
      <c r="E86" s="40">
        <v>15.694893</v>
      </c>
      <c r="F86" s="40">
        <v>19.700968</v>
      </c>
      <c r="G86" s="40">
        <v>15.659666</v>
      </c>
      <c r="H86" s="40">
        <v>30.441130000000001</v>
      </c>
      <c r="I86" s="40">
        <v>28.293060000000001</v>
      </c>
      <c r="J86" s="40">
        <v>30.667090999999999</v>
      </c>
      <c r="K86" s="47">
        <v>35.936092000000002</v>
      </c>
      <c r="L86" s="47">
        <v>40.851868000000003</v>
      </c>
      <c r="M86" s="47">
        <v>30.707598000000001</v>
      </c>
      <c r="N86" s="47">
        <v>32.934401999999999</v>
      </c>
    </row>
    <row r="87" spans="1:14" x14ac:dyDescent="0.35">
      <c r="A87" s="2">
        <v>44503</v>
      </c>
      <c r="B87" s="40">
        <v>7.7168939999999999</v>
      </c>
      <c r="C87" s="40">
        <v>31.405640000000002</v>
      </c>
      <c r="D87" s="40">
        <v>47.218513000000002</v>
      </c>
      <c r="E87" s="40">
        <v>29.820442</v>
      </c>
      <c r="F87" s="40">
        <v>17.419743</v>
      </c>
      <c r="G87" s="40">
        <v>27.759419999999999</v>
      </c>
      <c r="H87" s="40">
        <v>37.315809999999999</v>
      </c>
      <c r="I87" s="40">
        <v>43.922710000000002</v>
      </c>
      <c r="J87" s="40">
        <v>40.259135999999998</v>
      </c>
      <c r="K87" s="47">
        <v>45.805419999999998</v>
      </c>
      <c r="L87" s="47">
        <v>52.031241999999999</v>
      </c>
      <c r="M87" s="47">
        <v>43.346595999999998</v>
      </c>
      <c r="N87" s="47">
        <v>43.879845000000003</v>
      </c>
    </row>
    <row r="88" spans="1:14" x14ac:dyDescent="0.35">
      <c r="A88" s="2">
        <v>44533</v>
      </c>
      <c r="B88" s="40">
        <v>-10.549808000000001</v>
      </c>
      <c r="C88" s="40">
        <v>6.3671350000000002</v>
      </c>
      <c r="D88" s="40">
        <v>22.632525999999999</v>
      </c>
      <c r="E88" s="40">
        <v>5.6021929999999998</v>
      </c>
      <c r="F88" s="40">
        <v>3.5892963</v>
      </c>
      <c r="G88" s="40">
        <v>17.557870000000001</v>
      </c>
      <c r="H88" s="40">
        <v>12.290692</v>
      </c>
      <c r="I88" s="40">
        <v>26.587343000000001</v>
      </c>
      <c r="J88" s="40">
        <v>25.406324000000001</v>
      </c>
      <c r="K88" s="47">
        <v>15.138161</v>
      </c>
      <c r="L88" s="47">
        <v>21.602844000000001</v>
      </c>
      <c r="M88" s="47">
        <v>15.613709999999999</v>
      </c>
      <c r="N88" s="47">
        <v>11.24661</v>
      </c>
    </row>
    <row r="89" spans="1:14" x14ac:dyDescent="0.35">
      <c r="A89" s="2">
        <v>44564</v>
      </c>
      <c r="B89" s="40">
        <v>-12.660456</v>
      </c>
      <c r="C89" s="40">
        <v>9.1258759999999999</v>
      </c>
      <c r="D89" s="40">
        <v>27.463471999999999</v>
      </c>
      <c r="E89" s="40">
        <v>7.0670247000000002</v>
      </c>
      <c r="F89" s="40">
        <v>1.2707710000000001</v>
      </c>
      <c r="G89" s="40">
        <v>20.581318</v>
      </c>
      <c r="H89" s="40">
        <v>19.614864000000001</v>
      </c>
      <c r="I89" s="40">
        <v>28.646982000000001</v>
      </c>
      <c r="J89" s="40">
        <v>29.490494000000002</v>
      </c>
      <c r="K89" s="47">
        <v>22.535170000000001</v>
      </c>
      <c r="L89" s="47">
        <v>23.497807999999999</v>
      </c>
      <c r="M89" s="47">
        <v>24.003337999999999</v>
      </c>
      <c r="N89" s="47">
        <v>16.260254</v>
      </c>
    </row>
    <row r="90" spans="1:14" x14ac:dyDescent="0.35">
      <c r="A90" s="2">
        <v>44595</v>
      </c>
      <c r="B90" s="40">
        <v>-18.32912</v>
      </c>
      <c r="C90" s="40">
        <v>-1.5004039</v>
      </c>
      <c r="D90" s="40">
        <v>23.140038000000001</v>
      </c>
      <c r="E90" s="40">
        <v>1.3777614</v>
      </c>
      <c r="F90" s="40">
        <v>-5.2309869999999998</v>
      </c>
      <c r="G90" s="40">
        <v>11.771048</v>
      </c>
      <c r="H90" s="40">
        <v>20.38045</v>
      </c>
      <c r="I90" s="40">
        <v>8.8470340000000007</v>
      </c>
      <c r="J90" s="40">
        <v>18.530930000000001</v>
      </c>
      <c r="K90" s="47">
        <v>19.277726999999999</v>
      </c>
      <c r="L90" s="47">
        <v>6.4978360000000004</v>
      </c>
      <c r="M90" s="47">
        <v>6.8049429999999997</v>
      </c>
      <c r="N90" s="47">
        <v>14.391171999999999</v>
      </c>
    </row>
    <row r="91" spans="1:14" x14ac:dyDescent="0.35">
      <c r="A91" s="2">
        <v>44623</v>
      </c>
      <c r="B91" s="40">
        <v>-11.341839999999999</v>
      </c>
      <c r="C91" s="40">
        <v>1.7906666</v>
      </c>
      <c r="D91" s="40">
        <v>18.790901000000002</v>
      </c>
      <c r="E91" s="40">
        <v>-13.51121</v>
      </c>
      <c r="F91" s="40">
        <v>-7.3191940000000004</v>
      </c>
      <c r="G91" s="40">
        <v>10.154009</v>
      </c>
      <c r="H91" s="40">
        <v>10.167122000000001</v>
      </c>
      <c r="I91" s="40">
        <v>11.240303000000001</v>
      </c>
      <c r="J91" s="40">
        <v>15.771008</v>
      </c>
      <c r="K91" s="47">
        <v>1.8886327999999999</v>
      </c>
      <c r="L91" s="47">
        <v>-6.1158713999999996</v>
      </c>
      <c r="M91" s="47">
        <v>-13.05818</v>
      </c>
      <c r="N91" s="47">
        <v>-2.7714311999999999</v>
      </c>
    </row>
    <row r="92" spans="1:14" x14ac:dyDescent="0.35">
      <c r="A92" s="2">
        <v>44652</v>
      </c>
      <c r="B92" s="40">
        <v>-9.1008479999999992</v>
      </c>
      <c r="C92" s="40">
        <v>11.612690000000001</v>
      </c>
      <c r="D92" s="40">
        <v>18.33539</v>
      </c>
      <c r="E92" s="40">
        <v>-13.5556755</v>
      </c>
      <c r="F92" s="40">
        <v>-8.5726200000000006</v>
      </c>
      <c r="G92" s="40">
        <v>12.176190999999999</v>
      </c>
      <c r="H92" s="40">
        <v>11.945544999999999</v>
      </c>
      <c r="I92" s="40">
        <v>12.023603</v>
      </c>
      <c r="J92" s="40">
        <v>14.555395000000001</v>
      </c>
      <c r="K92" s="47">
        <v>4.6483635999999997</v>
      </c>
      <c r="L92" s="47">
        <v>-8.8384739999999997</v>
      </c>
      <c r="M92" s="47">
        <v>-7.3060749999999999</v>
      </c>
      <c r="N92" s="47">
        <v>-3.3081054999999999</v>
      </c>
    </row>
    <row r="93" spans="1:14" x14ac:dyDescent="0.35">
      <c r="A93" s="2">
        <v>44684</v>
      </c>
      <c r="B93" s="40">
        <v>-22.817903999999999</v>
      </c>
      <c r="C93" s="40">
        <v>-0.64234734000000004</v>
      </c>
      <c r="D93" s="40">
        <v>6.6139219999999996</v>
      </c>
      <c r="E93" s="40">
        <v>-23.527224</v>
      </c>
      <c r="F93" s="40">
        <v>-14.641166</v>
      </c>
      <c r="G93" s="40">
        <v>0.18882751</v>
      </c>
      <c r="H93" s="40">
        <v>3.1908989999999999</v>
      </c>
      <c r="I93" s="40">
        <v>-4.7093924999999999</v>
      </c>
      <c r="J93" s="40">
        <v>0.88385343999999999</v>
      </c>
      <c r="K93" s="47">
        <v>-8.0020959999999999</v>
      </c>
      <c r="L93" s="47">
        <v>-19.544606999999999</v>
      </c>
      <c r="M93" s="47">
        <v>-20.06259</v>
      </c>
      <c r="N93" s="47">
        <v>-11.554491000000001</v>
      </c>
    </row>
    <row r="94" spans="1:14" x14ac:dyDescent="0.35">
      <c r="A94" s="2">
        <v>44715</v>
      </c>
      <c r="B94" s="40">
        <v>-18.559014999999999</v>
      </c>
      <c r="C94" s="40">
        <v>-2.5566279999999999</v>
      </c>
      <c r="D94" s="40">
        <v>2.0789979999999999</v>
      </c>
      <c r="E94" s="40">
        <v>-21.924717000000001</v>
      </c>
      <c r="F94" s="40">
        <v>-15.420109</v>
      </c>
      <c r="G94" s="40">
        <v>-6.4396259999999996</v>
      </c>
      <c r="H94" s="40">
        <v>1.3152957000000001</v>
      </c>
      <c r="I94" s="40">
        <v>-6.7646559999999996</v>
      </c>
      <c r="J94" s="40">
        <v>-0.66649320000000001</v>
      </c>
      <c r="K94" s="47">
        <v>-8.3344570000000004</v>
      </c>
      <c r="L94" s="47">
        <v>-20.368444</v>
      </c>
      <c r="M94" s="47">
        <v>-20.305489999999999</v>
      </c>
      <c r="N94" s="47">
        <v>-13.688433</v>
      </c>
    </row>
    <row r="95" spans="1:14" x14ac:dyDescent="0.35">
      <c r="A95" s="2">
        <v>44743</v>
      </c>
      <c r="B95" s="40">
        <v>-25.094341</v>
      </c>
      <c r="C95" s="40">
        <v>-12.843555</v>
      </c>
      <c r="D95" s="40">
        <v>-7.6863109999999999</v>
      </c>
      <c r="E95" s="40">
        <v>-30.947208</v>
      </c>
      <c r="F95" s="40">
        <v>-19.572883999999998</v>
      </c>
      <c r="G95" s="40">
        <v>-13.02101</v>
      </c>
      <c r="H95" s="40">
        <v>-4.9628734999999997</v>
      </c>
      <c r="I95" s="40">
        <v>-19.988828999999999</v>
      </c>
      <c r="J95" s="40">
        <v>-10.165781000000001</v>
      </c>
      <c r="K95" s="47">
        <v>-16.323460000000001</v>
      </c>
      <c r="L95" s="47">
        <v>-26.87679</v>
      </c>
      <c r="M95" s="47">
        <v>-30.431414</v>
      </c>
      <c r="N95" s="47">
        <v>-22.247553</v>
      </c>
    </row>
    <row r="96" spans="1:14" x14ac:dyDescent="0.35">
      <c r="A96" s="2">
        <v>44776</v>
      </c>
      <c r="B96" s="40">
        <v>-18.497913</v>
      </c>
      <c r="C96" s="40">
        <v>-7.8070345000000003</v>
      </c>
      <c r="D96" s="40">
        <v>-4.2481840000000002</v>
      </c>
      <c r="E96" s="40">
        <v>-29.178165</v>
      </c>
      <c r="F96" s="40">
        <v>-16.552866000000002</v>
      </c>
      <c r="G96" s="40">
        <v>-13.362408</v>
      </c>
      <c r="H96" s="40">
        <v>-3.1559050000000002</v>
      </c>
      <c r="I96" s="40">
        <v>-11.485023</v>
      </c>
      <c r="J96" s="40">
        <v>-4.7134103999999999</v>
      </c>
      <c r="K96" s="47">
        <v>-13.813663</v>
      </c>
      <c r="L96" s="47">
        <v>-23.113268000000001</v>
      </c>
      <c r="M96" s="47">
        <v>-27.511096999999999</v>
      </c>
      <c r="N96" s="47">
        <v>-21.380687999999999</v>
      </c>
    </row>
    <row r="97" spans="1:14" x14ac:dyDescent="0.35">
      <c r="A97" s="2">
        <v>44806</v>
      </c>
      <c r="B97" s="40">
        <v>-25.261963000000002</v>
      </c>
      <c r="C97" s="40">
        <v>-11.771387000000001</v>
      </c>
      <c r="D97" s="40">
        <v>-9.6532049999999998</v>
      </c>
      <c r="E97" s="40">
        <v>-36.912260000000003</v>
      </c>
      <c r="F97" s="40">
        <v>-23.264378000000001</v>
      </c>
      <c r="G97" s="40">
        <v>-19.854109999999999</v>
      </c>
      <c r="H97" s="40">
        <v>-11.10031</v>
      </c>
      <c r="I97" s="40">
        <v>-21.974765999999999</v>
      </c>
      <c r="J97" s="40">
        <v>-12.215585000000001</v>
      </c>
      <c r="K97" s="47">
        <v>-22.381119999999999</v>
      </c>
      <c r="L97" s="47">
        <v>-37.342323</v>
      </c>
      <c r="M97" s="47">
        <v>-36.708280000000002</v>
      </c>
      <c r="N97" s="47">
        <v>-28.350645</v>
      </c>
    </row>
    <row r="98" spans="1:14" x14ac:dyDescent="0.35">
      <c r="A98" s="2">
        <v>44837</v>
      </c>
      <c r="B98" s="40">
        <v>-31.343174000000001</v>
      </c>
      <c r="C98" s="40">
        <v>-13.427562</v>
      </c>
      <c r="D98" s="40">
        <v>-11.072361000000001</v>
      </c>
      <c r="E98" s="40">
        <v>-36.170135000000002</v>
      </c>
      <c r="F98" s="40">
        <v>-27.236854999999998</v>
      </c>
      <c r="G98" s="40">
        <v>-18.376463000000001</v>
      </c>
      <c r="H98" s="40">
        <v>-13.193548</v>
      </c>
      <c r="I98" s="40">
        <v>-23.586428000000002</v>
      </c>
      <c r="J98" s="40">
        <v>-14.293856</v>
      </c>
      <c r="K98" s="47">
        <v>-22.882300999999998</v>
      </c>
      <c r="L98" s="47">
        <v>-35.427140000000001</v>
      </c>
      <c r="M98" s="47">
        <v>-34.611939999999997</v>
      </c>
      <c r="N98" s="47">
        <v>-27.512228</v>
      </c>
    </row>
    <row r="99" spans="1:14" x14ac:dyDescent="0.35">
      <c r="A99" s="2">
        <v>44868</v>
      </c>
      <c r="B99" s="40">
        <v>-30.877573000000002</v>
      </c>
      <c r="C99" s="40">
        <v>-17.554205</v>
      </c>
      <c r="D99" s="40">
        <v>-16.680634000000001</v>
      </c>
      <c r="E99" s="40">
        <v>-36.584180000000003</v>
      </c>
      <c r="F99" s="40">
        <v>-26.820671000000001</v>
      </c>
      <c r="G99" s="40">
        <v>-24.103434</v>
      </c>
      <c r="H99" s="40">
        <v>-14.40565</v>
      </c>
      <c r="I99" s="40">
        <v>-33.337012999999999</v>
      </c>
      <c r="J99" s="40">
        <v>-18.953973999999999</v>
      </c>
      <c r="K99" s="47">
        <v>-23.396104999999999</v>
      </c>
      <c r="L99" s="47">
        <v>-39.463318000000001</v>
      </c>
      <c r="M99" s="47">
        <v>-37.464725000000001</v>
      </c>
      <c r="N99" s="47">
        <v>-27.289206</v>
      </c>
    </row>
    <row r="100" spans="1:14" x14ac:dyDescent="0.35">
      <c r="A100" s="2">
        <v>44897</v>
      </c>
      <c r="B100" s="40">
        <v>-13.168865</v>
      </c>
      <c r="C100" s="40">
        <v>2.5674104999999998</v>
      </c>
      <c r="D100" s="40">
        <v>-4.2606235000000003</v>
      </c>
      <c r="E100" s="40">
        <v>-16.462332</v>
      </c>
      <c r="F100" s="40">
        <v>-14.54823</v>
      </c>
      <c r="G100" s="40">
        <v>-10.534376</v>
      </c>
      <c r="H100" s="40">
        <v>2.7708411000000002</v>
      </c>
      <c r="I100" s="40">
        <v>-24.504536000000002</v>
      </c>
      <c r="J100" s="40">
        <v>-9.6891990000000003</v>
      </c>
      <c r="K100" s="47">
        <v>-5.1412106</v>
      </c>
      <c r="L100" s="47">
        <v>-18.317812</v>
      </c>
      <c r="M100" s="47">
        <v>-19.806374000000002</v>
      </c>
      <c r="N100" s="47">
        <v>-7.9415380000000004</v>
      </c>
    </row>
    <row r="101" spans="1:14" x14ac:dyDescent="0.35">
      <c r="A101" s="2">
        <v>44929</v>
      </c>
      <c r="B101" s="40">
        <v>-16.15314</v>
      </c>
      <c r="C101" s="40">
        <v>-7.1085095000000003</v>
      </c>
      <c r="D101" s="40">
        <v>-13.766520999999999</v>
      </c>
      <c r="E101" s="40">
        <v>-21.784203999999999</v>
      </c>
      <c r="F101" s="40">
        <v>-17.413246000000001</v>
      </c>
      <c r="G101" s="40">
        <v>-17.866253</v>
      </c>
      <c r="H101" s="40">
        <v>-5.1482735000000002</v>
      </c>
      <c r="I101" s="40">
        <v>-33.672829999999998</v>
      </c>
      <c r="J101" s="40">
        <v>-18.985240000000001</v>
      </c>
      <c r="K101" s="47">
        <v>-11.905830999999999</v>
      </c>
      <c r="L101" s="47">
        <v>-23.400031999999999</v>
      </c>
      <c r="M101" s="47">
        <v>-27.632856</v>
      </c>
      <c r="N101" s="47">
        <v>-13.988757</v>
      </c>
    </row>
    <row r="102" spans="1:14" x14ac:dyDescent="0.35">
      <c r="A102" s="2">
        <v>44960</v>
      </c>
      <c r="B102" s="40">
        <v>-2.5783718000000002</v>
      </c>
      <c r="C102" s="40">
        <v>12.050533</v>
      </c>
      <c r="D102" s="40">
        <v>-4.907775</v>
      </c>
      <c r="E102" s="40">
        <v>-8.6105350000000005</v>
      </c>
      <c r="F102" s="40">
        <v>-7.7867030000000002</v>
      </c>
      <c r="G102" s="40">
        <v>-6.1262664999999998</v>
      </c>
      <c r="H102" s="40">
        <v>-2.7380228</v>
      </c>
      <c r="I102" s="40">
        <v>-12.762183</v>
      </c>
      <c r="J102" s="40">
        <v>-6.1669169999999998</v>
      </c>
      <c r="K102" s="47">
        <v>0.69186689999999995</v>
      </c>
      <c r="L102" s="47">
        <v>-4.7567725000000003</v>
      </c>
      <c r="M102" s="47">
        <v>-12.105489</v>
      </c>
      <c r="N102" s="47">
        <v>-4.6174169999999997</v>
      </c>
    </row>
    <row r="103" spans="1:14" x14ac:dyDescent="0.35">
      <c r="A103" s="2">
        <v>44988</v>
      </c>
      <c r="B103" s="40">
        <v>-7.9734683000000004</v>
      </c>
      <c r="C103" s="40">
        <v>1.2712239999999999</v>
      </c>
      <c r="D103" s="40">
        <v>-7.3590993999999998</v>
      </c>
      <c r="E103" s="40">
        <v>5.3128359999999999</v>
      </c>
      <c r="F103" s="40">
        <v>-6.3082750000000001</v>
      </c>
      <c r="G103" s="40">
        <v>-4.2694806999999999</v>
      </c>
      <c r="H103" s="40">
        <v>3.1390547999999998</v>
      </c>
      <c r="I103" s="40">
        <v>-11.797606999999999</v>
      </c>
      <c r="J103" s="40">
        <v>-5.7249489999999996</v>
      </c>
      <c r="K103" s="47">
        <v>14.388883999999999</v>
      </c>
      <c r="L103" s="47">
        <v>4.335642</v>
      </c>
      <c r="M103" s="47">
        <v>4.7614336000000002</v>
      </c>
      <c r="N103" s="47">
        <v>13.257933</v>
      </c>
    </row>
    <row r="104" spans="1:14" x14ac:dyDescent="0.35">
      <c r="A104" s="2">
        <v>45019</v>
      </c>
      <c r="B104" s="40">
        <v>-8.2231699999999996</v>
      </c>
      <c r="C104" s="40">
        <v>-8.0846970000000002</v>
      </c>
      <c r="D104" s="40">
        <v>-11.560732</v>
      </c>
      <c r="E104" s="40">
        <v>2.8383136000000002</v>
      </c>
      <c r="F104" s="40">
        <v>-3.6506832</v>
      </c>
      <c r="G104" s="40">
        <v>-6.2861739999999999</v>
      </c>
      <c r="H104" s="40">
        <v>-0.29580592999999999</v>
      </c>
      <c r="I104" s="40">
        <v>-10.847026</v>
      </c>
      <c r="J104" s="40">
        <v>-7.717848</v>
      </c>
      <c r="K104" s="47">
        <v>10.858428999999999</v>
      </c>
      <c r="L104" s="47">
        <v>1.1273503</v>
      </c>
      <c r="M104" s="47">
        <v>-7.5841846000000004</v>
      </c>
      <c r="N104" s="47">
        <v>7.3770284999999998</v>
      </c>
    </row>
    <row r="105" spans="1:14" x14ac:dyDescent="0.35">
      <c r="A105" s="2">
        <v>45049</v>
      </c>
      <c r="B105" s="40">
        <v>2.4676323</v>
      </c>
      <c r="C105" s="40">
        <v>-3.7970899999999999</v>
      </c>
      <c r="D105" s="40">
        <v>-6.0269475000000003</v>
      </c>
      <c r="E105" s="40">
        <v>15.375435</v>
      </c>
      <c r="F105" s="40">
        <v>4.0055512999999996</v>
      </c>
      <c r="G105" s="40">
        <v>7.6980829999999996</v>
      </c>
      <c r="H105" s="40">
        <v>6.0237885000000002</v>
      </c>
      <c r="I105" s="40">
        <v>0.2817154</v>
      </c>
      <c r="J105" s="40">
        <v>-0.33519863999999999</v>
      </c>
      <c r="K105" s="47">
        <v>22.256910000000001</v>
      </c>
      <c r="L105" s="47">
        <v>10.235559</v>
      </c>
      <c r="M105" s="47">
        <v>5.7721140000000002</v>
      </c>
      <c r="N105" s="47">
        <v>18.229234999999999</v>
      </c>
    </row>
    <row r="106" spans="1:14" x14ac:dyDescent="0.35">
      <c r="A106" s="2">
        <v>45079</v>
      </c>
      <c r="B106" s="40">
        <v>0.87914466999999996</v>
      </c>
      <c r="C106" s="40">
        <v>-5.7606754000000002</v>
      </c>
      <c r="D106" s="40">
        <v>-8.7550460000000001</v>
      </c>
      <c r="E106" s="40">
        <v>6.5530540000000004</v>
      </c>
      <c r="F106" s="40">
        <v>7.7734350000000001</v>
      </c>
      <c r="G106" s="40">
        <v>5.5982589999999997</v>
      </c>
      <c r="H106" s="40">
        <v>1.1889457999999999</v>
      </c>
      <c r="I106" s="40">
        <v>13.672637999999999</v>
      </c>
      <c r="J106" s="40">
        <v>4.2727349999999999</v>
      </c>
      <c r="K106" s="47">
        <v>12.324774</v>
      </c>
      <c r="L106" s="47">
        <v>9.6729520000000004</v>
      </c>
      <c r="M106" s="47">
        <v>-2.9057205000000002</v>
      </c>
      <c r="N106" s="47">
        <v>11.502159000000001</v>
      </c>
    </row>
    <row r="107" spans="1:14" x14ac:dyDescent="0.35">
      <c r="A107" s="2">
        <v>45110</v>
      </c>
      <c r="B107" s="40">
        <v>12.314892</v>
      </c>
      <c r="C107" s="40">
        <v>11.562956</v>
      </c>
      <c r="D107" s="40">
        <v>5.9775352000000002</v>
      </c>
      <c r="E107" s="40">
        <v>26.880013999999999</v>
      </c>
      <c r="F107" s="40">
        <v>18.128776999999999</v>
      </c>
      <c r="G107" s="40">
        <v>12.916969999999999</v>
      </c>
      <c r="H107" s="40">
        <v>11.498856999999999</v>
      </c>
      <c r="I107" s="40">
        <v>32.186042999999998</v>
      </c>
      <c r="J107" s="40">
        <v>18.325292999999999</v>
      </c>
      <c r="K107" s="47">
        <v>30.887889999999999</v>
      </c>
      <c r="L107" s="47">
        <v>27.024291999999999</v>
      </c>
      <c r="M107" s="47">
        <v>15.950537000000001</v>
      </c>
      <c r="N107" s="47">
        <v>37.198627000000002</v>
      </c>
    </row>
    <row r="108" spans="1:14" x14ac:dyDescent="0.35">
      <c r="A108" s="2">
        <v>45141</v>
      </c>
      <c r="B108" s="40">
        <v>0.43289660000000002</v>
      </c>
      <c r="C108" s="40">
        <v>2.8209925</v>
      </c>
      <c r="D108" s="40">
        <v>1.7817377999999999</v>
      </c>
      <c r="E108" s="40">
        <v>22.535824000000002</v>
      </c>
      <c r="F108" s="40">
        <v>10.937559</v>
      </c>
      <c r="G108" s="40">
        <v>10.537648000000001</v>
      </c>
      <c r="H108" s="40">
        <v>8.7067840000000007</v>
      </c>
      <c r="I108" s="40">
        <v>16.591251</v>
      </c>
      <c r="J108" s="40">
        <v>10.082412</v>
      </c>
      <c r="K108" s="47">
        <v>22.200453</v>
      </c>
      <c r="L108" s="47">
        <v>16.1098</v>
      </c>
      <c r="M108" s="47">
        <v>3.8364172000000001</v>
      </c>
      <c r="N108" s="47">
        <v>37.089202999999998</v>
      </c>
    </row>
    <row r="109" spans="1:14" x14ac:dyDescent="0.35">
      <c r="A109" s="2">
        <v>45170</v>
      </c>
      <c r="B109" s="40">
        <v>-0.37047267</v>
      </c>
      <c r="C109" s="40">
        <v>6.2711595999999998</v>
      </c>
      <c r="D109" s="40">
        <v>7.3082805000000004</v>
      </c>
      <c r="E109" s="40">
        <v>31.744062</v>
      </c>
      <c r="F109" s="40">
        <v>18.256546</v>
      </c>
      <c r="G109" s="40">
        <v>17.080784000000001</v>
      </c>
      <c r="H109" s="40">
        <v>16.719936000000001</v>
      </c>
      <c r="I109" s="40">
        <v>27.016926000000002</v>
      </c>
      <c r="J109" s="40">
        <v>15.691757000000001</v>
      </c>
      <c r="K109" s="47">
        <v>31.388390000000001</v>
      </c>
      <c r="L109" s="47">
        <v>25.123346000000002</v>
      </c>
      <c r="M109" s="47">
        <v>13.631629999999999</v>
      </c>
      <c r="N109" s="47">
        <v>44.340862000000001</v>
      </c>
    </row>
    <row r="110" spans="1:14" x14ac:dyDescent="0.35">
      <c r="A110" s="2">
        <v>45202</v>
      </c>
      <c r="B110" s="40">
        <v>5.2469609999999998</v>
      </c>
      <c r="C110" s="40">
        <v>6.9247959999999997</v>
      </c>
      <c r="D110" s="40">
        <v>3.7051558</v>
      </c>
      <c r="E110" s="40">
        <v>29.568386</v>
      </c>
      <c r="F110" s="40">
        <v>19.195795</v>
      </c>
      <c r="G110" s="40">
        <v>15.957402999999999</v>
      </c>
      <c r="H110" s="40">
        <v>18.870640000000002</v>
      </c>
      <c r="I110" s="40">
        <v>30.638838</v>
      </c>
      <c r="J110" s="40">
        <v>16.825617000000001</v>
      </c>
      <c r="K110" s="47">
        <v>29.678488000000002</v>
      </c>
      <c r="L110" s="47">
        <v>19.717252999999999</v>
      </c>
      <c r="M110" s="47">
        <v>15.778172</v>
      </c>
      <c r="N110" s="47">
        <v>38.126266000000001</v>
      </c>
    </row>
    <row r="111" spans="1:14" x14ac:dyDescent="0.35">
      <c r="A111" s="2">
        <v>45233</v>
      </c>
      <c r="B111" s="40">
        <v>5.0468206000000002</v>
      </c>
      <c r="C111" s="40">
        <v>11.39791</v>
      </c>
      <c r="D111" s="40">
        <v>7.1118116000000002</v>
      </c>
      <c r="E111" s="40">
        <v>27.078379000000002</v>
      </c>
      <c r="F111" s="40">
        <v>25.403749999999999</v>
      </c>
      <c r="G111" s="40">
        <v>16.117775000000002</v>
      </c>
      <c r="H111" s="40">
        <v>17.281092000000001</v>
      </c>
      <c r="I111" s="40">
        <v>42.121969999999997</v>
      </c>
      <c r="J111" s="40">
        <v>19.027149999999999</v>
      </c>
      <c r="K111" s="47">
        <v>25.699210999999998</v>
      </c>
      <c r="L111" s="47">
        <v>27.185403999999998</v>
      </c>
      <c r="M111" s="47">
        <v>15.557898</v>
      </c>
      <c r="N111" s="47">
        <v>37.170969999999997</v>
      </c>
    </row>
    <row r="112" spans="1:14" x14ac:dyDescent="0.35">
      <c r="A112" s="2">
        <v>45261</v>
      </c>
      <c r="B112" s="40">
        <v>-3.4580410000000001</v>
      </c>
      <c r="C112" s="40">
        <v>0.28856992999999997</v>
      </c>
      <c r="D112" s="40">
        <v>2.7166486000000001</v>
      </c>
      <c r="E112" s="40">
        <v>15.437115</v>
      </c>
      <c r="F112" s="40">
        <v>13.559495999999999</v>
      </c>
      <c r="G112" s="40">
        <v>7.7215195000000003</v>
      </c>
      <c r="H112" s="40">
        <v>6.9146633</v>
      </c>
      <c r="I112" s="40">
        <v>33.662964000000002</v>
      </c>
      <c r="J112" s="40">
        <v>14.487909999999999</v>
      </c>
      <c r="K112" s="47">
        <v>13.988113</v>
      </c>
      <c r="L112" s="47">
        <v>9.5671649999999993</v>
      </c>
      <c r="M112" s="47">
        <v>7.8098179999999999</v>
      </c>
      <c r="N112" s="47">
        <v>23.165834</v>
      </c>
    </row>
    <row r="113" spans="1:14" x14ac:dyDescent="0.35">
      <c r="A113" s="2">
        <v>45294</v>
      </c>
      <c r="B113" s="40">
        <v>1.7241359000000001</v>
      </c>
      <c r="C113" s="40">
        <v>13.124644999999999</v>
      </c>
      <c r="D113" s="40">
        <v>13.843036</v>
      </c>
      <c r="E113" s="40">
        <v>18.153739999999999</v>
      </c>
      <c r="F113" s="40">
        <v>18.013680000000001</v>
      </c>
      <c r="G113" s="40">
        <v>14.779413</v>
      </c>
      <c r="H113" s="40">
        <v>10.966396</v>
      </c>
      <c r="I113" s="40">
        <v>51.646434999999997</v>
      </c>
      <c r="J113" s="40">
        <v>24.984741</v>
      </c>
      <c r="K113" s="47">
        <v>16.995085</v>
      </c>
      <c r="L113" s="47">
        <v>15.165400500000001</v>
      </c>
      <c r="M113" s="47">
        <v>18.638908000000001</v>
      </c>
      <c r="N113" s="47">
        <v>25.585615000000001</v>
      </c>
    </row>
    <row r="114" spans="1:14" x14ac:dyDescent="0.35">
      <c r="A114" s="2">
        <v>45324</v>
      </c>
      <c r="B114" s="40">
        <v>-10.102999000000001</v>
      </c>
      <c r="C114" s="40">
        <v>-1.5977859999999999</v>
      </c>
      <c r="D114" s="40">
        <v>4.2808413999999999</v>
      </c>
      <c r="E114" s="40">
        <v>4.0325284000000003</v>
      </c>
      <c r="F114" s="40">
        <v>15.654051000000001</v>
      </c>
      <c r="G114" s="40">
        <v>6.921208</v>
      </c>
      <c r="H114" s="40">
        <v>4.5794009999999998</v>
      </c>
      <c r="I114" s="40">
        <v>38.57497</v>
      </c>
      <c r="J114" s="40">
        <v>20.427607999999999</v>
      </c>
      <c r="K114" s="47">
        <v>6.2031390000000002</v>
      </c>
      <c r="L114" s="47">
        <v>7.2924020000000001</v>
      </c>
      <c r="M114" s="47">
        <v>4.6181559999999999</v>
      </c>
      <c r="N114" s="47">
        <v>13.907539</v>
      </c>
    </row>
    <row r="115" spans="1:14" x14ac:dyDescent="0.35">
      <c r="A115" s="2">
        <v>45352</v>
      </c>
      <c r="B115" s="40">
        <v>-5.1403639999999999</v>
      </c>
      <c r="C115" s="40">
        <v>8.9434740000000001</v>
      </c>
      <c r="D115" s="40">
        <v>10.971807999999999</v>
      </c>
      <c r="E115" s="40">
        <v>15.048527999999999</v>
      </c>
      <c r="F115" s="40">
        <v>28.189934000000001</v>
      </c>
      <c r="G115" s="40">
        <v>10.989261000000001</v>
      </c>
      <c r="H115" s="40">
        <v>5.7022095000000004</v>
      </c>
      <c r="I115" s="40">
        <v>54.079757999999998</v>
      </c>
      <c r="J115" s="40">
        <v>31.909966000000001</v>
      </c>
      <c r="K115" s="47">
        <v>12.643003</v>
      </c>
      <c r="L115" s="47">
        <v>19.980967</v>
      </c>
      <c r="M115" s="47">
        <v>16.017925000000002</v>
      </c>
      <c r="N115" s="47">
        <v>23.607481</v>
      </c>
    </row>
    <row r="116" spans="1:14" x14ac:dyDescent="0.35">
      <c r="A116" s="2">
        <v>45385</v>
      </c>
      <c r="B116" s="40">
        <v>-6.166893</v>
      </c>
      <c r="C116" s="40">
        <v>9.5165489999999995</v>
      </c>
      <c r="D116" s="40">
        <v>12.393093</v>
      </c>
      <c r="E116" s="40">
        <v>13.987982000000001</v>
      </c>
      <c r="F116" s="40">
        <v>21.940804</v>
      </c>
      <c r="G116" s="40">
        <v>5.5729030000000002</v>
      </c>
      <c r="H116" s="40">
        <v>8.9096550000000008</v>
      </c>
      <c r="I116" s="40">
        <v>39.010703999999997</v>
      </c>
      <c r="J116" s="40">
        <v>28.233682999999999</v>
      </c>
      <c r="K116" s="47">
        <v>11.028135000000001</v>
      </c>
      <c r="L116" s="47">
        <v>19.496594999999999</v>
      </c>
      <c r="M116" s="47">
        <v>15.6354065</v>
      </c>
      <c r="N116" s="47">
        <v>26.579905</v>
      </c>
    </row>
    <row r="117" spans="1:14" x14ac:dyDescent="0.35">
      <c r="A117" s="2">
        <v>45415</v>
      </c>
      <c r="B117" s="40">
        <v>-5.1296052999999997</v>
      </c>
      <c r="C117" s="40">
        <v>10.775364</v>
      </c>
      <c r="D117" s="40">
        <v>11.694955999999999</v>
      </c>
      <c r="E117" s="40">
        <v>8.9092970000000005</v>
      </c>
      <c r="F117" s="40">
        <v>20.64141</v>
      </c>
      <c r="G117" s="40">
        <v>-2.6208640000000001</v>
      </c>
      <c r="H117" s="40">
        <v>10.247922000000001</v>
      </c>
      <c r="I117" s="40">
        <v>38.163409999999999</v>
      </c>
      <c r="J117" s="40">
        <v>27.135467999999999</v>
      </c>
      <c r="K117" s="47">
        <v>6.7087770000000004</v>
      </c>
      <c r="L117" s="47">
        <v>19.898499000000001</v>
      </c>
      <c r="M117" s="47">
        <v>10.751211</v>
      </c>
      <c r="N117" s="47">
        <v>22.272396000000001</v>
      </c>
    </row>
    <row r="118" spans="1:14" x14ac:dyDescent="0.35">
      <c r="A118" s="2">
        <v>45446</v>
      </c>
      <c r="B118" s="40">
        <v>-2.0469963999999998</v>
      </c>
      <c r="C118" s="40">
        <v>13.605392</v>
      </c>
      <c r="D118" s="40">
        <v>12.79496</v>
      </c>
      <c r="E118" s="40">
        <v>15.644550000000001</v>
      </c>
      <c r="F118" s="40">
        <v>14.314591999999999</v>
      </c>
      <c r="G118" s="40">
        <v>6.8816185000000001</v>
      </c>
      <c r="H118" s="40">
        <v>15.763496999999999</v>
      </c>
      <c r="I118" s="40">
        <v>28.618694000000001</v>
      </c>
      <c r="J118" s="40">
        <v>25.137543000000001</v>
      </c>
      <c r="K118" s="47">
        <v>13.599992</v>
      </c>
      <c r="L118" s="47">
        <v>22.436596000000002</v>
      </c>
      <c r="M118" s="47">
        <v>22.812199</v>
      </c>
      <c r="N118" s="47">
        <v>31.418704999999999</v>
      </c>
    </row>
    <row r="119" spans="1:14" x14ac:dyDescent="0.35">
      <c r="A119" s="2">
        <v>45476</v>
      </c>
      <c r="B119" s="40">
        <v>-4.5350549999999998</v>
      </c>
      <c r="C119" s="40">
        <v>13.779306</v>
      </c>
      <c r="D119" s="40">
        <v>9.9673510000000007</v>
      </c>
      <c r="E119" s="40">
        <v>11.663055</v>
      </c>
      <c r="F119" s="40">
        <v>14.343870000000001</v>
      </c>
      <c r="G119" s="40">
        <v>7.4560880000000003</v>
      </c>
      <c r="H119" s="40">
        <v>14.052868</v>
      </c>
      <c r="I119" s="40">
        <v>33.523345999999997</v>
      </c>
      <c r="J119" s="40">
        <v>26.009105999999999</v>
      </c>
      <c r="K119" s="47">
        <v>4.2497395999999998</v>
      </c>
      <c r="L119" s="47">
        <v>21.249699</v>
      </c>
      <c r="M119" s="47">
        <v>20.591784000000001</v>
      </c>
      <c r="N119" s="47">
        <v>19.364035000000001</v>
      </c>
    </row>
    <row r="120" spans="1:14" x14ac:dyDescent="0.35">
      <c r="A120" s="2">
        <v>45506</v>
      </c>
      <c r="B120" s="40">
        <v>-2.0269214999999998</v>
      </c>
      <c r="C120" s="40">
        <v>11.873722000000001</v>
      </c>
      <c r="D120" s="40">
        <v>9.0343110000000006</v>
      </c>
      <c r="E120" s="40">
        <v>9.0573669999999993</v>
      </c>
      <c r="F120" s="40">
        <v>7.4178100000000002</v>
      </c>
      <c r="G120" s="40">
        <v>9.0772630000000003</v>
      </c>
      <c r="H120" s="40">
        <v>14.259385999999999</v>
      </c>
      <c r="I120" s="40">
        <v>20.687569</v>
      </c>
      <c r="J120" s="40">
        <v>20.053052999999998</v>
      </c>
      <c r="K120" s="47">
        <v>1.9848824</v>
      </c>
      <c r="L120" s="47">
        <v>9.7704769999999996</v>
      </c>
      <c r="M120" s="47">
        <v>16.793227999999999</v>
      </c>
      <c r="N120" s="47">
        <v>14.599990999999999</v>
      </c>
    </row>
    <row r="121" spans="1:14" x14ac:dyDescent="0.35">
      <c r="A121" s="2">
        <v>45538</v>
      </c>
      <c r="B121" s="40">
        <v>10.187996</v>
      </c>
      <c r="C121" s="40">
        <v>19.247268999999999</v>
      </c>
      <c r="D121" s="40">
        <v>16.558897000000002</v>
      </c>
      <c r="E121" s="40">
        <v>19.395959999999999</v>
      </c>
      <c r="F121" s="40">
        <v>16.74155</v>
      </c>
      <c r="G121" s="40">
        <v>15.857469999999999</v>
      </c>
      <c r="H121" s="40">
        <v>19.759464000000001</v>
      </c>
      <c r="I121" s="40">
        <v>23.147379999999998</v>
      </c>
      <c r="J121" s="40">
        <v>24.081779999999998</v>
      </c>
      <c r="K121" s="47">
        <v>8.2999589999999994</v>
      </c>
      <c r="L121" s="47">
        <v>22.214794000000001</v>
      </c>
      <c r="M121" s="47">
        <v>29.49897</v>
      </c>
      <c r="N121" s="47">
        <v>23.975729999999999</v>
      </c>
    </row>
    <row r="122" spans="1:14" x14ac:dyDescent="0.35">
      <c r="A122" s="2">
        <v>45568</v>
      </c>
      <c r="B122">
        <v>15.889882999999999</v>
      </c>
      <c r="C122">
        <v>33.276916999999997</v>
      </c>
      <c r="D122">
        <v>31.213235999999998</v>
      </c>
      <c r="E122">
        <v>32.220565999999998</v>
      </c>
      <c r="F122">
        <v>23.425425000000001</v>
      </c>
      <c r="G122">
        <v>22.076488000000001</v>
      </c>
      <c r="H122">
        <v>24.443615000000001</v>
      </c>
      <c r="I122">
        <v>36.618782000000003</v>
      </c>
      <c r="J122">
        <v>36.511684000000002</v>
      </c>
      <c r="K122" s="47">
        <v>16.194068999999999</v>
      </c>
      <c r="L122" s="47">
        <v>38.026417000000002</v>
      </c>
      <c r="M122" s="47">
        <v>36.267339999999997</v>
      </c>
      <c r="N122" s="47">
        <v>32.378376000000003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-31.343174000000001</v>
      </c>
      <c r="C126" s="40" cm="1">
        <f t="array" ref="C126">MIN(_xlfn._xlws.FILTER(C2:C122, ISNUMBER(C2:C122)))</f>
        <v>-30.607765000000001</v>
      </c>
      <c r="D126" s="40" cm="1">
        <f t="array" ref="D126">MIN(_xlfn._xlws.FILTER(D2:D122, ISNUMBER(D2:D122)))</f>
        <v>-26.394200000000001</v>
      </c>
      <c r="E126" s="40" cm="1">
        <f t="array" ref="E126">MIN(_xlfn._xlws.FILTER(E2:E122, ISNUMBER(E2:E122)))</f>
        <v>-36.912260000000003</v>
      </c>
      <c r="F126" s="40" cm="1">
        <f t="array" ref="F126">MIN(_xlfn._xlws.FILTER(F2:F122, ISNUMBER(F2:F122)))</f>
        <v>-27.236854999999998</v>
      </c>
      <c r="G126" s="40" cm="1">
        <f t="array" ref="G126">MIN(_xlfn._xlws.FILTER(G2:G122, ISNUMBER(G2:G122)))</f>
        <v>-24.103434</v>
      </c>
      <c r="H126" s="40" cm="1">
        <f t="array" ref="H126">MIN(_xlfn._xlws.FILTER(H2:H122, ISNUMBER(H2:H122)))</f>
        <v>-30.456178999999999</v>
      </c>
      <c r="I126" s="40" cm="1">
        <f t="array" ref="I126">MIN(_xlfn._xlws.FILTER(I2:I122, ISNUMBER(I2:I122)))</f>
        <v>-33.672829999999998</v>
      </c>
      <c r="J126" s="40" cm="1">
        <f t="array" ref="J126">MIN(_xlfn._xlws.FILTER(J2:J122, ISNUMBER(J2:J122)))</f>
        <v>-18.985240000000001</v>
      </c>
      <c r="K126" s="40" cm="1">
        <f t="array" ref="K126">MIN(_xlfn._xlws.FILTER(K2:K122, ISNUMBER(K2:K122)))</f>
        <v>-25.598568</v>
      </c>
      <c r="L126" s="40" cm="1">
        <f t="array" ref="L126">MIN(_xlfn._xlws.FILTER(L2:L122, ISNUMBER(L2:L122)))</f>
        <v>-39.463318000000001</v>
      </c>
      <c r="M126" s="40" cm="1">
        <f t="array" ref="M126">MIN(_xlfn._xlws.FILTER(M2:M122, ISNUMBER(M2:M122)))</f>
        <v>-37.464725000000001</v>
      </c>
      <c r="N126" s="40" cm="1">
        <f t="array" ref="N126">MIN(_xlfn._xlws.FILTER(N2:N122, ISNUMBER(N2:N122)))</f>
        <v>-28.361135000000001</v>
      </c>
    </row>
    <row r="127" spans="1:14" x14ac:dyDescent="0.35">
      <c r="A127" s="2" t="s">
        <v>393</v>
      </c>
      <c r="B127" s="42" cm="1">
        <f t="array" ref="B127">MAX(_xlfn._xlws.FILTER(B1:B122, ISNUMBER(B1:B122)))</f>
        <v>54.736170000000001</v>
      </c>
      <c r="C127" s="42" cm="1">
        <f t="array" ref="C127">MAX(_xlfn._xlws.FILTER(C1:C122, ISNUMBER(C1:C122)))</f>
        <v>71.345519999999993</v>
      </c>
      <c r="D127" s="42" cm="1">
        <f t="array" ref="D127">MAX(_xlfn._xlws.FILTER(D1:D122, ISNUMBER(D1:D122)))</f>
        <v>70.401955000000001</v>
      </c>
      <c r="E127" s="42" cm="1">
        <f t="array" ref="E127">MAX(_xlfn._xlws.FILTER(E1:E122, ISNUMBER(E1:E122)))</f>
        <v>70.442819999999998</v>
      </c>
      <c r="F127" s="42" cm="1">
        <f t="array" ref="F127">MAX(_xlfn._xlws.FILTER(F1:F122, ISNUMBER(F1:F122)))</f>
        <v>48.740229999999997</v>
      </c>
      <c r="G127" s="42" cm="1">
        <f t="array" ref="G127">MAX(_xlfn._xlws.FILTER(G1:G122, ISNUMBER(G1:G122)))</f>
        <v>32.841230000000003</v>
      </c>
      <c r="H127" s="42" cm="1">
        <f t="array" ref="H127">MAX(_xlfn._xlws.FILTER(H1:H122, ISNUMBER(H1:H122)))</f>
        <v>43.063879999999997</v>
      </c>
      <c r="I127" s="42" cm="1">
        <f t="array" ref="I127">MAX(_xlfn._xlws.FILTER(I1:I122, ISNUMBER(I1:I122)))</f>
        <v>79.143035999999995</v>
      </c>
      <c r="J127" s="42" cm="1">
        <f t="array" ref="J127">MAX(_xlfn._xlws.FILTER(J1:J122, ISNUMBER(J1:J122)))</f>
        <v>65.376130000000003</v>
      </c>
      <c r="K127" s="42" cm="1">
        <f t="array" ref="K127">MAX(_xlfn._xlws.FILTER(K1:K122, ISNUMBER(K1:K122)))</f>
        <v>61.322879999999998</v>
      </c>
      <c r="L127" s="42" cm="1">
        <f t="array" ref="L127">MAX(_xlfn._xlws.FILTER(L1:L122, ISNUMBER(L1:L122)))</f>
        <v>92.318129999999996</v>
      </c>
      <c r="M127" s="42" cm="1">
        <f t="array" ref="M127">MAX(_xlfn._xlws.FILTER(M1:M122, ISNUMBER(M1:M122)))</f>
        <v>89.209710000000001</v>
      </c>
      <c r="N127" s="42" cm="1">
        <f t="array" ref="N127">MAX(_xlfn._xlws.FILTER(N1:N122, ISNUMBER(N1:N122)))</f>
        <v>63.152813000000002</v>
      </c>
    </row>
    <row r="128" spans="1:14" x14ac:dyDescent="0.35">
      <c r="A128" s="2" t="s">
        <v>394</v>
      </c>
      <c r="B128" s="40" cm="1">
        <f t="array" ref="B128">MEDIAN(_xlfn._xlws.FILTER(B1:B122, ISNUMBER(B1:B122)))</f>
        <v>7.7168939999999999</v>
      </c>
      <c r="C128" s="40" cm="1">
        <f t="array" ref="C128">MEDIAN(_xlfn._xlws.FILTER(C1:C122, ISNUMBER(C1:C122)))</f>
        <v>3.8296342000000001</v>
      </c>
      <c r="D128" s="40" cm="1">
        <f t="array" ref="D128">MEDIAN(_xlfn._xlws.FILTER(D1:D122, ISNUMBER(D1:D122)))</f>
        <v>5.068028</v>
      </c>
      <c r="E128" s="40" cm="1">
        <f t="array" ref="E128">MEDIAN(_xlfn._xlws.FILTER(E1:E122, ISNUMBER(E1:E122)))</f>
        <v>3.6779999999999999</v>
      </c>
      <c r="F128" s="40" cm="1">
        <f t="array" ref="F128">MEDIAN(_xlfn._xlws.FILTER(F1:F122, ISNUMBER(F1:F122)))</f>
        <v>7.7734350000000001</v>
      </c>
      <c r="G128" s="40" cm="1">
        <f t="array" ref="G128">MEDIAN(_xlfn._xlws.FILTER(G1:G122, ISNUMBER(G1:G122)))</f>
        <v>7.4560880000000003</v>
      </c>
      <c r="H128" s="40" cm="1">
        <f t="array" ref="H128">MEDIAN(_xlfn._xlws.FILTER(H1:H122, ISNUMBER(H1:H122)))</f>
        <v>2.1416187</v>
      </c>
      <c r="I128" s="40" cm="1">
        <f t="array" ref="I128">MEDIAN(_xlfn._xlws.FILTER(I1:I122, ISNUMBER(I1:I122)))</f>
        <v>22.423458</v>
      </c>
      <c r="J128" s="40" cm="1">
        <f t="array" ref="J128">MEDIAN(_xlfn._xlws.FILTER(J1:J122, ISNUMBER(J1:J122)))</f>
        <v>14.498711</v>
      </c>
      <c r="K128" s="40" cm="1">
        <f t="array" ref="K128">MEDIAN(_xlfn._xlws.FILTER(K1:K122, ISNUMBER(K1:K122)))</f>
        <v>4.2497395999999998</v>
      </c>
      <c r="L128" s="40" cm="1">
        <f t="array" ref="L128">MEDIAN(_xlfn._xlws.FILTER(L1:L122, ISNUMBER(L1:L122)))</f>
        <v>7.5731039999999998</v>
      </c>
      <c r="M128" s="40" cm="1">
        <f t="array" ref="M128">MEDIAN(_xlfn._xlws.FILTER(M1:M122, ISNUMBER(M1:M122)))</f>
        <v>3.2378792999999999</v>
      </c>
      <c r="N128" s="40" cm="1">
        <f t="array" ref="N128">MEDIAN(_xlfn._xlws.FILTER(N1:N122, ISNUMBER(N1:N122)))</f>
        <v>2.3060679999999998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18</v>
      </c>
      <c r="C130">
        <f>COUNTIF(C2:C122, "&lt;"&amp;Assumption!$F$50)</f>
        <v>18</v>
      </c>
      <c r="D130">
        <f>COUNTIF(D2:D122, "&lt;"&amp;Assumption!$F$50)</f>
        <v>18</v>
      </c>
      <c r="E130">
        <f>COUNTIF(E2:E122, "&lt;"&amp;Assumption!$F$50)</f>
        <v>28</v>
      </c>
      <c r="F130">
        <f>COUNTIF(F2:F122, "&lt;"&amp;Assumption!$F$50)</f>
        <v>15</v>
      </c>
      <c r="G130">
        <f>COUNTIF(G2:G122, "&lt;"&amp;Assumption!$F$50)</f>
        <v>11</v>
      </c>
      <c r="H130">
        <f>COUNTIF(H2:H122, "&lt;"&amp;Assumption!$F$50)</f>
        <v>22</v>
      </c>
      <c r="I130">
        <f>COUNTIF(I2:I122, "&lt;"&amp;Assumption!$F$50)</f>
        <v>10</v>
      </c>
      <c r="J130">
        <f>COUNTIF(J2:J122, "&lt;"&amp;Assumption!$F$50)</f>
        <v>6</v>
      </c>
      <c r="K130">
        <f>COUNTIF(K2:K122, "&lt;"&amp;Assumption!$F$50)</f>
        <v>12</v>
      </c>
      <c r="L130">
        <f>COUNTIF(L2:L122, "&lt;"&amp;Assumption!$F$50)</f>
        <v>12</v>
      </c>
      <c r="M130">
        <f>COUNTIF(M2:M122, "&lt;"&amp;Assumption!$F$50)</f>
        <v>22</v>
      </c>
      <c r="N130">
        <f>COUNTIF(N2:N122, "&lt;"&amp;Assumption!$F$50)</f>
        <v>31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0.1487603305785124</v>
      </c>
      <c r="C133" s="9">
        <f t="shared" si="2"/>
        <v>0.1487603305785124</v>
      </c>
      <c r="D133" s="9">
        <f t="shared" si="2"/>
        <v>0.1487603305785124</v>
      </c>
      <c r="E133" s="9">
        <f t="shared" si="2"/>
        <v>0.23140495867768596</v>
      </c>
      <c r="F133" s="9">
        <f t="shared" si="2"/>
        <v>0.12396694214876033</v>
      </c>
      <c r="G133" s="9">
        <f t="shared" si="2"/>
        <v>9.0909090909090912E-2</v>
      </c>
      <c r="H133" s="9">
        <f t="shared" si="2"/>
        <v>0.18181818181818182</v>
      </c>
      <c r="I133" s="9">
        <f t="shared" si="2"/>
        <v>8.2644628099173556E-2</v>
      </c>
      <c r="J133" s="9">
        <f t="shared" si="2"/>
        <v>4.9586776859504134E-2</v>
      </c>
      <c r="K133" s="9">
        <f t="shared" ref="K133:N133" si="3">K130/K131</f>
        <v>9.9173553719008267E-2</v>
      </c>
      <c r="L133" s="9">
        <f t="shared" si="3"/>
        <v>9.9173553719008267E-2</v>
      </c>
      <c r="M133" s="9">
        <f t="shared" si="3"/>
        <v>0.18181818181818182</v>
      </c>
      <c r="N133" s="9">
        <f t="shared" si="3"/>
        <v>0.256198347107438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0.29499999999999998</v>
      </c>
      <c r="C136" s="40" cm="1">
        <f t="array" ref="C136">_xlfn.PERCENTRANK.EXC(_xlfn._xlws.FILTER(C2:C122, ISNUMBER(C2:C122)),C120)</f>
        <v>0.70399999999999996</v>
      </c>
      <c r="D136" s="40" cm="1">
        <f t="array" ref="D136">_xlfn.PERCENTRANK.EXC(_xlfn._xlws.FILTER(D2:D122, ISNUMBER(D2:D122)),D120)</f>
        <v>0.63100000000000001</v>
      </c>
      <c r="E136" s="40" cm="1">
        <f t="array" ref="E136">_xlfn.PERCENTRANK.EXC(_xlfn._xlws.FILTER(E2:E122, ISNUMBER(E2:E122)),E120)</f>
        <v>0.61399999999999999</v>
      </c>
      <c r="F136" s="40" cm="1">
        <f t="array" ref="F136">_xlfn.PERCENTRANK.EXC(_xlfn._xlws.FILTER(F2:F122, ISNUMBER(F2:F122)),F120)</f>
        <v>0.47499999999999998</v>
      </c>
      <c r="G136" s="40" cm="1">
        <f t="array" ref="G136">_xlfn.PERCENTRANK.EXC(_xlfn._xlws.FILTER(G2:G122, ISNUMBER(G2:G122)),G120)</f>
        <v>0.55700000000000005</v>
      </c>
      <c r="H136" s="40" cm="1">
        <f t="array" ref="H136">_xlfn.PERCENTRANK.EXC(_xlfn._xlws.FILTER(H2:H122, ISNUMBER(H2:H122)),H120)</f>
        <v>0.81100000000000005</v>
      </c>
      <c r="I136" s="40" cm="1">
        <f t="array" ref="I136">_xlfn.PERCENTRANK.EXC(_xlfn._xlws.FILTER(I2:I122, ISNUMBER(I2:I122)),I120)</f>
        <v>0.47499999999999998</v>
      </c>
      <c r="J136" s="40" cm="1">
        <f t="array" ref="J136">_xlfn.PERCENTRANK.EXC(_xlfn._xlws.FILTER(J2:J122, ISNUMBER(J2:J122)),J120)</f>
        <v>0.73699999999999999</v>
      </c>
      <c r="K136" s="40" cm="1">
        <f t="array" ref="K136">_xlfn.PERCENTRANK.EXC(_xlfn._xlws.FILTER(K2:K122, ISNUMBER(K2:K122)),K120)</f>
        <v>0.47499999999999998</v>
      </c>
      <c r="L136" s="40" cm="1">
        <f t="array" ref="L136">_xlfn.PERCENTRANK.EXC(_xlfn._xlws.FILTER(L2:L122, ISNUMBER(L2:L122)),L120)</f>
        <v>0.54900000000000004</v>
      </c>
      <c r="M136" s="40" cm="1">
        <f t="array" ref="M136">_xlfn.PERCENTRANK.EXC(_xlfn._xlws.FILTER(M2:M122, ISNUMBER(M2:M122)),M120)</f>
        <v>0.72099999999999997</v>
      </c>
      <c r="N136" s="40" cm="1">
        <f t="array" ref="N136">_xlfn.PERCENTRANK.EXC(_xlfn._xlws.FILTER(N2:N122, ISNUMBER(N2:N122)),N120)</f>
        <v>0.65500000000000003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0.59</v>
      </c>
      <c r="C137" s="40" cm="1">
        <f t="array" ref="C137">_xlfn.PERCENTRANK.EXC(_xlfn._xlws.FILTER(C2:C122, ISNUMBER(C2:C122)),C121)</f>
        <v>0.85199999999999998</v>
      </c>
      <c r="D137" s="40" cm="1">
        <f t="array" ref="D137">_xlfn.PERCENTRANK.EXC(_xlfn._xlws.FILTER(D2:D122, ISNUMBER(D2:D122)),D121)</f>
        <v>0.81899999999999995</v>
      </c>
      <c r="E137" s="40" cm="1">
        <f t="array" ref="E137">_xlfn.PERCENTRANK.EXC(_xlfn._xlws.FILTER(E2:E122, ISNUMBER(E2:E122)),E121)</f>
        <v>0.79500000000000004</v>
      </c>
      <c r="F137" s="40" cm="1">
        <f t="array" ref="F137">_xlfn.PERCENTRANK.EXC(_xlfn._xlws.FILTER(F2:F122, ISNUMBER(F2:F122)),F121)</f>
        <v>0.73699999999999999</v>
      </c>
      <c r="G137" s="40" cm="1">
        <f t="array" ref="G137">_xlfn.PERCENTRANK.EXC(_xlfn._xlws.FILTER(G2:G122, ISNUMBER(G2:G122)),G121)</f>
        <v>0.77</v>
      </c>
      <c r="H137" s="40" cm="1">
        <f t="array" ref="H137">_xlfn.PERCENTRANK.EXC(_xlfn._xlws.FILTER(H2:H122, ISNUMBER(H2:H122)),H121)</f>
        <v>0.86799999999999999</v>
      </c>
      <c r="I137" s="40" cm="1">
        <f t="array" ref="I137">_xlfn.PERCENTRANK.EXC(_xlfn._xlws.FILTER(I2:I122, ISNUMBER(I2:I122)),I121)</f>
        <v>0.52400000000000002</v>
      </c>
      <c r="J137" s="40" cm="1">
        <f t="array" ref="J137">_xlfn.PERCENTRANK.EXC(_xlfn._xlws.FILTER(J2:J122, ISNUMBER(J2:J122)),J121)</f>
        <v>0.82699999999999996</v>
      </c>
      <c r="K137" s="40" cm="1">
        <f t="array" ref="K137">_xlfn.PERCENTRANK.EXC(_xlfn._xlws.FILTER(K2:K122, ISNUMBER(K2:K122)),K121)</f>
        <v>0.59</v>
      </c>
      <c r="L137" s="40" cm="1">
        <f t="array" ref="L137">_xlfn.PERCENTRANK.EXC(_xlfn._xlws.FILTER(L2:L122, ISNUMBER(L2:L122)),L121)</f>
        <v>0.754</v>
      </c>
      <c r="M137" s="40" cm="1">
        <f t="array" ref="M137">_xlfn.PERCENTRANK.EXC(_xlfn._xlws.FILTER(M2:M122, ISNUMBER(M2:M122)),M121)</f>
        <v>0.89300000000000002</v>
      </c>
      <c r="N137" s="40" cm="1">
        <f t="array" ref="N137">_xlfn.PERCENTRANK.EXC(_xlfn._xlws.FILTER(N2:N122, ISNUMBER(N2:N122)),N121)</f>
        <v>0.754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0.77</v>
      </c>
      <c r="C138" s="40" cm="1">
        <f t="array" ref="C138">_xlfn.PERCENTRANK.EXC(_xlfn._xlws.FILTER(C2:C122, ISNUMBER(C2:C122)),C122)</f>
        <v>0.95899999999999996</v>
      </c>
      <c r="D138" s="40" cm="1">
        <f t="array" ref="D138">_xlfn.PERCENTRANK.EXC(_xlfn._xlws.FILTER(D2:D122, ISNUMBER(D2:D122)),D122)</f>
        <v>0.91800000000000004</v>
      </c>
      <c r="E138" s="40" cm="1">
        <f t="array" ref="E138">_xlfn.PERCENTRANK.EXC(_xlfn._xlws.FILTER(E2:E122, ISNUMBER(E2:E122)),E122)</f>
        <v>0.95899999999999996</v>
      </c>
      <c r="F138" s="40" cm="1">
        <f t="array" ref="F138">_xlfn.PERCENTRANK.EXC(_xlfn._xlws.FILTER(F2:F122, ISNUMBER(F2:F122)),F122)</f>
        <v>0.90900000000000003</v>
      </c>
      <c r="G138" s="40" cm="1">
        <f t="array" ref="G138">_xlfn.PERCENTRANK.EXC(_xlfn._xlws.FILTER(G2:G122, ISNUMBER(G2:G122)),G122)</f>
        <v>0.89300000000000002</v>
      </c>
      <c r="H138" s="40" cm="1">
        <f t="array" ref="H138">_xlfn.PERCENTRANK.EXC(_xlfn._xlws.FILTER(H2:H122, ISNUMBER(H2:H122)),H122)</f>
        <v>0.92600000000000005</v>
      </c>
      <c r="I138" s="40" cm="1">
        <f t="array" ref="I138">_xlfn.PERCENTRANK.EXC(_xlfn._xlws.FILTER(I2:I122, ISNUMBER(I2:I122)),I122)</f>
        <v>0.81100000000000005</v>
      </c>
      <c r="J138" s="40" cm="1">
        <f t="array" ref="J138">_xlfn.PERCENTRANK.EXC(_xlfn._xlws.FILTER(J2:J122, ISNUMBER(J2:J122)),J122)</f>
        <v>0.95899999999999996</v>
      </c>
      <c r="K138" s="40" cm="1">
        <f t="array" ref="K138">_xlfn.PERCENTRANK.EXC(_xlfn._xlws.FILTER(K2:K122, ISNUMBER(K2:K122)),K122)</f>
        <v>0.72899999999999998</v>
      </c>
      <c r="L138" s="40" cm="1">
        <f t="array" ref="L138">_xlfn.PERCENTRANK.EXC(_xlfn._xlws.FILTER(L2:L122, ISNUMBER(L2:L122)),L122)</f>
        <v>0.90900000000000003</v>
      </c>
      <c r="M138" s="40" cm="1">
        <f t="array" ref="M138">_xlfn.PERCENTRANK.EXC(_xlfn._xlws.FILTER(M2:M122, ISNUMBER(M2:M122)),M122)</f>
        <v>0.92600000000000005</v>
      </c>
      <c r="N138" s="40" cm="1">
        <f t="array" ref="N138">_xlfn.PERCENTRANK.EXC(_xlfn._xlws.FILTER(N2:N122, ISNUMBER(N2:N122)),N122)</f>
        <v>0.82699999999999996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0.55166666666666664</v>
      </c>
      <c r="C140" s="40">
        <f t="shared" si="4"/>
        <v>0.83833333333333337</v>
      </c>
      <c r="D140" s="40">
        <f t="shared" si="4"/>
        <v>0.78933333333333333</v>
      </c>
      <c r="E140" s="40">
        <f t="shared" si="4"/>
        <v>0.78933333333333333</v>
      </c>
      <c r="F140" s="40">
        <f t="shared" si="4"/>
        <v>0.70699999999999996</v>
      </c>
      <c r="G140" s="40">
        <f t="shared" si="4"/>
        <v>0.73999999999999988</v>
      </c>
      <c r="H140" s="40">
        <f t="shared" si="4"/>
        <v>0.86833333333333329</v>
      </c>
      <c r="I140" s="40">
        <f t="shared" si="4"/>
        <v>0.60333333333333339</v>
      </c>
      <c r="J140" s="40">
        <f t="shared" si="4"/>
        <v>0.84100000000000008</v>
      </c>
      <c r="K140" s="40">
        <f t="shared" ref="K140:N140" si="5">AVERAGE(K136:K138)</f>
        <v>0.59799999999999998</v>
      </c>
      <c r="L140" s="40">
        <f t="shared" si="5"/>
        <v>0.73733333333333329</v>
      </c>
      <c r="M140" s="40">
        <f t="shared" si="5"/>
        <v>0.84666666666666668</v>
      </c>
      <c r="N140" s="40">
        <f t="shared" si="5"/>
        <v>0.74533333333333329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2.2473256352981301</v>
      </c>
      <c r="C17">
        <v>1.3179969844239301</v>
      </c>
      <c r="D17">
        <v>2.0739391971822601</v>
      </c>
      <c r="E17">
        <v>2.0881582969700099</v>
      </c>
      <c r="F17">
        <v>3.8268510435479199</v>
      </c>
      <c r="G17">
        <v>2.2808425238276202</v>
      </c>
      <c r="H17">
        <v>2.5350927063705502</v>
      </c>
      <c r="I17">
        <v>9.3523185265885704</v>
      </c>
      <c r="J17">
        <v>17.729435531558</v>
      </c>
      <c r="K17">
        <v>2.1970597067867201</v>
      </c>
      <c r="L17">
        <v>1.9908579954138399</v>
      </c>
      <c r="M17">
        <v>2.0450009261645601</v>
      </c>
      <c r="N17">
        <v>2.59251661571796</v>
      </c>
    </row>
    <row r="18" spans="1:14" x14ac:dyDescent="0.35">
      <c r="A18" s="2">
        <v>44196</v>
      </c>
      <c r="B18">
        <v>1.9852261665465201</v>
      </c>
      <c r="C18">
        <v>1.26256164128892</v>
      </c>
      <c r="D18">
        <v>1.9578408739872699</v>
      </c>
      <c r="E18">
        <v>1.98003612030208</v>
      </c>
      <c r="F18">
        <v>3.39521519550336</v>
      </c>
      <c r="G18">
        <v>2.3686407868237098</v>
      </c>
      <c r="H18">
        <v>2.0353592344840301</v>
      </c>
      <c r="I18">
        <v>10.4260783274605</v>
      </c>
      <c r="J18">
        <v>16.661770431359098</v>
      </c>
      <c r="K18">
        <v>1.8510975044873099</v>
      </c>
      <c r="L18">
        <v>2.0089294605542301</v>
      </c>
      <c r="M18">
        <v>2.2131087379995402</v>
      </c>
      <c r="N18">
        <v>1.9971174572949799</v>
      </c>
    </row>
    <row r="19" spans="1:14" x14ac:dyDescent="0.35">
      <c r="A19" s="2">
        <v>44561</v>
      </c>
      <c r="B19">
        <v>1.8209369089118099</v>
      </c>
      <c r="C19">
        <v>1.41909398824033</v>
      </c>
      <c r="D19">
        <v>2.6644833781776298</v>
      </c>
      <c r="E19">
        <v>2.4494459059837599</v>
      </c>
      <c r="F19">
        <v>4.2987448501079397</v>
      </c>
      <c r="G19">
        <v>2.66234515884581</v>
      </c>
      <c r="H19">
        <v>2.7145545164983602</v>
      </c>
      <c r="I19">
        <v>13.640269812373999</v>
      </c>
      <c r="J19">
        <v>22.276707560001199</v>
      </c>
      <c r="K19">
        <v>2.4608174872531499</v>
      </c>
      <c r="L19">
        <v>2.4360180794544801</v>
      </c>
      <c r="M19">
        <v>2.4898156523483901</v>
      </c>
      <c r="N19">
        <v>2.9640029759690898</v>
      </c>
    </row>
    <row r="20" spans="1:14" x14ac:dyDescent="0.35">
      <c r="A20" s="2">
        <v>44925</v>
      </c>
      <c r="B20">
        <v>2.1103784337403799</v>
      </c>
      <c r="C20">
        <v>1.5685033677051301</v>
      </c>
      <c r="D20">
        <v>2.7492045610204201</v>
      </c>
      <c r="E20">
        <v>2.3638684012565601</v>
      </c>
      <c r="F20">
        <v>4.1525366690228402</v>
      </c>
      <c r="G20">
        <v>2.5838872063229701</v>
      </c>
      <c r="H20">
        <v>3.1278508503090099</v>
      </c>
      <c r="I20">
        <v>12.7503134079603</v>
      </c>
      <c r="J20">
        <v>22.968710554324399</v>
      </c>
      <c r="K20">
        <v>2.80266519059803</v>
      </c>
      <c r="L20">
        <v>2.4294142632387001</v>
      </c>
      <c r="M20">
        <v>2.56381617192707</v>
      </c>
      <c r="N20">
        <v>3.5473670886293198</v>
      </c>
    </row>
    <row r="21" spans="1:14" x14ac:dyDescent="0.35">
      <c r="A21" s="2">
        <v>45289</v>
      </c>
      <c r="B21">
        <v>2.1110661944484499</v>
      </c>
      <c r="C21">
        <v>1.47895581929429</v>
      </c>
      <c r="D21">
        <v>2.6830121629805901</v>
      </c>
      <c r="E21">
        <v>2.6563834912307702</v>
      </c>
      <c r="F21">
        <v>4.2585763068366198</v>
      </c>
      <c r="G21">
        <v>2.8647085842717601</v>
      </c>
      <c r="H21">
        <v>3.0029399050437098</v>
      </c>
      <c r="I21">
        <v>16.324300088895601</v>
      </c>
      <c r="J21">
        <v>24.344986884131799</v>
      </c>
      <c r="K21">
        <v>2.9207046794115401</v>
      </c>
      <c r="L21">
        <v>2.9566812259382398</v>
      </c>
      <c r="M21">
        <v>2.5100925867761599</v>
      </c>
      <c r="N21">
        <v>3.8118027168384301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-9.3828156139095231E-3</v>
      </c>
      <c r="C25" s="48" cm="1">
        <f t="array" ref="C25">(C21/INDEX(C2:C21,MATCH(TRUE,INDEX(ISNUMBER(C2:C21),0),0)))^(1/C23)-1</f>
        <v>1.1174820218081027E-2</v>
      </c>
      <c r="D25" s="48" cm="1">
        <f t="array" ref="D25">(D21/INDEX(D2:D21,MATCH(TRUE,INDEX(ISNUMBER(D2:D21),0),0)))^(1/D23)-1</f>
        <v>4.091721115481306E-2</v>
      </c>
      <c r="E25" s="48" cm="1">
        <f t="array" ref="E25">(E21/INDEX(E2:E21,MATCH(TRUE,INDEX(ISNUMBER(E2:E21),0),0)))^(1/E23)-1</f>
        <v>2.8283515901657452E-2</v>
      </c>
      <c r="F25" s="48" cm="1">
        <f t="array" ref="F25">(F21/INDEX(F2:F21,MATCH(TRUE,INDEX(ISNUMBER(F2:F21),0),0)))^(1/F23)-1</f>
        <v>2.0540052606574433E-2</v>
      </c>
      <c r="G25" s="48" cm="1">
        <f t="array" ref="G25">(G21/INDEX(G2:G21,MATCH(TRUE,INDEX(ISNUMBER(G2:G21),0),0)))^(1/G23)-1</f>
        <v>4.6616158051884682E-2</v>
      </c>
      <c r="H25" s="48" cm="1">
        <f t="array" ref="H25">(H21/INDEX(H2:H21,MATCH(TRUE,INDEX(ISNUMBER(H2:H21),0),0)))^(1/H23)-1</f>
        <v>3.714974898957335E-3</v>
      </c>
      <c r="I25" s="48" cm="1">
        <f t="array" ref="I25">(I21/INDEX(I2:I21,MATCH(TRUE,INDEX(ISNUMBER(I2:I21),0),0)))^(1/I23)-1</f>
        <v>0.12988959923331223</v>
      </c>
      <c r="J25" s="48" cm="1">
        <f t="array" ref="J25">(J21/INDEX(J2:J21,MATCH(TRUE,INDEX(ISNUMBER(J2:J21),0),0)))^(1/J23)-1</f>
        <v>5.9884631869629779E-2</v>
      </c>
      <c r="K25" s="48" cm="1">
        <f t="array" ref="K25">(K21/INDEX(K2:K21,MATCH(TRUE,INDEX(ISNUMBER(K2:K21),0),0)))^(1/K23)-1</f>
        <v>1.8533351250322294E-2</v>
      </c>
      <c r="L25" s="48" cm="1">
        <f t="array" ref="L25">(L21/INDEX(L2:L21,MATCH(TRUE,INDEX(ISNUMBER(L2:L21),0),0)))^(1/L23)-1</f>
        <v>3.4820198321761975E-2</v>
      </c>
      <c r="M25" s="48" cm="1">
        <f t="array" ref="M25">(M21/INDEX(M2:M21,MATCH(TRUE,INDEX(ISNUMBER(M2:M21),0),0)))^(1/M23)-1</f>
        <v>2.4305006375947347E-2</v>
      </c>
      <c r="N25" s="48" cm="1">
        <f t="array" ref="N25">(N21/INDEX(N2:N21,MATCH(TRUE,INDEX(ISNUMBER(N2:N21),0),0)))^(1/N23)-1</f>
        <v>9.2743946932130061E-3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1.6083635000000001</v>
      </c>
      <c r="E3" cm="1">
        <f t="array" ref="E3">_xll.FDSB(B3,"FG_PRICE_CHANGE(0,-1AY)")</f>
        <v>-5.0341787</v>
      </c>
      <c r="F3" cm="1">
        <f t="array" ref="F3">_xll.FDSB(B3,"FG_PRICE_CHANGE(0,-1AM)")</f>
        <v>-0.48250556</v>
      </c>
      <c r="G3" cm="1">
        <f t="array" ref="G3">_xll.FDSB(B3,"FG_PRICE_CHANGE(0,-3AM)")</f>
        <v>-1.6324818000000001</v>
      </c>
      <c r="H3" cm="1">
        <f t="array" ref="H3">_xll.FDSB(B3,"FG_PRICE_CHANGE(0,-6AM)")</f>
        <v>-3.6831558000000002</v>
      </c>
      <c r="I3" cm="1">
        <f t="array" ref="I3">_xll.FDS(B3,"STD(FG_PRICE_CHANGE(0,-1AY,AM))")</f>
        <v>2.0104216524739802</v>
      </c>
      <c r="J3" cm="1">
        <f t="array" ref="J3">_xll.FDS(B3,"STD(FG_PRICE_CHANGE(0,-3AY,M))")*SQRT(12)</f>
        <v>12.473274600440492</v>
      </c>
      <c r="L3">
        <f>(1-(_xlfn.PERCENTRANK.EXC($F$3:$F$15,F3)))*100</f>
        <v>85.8</v>
      </c>
      <c r="M3">
        <f>(1-(_xlfn.PERCENTRANK.EXC($G$3:$G$15,G3)))*100</f>
        <v>42.900000000000006</v>
      </c>
      <c r="N3">
        <f>(1-(_xlfn.PERCENTRANK.EXC($H$3:$H$15,H3)))*100</f>
        <v>64.3</v>
      </c>
      <c r="O3">
        <f>SUMPRODUCT($L$1:$N$1,L3:N3)</f>
        <v>60.040000000000006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33.6</v>
      </c>
      <c r="U3" cm="1">
        <f t="array" ref="U3">_xlfn.PERCENTRANK.EXC(_xlfn._xlws.FILTER(S$3:S$15, ISNUMBER(S$3:S$15)),S3)*100</f>
        <v>7.1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1.4618814</v>
      </c>
      <c r="E4" cm="1">
        <f t="array" ref="E4">_xll.FDSB(B4,"FG_PRICE_CHANGE(0,-1AY)")</f>
        <v>-7.8503075000000004</v>
      </c>
      <c r="F4" cm="1">
        <f t="array" ref="F4">_xll.FDSB(B4,"FG_PRICE_CHANGE(0,-1AM)")</f>
        <v>-1.8273531999999999</v>
      </c>
      <c r="G4" cm="1">
        <f t="array" ref="G4">_xll.FDSB(B4,"FG_PRICE_CHANGE(0,-3AM)")</f>
        <v>-1.7542601</v>
      </c>
      <c r="H4" cm="1">
        <f t="array" ref="H4">_xll.FDSB(B4,"FG_PRICE_CHANGE(0,-6AM)")</f>
        <v>-4.3052434999999996</v>
      </c>
      <c r="I4" cm="1">
        <f t="array" ref="I4">_xll.FDS(B4,"STD(FG_PRICE_CHANGE(0,-1AY,AM))")</f>
        <v>2.06521701135076</v>
      </c>
      <c r="J4" cm="1">
        <f t="array" ref="J4">_xll.FDS(B4,"STD(FG_PRICE_CHANGE(0,-3AY,M))")*SQRT(12)</f>
        <v>10.952512833738925</v>
      </c>
      <c r="L4">
        <f t="shared" ref="L4:L15" si="1">(1-(_xlfn.PERCENTRANK.EXC($F$3:$F$15,F4)))*100</f>
        <v>92.9</v>
      </c>
      <c r="M4">
        <f t="shared" ref="M4:M15" si="2">(1-(_xlfn.PERCENTRANK.EXC($G$3:$G$15,G4)))*100</f>
        <v>50</v>
      </c>
      <c r="N4">
        <f t="shared" ref="N4:N15" si="3">(1-(_xlfn.PERCENTRANK.EXC($H$3:$H$15,H4)))*100</f>
        <v>78.600000000000009</v>
      </c>
      <c r="O4">
        <f t="shared" ref="O4:O11" si="4">SUMPRODUCT($L$1:$N$1,L4:N4)</f>
        <v>70.02000000000001</v>
      </c>
      <c r="P4">
        <f t="shared" ref="P4:P15" si="5">100- (_xlfn.PERCENTRANK.EXC($J$3:$J$15,J4)*100)</f>
        <v>21.5</v>
      </c>
      <c r="Q4">
        <f>VLOOKUP(A4,CAD!$A$3:$J$15, 10, FALSE)</f>
        <v>35.699999999999996</v>
      </c>
      <c r="S4">
        <f t="shared" si="0"/>
        <v>48.600000000000009</v>
      </c>
      <c r="U4" cm="1">
        <f t="array" ref="U4">_xlfn.PERCENTRANK.EXC(_xlfn._xlws.FILTER(S$3:S$15, ISNUMBER(S$3:S$15)),S4)*100</f>
        <v>50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1.35405</v>
      </c>
      <c r="E5" cm="1">
        <f t="array" ref="E5">_xll.FDSB(B5,"FG_PRICE_CHANGE(0,-1AY)")</f>
        <v>-1.2975156000000001</v>
      </c>
      <c r="F5" cm="1">
        <f t="array" ref="F5">_xll.FDSB(B5,"FG_PRICE_CHANGE(0,-1AM)")</f>
        <v>-8.1169605000000006E-2</v>
      </c>
      <c r="G5" cm="1">
        <f t="array" ref="G5">_xll.FDSB(B5,"FG_PRICE_CHANGE(0,-3AM)")</f>
        <v>-0.67485569999999995</v>
      </c>
      <c r="H5" cm="1">
        <f t="array" ref="H5">_xll.FDSB(B5,"FG_PRICE_CHANGE(0,-6AM)")</f>
        <v>0.16274452</v>
      </c>
      <c r="I5" cm="1">
        <f t="array" ref="I5">_xll.FDS(B5,"STD(FG_PRICE_CHANGE(0,-1AY,AM))")</f>
        <v>1.08906497746873</v>
      </c>
      <c r="J5" cm="1">
        <f t="array" ref="J5">_xll.FDS(B5,"STD(FG_PRICE_CHANGE(0,-3AY,M))")*SQRT(12)</f>
        <v>6.3538238934881157</v>
      </c>
      <c r="L5">
        <f t="shared" si="1"/>
        <v>71.500000000000014</v>
      </c>
      <c r="M5">
        <f t="shared" si="2"/>
        <v>28.6</v>
      </c>
      <c r="N5">
        <f t="shared" si="3"/>
        <v>7.1999999999999957</v>
      </c>
      <c r="O5">
        <f t="shared" si="4"/>
        <v>28.620000000000005</v>
      </c>
      <c r="P5">
        <f t="shared" si="5"/>
        <v>71.5</v>
      </c>
      <c r="Q5">
        <f>VLOOKUP(A5,CAD!$A$3:$J$15, 10, FALSE)</f>
        <v>35.699999999999996</v>
      </c>
      <c r="S5">
        <f t="shared" si="0"/>
        <v>42.900000000000006</v>
      </c>
      <c r="U5" cm="1">
        <f t="array" ref="U5">_xlfn.PERCENTRANK.EXC(_xlfn._xlws.FILTER(S$3:S$15, ISNUMBER(S$3:S$15)),S5)*100</f>
        <v>14.2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0.90760569999999996</v>
      </c>
      <c r="E6" cm="1">
        <f t="array" ref="E6">_xll.FDSB(B6,"FG_PRICE_CHANGE(0,-1AY)")</f>
        <v>-4.9237669999999998</v>
      </c>
      <c r="F6" cm="1">
        <f t="array" ref="F6">_xll.FDSB(B6,"FG_PRICE_CHANGE(0,-1AM)")</f>
        <v>0.22236109000000001</v>
      </c>
      <c r="G6" cm="1">
        <f t="array" ref="G6">_xll.FDSB(B6,"FG_PRICE_CHANGE(0,-3AM)")</f>
        <v>-1.9377409999999999</v>
      </c>
      <c r="H6" cm="1">
        <f t="array" ref="H6">_xll.FDSB(B6,"FG_PRICE_CHANGE(0,-6AM)")</f>
        <v>-1.7743707</v>
      </c>
      <c r="I6" cm="1">
        <f t="array" ref="I6">_xll.FDS(B6,"STD(FG_PRICE_CHANGE(0,-1AY,AM))")</f>
        <v>1.34811491898353</v>
      </c>
      <c r="J6" cm="1">
        <f t="array" ref="J6">_xll.FDS(B6,"STD(FG_PRICE_CHANGE(0,-3AY,M))")*SQRT(12)</f>
        <v>7.5230849582827322</v>
      </c>
      <c r="L6">
        <f t="shared" si="1"/>
        <v>35.799999999999997</v>
      </c>
      <c r="M6">
        <f t="shared" si="2"/>
        <v>64.3</v>
      </c>
      <c r="N6">
        <f t="shared" si="3"/>
        <v>42.900000000000006</v>
      </c>
      <c r="O6">
        <f t="shared" si="4"/>
        <v>50.04</v>
      </c>
      <c r="P6">
        <f t="shared" si="5"/>
        <v>64.300000000000011</v>
      </c>
      <c r="Q6">
        <f>VLOOKUP(A6,CAD!$A$3:$J$15, 10, FALSE)</f>
        <v>78.5</v>
      </c>
      <c r="S6">
        <f t="shared" si="0"/>
        <v>60.010000000000005</v>
      </c>
      <c r="U6" cm="1">
        <f t="array" ref="U6">_xlfn.PERCENTRANK.EXC(_xlfn._xlws.FILTER(S$3:S$15, ISNUMBER(S$3:S$15)),S6)*100</f>
        <v>78.5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146.76499999999999</v>
      </c>
      <c r="E7" cm="1">
        <f t="array" ref="E7">_xll.FDSB(B7,"FG_PRICE_CHANGE(0,-1AY)")</f>
        <v>-1.5429556</v>
      </c>
      <c r="F7" cm="1">
        <f t="array" ref="F7">_xll.FDSB(B7,"FG_PRICE_CHANGE(0,-1AM)")</f>
        <v>0.79667569999999999</v>
      </c>
      <c r="G7" cm="1">
        <f t="array" ref="G7">_xll.FDSB(B7,"FG_PRICE_CHANGE(0,-3AM)")</f>
        <v>-9.042173</v>
      </c>
      <c r="H7" cm="1">
        <f t="array" ref="H7">_xll.FDSB(B7,"FG_PRICE_CHANGE(0,-6AM)")</f>
        <v>-3.3200443000000002</v>
      </c>
      <c r="I7" cm="1">
        <f t="array" ref="I7">_xll.FDS(B7,"STD(FG_PRICE_CHANGE(0,-1AY,AM))")</f>
        <v>3.2487751919834298</v>
      </c>
      <c r="J7" cm="1">
        <f t="array" ref="J7">_xll.FDS(B7,"STD(FG_PRICE_CHANGE(0,-3AY,M))")*SQRT(12)</f>
        <v>11.700505672378897</v>
      </c>
      <c r="L7">
        <f t="shared" si="1"/>
        <v>7.1999999999999957</v>
      </c>
      <c r="M7">
        <f t="shared" si="2"/>
        <v>92.9</v>
      </c>
      <c r="N7">
        <f t="shared" si="3"/>
        <v>57.2</v>
      </c>
      <c r="O7">
        <f t="shared" si="4"/>
        <v>61.480000000000004</v>
      </c>
      <c r="P7">
        <f t="shared" si="5"/>
        <v>14.299999999999997</v>
      </c>
      <c r="Q7">
        <f>VLOOKUP(A7,CAD!$A$3:$J$15, 10, FALSE)</f>
        <v>64.2</v>
      </c>
      <c r="S7">
        <f t="shared" si="0"/>
        <v>47.870000000000005</v>
      </c>
      <c r="U7" cm="1">
        <f t="array" ref="U7">_xlfn.PERCENTRANK.EXC(_xlfn._xlws.FILTER(S$3:S$15, ISNUMBER(S$3:S$15)),S7)*100</f>
        <v>42.8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0.85355000000000003</v>
      </c>
      <c r="E8" cm="1">
        <f t="array" ref="E8">_xll.FDSB(B8,"FG_PRICE_CHANGE(0,-1AY)")</f>
        <v>-7.3436794000000001</v>
      </c>
      <c r="F8" cm="1">
        <f t="array" ref="F8">_xll.FDSB(B8,"FG_PRICE_CHANGE(0,-1AM)")</f>
        <v>0.4294634</v>
      </c>
      <c r="G8" cm="1">
        <f t="array" ref="G8">_xll.FDSB(B8,"FG_PRICE_CHANGE(0,-3AM)")</f>
        <v>-5.2821340000000001</v>
      </c>
      <c r="H8" cm="1">
        <f t="array" ref="H8">_xll.FDSB(B8,"FG_PRICE_CHANGE(0,-6AM)")</f>
        <v>-5.7735799999999999</v>
      </c>
      <c r="I8" cm="1">
        <f t="array" ref="I8">_xll.FDS(B8,"STD(FG_PRICE_CHANGE(0,-1AY,AM))")</f>
        <v>2.4740356362370202</v>
      </c>
      <c r="J8" cm="1">
        <f t="array" ref="J8">_xll.FDS(B8,"STD(FG_PRICE_CHANGE(0,-3AY,M))")*SQRT(12)</f>
        <v>8.5104461616916627</v>
      </c>
      <c r="L8">
        <f t="shared" si="1"/>
        <v>21.499999999999996</v>
      </c>
      <c r="M8">
        <f t="shared" si="2"/>
        <v>85.8</v>
      </c>
      <c r="N8">
        <f t="shared" si="3"/>
        <v>92.9</v>
      </c>
      <c r="O8">
        <f t="shared" si="4"/>
        <v>75.78</v>
      </c>
      <c r="P8">
        <f t="shared" si="5"/>
        <v>42.900000000000006</v>
      </c>
      <c r="Q8">
        <f>VLOOKUP(A8,CAD!$A$3:$J$15, 10, FALSE)</f>
        <v>85.7</v>
      </c>
      <c r="S8">
        <f t="shared" si="0"/>
        <v>67.900000000000006</v>
      </c>
      <c r="U8" cm="1">
        <f t="array" ref="U8">_xlfn.PERCENTRANK.EXC(_xlfn._xlws.FILTER(S$3:S$15, ISNUMBER(S$3:S$15)),S8)*100</f>
        <v>92.800000000000011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0.76286379999999998</v>
      </c>
      <c r="E9" cm="1">
        <f t="array" ref="E9">_xll.FDSB(B9,"FG_PRICE_CHANGE(0,-1AY)")</f>
        <v>-7.8574953000000001</v>
      </c>
      <c r="F9" cm="1">
        <f t="array" ref="F9">_xll.FDSB(B9,"FG_PRICE_CHANGE(0,-1AM)")</f>
        <v>-0.114429</v>
      </c>
      <c r="G9" cm="1">
        <f t="array" ref="G9">_xll.FDSB(B9,"FG_PRICE_CHANGE(0,-3AM)")</f>
        <v>-2.6471376000000002</v>
      </c>
      <c r="H9" cm="1">
        <f t="array" ref="H9">_xll.FDSB(B9,"FG_PRICE_CHANGE(0,-6AM)")</f>
        <v>-3.734213</v>
      </c>
      <c r="I9" cm="1">
        <f t="array" ref="I9">_xll.FDS(B9,"STD(FG_PRICE_CHANGE(0,-1AY,AM))")</f>
        <v>1.7679755528953101</v>
      </c>
      <c r="J9" cm="1">
        <f t="array" ref="J9">_xll.FDS(B9,"STD(FG_PRICE_CHANGE(0,-3AY,M))")*SQRT(12)</f>
        <v>8.2808375226256974</v>
      </c>
      <c r="L9">
        <f t="shared" si="1"/>
        <v>78.600000000000009</v>
      </c>
      <c r="M9">
        <f t="shared" si="2"/>
        <v>71.500000000000014</v>
      </c>
      <c r="N9">
        <f t="shared" si="3"/>
        <v>71.500000000000014</v>
      </c>
      <c r="O9">
        <f>SUMPRODUCT($L$1:$N$1,L9:N9)</f>
        <v>72.920000000000016</v>
      </c>
      <c r="P9">
        <f t="shared" si="5"/>
        <v>50</v>
      </c>
      <c r="Q9">
        <f>VLOOKUP(A9,CAD!$A$3:$J$15, 10, FALSE)</f>
        <v>28.499999999999996</v>
      </c>
      <c r="S9">
        <f t="shared" si="0"/>
        <v>57.160000000000011</v>
      </c>
      <c r="U9" cm="1">
        <f t="array" ref="U9">_xlfn.PERCENTRANK.EXC(_xlfn._xlws.FILTER(S$3:S$15, ISNUMBER(S$3:S$15)),S9)*100</f>
        <v>64.2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57.2</v>
      </c>
      <c r="M10">
        <f t="shared" si="2"/>
        <v>21.499999999999996</v>
      </c>
      <c r="N10">
        <f t="shared" si="3"/>
        <v>28.6</v>
      </c>
      <c r="O10">
        <f t="shared" si="4"/>
        <v>31.48</v>
      </c>
      <c r="P10">
        <f t="shared" si="5"/>
        <v>92.9</v>
      </c>
      <c r="Q10">
        <f>VLOOKUP(A10,CAD!$A$3:$J$15, 10, FALSE)</f>
        <v>14.2</v>
      </c>
      <c r="S10">
        <f t="shared" si="0"/>
        <v>46.45</v>
      </c>
      <c r="U10" cm="1">
        <f t="array" ref="U10">_xlfn.PERCENTRANK.EXC(_xlfn._xlws.FILTER(S$3:S$15, ISNUMBER(S$3:S$15)),S10)*100</f>
        <v>21.4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57.2</v>
      </c>
      <c r="M11">
        <f t="shared" si="2"/>
        <v>21.499999999999996</v>
      </c>
      <c r="N11">
        <f t="shared" si="3"/>
        <v>28.6</v>
      </c>
      <c r="O11">
        <f t="shared" si="4"/>
        <v>31.48</v>
      </c>
      <c r="P11">
        <f t="shared" si="5"/>
        <v>92.9</v>
      </c>
      <c r="Q11">
        <f>VLOOKUP(A11,CAD!$A$3:$J$15, 10, FALSE)</f>
        <v>14.2</v>
      </c>
      <c r="S11">
        <f t="shared" si="0"/>
        <v>46.45</v>
      </c>
      <c r="U11" cm="1">
        <f t="array" ref="U11">_xlfn.PERCENTRANK.EXC(_xlfn._xlws.FILTER(S$3:S$15, ISNUMBER(S$3:S$15)),S11)*100</f>
        <v>21.4</v>
      </c>
    </row>
    <row r="12" spans="1:21" x14ac:dyDescent="0.3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0.85355000000000003</v>
      </c>
      <c r="E12" cm="1">
        <f t="array" ref="E12">_xll.FDSB(B12,"FG_PRICE_CHANGE(0,-1AY)")</f>
        <v>-7.3436794000000001</v>
      </c>
      <c r="F12" cm="1">
        <f t="array" ref="F12">_xll.FDSB(B12,"FG_PRICE_CHANGE(0,-1AM)")</f>
        <v>0.4294634</v>
      </c>
      <c r="G12" cm="1">
        <f t="array" ref="G12">_xll.FDSB(B12,"FG_PRICE_CHANGE(0,-3AM)")</f>
        <v>-5.2821340000000001</v>
      </c>
      <c r="H12" cm="1">
        <f t="array" ref="H12">_xll.FDSB(B12,"FG_PRICE_CHANGE(0,-6AM)")</f>
        <v>-5.7735799999999999</v>
      </c>
      <c r="I12" cm="1">
        <f t="array" ref="I12">_xll.FDS(B12,"STD(FG_PRICE_CHANGE(0,-1AY,AM))")</f>
        <v>2.4740356362370202</v>
      </c>
      <c r="J12" cm="1">
        <f t="array" ref="J12">_xll.FDS(B12,"STD(FG_PRICE_CHANGE(0,-3AY,M))")*SQRT(12)</f>
        <v>8.5104461616916627</v>
      </c>
      <c r="L12">
        <f t="shared" si="1"/>
        <v>21.499999999999996</v>
      </c>
      <c r="M12">
        <f t="shared" si="2"/>
        <v>85.8</v>
      </c>
      <c r="N12">
        <f t="shared" si="3"/>
        <v>92.9</v>
      </c>
      <c r="O12">
        <f t="shared" ref="O12:O15" si="6">SUMPRODUCT($L$1:$N$1,L12:N12)</f>
        <v>75.78</v>
      </c>
      <c r="P12">
        <f t="shared" si="5"/>
        <v>42.900000000000006</v>
      </c>
      <c r="Q12">
        <f>VLOOKUP(A12,CAD!$A$3:$J$15, 10, FALSE)</f>
        <v>50</v>
      </c>
      <c r="S12">
        <f t="shared" ref="S12:S15" si="7">SUMPRODUCT($O$1:$Q$1,O12:Q12)</f>
        <v>60.760000000000005</v>
      </c>
      <c r="U12" cm="1">
        <f t="array" ref="U12">_xlfn.PERCENTRANK.EXC(_xlfn._xlws.FILTER(S$3:S$15, ISNUMBER(S$3:S$15)),S12)*100</f>
        <v>85.7</v>
      </c>
    </row>
    <row r="13" spans="1:21" s="183" customFormat="1" x14ac:dyDescent="0.3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1.79</v>
      </c>
      <c r="E13" s="183" cm="1">
        <f t="array" ref="E13">_xll.FDSB(B13,"FG_PRICE_CHANGE(0,-1AY)")</f>
        <v>0</v>
      </c>
      <c r="F13" s="183" cm="1">
        <f t="array" ref="F13">_xll.FDSB(B13,"FG_PRICE_CHANGE(0,-1AM)")</f>
        <v>0</v>
      </c>
      <c r="G13" s="183" cm="1">
        <f t="array" ref="G13">_xll.FDSB(B13,"FG_PRICE_CHANGE(0,-3AM)")</f>
        <v>0</v>
      </c>
      <c r="H13" s="183" cm="1">
        <f t="array" ref="H13">_xll.FDSB(B13,"FG_PRICE_CHANGE(0,-6AM)")</f>
        <v>0</v>
      </c>
      <c r="I13" s="183" cm="1">
        <f t="array" ref="I13">_xll.FDS(B13,"STD(FG_PRICE_CHANGE(0,-1AY,AM))")</f>
        <v>0</v>
      </c>
      <c r="J13" s="183" cm="1">
        <f t="array" ref="J13">_xll.FDS(B13,"STD(FG_PRICE_CHANGE(0,-3AY,M))")*SQRT(12)</f>
        <v>0.2059757180491337</v>
      </c>
      <c r="L13" s="183">
        <f t="shared" si="1"/>
        <v>57.2</v>
      </c>
      <c r="M13" s="183">
        <f t="shared" si="2"/>
        <v>21.499999999999996</v>
      </c>
      <c r="N13" s="183">
        <f t="shared" si="3"/>
        <v>28.6</v>
      </c>
      <c r="O13" s="183">
        <f t="shared" si="6"/>
        <v>31.48</v>
      </c>
      <c r="P13" s="183">
        <f t="shared" si="5"/>
        <v>78.599999999999994</v>
      </c>
      <c r="Q13" s="183">
        <f>VLOOKUP(A13,CAD!$A$3:$J$15, 10, FALSE)</f>
        <v>92.800000000000011</v>
      </c>
      <c r="S13" s="183">
        <f t="shared" si="7"/>
        <v>57.88</v>
      </c>
      <c r="U13" s="183" cm="1">
        <f t="array" ref="U13">_xlfn.PERCENTRANK.EXC(_xlfn._xlws.FILTER(S$3:S$15, ISNUMBER(S$3:S$15)),S13)*100</f>
        <v>71.399999999999991</v>
      </c>
    </row>
    <row r="14" spans="1:21" x14ac:dyDescent="0.3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10.3195</v>
      </c>
      <c r="E14" cm="1">
        <f t="array" ref="E14">_xll.FDSB(B14,"FG_PRICE_CHANGE(0,-1AY)")</f>
        <v>-7.0047196999999999</v>
      </c>
      <c r="F14" cm="1">
        <f t="array" ref="F14">_xll.FDSB(B14,"FG_PRICE_CHANGE(0,-1AM)")</f>
        <v>-5.8114530000000003E-3</v>
      </c>
      <c r="G14" cm="1">
        <f t="array" ref="G14">_xll.FDSB(B14,"FG_PRICE_CHANGE(0,-3AM)")</f>
        <v>-1.4652014</v>
      </c>
      <c r="H14" cm="1">
        <f t="array" ref="H14">_xll.FDSB(B14,"FG_PRICE_CHANGE(0,-6AM)")</f>
        <v>-3.1205714000000002</v>
      </c>
      <c r="I14" cm="1">
        <f t="array" ref="I14">_xll.FDS(B14,"STD(FG_PRICE_CHANGE(0,-1AY,AM))")</f>
        <v>2.2007108608866699</v>
      </c>
      <c r="J14" cm="1">
        <f t="array" ref="J14">_xll.FDS(B14,"STD(FG_PRICE_CHANGE(0,-3AY,M))")*SQRT(12)</f>
        <v>10.727926343788484</v>
      </c>
      <c r="L14">
        <f t="shared" si="1"/>
        <v>64.3</v>
      </c>
      <c r="M14">
        <f t="shared" si="2"/>
        <v>35.799999999999997</v>
      </c>
      <c r="N14">
        <f t="shared" si="3"/>
        <v>50</v>
      </c>
      <c r="O14">
        <f t="shared" si="6"/>
        <v>47.18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46.45</v>
      </c>
      <c r="U14" cm="1">
        <f t="array" ref="U14">_xlfn.PERCENTRANK.EXC(_xlfn._xlws.FILTER(S$3:S$15, ISNUMBER(S$3:S$15)),S14)*100</f>
        <v>21.4</v>
      </c>
    </row>
    <row r="15" spans="1:21" x14ac:dyDescent="0.3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1757.3697999999999</v>
      </c>
      <c r="E15" cm="1">
        <f t="array" ref="E15">_xll.FDSB(B15,"FG_PRICE_CHANGE(0,-1AY)")</f>
        <v>-4.9237609999999998</v>
      </c>
      <c r="F15" cm="1">
        <f t="array" ref="F15">_xll.FDSB(B15,"FG_PRICE_CHANGE(0,-1AM)")</f>
        <v>0.22236109000000001</v>
      </c>
      <c r="G15" cm="1">
        <f t="array" ref="G15">_xll.FDSB(B15,"FG_PRICE_CHANGE(0,-3AM)")</f>
        <v>-1.9377351</v>
      </c>
      <c r="H15" cm="1">
        <f t="array" ref="H15">_xll.FDSB(B15,"FG_PRICE_CHANGE(0,-6AM)")</f>
        <v>-1.7743707</v>
      </c>
      <c r="I15" cm="1">
        <f t="array" ref="I15">_xll.FDS(B15,"STD(FG_PRICE_CHANGE(0,-1AY,AM))")</f>
        <v>1.3481137985204901</v>
      </c>
      <c r="J15" cm="1">
        <f t="array" ref="J15">_xll.FDS(B15,"STD(FG_PRICE_CHANGE(0,-3AY,M))")*SQRT(12)</f>
        <v>7.5230856816040532</v>
      </c>
      <c r="L15">
        <f t="shared" si="1"/>
        <v>35.799999999999997</v>
      </c>
      <c r="M15">
        <f t="shared" si="2"/>
        <v>57.2</v>
      </c>
      <c r="N15">
        <f t="shared" si="3"/>
        <v>42.900000000000006</v>
      </c>
      <c r="O15">
        <f t="shared" si="6"/>
        <v>47.2</v>
      </c>
      <c r="P15">
        <f t="shared" si="5"/>
        <v>57.2</v>
      </c>
      <c r="Q15">
        <f>VLOOKUP(A15,CAD!$A$3:$J$15, 10, FALSE)</f>
        <v>57.099999999999994</v>
      </c>
      <c r="S15">
        <f t="shared" si="7"/>
        <v>52.180000000000007</v>
      </c>
      <c r="U15" cm="1">
        <f t="array" ref="U15">_xlfn.PERCENTRANK.EXC(_xlfn._xlws.FILTER(S$3:S$15, ISNUMBER(S$3:S$15)),S15)*100</f>
        <v>57.099999999999994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-7.1</v>
      </c>
      <c r="H3" cm="1">
        <f t="array" ref="H3">IFERROR(_xll.FDS($F3,"EE_ACTUAL_ANNUAL(MED,+1)"),0)</f>
        <v>-6.4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0.252467670960909</v>
      </c>
      <c r="H4" cm="1">
        <f t="array" ref="H4">IFERROR(_xll.FDS($F4,"EE_ACTUAL_ANNUAL(MED,+1)"),0)</f>
        <v>-1</v>
      </c>
      <c r="J4" cm="1">
        <f t="array" ref="J4">_xlfn.PERCENTRANK.EXC(_xlfn._xlws.FILTER(H$3:H$15, ISNUMBER(H$3:H$15)),H4)*100</f>
        <v>35.699999999999996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-0.72541439902632698</v>
      </c>
      <c r="H5" cm="1">
        <f t="array" ref="H5">IFERROR(_xll.FDS($F5,"EE_ACTUAL_ANNUAL(MED,+1)"),0)</f>
        <v>-1</v>
      </c>
      <c r="J5" cm="1">
        <f t="array" ref="J5">_xlfn.PERCENTRANK.EXC(_xlfn._xlws.FILTER(H$3:H$15, ISNUMBER(H$3:H$15)),H5)*100</f>
        <v>35.699999999999996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5.8821421318584202</v>
      </c>
      <c r="H6" cm="1">
        <f t="array" ref="H6">IFERROR(_xll.FDS($F6,"EE_ACTUAL_ANNUAL(MED,+1)"),0)</f>
        <v>6.85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3.6065819629985301</v>
      </c>
      <c r="H7" cm="1">
        <f t="array" ref="H7">IFERROR(_xll.FDS($F7,"EE_ACTUAL_ANNUAL(MED,+1)"),0)</f>
        <v>4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6.5138108890660602</v>
      </c>
      <c r="H8" cm="1">
        <f t="array" ref="H8">IFERROR(_xll.FDS($F8,"EE_ACTUAL_ANNUAL(MED,+1)"),0)</f>
        <v>8</v>
      </c>
      <c r="J8" cm="1">
        <f t="array" ref="J8">_xlfn.PERCENTRANK.EXC(_xlfn._xlws.FILTER(H$3:H$15, ISNUMBER(H$3:H$15)),H8)*100</f>
        <v>85.7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-2.8</v>
      </c>
      <c r="J9" cm="1">
        <f t="array" ref="J9">_xlfn.PERCENTRANK.EXC(_xlfn._xlws.FILTER(H$3:H$15, ISNUMBER(H$3:H$15)),H9)*100</f>
        <v>28.499999999999996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-3.2679156583067601</v>
      </c>
      <c r="H10" cm="1">
        <f t="array" ref="H10">IFERROR(_xll.FDS($F10,"EE_ACTUAL_ANNUAL(MED,+1)"),0)</f>
        <v>-3.3</v>
      </c>
      <c r="J10" cm="1">
        <f t="array" ref="J10">_xlfn.PERCENTRANK.EXC(_xlfn._xlws.FILTER(H$3:H$15, ISNUMBER(H$3:H$15)),H10)*100</f>
        <v>14.2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-3.2679156583067601</v>
      </c>
      <c r="H11" cm="1">
        <f t="array" ref="H11">IFERROR(_xll.FDS($F11,"EE_ACTUAL_ANNUAL(MED,+1)"),0)</f>
        <v>-3.3</v>
      </c>
      <c r="J11" cm="1">
        <f t="array" ref="J11">_xlfn.PERCENTRANK.EXC(_xlfn._xlws.FILTER(H$3:H$15, ISNUMBER(H$3:H$15)),H11)*100</f>
        <v>14.2</v>
      </c>
    </row>
    <row r="12" spans="1:10" x14ac:dyDescent="0.3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-1.0196499952942999</v>
      </c>
      <c r="H12" cm="1">
        <f t="array" ref="H12">IFERROR(_xll.FDS($F12,"EE_ACTUAL_ANNUAL(MED,+1)"),0)</f>
        <v>-0.4</v>
      </c>
      <c r="J12" cm="1">
        <f t="array" ref="J12">_xlfn.PERCENTRANK.EXC(_xlfn._xlws.FILTER(H$3:H$15, ISNUMBER(H$3:H$15)),H12)*100</f>
        <v>50</v>
      </c>
    </row>
    <row r="13" spans="1:10" x14ac:dyDescent="0.3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9.8540850199698795</v>
      </c>
      <c r="H13" cm="1">
        <f t="array" ref="H13">IFERROR(_xll.FDS($F13,"EE_ACTUAL_ANNUAL(MED,+1)"),0)</f>
        <v>9.75</v>
      </c>
      <c r="J13" cm="1">
        <f t="array" ref="J13">_xlfn.PERCENTRANK.EXC(_xlfn._xlws.FILTER(H$3:H$15, ISNUMBER(H$3:H$15)),H13)*100</f>
        <v>92.800000000000011</v>
      </c>
    </row>
    <row r="14" spans="1:10" x14ac:dyDescent="0.3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6.54758763985883</v>
      </c>
      <c r="H14" cm="1">
        <f t="array" ref="H14">IFERROR(_xll.FDS($F14,"EE_ACTUAL_ANNUAL(MED,+1)"),0)</f>
        <v>6.15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-1.4502644403537501E-2</v>
      </c>
      <c r="H15" cm="1">
        <f t="array" ref="H15">IFERROR(_xll.FDS($F15,"EE_ACTUAL_ANNUAL(MED,+1)"),0)</f>
        <v>1.4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9.1744690000000002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9.2760645000000004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9.00388709577871</v>
      </c>
      <c r="C17">
        <v>11.7272452683733</v>
      </c>
      <c r="D17">
        <v>11.9786784677485</v>
      </c>
      <c r="E17">
        <v>10.447567210817001</v>
      </c>
      <c r="F17">
        <v>8.2840214959167806</v>
      </c>
      <c r="G17">
        <v>14.538819869127099</v>
      </c>
      <c r="H17">
        <v>12.870966472555001</v>
      </c>
      <c r="I17">
        <v>25.011729012998401</v>
      </c>
      <c r="J17">
        <v>18.292929279120401</v>
      </c>
      <c r="K17">
        <v>10.914009645072801</v>
      </c>
      <c r="L17">
        <v>13.0917636337237</v>
      </c>
      <c r="M17">
        <v>13.411796749592799</v>
      </c>
      <c r="N17">
        <v>10.235305358457801</v>
      </c>
    </row>
    <row r="18" spans="1:17" ht="25.5" customHeight="1" x14ac:dyDescent="0.35">
      <c r="A18" s="2">
        <v>44196</v>
      </c>
      <c r="B18">
        <v>7.5322638854437498</v>
      </c>
      <c r="C18">
        <v>11.0508592022587</v>
      </c>
      <c r="D18">
        <v>11.192208682288101</v>
      </c>
      <c r="E18">
        <v>9.7147154363071309</v>
      </c>
      <c r="F18">
        <v>7.3073004958955803</v>
      </c>
      <c r="G18">
        <v>14.667779515581</v>
      </c>
      <c r="H18">
        <v>11.207712202749599</v>
      </c>
      <c r="I18">
        <v>24.534442807745599</v>
      </c>
      <c r="J18">
        <v>17.229819152973601</v>
      </c>
      <c r="K18">
        <v>8.9422344840982593</v>
      </c>
      <c r="L18">
        <v>9.7785656650372808</v>
      </c>
      <c r="M18">
        <v>11.908567848488101</v>
      </c>
      <c r="N18">
        <v>8.27578853786002</v>
      </c>
    </row>
    <row r="19" spans="1:17" ht="25.5" customHeight="1" x14ac:dyDescent="0.35">
      <c r="A19" s="2">
        <v>44561</v>
      </c>
      <c r="B19">
        <v>6.4440018443672704</v>
      </c>
      <c r="C19">
        <v>12.8471719199911</v>
      </c>
      <c r="D19">
        <v>14.1061782856045</v>
      </c>
      <c r="E19">
        <v>12.199709394090799</v>
      </c>
      <c r="F19">
        <v>9.1850166326477307</v>
      </c>
      <c r="G19">
        <v>16.3837417700753</v>
      </c>
      <c r="H19">
        <v>13.922736684393399</v>
      </c>
      <c r="I19">
        <v>26.637202086663901</v>
      </c>
      <c r="J19">
        <v>20.686290271799201</v>
      </c>
      <c r="K19">
        <v>12.253955548111</v>
      </c>
      <c r="L19">
        <v>10.899145951859399</v>
      </c>
      <c r="M19">
        <v>15.360277960938401</v>
      </c>
      <c r="N19">
        <v>11.7277999998841</v>
      </c>
    </row>
    <row r="20" spans="1:17" ht="25.5" customHeight="1" x14ac:dyDescent="0.35">
      <c r="A20" s="2">
        <v>44925</v>
      </c>
      <c r="B20">
        <v>7.7689689945967704</v>
      </c>
      <c r="C20">
        <v>14.658060585061</v>
      </c>
      <c r="D20">
        <v>14.002940310619</v>
      </c>
      <c r="E20">
        <v>11.818711551999799</v>
      </c>
      <c r="F20">
        <v>9.1921931522384703</v>
      </c>
      <c r="G20">
        <v>16.690651733527702</v>
      </c>
      <c r="H20">
        <v>15.858347905759301</v>
      </c>
      <c r="I20">
        <v>24.048321566760499</v>
      </c>
      <c r="J20">
        <v>20.598310597535399</v>
      </c>
      <c r="K20">
        <v>13.153419453009199</v>
      </c>
      <c r="L20">
        <v>12.015889153241799</v>
      </c>
      <c r="M20">
        <v>14.6915673510105</v>
      </c>
      <c r="N20">
        <v>13.320278986082799</v>
      </c>
    </row>
    <row r="21" spans="1:17" ht="25.5" customHeight="1" x14ac:dyDescent="0.35">
      <c r="A21" s="2">
        <v>45289</v>
      </c>
      <c r="B21">
        <v>6.5791075223619204</v>
      </c>
      <c r="C21">
        <v>13.226394097123199</v>
      </c>
      <c r="D21">
        <v>13.1491479008301</v>
      </c>
      <c r="E21">
        <v>11.93889064433</v>
      </c>
      <c r="F21">
        <v>9.2808345396733305</v>
      </c>
      <c r="G21">
        <v>19.302463641340701</v>
      </c>
      <c r="H21">
        <v>14.7202942014685</v>
      </c>
      <c r="I21">
        <v>25.3040632207851</v>
      </c>
      <c r="J21">
        <v>20.344034086765099</v>
      </c>
      <c r="K21">
        <v>13.2312741384504</v>
      </c>
      <c r="L21">
        <v>12.750726724682799</v>
      </c>
      <c r="M21">
        <v>15.368050598586001</v>
      </c>
      <c r="N21">
        <v>13.3572149047324</v>
      </c>
    </row>
    <row r="23" spans="1:17" x14ac:dyDescent="0.35">
      <c r="A23" t="s">
        <v>91</v>
      </c>
      <c r="B23" s="8">
        <f t="shared" ref="B23:N23" si="0">MIN(_xlfn.ANCHORARRAY(B2))</f>
        <v>6.4440018443672704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9.7147154363071309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8.9422344840982593</v>
      </c>
      <c r="L23" s="8">
        <f t="shared" si="0"/>
        <v>9.7785656650372808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11.983677793053701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13.04966082823935</v>
      </c>
      <c r="M24" s="8">
        <f t="shared" si="1"/>
        <v>14.442959457883401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6.5791075223619204</v>
      </c>
      <c r="C25" s="8">
        <f t="shared" si="2"/>
        <v>13.226394097123199</v>
      </c>
      <c r="D25" s="8">
        <f t="shared" si="2"/>
        <v>13.1491479008301</v>
      </c>
      <c r="E25" s="8">
        <f t="shared" si="2"/>
        <v>11.93889064433</v>
      </c>
      <c r="F25" s="8">
        <f t="shared" si="2"/>
        <v>9.2808345396733305</v>
      </c>
      <c r="G25" s="8">
        <f t="shared" si="2"/>
        <v>19.302463641340701</v>
      </c>
      <c r="H25" s="8">
        <f t="shared" si="2"/>
        <v>14.7202942014685</v>
      </c>
      <c r="I25" s="8">
        <f t="shared" si="2"/>
        <v>25.3040632207851</v>
      </c>
      <c r="J25" s="8">
        <f t="shared" si="2"/>
        <v>20.344034086765099</v>
      </c>
      <c r="K25" s="8">
        <f t="shared" si="2"/>
        <v>13.2312741384504</v>
      </c>
      <c r="L25" s="8">
        <f t="shared" si="2"/>
        <v>12.750726724682799</v>
      </c>
      <c r="M25" s="8">
        <f t="shared" si="2"/>
        <v>15.368050598586001</v>
      </c>
      <c r="N25" s="8">
        <f t="shared" si="2"/>
        <v>13.3572149047324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10" sqref="O10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0" ht="18.5" x14ac:dyDescent="0.55000000000000004">
      <c r="K1" s="62" t="s">
        <v>771</v>
      </c>
      <c r="L1" s="186">
        <f ca="1">EDATE(TODAY(), -1)</f>
        <v>45539</v>
      </c>
      <c r="M1" s="116"/>
    </row>
    <row r="2" spans="1:20" ht="15" thickBot="1" x14ac:dyDescent="0.4">
      <c r="K2" s="12" t="s">
        <v>772</v>
      </c>
      <c r="L2" s="187">
        <f ca="1">EDATE(TODAY(), -4)</f>
        <v>45447</v>
      </c>
    </row>
    <row r="3" spans="1:20" ht="50.25" customHeight="1" x14ac:dyDescent="0.3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09/2024</v>
      </c>
      <c r="O3" t="str" cm="1">
        <f t="array" aca="1" ref="O3" ca="1">_xll.FDSRC("-","DUMMY","ECON_DATE("&amp;$L$2&amp;",,, 'MM/YYYY')")</f>
        <v>06/2024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3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ref="M4">IF(_xll.FDSRC(,"DUMMY","ECON_EXPR_DATA('FDS_ECON["&amp;H4&amp;"]',,,M)")=0,$J$19,_xll.FDSRC(,"DUMMY","ECON_EXPR_DATA('FDS_ECON["&amp;H4&amp;"]',,,M)"))</f>
        <v>47.520110000000003</v>
      </c>
      <c r="N4" t="str" cm="1">
        <f t="array" aca="1" ref="N4" ca="1">_xll.FDSRC("-","DUMMY","ECON_EXPR_DATA('FDS_ECON["&amp;H4&amp;"]',"&amp;$N$3&amp;",,Q)")</f>
        <v>-</v>
      </c>
      <c r="O4" cm="1">
        <f t="array" aca="1" ref="O4" ca="1">_xll.FDSRC("-","DUMMY","ECON_EXPR_DATA('FDS_ECON["&amp;H4&amp;"]',"&amp;$O$3&amp;",,Q)")</f>
        <v>45.525333000000003</v>
      </c>
      <c r="P4">
        <f t="shared" ref="P4:P12" ca="1" si="0">IFERROR(N4-O4,$M$20)</f>
        <v>-1.5814669999999964</v>
      </c>
      <c r="Q4" cm="1">
        <f t="array" ref="Q4">_xlfn.PERCENTRANK.EXC(_xlfn._xlws.FILTER(M$4:M$16, ISNUMBER(M$4:M$16)),M4)*100</f>
        <v>42.8</v>
      </c>
      <c r="R4" cm="1">
        <f t="array" aca="1" ref="R4" ca="1">_xlfn.PERCENTRANK.EXC(_xlfn._xlws.FILTER(P$4:P$16, ISNUMBER(P$4:P$16)),P4)*100</f>
        <v>35.699999999999996</v>
      </c>
      <c r="S4">
        <f ca="1">Q4*Assumption!$E$27 + R4*Assumption!$F$27</f>
        <v>39.959999999999994</v>
      </c>
      <c r="T4" cm="1">
        <f t="array" aca="1" ref="T4" ca="1">_xlfn.PERCENTRANK.EXC(_xlfn._xlws.FILTER(S$4:S$16, ISNUMBER(S$4:S$16)),S4)*100</f>
        <v>50</v>
      </c>
    </row>
    <row r="5" spans="1:20" x14ac:dyDescent="0.3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IF(_xll.FDSRC(,"DUMMY","ECON_EXPR_DATA('FDS_ECON["&amp;H5&amp;"]',,,M)")=0,$J$19,_xll.FDSRC(,"DUMMY","ECON_EXPR_DATA('FDS_ECON["&amp;H5&amp;"]',,,M)"))</f>
        <v>46.746516999999997</v>
      </c>
      <c r="N5" cm="1">
        <f t="array" aca="1" ref="N5" ca="1">_xll.FDSRC("-","DUMMY","ECON_EXPR_DATA('FDS_ECON["&amp;H5&amp;"]',"&amp;$N$3&amp;",,Q)")</f>
        <v>47.567889999999998</v>
      </c>
      <c r="O5" cm="1">
        <f t="array" aca="1" ref="O5" ca="1">_xll.FDSRC("-","DUMMY","ECON_EXPR_DATA('FDS_ECON["&amp;H5&amp;"]',"&amp;$O$3&amp;",,Q)")</f>
        <v>48.811332999999998</v>
      </c>
      <c r="P5">
        <f t="shared" ca="1" si="0"/>
        <v>-1.2434429999999992</v>
      </c>
      <c r="Q5" cm="1">
        <f t="array" ref="Q5">_xlfn.PERCENTRANK.EXC(_xlfn._xlws.FILTER(M$4:M$16, ISNUMBER(M$4:M$16)),M5)*100</f>
        <v>21.4</v>
      </c>
      <c r="R5" cm="1">
        <f t="array" aca="1" ref="R5" ca="1">_xlfn.PERCENTRANK.EXC(_xlfn._xlws.FILTER(P$4:P$16, ISNUMBER(P$4:P$16)),P5)*100</f>
        <v>57.099999999999994</v>
      </c>
      <c r="S5">
        <f ca="1">Q5*Assumption!$E$27 + R5*Assumption!$F$27</f>
        <v>35.68</v>
      </c>
      <c r="T5" cm="1">
        <f t="array" aca="1" ref="T5" ca="1">_xlfn.PERCENTRANK.EXC(_xlfn._xlws.FILTER(S$4:S$16, ISNUMBER(S$4:S$16)),S5)*100</f>
        <v>35.699999999999996</v>
      </c>
    </row>
    <row r="6" spans="1:20" x14ac:dyDescent="0.3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ref="M6">IF(_xll.FDSRC(,"DUMMY","ECON_EXPR_DATA('FDS_ECON["&amp;H6&amp;"]',,,M)")=0,$J$19,_xll.FDSRC(,"DUMMY","ECON_EXPR_DATA('FDS_ECON["&amp;H6&amp;"]',,,M)"))</f>
        <v>50.366905000000003</v>
      </c>
      <c r="N6" cm="1">
        <f t="array" aca="1" ref="N6" ca="1">_xll.FDSRC("-","DUMMY","ECON_EXPR_DATA('FDS_ECON["&amp;H6&amp;"]',"&amp;$N$3&amp;",,Q)")</f>
        <v>49.193686999999997</v>
      </c>
      <c r="O6" cm="1">
        <f t="array" aca="1" ref="O6" ca="1">_xll.FDSRC("-","DUMMY","ECON_EXPR_DATA('FDS_ECON["&amp;H6&amp;"]',"&amp;$O$3&amp;",,Q)")</f>
        <v>49.331885999999997</v>
      </c>
      <c r="P6">
        <f t="shared" ca="1" si="0"/>
        <v>-0.13819900000000018</v>
      </c>
      <c r="Q6" cm="1">
        <f t="array" ref="Q6">_xlfn.PERCENTRANK.EXC(_xlfn._xlws.FILTER(M$4:M$16, ISNUMBER(M$4:M$16)),M6)*100</f>
        <v>85.7</v>
      </c>
      <c r="R6" cm="1">
        <f t="array" aca="1" ref="R6" ca="1">_xlfn.PERCENTRANK.EXC(_xlfn._xlws.FILTER(P$4:P$16, ISNUMBER(P$4:P$16)),P6)*100</f>
        <v>71.399999999999991</v>
      </c>
      <c r="S6">
        <f ca="1">Q6*Assumption!$E$27 + R6*Assumption!$F$27</f>
        <v>79.98</v>
      </c>
      <c r="T6" cm="1">
        <f t="array" aca="1" ref="T6" ca="1">_xlfn.PERCENTRANK.EXC(_xlfn._xlws.FILTER(S$4:S$16, ISNUMBER(S$4:S$16)),S6)*100</f>
        <v>78.5</v>
      </c>
    </row>
    <row r="7" spans="1:20" x14ac:dyDescent="0.3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IF(_xll.FDSRC(,"DUMMY","ECON_EXPR_DATA('FDS_ECON["&amp;H7&amp;"]',,,M)")=0,$J$19,_xll.FDSRC(,"DUMMY","ECON_EXPR_DATA('FDS_ECON["&amp;H7&amp;"]',,,M)"))</f>
        <v>40.599674</v>
      </c>
      <c r="N7" cm="1">
        <f t="array" aca="1" ref="N7" ca="1">_xll.FDSRC("-","DUMMY","ECON_EXPR_DATA('FDS_ECON["&amp;H7&amp;"]',"&amp;$N$3&amp;",,Q)")</f>
        <v>42.065910000000002</v>
      </c>
      <c r="O7" cm="1">
        <f t="array" aca="1" ref="O7" ca="1">_xll.FDSRC("-","DUMMY","ECON_EXPR_DATA('FDS_ECON["&amp;H7&amp;"]',"&amp;$O$3&amp;",,Q)")</f>
        <v>43.781999999999996</v>
      </c>
      <c r="P7">
        <f t="shared" ca="1" si="0"/>
        <v>-1.7160899999999941</v>
      </c>
      <c r="Q7" cm="1">
        <f t="array" ref="Q7">_xlfn.PERCENTRANK.EXC(_xlfn._xlws.FILTER(M$4:M$16, ISNUMBER(M$4:M$16)),M7)*100</f>
        <v>7.1</v>
      </c>
      <c r="R7" cm="1">
        <f t="array" aca="1" ref="R7" ca="1">_xlfn.PERCENTRANK.EXC(_xlfn._xlws.FILTER(P$4:P$16, ISNUMBER(P$4:P$16)),P7)*100</f>
        <v>28.499999999999996</v>
      </c>
      <c r="S7">
        <f ca="1">Q7*Assumption!$E$27 + R7*Assumption!$F$27</f>
        <v>15.659999999999998</v>
      </c>
      <c r="T7" cm="1">
        <f t="array" aca="1" ref="T7" ca="1">_xlfn.PERCENTRANK.EXC(_xlfn._xlws.FILTER(S$4:S$16, ISNUMBER(S$4:S$16)),S7)*100</f>
        <v>7.1</v>
      </c>
    </row>
    <row r="8" spans="1:20" x14ac:dyDescent="0.3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IF(_xll.FDSRC(,"DUMMY","ECON_EXPR_DATA('FDS_ECON["&amp;H8&amp;"]',,,M)")=0,$J$19,_xll.FDSRC(,"DUMMY","ECON_EXPR_DATA('FDS_ECON["&amp;H8&amp;"]',,,M)"))</f>
        <v>49.730063999999999</v>
      </c>
      <c r="N8" cm="1">
        <f t="array" aca="1" ref="N8" ca="1">_xll.FDSRC("-","DUMMY","ECON_EXPR_DATA('FDS_ECON["&amp;H8&amp;"]',"&amp;$N$3&amp;",,Q)")</f>
        <v>49.560065999999999</v>
      </c>
      <c r="O8" cm="1">
        <f t="array" aca="1" ref="O8" ca="1">_xll.FDSRC("-","DUMMY","ECON_EXPR_DATA('FDS_ECON["&amp;H8&amp;"]',"&amp;$O$3&amp;",,Q)")</f>
        <v>49.991356000000003</v>
      </c>
      <c r="P8">
        <f t="shared" ca="1" si="0"/>
        <v>-0.43129000000000417</v>
      </c>
      <c r="Q8" cm="1">
        <f t="array" ref="Q8">_xlfn.PERCENTRANK.EXC(_xlfn._xlws.FILTER(M$4:M$16, ISNUMBER(M$4:M$16)),M8)*100</f>
        <v>71.399999999999991</v>
      </c>
      <c r="R8" cm="1">
        <f t="array" aca="1" ref="R8" ca="1">_xlfn.PERCENTRANK.EXC(_xlfn._xlws.FILTER(P$4:P$16, ISNUMBER(P$4:P$16)),P8)*100</f>
        <v>64.2</v>
      </c>
      <c r="S8">
        <f ca="1">Q8*Assumption!$E$27 + R8*Assumption!$F$27</f>
        <v>68.52</v>
      </c>
      <c r="T8" cm="1">
        <f t="array" aca="1" ref="T8" ca="1">_xlfn.PERCENTRANK.EXC(_xlfn._xlws.FILTER(S$4:S$16, ISNUMBER(S$4:S$16)),S8)*100</f>
        <v>64.2</v>
      </c>
    </row>
    <row r="9" spans="1:20" x14ac:dyDescent="0.3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ref="M9">IF(_xll.FDSRC(,"DUMMY","ECON_EXPR_DATA('FDS_ECON["&amp;H9&amp;"]',,,M)")=0,$J$19,_xll.FDSRC(,"DUMMY","ECON_EXPR_DATA('FDS_ECON["&amp;H9&amp;"]',,,M)"))</f>
        <v>49.874554000000003</v>
      </c>
      <c r="N9" cm="1">
        <f t="array" aca="1" ref="N9" ca="1">_xll.FDSRC("-","DUMMY","ECON_EXPR_DATA('FDS_ECON["&amp;H9&amp;"]',"&amp;$N$3&amp;",,Q)")</f>
        <v>47.458323999999998</v>
      </c>
      <c r="O9" cm="1">
        <f t="array" aca="1" ref="O9" ca="1">_xll.FDSRC("-","DUMMY","ECON_EXPR_DATA('FDS_ECON["&amp;H9&amp;"]',"&amp;$O$3&amp;",,Q)")</f>
        <v>43.896877000000003</v>
      </c>
      <c r="P9">
        <f t="shared" ca="1" si="0"/>
        <v>3.561446999999994</v>
      </c>
      <c r="Q9" cm="1">
        <f t="array" ref="Q9">_xlfn.PERCENTRANK.EXC(_xlfn._xlws.FILTER(M$4:M$16, ISNUMBER(M$4:M$16)),M9)*100</f>
        <v>78.5</v>
      </c>
      <c r="R9" cm="1">
        <f t="array" aca="1" ref="R9" ca="1">_xlfn.PERCENTRANK.EXC(_xlfn._xlws.FILTER(P$4:P$16, ISNUMBER(P$4:P$16)),P9)*100</f>
        <v>92.800000000000011</v>
      </c>
      <c r="S9">
        <f ca="1">Q9*Assumption!$E$27 + R9*Assumption!$F$27</f>
        <v>84.22</v>
      </c>
      <c r="T9" cm="1">
        <f t="array" aca="1" ref="T9" ca="1">_xlfn.PERCENTRANK.EXC(_xlfn._xlws.FILTER(S$4:S$16, ISNUMBER(S$4:S$16)),S9)*100</f>
        <v>85.7</v>
      </c>
    </row>
    <row r="10" spans="1:20" x14ac:dyDescent="0.3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IF(_xll.FDSRC(,"DUMMY","ECON_EXPR_DATA('FDS_ECON["&amp;H10&amp;"]',,,M)")=0,$J$19,_xll.FDSRC(,"DUMMY","ECON_EXPR_DATA('FDS_ECON["&amp;H10&amp;"]',,,M)"))</f>
        <v>51.538494</v>
      </c>
      <c r="N10" cm="1">
        <f t="array" aca="1" ref="N10" ca="1">_xll.FDSRC("-","DUMMY","ECON_EXPR_DATA('FDS_ECON["&amp;H10&amp;"]',"&amp;$N$3&amp;",,Q)")</f>
        <v>52.055466000000003</v>
      </c>
      <c r="O10" cm="1">
        <f t="array" aca="1" ref="O10" ca="1">_xll.FDSRC("-","DUMMY","ECON_EXPR_DATA('FDS_ECON["&amp;H10&amp;"]',"&amp;$O$3&amp;",,Q)")</f>
        <v>50.395269999999996</v>
      </c>
      <c r="P10">
        <f t="shared" ca="1" si="0"/>
        <v>1.6601960000000062</v>
      </c>
      <c r="Q10" cm="1">
        <f t="array" ref="Q10">_xlfn.PERCENTRANK.EXC(_xlfn._xlws.FILTER(M$4:M$16, ISNUMBER(M$4:M$16)),M10)*100</f>
        <v>92.800000000000011</v>
      </c>
      <c r="R10" cm="1">
        <f t="array" aca="1" ref="R10" ca="1">_xlfn.PERCENTRANK.EXC(_xlfn._xlws.FILTER(P$4:P$16, ISNUMBER(P$4:P$16)),P10)*100</f>
        <v>78.5</v>
      </c>
      <c r="S10">
        <f ca="1">Q10*Assumption!$E$27 + R10*Assumption!$F$27</f>
        <v>87.080000000000013</v>
      </c>
      <c r="T10" cm="1">
        <f t="array" aca="1" ref="T10" ca="1">_xlfn.PERCENTRANK.EXC(_xlfn._xlws.FILTER(S$4:S$16, ISNUMBER(S$4:S$16)),S10)*100</f>
        <v>92.800000000000011</v>
      </c>
    </row>
    <row r="11" spans="1:20" x14ac:dyDescent="0.3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IF(_xll.FDSRC(,"DUMMY","ECON_EXPR_DATA('FDS_ECON["&amp;H11&amp;"]',,,M)")=0,$J$19,_xll.FDSRC(,"DUMMY","ECON_EXPR_DATA('FDS_ECON["&amp;H11&amp;"]',,,M)"))</f>
        <v>47.257956999999998</v>
      </c>
      <c r="N11" cm="1">
        <f t="array" aca="1" ref="N11" ca="1">_xll.FDSRC("-","DUMMY","ECON_EXPR_DATA('FDS_ECON["&amp;H11&amp;"]',"&amp;$N$3&amp;",,Q)")</f>
        <v>48.261749999999999</v>
      </c>
      <c r="O11" cm="1">
        <f t="array" aca="1" ref="O11" ca="1">_xll.FDSRC("-","DUMMY","ECON_EXPR_DATA('FDS_ECON["&amp;H11&amp;"]',"&amp;$O$3&amp;",,Q)")</f>
        <v>50.939391999999998</v>
      </c>
      <c r="P11">
        <f t="shared" ca="1" si="0"/>
        <v>-2.6776419999999987</v>
      </c>
      <c r="Q11" cm="1">
        <f t="array" ref="Q11">_xlfn.PERCENTRANK.EXC(_xlfn._xlws.FILTER(M$4:M$16, ISNUMBER(M$4:M$16)),M11)*100</f>
        <v>28.499999999999996</v>
      </c>
      <c r="R11" cm="1">
        <f t="array" aca="1" ref="R11" ca="1">_xlfn.PERCENTRANK.EXC(_xlfn._xlws.FILTER(P$4:P$16, ISNUMBER(P$4:P$16)),P11)*100</f>
        <v>14.2</v>
      </c>
      <c r="S11">
        <f ca="1">Q11*Assumption!$E$27 + R11*Assumption!$F$27</f>
        <v>22.779999999999998</v>
      </c>
      <c r="T11" cm="1">
        <f t="array" aca="1" ref="T11" ca="1">_xlfn.PERCENTRANK.EXC(_xlfn._xlws.FILTER(S$4:S$16, ISNUMBER(S$4:S$16)),S11)*100</f>
        <v>14.2</v>
      </c>
    </row>
    <row r="12" spans="1:20" x14ac:dyDescent="0.3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IF(_xll.FDSRC(,"DUMMY","ECON_EXPR_DATA('FDS_ECON["&amp;H12&amp;"]',,,M)")=0,$J$19,_xll.FDSRC(,"DUMMY","ECON_EXPR_DATA('FDS_ECON["&amp;H12&amp;"]',,,M)"))</f>
        <v>47.257956999999998</v>
      </c>
      <c r="N12" cm="1">
        <f t="array" aca="1" ref="N12" ca="1">_xll.FDSRC("-","DUMMY","ECON_EXPR_DATA('FDS_ECON["&amp;H12&amp;"]',"&amp;$N$3&amp;",,Q)")</f>
        <v>48.261749999999999</v>
      </c>
      <c r="O12" cm="1">
        <f t="array" aca="1" ref="O12" ca="1">_xll.FDSRC("-","DUMMY","ECON_EXPR_DATA('FDS_ECON["&amp;H12&amp;"]',"&amp;$O$3&amp;",,Q)")</f>
        <v>50.939391999999998</v>
      </c>
      <c r="P12">
        <f t="shared" ca="1" si="0"/>
        <v>-2.6776419999999987</v>
      </c>
      <c r="Q12" cm="1">
        <f t="array" ref="Q12">_xlfn.PERCENTRANK.EXC(_xlfn._xlws.FILTER(M$4:M$16, ISNUMBER(M$4:M$16)),M12)*100</f>
        <v>28.499999999999996</v>
      </c>
      <c r="R12" cm="1">
        <f t="array" aca="1" ref="R12" ca="1">_xlfn.PERCENTRANK.EXC(_xlfn._xlws.FILTER(P$4:P$16, ISNUMBER(P$4:P$16)),P12)*100</f>
        <v>14.2</v>
      </c>
      <c r="S12">
        <f ca="1">Q12*Assumption!$E$27 + R12*Assumption!$F$27</f>
        <v>22.779999999999998</v>
      </c>
      <c r="T12" cm="1">
        <f t="array" aca="1" ref="T12" ca="1">_xlfn.PERCENTRANK.EXC(_xlfn._xlws.FILTER(S$4:S$16, ISNUMBER(S$4:S$16)),S12)*100</f>
        <v>14.2</v>
      </c>
    </row>
    <row r="13" spans="1:20" x14ac:dyDescent="0.3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IF(_xll.FDSRC(,"DUMMY","ECON_EXPR_DATA('FDS_ECON["&amp;H13&amp;"]',,,M)")=0,$J$19,_xll.FDSRC(,"DUMMY","ECON_EXPR_DATA('FDS_ECON["&amp;H13&amp;"]',,,M)"))</f>
        <v>44.596164999999999</v>
      </c>
      <c r="N13" cm="1">
        <f t="array" aca="1" ref="N13" ca="1">_xll.FDSRC("-","DUMMY","ECON_EXPR_DATA('FDS_ECON["&amp;H13&amp;"]',"&amp;$N$3&amp;",,Q)")</f>
        <v>44.157119999999999</v>
      </c>
      <c r="O13" cm="1">
        <f t="array" aca="1" ref="O13" ca="1">_xll.FDSRC("-","DUMMY","ECON_EXPR_DATA('FDS_ECON["&amp;H13&amp;"]',"&amp;$O$3&amp;",,Q)")</f>
        <v>45.684513000000003</v>
      </c>
      <c r="P13">
        <f t="shared" ref="P13:P16" ca="1" si="1">IFERROR(N13-O13,$M$20)</f>
        <v>-1.5273930000000036</v>
      </c>
      <c r="Q13" cm="1">
        <f t="array" ref="Q13">_xlfn.PERCENTRANK.EXC(_xlfn._xlws.FILTER(M$4:M$16, ISNUMBER(M$4:M$16)),M13)*100</f>
        <v>14.2</v>
      </c>
      <c r="R13" cm="1">
        <f t="array" aca="1" ref="R13" ca="1">_xlfn.PERCENTRANK.EXC(_xlfn._xlws.FILTER(P$4:P$16, ISNUMBER(P$4:P$16)),P13)*100</f>
        <v>50</v>
      </c>
      <c r="S13">
        <f ca="1">Q13*Assumption!$E$27 + R13*Assumption!$F$27</f>
        <v>28.52</v>
      </c>
      <c r="T13" cm="1">
        <f t="array" aca="1" ref="T13" ca="1">_xlfn.PERCENTRANK.EXC(_xlfn._xlws.FILTER(S$4:S$16, ISNUMBER(S$4:S$16)),S13)*100</f>
        <v>28.499999999999996</v>
      </c>
    </row>
    <row r="14" spans="1:20" x14ac:dyDescent="0.3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ref="M14">IF(_xll.FDSRC(,"DUMMY","ECON_EXPR_DATA('FDS_ECON["&amp;H14&amp;"]',,,M)")=0,$J$19,_xll.FDSRC(,"DUMMY","ECON_EXPR_DATA('FDS_ECON["&amp;H14&amp;"]',,,M)"))</f>
        <v>48.150829999999999</v>
      </c>
      <c r="N14" cm="1">
        <f t="array" aca="1" ref="N14" ca="1">_xll.FDSRC("-","DUMMY","ECON_EXPR_DATA('FDS_ECON["&amp;H14&amp;"]',"&amp;$N$3&amp;",,Q)")</f>
        <v>48.353454999999997</v>
      </c>
      <c r="O14" cm="1">
        <f t="array" aca="1" ref="O14" ca="1">_xll.FDSRC("-","DUMMY","ECON_EXPR_DATA('FDS_ECON["&amp;H14&amp;"]',"&amp;$O$3&amp;",,Q)")</f>
        <v>51.493879999999997</v>
      </c>
      <c r="P14">
        <f t="shared" ca="1" si="1"/>
        <v>-3.1404250000000005</v>
      </c>
      <c r="Q14" cm="1">
        <f t="array" ref="Q14">_xlfn.PERCENTRANK.EXC(_xlfn._xlws.FILTER(M$4:M$16, ISNUMBER(M$4:M$16)),M14)*100</f>
        <v>57.099999999999994</v>
      </c>
      <c r="R14" cm="1">
        <f t="array" aca="1" ref="R14" ca="1">_xlfn.PERCENTRANK.EXC(_xlfn._xlws.FILTER(P$4:P$16, ISNUMBER(P$4:P$16)),P14)*100</f>
        <v>7.1</v>
      </c>
      <c r="S14">
        <f ca="1">Q14*Assumption!$E$27 + R14*Assumption!$F$27</f>
        <v>37.099999999999994</v>
      </c>
      <c r="T14" cm="1">
        <f t="array" aca="1" ref="T14" ca="1">_xlfn.PERCENTRANK.EXC(_xlfn._xlws.FILTER(S$4:S$16, ISNUMBER(S$4:S$16)),S14)*100</f>
        <v>42.8</v>
      </c>
    </row>
    <row r="15" spans="1:20" x14ac:dyDescent="0.3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ref="M15">IF(_xll.FDSRC(,"DUMMY","ECON_EXPR_DATA('FDS_ECON["&amp;H15&amp;"]',,,M)")=0,$J$19,_xll.FDSRC(,"DUMMY","ECON_EXPR_DATA('FDS_ECON["&amp;H15&amp;"]',,,M)"))</f>
        <v>47.520110000000003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-1.5814669999999964</v>
      </c>
      <c r="Q15" cm="1">
        <f t="array" ref="Q15">_xlfn.PERCENTRANK.EXC(_xlfn._xlws.FILTER(M$4:M$16, ISNUMBER(M$4:M$16)),M15)*100</f>
        <v>42.8</v>
      </c>
      <c r="R15" cm="1">
        <f t="array" aca="1" ref="R15" ca="1">_xlfn.PERCENTRANK.EXC(_xlfn._xlws.FILTER(P$4:P$16, ISNUMBER(P$4:P$16)),P15)*100</f>
        <v>35.699999999999996</v>
      </c>
      <c r="S15">
        <f ca="1">Q15*Assumption!$E$27 + R15*Assumption!$F$27</f>
        <v>39.959999999999994</v>
      </c>
      <c r="T15" cm="1">
        <f t="array" aca="1" ref="T15" ca="1">_xlfn.PERCENTRANK.EXC(_xlfn._xlws.FILTER(S$4:S$16, ISNUMBER(S$4:S$16)),S15)*100</f>
        <v>50</v>
      </c>
    </row>
    <row r="16" spans="1:20" x14ac:dyDescent="0.3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ref="M16">IF(_xll.FDSRC(,"DUMMY","ECON_EXPR_DATA('FDS_ECON["&amp;H16&amp;"]',,,M)")=0,$J$19,_xll.FDSRC(,"DUMMY","ECON_EXPR_DATA('FDS_ECON["&amp;H16&amp;"]',,,M)"))</f>
        <v>48.309246000000002</v>
      </c>
      <c r="N16" cm="1">
        <f t="array" aca="1" ref="N16" ca="1">_xll.FDSRC("-","DUMMY","ECON_EXPR_DATA('FDS_ECON["&amp;H16&amp;"]',"&amp;$N$3&amp;",,Q)")</f>
        <v>48.375774</v>
      </c>
      <c r="O16" cm="1">
        <f t="array" aca="1" ref="O16" ca="1">_xll.FDSRC("-","DUMMY","ECON_EXPR_DATA('FDS_ECON["&amp;H16&amp;"]',"&amp;$O$3&amp;",,Q)")</f>
        <v>46.215786000000001</v>
      </c>
      <c r="P16">
        <f t="shared" ca="1" si="1"/>
        <v>2.1599879999999985</v>
      </c>
      <c r="Q16" cm="1">
        <f t="array" ref="Q16">_xlfn.PERCENTRANK.EXC(_xlfn._xlws.FILTER(M$4:M$16, ISNUMBER(M$4:M$16)),M16)*100</f>
        <v>64.2</v>
      </c>
      <c r="R16" cm="1">
        <f t="array" aca="1" ref="R16" ca="1">_xlfn.PERCENTRANK.EXC(_xlfn._xlws.FILTER(P$4:P$16, ISNUMBER(P$4:P$16)),P16)*100</f>
        <v>85.7</v>
      </c>
      <c r="S16">
        <f ca="1">Q16*Assumption!$E$27 + R16*Assumption!$F$27</f>
        <v>72.800000000000011</v>
      </c>
      <c r="T16" cm="1">
        <f t="array" aca="1" ref="T16" ca="1">_xlfn.PERCENTRANK.EXC(_xlfn._xlws.FILTER(S$4:S$16, ISNUMBER(S$4:S$16)),S16)*100</f>
        <v>71.399999999999991</v>
      </c>
    </row>
    <row r="18" spans="8:13" x14ac:dyDescent="0.35">
      <c r="K18" t="str" cm="1">
        <f t="array" aca="1" ref="K18" ca="1">_xll.FDSRC("-","DUMMY","ECON_DATE("&amp;$L$1&amp;",,, 'MM/YYYY')")</f>
        <v>09/2024</v>
      </c>
      <c r="L18" t="str" cm="1">
        <f t="array" aca="1" ref="L18" ca="1">_xll.FDSRC("-","DUMMY","ECON_DATE("&amp;$L$2&amp;",,, 'MM/YYYY')")</f>
        <v>06/2024</v>
      </c>
      <c r="M18" t="s">
        <v>773</v>
      </c>
    </row>
    <row r="19" spans="8:13" x14ac:dyDescent="0.35">
      <c r="H19" s="111" t="s">
        <v>759</v>
      </c>
      <c r="I19" s="111" t="s">
        <v>760</v>
      </c>
      <c r="J19" cm="1">
        <f t="array" ref="J19">IF(_xll.FDSRC("-","DUMMY","ECON_EXPR_DATA('FDS_ECON["&amp;H19&amp;"]',,,M)") = "-",$K$19,_xll.FDSRC("-","DUMMY","ECON_EXPR_DATA('FDS_ECON["&amp;H19&amp;"]',,,M)"))</f>
        <v>47.520110000000003</v>
      </c>
      <c r="K19" cm="1">
        <f t="array" aca="1" ref="K19" ca="1">_xll.FDSRC("-","DUMMY","ECON_EXPR_DATA('FDS_ECON["&amp;H19&amp;"]',"&amp;$K$18&amp;",,Q)")</f>
        <v>48.213496999999997</v>
      </c>
      <c r="L19" cm="1">
        <f t="array" aca="1" ref="L19" ca="1">_xll.FDSRC("-","DUMMY","ECON_EXPR_DATA('FDS_ECON["&amp;H19&amp;"]',"&amp;$L$18&amp;",,Q)")</f>
        <v>49.418635999999999</v>
      </c>
      <c r="M19">
        <f ca="1">K19-L19</f>
        <v>-1.2051390000000026</v>
      </c>
    </row>
    <row r="20" spans="8:13" x14ac:dyDescent="0.35">
      <c r="H20" s="111" t="s">
        <v>761</v>
      </c>
      <c r="I20" s="111" t="s">
        <v>762</v>
      </c>
      <c r="J20" cm="1">
        <f t="array" ref="J20">IF(_xll.FDSRC("-","DUMMY","ECON_EXPR_DATA('FDS_ECON["&amp;H20&amp;"]',,,M)") = "-",$K$20,_xll.FDSRC("-","DUMMY","ECON_EXPR_DATA('FDS_ECON["&amp;H20&amp;"]',,,M)"))</f>
        <v>49.800199999999997</v>
      </c>
      <c r="K20" cm="1">
        <f t="array" aca="1" ref="K20" ca="1">_xll.FDSRC("-","DUMMY","ECON_EXPR_DATA('FDS_ECON["&amp;H20&amp;"]',"&amp;$K$18&amp;",,Q)")</f>
        <v>50.418407000000002</v>
      </c>
      <c r="L20" cm="1">
        <f t="array" aca="1" ref="L20" ca="1">_xll.FDSRC("-","DUMMY","ECON_EXPR_DATA('FDS_ECON["&amp;H20&amp;"]',"&amp;$L$18&amp;",,Q)")</f>
        <v>51.999873999999998</v>
      </c>
      <c r="M20">
        <f ca="1">K20-L20</f>
        <v>-1.5814669999999964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3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100.3065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100085.03</v>
      </c>
    </row>
    <row r="3" spans="1:7" x14ac:dyDescent="0.3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1571.17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1830910.5</v>
      </c>
    </row>
    <row r="4" spans="1:7" x14ac:dyDescent="0.3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2853.8380000000002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2963770</v>
      </c>
    </row>
    <row r="5" spans="1:7" s="1" customFormat="1" x14ac:dyDescent="0.3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897.89700000000005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2368162.2999999998</v>
      </c>
    </row>
    <row r="6" spans="1:7" x14ac:dyDescent="0.3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14867.5725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6664353.5</v>
      </c>
    </row>
    <row r="7" spans="1:7" x14ac:dyDescent="0.3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1293.1099999999999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2297481.2999999998</v>
      </c>
    </row>
    <row r="8" spans="1:7" x14ac:dyDescent="0.3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3340.4810000000002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3311836</v>
      </c>
    </row>
    <row r="9" spans="1:7" x14ac:dyDescent="0.3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288520.56900000002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59163210</v>
      </c>
    </row>
    <row r="10" spans="1:7" x14ac:dyDescent="0.3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587030.599804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59163210</v>
      </c>
    </row>
    <row r="11" spans="1:7" x14ac:dyDescent="0.3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640.74800000000005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3184172.3</v>
      </c>
    </row>
    <row r="12" spans="1:7" x14ac:dyDescent="0.3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280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1120241</v>
      </c>
    </row>
    <row r="13" spans="1:7" x14ac:dyDescent="0.3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318.52875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1071350.1000000001</v>
      </c>
    </row>
    <row r="14" spans="1:7" x14ac:dyDescent="0.3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497.54700000000003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867474</v>
      </c>
    </row>
    <row r="15" spans="1:7" x14ac:dyDescent="0.35">
      <c r="D15" s="143"/>
      <c r="G15" s="142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372551.9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8031785"><![CDATA[{"FC0000ZA^FG_MCAP_IDX(0,,,USD)":372551.9,"FC0000IT^FMA_MCAP(0,,,USD,\"PORTAGG\")":867474.0,"FC0000SE^FMA_MCAP(0,,,USD,\"PORTAGG\")":1071350.1,"FC0000NL^FMA_MCAP(0,,,USD,\"PORTAGG\")":1120241.0,"FC0000FR^FMA_MCAP(0,,,USD,\"PORTAGG\")":3184172.3,"FC0000US^FMA_MCAP(0,,,USD,\"PORTAGG\")":59163210.0,"FC0000GB^FMA_MCAP(0,,,USD,\"PORTAGG\")":3311836.0,"FC0000CH^FMA_MCAP(0,,,USD,\"PORTAGG\")":2297481.3,"FC0000JP^FMA_MCAP(0,,,USD,\"PORTAGG\")":6664353.5,"FC0000DE^FMA_MCAP(0,,,USD,\"PORTAGG\")":2368162.3,"FC0000CA^FMA_MCAP(0,,,USD,\"PORTAGG\")":2963770.0,"FC0000AU^FMA_MCAP(0,,,USD,\"PORTAGG\")":1830910.5,"FC0000NZ^FMA_MCAP(0,,,USD,\"PORTAGG\")":100085.03,"CC_ZA^FG_COMPANY_NAME":"South Africa","NQG00809^FMA_MCAP(0,,,USD,\"PORTAGG\")":null,"EWI^FREF_MARKET_VALUE_COMPANY(0,,,USD,,0,,\"LEGACY\")":497.547,"EWD^FREF_MARKET_VALUE_COMPANY(0,,,USD,,0,,\"LEGACY\")":318.52875,"EWN^FREF_MARKET_VALUE_COMPANY(0,,,USD,,0,,\"LEGACY\")":280.0,"EWQ^FREF_MARKET_VALUE_COMPANY(0,,,USD,,0,,\"LEGACY\")":640.748,"SPY^FREF_MARKET_VALUE_COMPANY(0,,,USD,,0,,\"LEGACY\")":587030.599804,"QQQ^FREF_MARKET_VALUE_COMPANY(0,,,USD,,0,,\"LEGACY\")":288520.569,"EWU^FREF_MARKET_VALUE_COMPANY(0,,,USD,,0,,\"LEGACY\")":3340.481,"EWL^FREF_MARKET_VALUE_COMPANY(0,,,USD,,0,,\"LEGACY\")":1293.11,"EWJ^FREF_MARKET_VALUE_COMPANY(0,,,USD,,0,,\"LEGACY\")":14867.5725,"EWG^FREF_MARKET_VALUE_COMPANY(0,,,USD,,0,,\"LEGACY\")":897.897,"EWC^FREF_MARKET_VALUE_COMPANY(0,,,USD,,0,,\"LEGACY\")":2853.838,"EWA^FREF_MARKET_VALUE_COMPANY(0,,,USD,,0,,\"LEGACY\")":1571.17,"ENZL^FREF_MARKET_VALUE_COMPANY(0,,,USD,,0,,\"LEGACY\")":100.3065,"NQG00809^FG_COMPANY_NAME":"Nasdaq South Africa","DUMMY^ECON_EXPR_DATA('FDS_ECON[NTCPMIMFGSA@IT]',,,M)":48.309246,"DUMMY^ECON_EXPR_DATA('FDS_ECON[]',,,M)":null,"DUMMY^ECON_EXPR_DATA('FDS_ECON[NTCPMIMFGSA@NL]',,,M)":48.15083,"DUMMY^ECON_EXPR_DATA('FDS_ECON[NTCPMIMFGSA@FR]',,,M)":44.596165,"DUMMY^ECON_EXPR_DATA('FDS_ECON[NTCPMIMFGMESA@US]',,,M)":47.257957,"DUMMY^ECON_EXPR_DATA('FDS_ECON[NTCPMIMFGSA@GB]',,,M)":51.538494,"DUMMY^ECON_EXPR_DATA('FDS_ECON[NTCPMIMFGSA@CH]',,,M)":49.874554,"DUMMY^ECON_EXPR_DATA('FDS_ECON[NTCPMIMFGSA@JP]',,,M)":49.730064,"DUMMY^ECON_EXPR_DATA('FDS_ECON[NTCPMIMFGSA@DE]',,,M)":40.599674,"DUMMY^ECON_EXPR_DATA('FDS_ECON[NTCPMIMFGSA@CA]',,,M)":50.366905,"DUMMY^ECON_EXPR_DATA('FDS_ECON[NTCPMIMFGSA@AU]',,,M)":46.746517,"DUMMY^ECON_EXPR_DATA('FDS_ECON[NTCPMIMFGSA@NZ]',,,M)":null,"DUMMY^ECON_EXPR_DATA('FDS_ECON[NTCPMIMFGSA@EME]',,,M)":49.8002,"DUMMY^ECON_EXPR_DATA('FDS_ECON[PMIDMMANHE]',,,M)":47.52011,"EWI^FG_COMPANY_NAME":"iShares MSCI Italy ETF","EWD^FG_COMPANY_NAME":"iShares MSCI Sweden ETF","EWN^FG_COMPANY_NAME":"iShares MSCI Netherlands ETF","EWQ^FG_COMPANY_NAME":"iShares MSCI France ETF","SPY^FG_COMPANY_NAME":"SPDR S&P 500 ETF Trust","QQQ^FG_COMPANY_NAME":"Invesco QQQ Trust Series I","EWU^FG_COMPANY_NAME":"iShares MSCI United Kingdom ETF","EWL^FG_COMPANY_NAME":"iShares MSCI Switzerland ETF","EWJ^FG_COMPANY_NAME":"iShares MSCI Japan ETF","EWG^FG_COMPANY_NAME":"iShares MSCI Germany ETF","EWC^FG_COMPANY_NAME":"iShares MSCI Canada ETF","EWA^FG_COMPANY_NAME":"iShares MSCI Australia ETF","ENZL^FG_COMPANY_NAME":"iShares MSCI New Zealand ETF"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49047324]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7495928,11.9085678484881,15.3602779609384,14.6915673510105,15.368050598586]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337237,9.77856566503728,10.8991459518594,12.0158891532418,12.7507267246828]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450728,8.94223448409826,12.253955548111,13.1534194530092,13.2312741384504]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791204,17.2298191529736,20.6862902717992,20.5983105975354,20.3440340867651]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0129984,24.5344428077456,26.6372020866639,24.0483215667605,25.3040632207851]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0966472555,11.2077122027496,13.9227366843934,15.8583479057593,14.7202942014685]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581,16.3837417700753,16.6906517335277,19.3024636413407]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28402149591678,7.30730049589558,9.18501663264773,9.19219315223847,9.28083453967333]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817,9.71471543630713,12.1997093940908,11.8187115519998,11.93889064433]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4677485,11.1922086822881,14.1061782856045,14.002940310619,13.1491479008301]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2683733,11.0508592022587,12.8471719199911,14.658060585061,13.2263940971232],"ENZL^FMA_ROE(NTMA,-20AY,NOW,FY,\"PORTAGG\",\"MEANR\")":[null,null,null,null,null,null,10.8532267295878,10.9048734413645,11.45876758647,11.0832589152415,9.94517431688139,9.90242652659034,9.79986582903071,9.84792896856594,9.52177142619013,9.00388709577871,7.53226388544375,6.44400184436727,7.76896899459677,6.57910752236192],"EWA^JULIAN(FMA_ROE(NTMA,-20AY,NOW,FY,\"PORTAGG\",\"MEANR\").DATES)":[38352,38716,39080,39447,39813,40178,40543,40907,41274,41639,42004,42369,42734,43098,43465,43830,44196,44561,44925,45289],"TRY10Y-FDS^FG_YIELD(-10AY,0,Y,,\"YTM\")":[null,null,null,null,null,null,null,null,null,null],"TRYBR10Y-FDS^FG_YIELD(-10AY,0,Y,,\"YTM\")":[12.319731,15.989595,11.062725,9.887577,8.936093,6.883678,6.961219,10.970291,12.900059,10.455909],"TRYVN10Y-FDS^FG_YIELD(-10AY,0,Y,,\"YTM\")":[7.3,6.277413,7.1117578,5.6717234,4.738006,3.5404546,2.4877946,2.059403,4.687226,2.9473283],"^FG_YIELD(-10AY,0,Y,,\"YTM\")":[null,null,null,null,null,null,null,null,null,null],"TRYSA10Y-FDS^FG_YIELD(-10AY,0,Y,,\"YTM\")":[null,null,3.8912454,3.7299898,4.5715504,2.8775356,2.0844028,2.5113702,4.613973,4.608568],"TRYID10Y-FDS^FG_YIELD(-10AY,0,Y,,\"YTM\")":[7.922017,8.942368,7.89735,6.462641,8.148183,7.263584,5.902206,6.458283,6.936579,6.498571],"TRYAE10Y-FDS^FG_YIELD(-10AY,0,Y,,\"YTM\")":[null,null,null,3.371059,3.6940188,2.542721,1.7060698,2.0444937,4.2739367,null],"TRYMY10Y-FDS^FG_YIELD(-10AY,0,Y,,\"YTM\")":[4.131911,4.345605,4.195897,3.902544,4.235642,3.300551,2.804181,3.573893,4.131847,3.727505],"TRYMX10Y-FDS^FG_YIELD(-10AY,0,Y,,\"YTM\")":[5.8237,6.2537,7.5651,7.6401,8.7069,6.8373,5.552,7.558,9.0223,8.95],"TRYIN10Y-FDS^FG_YIELD(-10AY,0,Y,,\"YTM\")":[7.86,7.89,6.63,7.35,7.35,6.55,5.9,6.45,7.33,7.19],"TRYQA10Y-FDS^FG_YIELD(-10AY,0,Y,,\"YTM\")":[null,null,null,null,null,null,null,null,null,null],"TRYUS10Y-FDS^FG_YIELD(-10AY,0,Y,,\"YTM\")":[2.1881,2.2961,2.4752,2.4325,2.6836,1.9185,0.9174,1.5119,3.8776,3.8791],"TRYPH10Y-FDS^FG_YIELD(-10AY,0,Y,,\"YTM\")":[3.8633,4.1,4.6281,5.6986,7.1730304,4.847582,3.4208684,4.796723,6.9293385,6.0028777],"TRYCN10Y-FDS^FG_YIELD(-10AY,0,Y,,\"YTM\")":[3.653331,2.901145,3.070911,3.93859,3.259862,3.197311,3.1948,2.7893,2.855,2.574],"TRYCA10Y-FDS^FG_YIELD(-10AY,0,Y,,\"YTM\")":[1.79,1.39,1.72,2.04,1.96,1.7,0.67,1.42,3.3,3.0987],"TRYGB10Y-FDS^FG_YIELD(-10AY,0,Y,,\"YTM\")":[1.8155,2.0248,1.2817,1.2536,1.3339,0.822,0.197,0.966,3.662,3.534],"TRYJP10Y-FDS^FG_YIELD(-10AY,0,Y,,\"YTM\")":[0.3138,0.2604,0.0315,0.0465,-0.0051,-0.0208,0.0201,0.0672,0.4224,0.6127],"TRYAU10Y-FDS^FG_YIELD(-10AY,0,Y,,\"YTM\")":[2.81,2.88,2.76,2.63,2.315,1.375,0.972,1.671,4.051,3.955],"TRYPE10Y-FDS^FG_YIELD(-10AY,0,Y,,\"YTM\")":[5.681629,7.426917,6.415413,5.167133,5.645114,4.243226,3.535983,5.889906,7.923381,6.6087],"TRYGR10Y-FDS^FG_YIELD(-10AY,0,Y,,\"YTM\")":[9.61,8.24,7.15,4.14,4.37,1.45,0.618,1.315,4.585,3.099],"TRYCH10Y-FDS^FG_YIELD(-10AY,0,Y,,\"YTM\")":[0.314,null,-0.12,-0.09,-0.176,-0.434,-0.49,-0.111,1.617,0.703],"TRYEU10Y-FDS^FG_YIELD(-10AY,0,Y,,\"YTM\")":[0.5475,0.636,0.2082,0.4294,0.239,-0.189,-0.575,-0.181,2.533,2.004],"TIPSCL10Y-FDS^FG_YIELD(-10AY,0,Y,,\"YTM\")":[null,null,null,null,null,null,null,null,null,null],"TRYFR10Y-FDS^FG_YIELD(-10AY,0,Y,,\"YTM\")":[0.837,0.9989,0.682,0.785,0.71,0.118,-0.344,0.201,3.07,2.534],"TRYTR7Y-FDS^FG_YIELD(-10AY,0,Y,,\"YTM\")":[7.979133,10.679033,11.110786,11.586128,15.896213,12.034795,12.534946,23.870693,7.323803,21.984322],"TRYTW10Y-FDS^FG_YIELD(-10AY,0,Y,,\"YTM\")":[1.6015,1.015,1.2037,0.9478,0.8648,0.672,0.315,0.7413,1.2812,1.211],"TRYDE10Y-FDS^FG_YIELD(-10AY,0,Y,,\"YTM\")":[0.5475,0.636,0.22,0.47,0.239,-0.189,-0.575,-0.181,2.534,2.004],"TRYKR10Y-FDS^FG_YIELD(-10AY,0,Y,,\"YTM\")":[2.6272,2.0852,2.0916,2.4797,1.9804,1.6728,1.7238,2.2417,3.6906,3.1928],"TRYPL10Y-FDS^FG_YIELD(-10AY,0,Y,,\"YTM\")":[2.5048,2.9303,3.6245,3.292,2.8144,2.1086,1.235,3.6216,6.8411,5.1912],"TRYZA10Y-FDS^FG_YIELD(-10AY,0,Y,,\"YTM\")":[7.9537,9.7513,8.9047,8.58389,9.37766,9.011772,9.174469,9.791837,10.764477,11.358896],"TRYZA10Y-FDS^JULIAN(FG_YIELD(-10AY,0,CY,,\"YTM\").DATES)":[42004,42369,42734,43098,43465,43830,44196,44561,44925,45289],"CAGDPY@IT^EE_ACTUAL_ANNUAL(MED,+1)":1.4,"CAGDPY@IT^EE_ACTUAL_ANNUAL(MED,0)":-0.0145026444035375,"CAGDPY@SE^EE_ACTUAL_ANNUAL(MED,+1)":6.15,"CAGDPY@SE^EE_ACTUAL_ANNUAL(MED,0)":6.54758763985883,"CAGDPY@NL^EE_ACTUAL_ANNUAL(MED,+1)":9.75,"CAGDPY@NL^EE_ACTUAL_ANNUAL(MED,0)":9.85408501996988,"CAGDPY@FR^EE_ACTUAL_ANNUAL(MED,+1)":-0.4,"CAGDPY@FR^EE_ACTUAL_ANNUAL(MED,0)":-1.0196499952943,"CAGDPY@US^EE_ACTUAL_ANNUAL(MED,+1)":-3.3,"CAGDPY@US^EE_ACTUAL_ANNUAL(MED,0)":-3.26791565830676,"CAGDPY@GB^EE_ACTUAL_ANNUAL(MED,+1)":-2.8,"CAGDPY@GB^EE_ACTUAL_ANNUAL(MED,0)":-3.3,"CAGDPY@CH^EE_ACTUAL_ANNUAL(MED,+1)":8.0,"CAGDPY@CH^EE_ACTUAL_ANNUAL(MED,0)":6.51381088906606,"CAGDPY@JP^EE_ACTUAL_ANNUAL(MED,+1)":4.0,"CAGDPY@JP^EE_ACTUAL_ANNUAL(MED,0)":3.60658196299853,"CAGDPY@DE^EE_ACTUAL_ANNUAL(MED,+1)":6.85,"CAGDPY@DE^EE_ACTUAL_ANNUAL(MED,0)":5.88214213185842,"CAGDPY@CA^EE_ACTUAL_ANNUAL(MED,+1)":-1.0,"CAGDPY@CA^EE_ACTUAL_ANNUAL(MED,0)":-0.725414399026327,"CAGDPY@AU^EE_ACTUAL_ANNUAL(MED,+1)":-1.0,"CAGDPY@AU^EE_ACTUAL_ANNUAL(MED,0)":0.252467670960909,"CAGDPY@NZ^EE_ACTUAL_ANNUAL(MED,+1)":-6.4,"CAGDPY@NZ^EE_ACTUAL_ANNUAL(MED,0)":-7.1,"CC_US^FG_COMPANY_NAME":"United States","CC_GB^FG_COMPANY_NAME":"United Kingdom","CC_CH^FG_COMPANY_NAME":"Switzerland","CC_JP^FG_COMPANY_NAME":"Japan","CC_DE^FG_COMPANY_NAME":"Germany","CC_CA^FG_COMPANY_NAME":"Canada","CC_AU^FG_COMPANY_NAME":"Australia","CC_NZ^FG_COMPANY_NAME":"New Zealand","USDITL^STD(FG_PRICE_CHANGE(0,-3AY,M))":2.17172777170536,"USDITL^STD(FG_PRICE_CHANGE(0,-1AY,AM))":1.34811379852049,"USDITL^FG_PRICE_CHANGE(0,-6AM)":-1.7743707,"USDITL^FG_PRICE_CHANGE(0,-3AM)":-1.9377351,"USDITL^FG_PRICE_CHANGE(0,-1AM)":0.22236109,"USDITL^FG_PRICE_CHANGE(0,-1AY)":-4.923761,"USDITL^FG_PRICE(0)":1757.3698,"USDITL^FG_COMPANY_NAME":"Italian Lira per U.S. Dollar","USDSEK^STD(FG_PRICE_CHANGE(0,-3AY,M))":3.09688558121638,"USDSEK^STD(FG_PRICE_CHANGE(0,-1AY,AM))":2.20071086088667,"USDSEK^FG_PRICE_CHANGE(0,-6AM)":-3.1205714,"USDSEK^FG_PRICE_CHANGE(0,-3AM)":-1.4652014,"USDSEK^FG_PRICE_CHANGE(0,-1AM)":-0.005811453,"USDSEK^FG_PRICE_CHANGE(0,-1AY)":-7.0047197,"USDSEK^FG_PRICE(0)":10.3195,"USDSEK^FG_COMPANY_NAME":"Swedish Krona per U.S. Dollar","USDANG^STD(FG_PRICE_CHANGE(0,-3AY,M))":0.0594600681310969,"USDANG^STD(FG_PRICE_CHANGE(0,-1AY,AM))":0.0,"USDANG^FG_PRICE_CHANGE(0,-6AM)":0.0,"USDANG^FG_PRICE_CHANGE(0,-3AM)":0.0,"USDANG^FG_PRICE_CHANGE(0,-1AM)":0.0,"USDANG^FG_PRICE_CHANGE(0,-1AY)":0.0,"USDANG^FG_PRICE(0)":1.79,"USDANG^FG_COMPANY_NAME":"Netherlands Antilles Guilder per U.S. Dollar","USDCHF^STD(FG_PRICE_CHANGE(0,-3AY,M))":2.45675419118825,"USDCHF^STD(FG_PRICE_CHANGE(0,-1AY,AM))":2.47403563623702,"USDCHF^FG_PRICE_CHANGE(0,-6AM)":-5.77358,"USDCHF^FG_PRICE_CHANGE(0,-3AM)":-5.282134,"USDCHF^FG_PRICE_CHANGE(0,-1AM)":0.4294634,"USDCHF^FG_PRICE_CHANGE(0,-1AY)":-7.3436794,"USDCHF^FG_PRICE(0)":0.85355,"USDCHF^FG_COMPANY_NAME":"Swiss Franc per U.S. Dollar","USDUSD^STD(FG_PRICE_CHANGE(0,-3AY,M))":0.0,"USDUSD^STD(FG_PRICE_CHANGE(0,-1AY,AM))":0.0,"USDUSD^FG_PRICE_CHANGE(0,-6AM)":0.0,"USDUSD^FG_PRICE_CHANGE(0,-3AM)":0.0,"USDUSD^FG_PRICE_CHANGE(0,-1AM)":0.0,"USDUSD^FG_PRICE_CHANGE(0,-1AY)":0.0,"USDUSD^FG_PRICE(0)":1.0,"USDUSD^FG_COMPANY_NAME":"U.S. Dollar per U.S. Dollar","USDGBP^STD(FG_PRICE_CHANGE(0,-3AY,M))":2.39047188640175,"USDGBP^STD(FG_PRICE_CHANGE(0,-1AY,AM))":1.76797555289531,"USDGBP^FG_PRICE_CHANGE(0,-6AM)":-3.734213,"USDGBP^FG_PRICE_CHANGE(0,-3AM)":-2.6471376,"USDGBP^FG_PRICE_CHANGE(0,-1AM)":-0.114429,"USDGBP^FG_PRICE_CHANGE(0,-1AY)":-7.8574953,"USDGBP^FG_PRICE(0)":0.7628638,"USDGBP^FG_COMPANY_NAME":"British Pounds per U.S. Dollar","USDJPY^STD(FG_PRICE_CHANGE(0,-3AY,M))":3.37764504980135,"USDJPY^STD(FG_PRICE_CHANGE(0,-1AY,AM))":3.24877519198343,"USDJPY^FG_PRICE_CHANGE(0,-6AM)":-3.3200443,"USDJPY^FG_PRICE_CHANGE(0,-3AM)":-9.042173,"USDJPY^FG_PRICE_CHANGE(0,-1AM)":0.7966757,"USDJPY^FG_PRICE_CHANGE(0,-1AY)":-1.5429556,"USDJPY^FG_PRICE(0)":146.765,"USDJPY^FG_COMPANY_NAME":"Japanese Yen per U.S. Dollar","USDEUR^STD(FG_PRICE_CHANGE(0,-3AY,M))":2.17172756290048,"USDEUR^STD(FG_PRICE_CHANGE(0,-1AY,AM))":1.34811491898353,"USDEUR^FG_PRICE_CHANGE(0,-6AM)":-1.7743707,"USDEUR^FG_PRICE_CHANGE(0,-3AM)":-1.937741,"USDEUR^FG_PRICE_CHANGE(0,-1AM)":0.22236109,"USDEUR^FG_PRICE_CHANGE(0,-1AY)":-4.923767,"USDEUR^FG_PRICE(0)":0.9076057,"USDEUR^FG_COMPANY_NAME":"Euro per U.S. Dollar","USDCAD^STD(FG_PRICE_CHANGE(0,-3AY,M))":1.83419096764442,"USDCAD^STD(FG_PRICE_CHANGE(0,-1AY,AM))":1.08906497746873,"USDCAD^FG_PRICE_CHANGE(0,-6AM)":0.16274452,"USDCAD^FG_PRICE_CHANGE(0,-3AM)":-0.6748557,"USDCAD^FG_PRICE_CHANGE(0,-1AM)":-0.081169605,"USDCAD^FG_PRICE_CHANGE(0,-1AY)":-1.2975156,"USDCAD^FG_PRICE(0)":1.35405,"USDCAD^FG_COMPANY_NAME":"Canadian Dollar per U.S. Dollar","USDAUD^STD(FG_PRICE_CHANGE(0,-3AY,M))":3.161718116431,"USDAUD^STD(FG_PRICE_CHANGE(0,-1AY,AM))":2.06521701135076,"USDAUD^FG_PRICE_CHANGE(0,-6AM)":-4.3052435,"USDAUD^FG_PRICE_CHANGE(0,-3AM)":-1.7542601,"USDAUD^FG_PRICE_CHANGE(0,-1AM)":-1.8273532,"USDAUD^FG_PRICE_CHANGE(0,-1AY)":-7.8503075,"USDAUD^FG_PRICE(0)":1.4618814,"USDAUD^FG_COMPANY_NAME":"Australian Dollar per U.S. Dollar","USDNZD^STD(FG_PRICE_CHANGE(0,-3AY,M))":3.60072422412022,"USDNZD^STD(FG_PRICE_CHANGE(0,-1AY,AM))":2.01042165247398,"USDNZD^FG_PRICE_CHANGE(0,-6AM)":-3.6831558,"USDNZD^FG_PRICE_CHANGE(0,-3AM)":-1.6324818,"USDNZD^FG_PRICE_CHANGE(0,-1AM)":-0.48250556,"USDNZD^FG_PRICE_CHANGE(0,-1AY)":-5.0341787,"USDNZD^FG_PRICE(0)":1.6083635,"USDNZD^FG_COMPANY_NAME":"New Zealand Dollar per U.S. Dollar"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271683843]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2616456,2.21310873799954,2.48981565234839,2.56381617192707,2.51009258677616]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9541384,2.00892946055423,2.43601807945448,2.4294142632387,2.95668122593824]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0678672,1.85109750448731,2.46081748725315,2.80266519059803,2.92070467941154]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531558,16.6617704313591,22.2767075600012,22.9687105543244,24.3449868841318]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52658857,10.4260783274605,13.640269812374,12.7503134079603,16.3243000888956]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509270637055,2.03535923448403,2.71455451649836,3.12785085030901,3.00293990504371]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82371,2.66234515884581,2.58388720632297,2.86470858427176]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3.82685104354792,3.39521519550336,4.29874485010794,4.15253666902284,4.25857630683662]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97001,1.98003612030208,2.44944590598376,2.36386840125656,2.65638349123077]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19718226,1.95784087398727,2.66448337817763,2.74920456102042,2.68301216298059]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698442393,1.26256164128892,1.41909398824033,1.56850336770513,1.47895581929429],"ENZL^FMA_EPS(NTMA,-20AY,0,CY,,\"PORTAGG\",\"MEANR\")":[null,null,null,null,null,null,2.40890596176463,2.24117429803946,2.40285148565594,2.31210808961864,2.19492193820354,2.04943671601749,2.14962845087329,2.26706810161072,2.29721148308571,2.24732563529813,1.98522616654652,1.82093690891181,2.11037843374038,2.11106619444845],"EWA^JULIAN(FMA_EPS(NTMA,-20AY,0,CY,,\"PORTAGG\",\"MEANR\").DATES)":[38352,38716,39080,39447,39813,40178,40543,40907,41274,41639,42004,42369,42734,43098,43465,43830,44196,44561,44925,45289],"EWI^P_PRICE_RETURNS_PR('52W',2,-10AY,0,AM)":[5.481267,-4.0539026,1.6454458,-9.217387,-2.443117,-6.3556075,-12.893075,-12.173438,-7.775712,-13.228625,-2.3263395,-7.2598577,-0.4489839,4.868412,-0.72230697,3.1199813,-17.463821,-16.652674,-18.017746,-19.003094,-22.936417,-26.031101,-28.361135,-19.122028,-23.069542,-23.983747,-19.61515,-7.495719,8.532524,5.9138775,9.962284,12.490225,22.102844,33.198082,44.532562,37.509872,46.95375,46.491074,44.274857,28.092253,41.68725,34.418823,29.151201,29.72461,10.067725,6.759715,-1.3479054,-7.517028,-9.019118,-15.278572,-12.94331,-18.37917,-20.900005,-9.957438,-8.502311,-13.267631,-10.218966,2.306068,-2.3326337,4.5315146,2.062285,19.90292,15.286482,27.929592,16.081465,1.8737912,-27.81877,-23.056608,-1.9290626,-9.31806,-4.545641,-4.4237795,-6.538457,-15.6264305,3.1376958,1.6735792,4.205847,14.620649,63.152813,58.37741,39.424515,35.063396,32.14071,33.085884,32.934402,43.879845,11.24661,16.260254,14.391172,-2.7714312,-3.3081055,-11.554491,-13.688433,-22.247553,-21.380688,-28.350645,-27.512228,-27.289206,-7.941538,-13.988757,-4.617417,13.257933,7.3770285,18.229235,11.502159,37.198627,37.089203,44.340862,38.126266,37.17097,23.165834,25.585615,13.907539,23.607481,26.579905,22.272396,31.418705,19.364035,14.599991,23.97573,32.378376],"EWD^P_PRICE_RETURNS_PR('52W',2,-10AY,0,AM)":[-3.1404912,-0.9003699,1.8890977,-6.5948305,3.4631848,1.2722611,-5.072558,-3.8370073,-1.480639,-7.0961833,-1.9891798,-7.243395,-4.9015403,-2.0335197,-5.4369984,-4.535884,-16.464394,-15.323406,-8.682966,-10.273111,-11.648297,-11.095184,-10.170102,0.40832758,3.2378793,-7.1336746,-5.738908,3.0859709,19.782507,13.188065,10.429085,17.641317,21.91596,26.529562,27.322197,23.978651,26.537907,33.935917,27.319849,22.397114,18.54335,13.205481,7.9451323,0.95077753,-1.2812734,-4.620737,-1.6008794,-2.9696643,-4.9482703,-11.0989275,-7.889348,-16.387165,-13.946253,-5.0964413,1.0107279,2.4505496,-6.743222,5.6881666,-6.9919467,-8.8873205,-9.680486,10.750556,8.992327,25.684393,11.911667,6.182277,-21.123827,-12.664151,15.087867,2.711296,22.94613,26.206314,27.00975,11.713171,28.170193,22.261215,32.436752,41.66819,89.20971,78.67354,53.451885,53.677845,44.302727,43.636013,30.707598,43.346596,15.61371,24.003338,6.804943,-13.05818,-7.306075,-20.06259,-20.30549,-30.431414,-27.511097,-36.70828,-34.61194,-37.464725,-19.806374,-27.632856,-12.105489,4.7614336,-7.5841846,5.772114,-2.9057205,15.950537,3.8364172,13.63163,15.778172,15.557898,7.809818,18.638908,4.618156,16.017925,15.6354065,10.751211,22.812199,20.591784,16.793228,29.49897,36.26734],"EWN^P_PRICE_RETURNS_PR('52W',2,-10AY,0,AM)":[0.2631545,-3.2031596,1.4842033,-4.6979666,4.4409394,4.6795607,0.709188,4.788029,5.9515,1.3664007,12.729322,-1.2110174,2.34313,8.591091,-0.7656574,1.5233636,-3.9222002,-6.587124,-1.9242287,-5.242479,-4.4510484,-9.170872,-9.07138,7.4507833,7.573104,-2.5476754,-3.5498977,4.1323066,11.445177,13.771713,12.445175,19.13582,22.377777,28.12965,33.39739,25.774944,28.962029,34.78948,38.057182,34.74865,34.76502,25.550604,20.867146,13.527,8.519161,7.474327,4.682076,3.535688,-2.085346,-7.9382124,-6.630361,-17.649628,-13.873922,-3.3952773,-1.8155038,1.6332984,-4.0144324,6.2765837,-0.85271,0.93113184,4.78127,16.50387,15.891064,34.875416,19.341553,6.783128,-16.571337,-9.231461,11.977005,7.836938,15.2360325,16.283798,17.484247,10.168541,25.5391,23.225773,33.022533,43.35054,92.31813,76.44505,54.043674,47.33356,46.053947,54.730392,40.851868,52.031242,21.602844,23.497808,6.497836,-6.1158714,-8.838474,-19.544607,-20.368444,-26.87679,-23.113268,-37.342323,-35.42714,-39.463318,-18.317812,-23.400032,-4.7567725,4.335642,1.1273503,10.235559,9.672952,27.024292,16.1098,25.123346,19.717253,27.185404,9.567165,15.1654005,7.292402,19.980967,19.496595,19.898499,22.436596,21.249699,9.770477,22.214794,38.026417],"EWQ^P_PRICE_RETURNS_PR('52W',2,-10AY,0,AM)":[-2.1363854,-6.5243244,-1.7378151,-9.054065,1.1673331,-4.556644,-7.0757685,-5.8624687,-5.23693,-9.478974,1.6487122,-8.767408,-2.8776407,5.8876395,-2.7839065,0.23943186,-9.506249,-8.700478,-6.839025,-8.846092,-8.10424,-9.083867,-10.430795,1.7862082,1.2693882,-5.941206,-3.5247684,4.8605084,12.883604,12.234127,13.598167,18.491686,24.418545,28.231466,30.15306,26.241386,31.167543,34.48168,35.647358,30.13382,32.40565,27.122175,20.516884,18.058277,10.472465,8.5611105,7.935357,6.950426,3.1603098,-6.3210306,-6.9306016,-15.507448,-13.514101,-3.385961,-0.98704696,-3.7103534,-6.61391,4.6059012,-4.175252,-2.7243912,-3.4216702,12.586821,13.271379,29.214525,14.585304,1.4479399,-25.598568,-19.655449,-1.4846087,-8.499283,-1.5865803,0.6612301,-2.1952093,-10.108024,7.9870224,2.8523922,6.575012,18.979477,61.32288,57.604374,40.522396,38.95763,39.023674,35.594296,35.936092,45.80542,15.138161,22.53517,19.277727,1.8886328,4.6483636,-8.002096,-8.334457,-16.32346,-13.813663,-22.38112,-22.882300999999998,-23.396105,-5.1412106,-11.905831,0.6918669,14.388884,10.858429,22.25691,12.324774,30.88789,22.200453,31.38839,29.678488,25.699211,13.988113,16.995085,6.203139,12.643003,11.028135,6.708777,13.599992,4.2497396,1.9848824,8.299959,16.194069],"SPY^P_PRICE_RETURNS_PR('52W',2,-10AY,0,AM)":[19.51909,16.729963,17.901957,14.498711,19.905567,16.359688,11.4277,14.075815,12.062597,7.173836,11.120855,-0.5545318,2.3498535,6.691575,0.90550184,1.2520194,-4.6661797,-3.4041345,2.7596354,-0.0572443,1.3632178,3.380084,5.3004503,14.194632,13.053167,1.0910153,7.6292157,12.858129,22.463142,21.910799,16.085922,18.073917,18.167995,17.731262,16.564512,16.328764,19.556618,26.296795,22.88295,22.410225,23.279358,15.121424,12.919593,12.218582,14.56604,13.93075,16.97786,19.489134,17.469894,7.474339,7.535386,-7.9824686,-2.257222,6.7546606,11.97933,14.144754,2.3125887,12.493086,5.683923,2.1402717,1.5457392,14.169002,13.047564,34.519398,22.28844,9.093618,-11.553431,-1.084584,16.051842,7.4635267,14.636588,21.203077,18.170643,11.921144,20.787632,18.373215,20.053577,29.456282,65.37613,50.26951,36.308014,40.99548,36.187756,33.148266,30.667091,40.259136,25.406324,29.490494,18.53093,15.771008,14.555395,0.88385344,-0.6664932,-10.165781,-4.7134104,-12.215585,-14.293856,-18.953974,-9.689199,-18.98524,-6.166917,-5.724949,-7.717848,-0.33519864,4.272735,18.325293,10.082412,15.691757,16.825617,19.02715,14.48791,24.984741,20.427608,31.909966,28.233683,27.135468,25.137543,26.009106,20.053053,24.08178,36.511684],"QQQ^P_PRICE_RETURNS_PR('52W',2,-10AY,0,AM)":[26.545883,24.621344,25.24736,19.760979,24.019098,22.763454,18.8362,25.796616,22.423458,14.72975,19.147718,5.0453067,8.152592,14.310848,7.8799963,9.446454,-0.25328994,-1.9842267,6.2000275,-1.9874871,0.7788539,1.2783289,4.517472,13.995767,15.269876,0.28802156,2.236712,8.059561,25.008858,25.422405,21.113491,30.898594,31.068588,27.310658,25.604094,26.356638,24.295092,35.735,35.132946,35.09277,32.550003,28.080952,19.899487,19.137526,22.843765,26.428091,26.604044,28.700888,28.439236,12.431717,12.405502,-5.5796146,0.5487323,6.9315434,17.882002,19.144058,-0.658679,13.068199,5.271876,0.33735037,0.96541643,16.622341,17.926825,44.13445,33.89652,21.109903,0.62907934,13.564264,40.31949,33.792843,44.941605,56.058838,50.15584,39.138306,52.20494,48.61877,47.813904,48.637436,79.143036,59.014847,40.293015,43.016754,36.94048,33.5145,28.29306,43.92271,26.587343,28.646982,8.847034,11.240303,12.023603,-4.7093925,-6.764656,-19.988829,-11.485023,-21.974766,-23.586428,-33.337013,-24.504536,-33.67283,-12.762183,-11.797607,-10.847026,0.2817154,13.672638,32.186043,16.591251,27.016926,30.638838,42.12197,33.662964,51.646435,38.57497,54.079758,39.010704,38.16341,28.618694,33.523346,20.687569,23.14738,36.618782],"EWU^P_PRICE_RETURNS_PR('52W',2,-10AY,0,AM)":[2.785194,-1.6297817,0.7729769,-7.331353,2.4832606,-2.8535783,-5.8742704,-4.7111692,-5.238116,-9.894401,-5.35962,-15.500641,-7.308316,-2.3666918,-8.588654,-7.0310116,-15.746021,-15.216482,-11.038107,-13.273466,-12.084693,-12.171942,-12.045181,1.2027383,-2.0454824,-11.838788,-7.2517514,-0.8443475,8.14364,7.546413,8.201206,7.2523475,12.274897,12.39264,14.920294,11.007082,14.103306,21.388126,20.292473,22.027706,20.064354,11.925364,11.613703,13.102425,8.419668,7.9122066,4.6163917,3.4807682,1.9185066,-3.4116209,-5.243248,-15.500808,-11.036414,-0.44788718,2.1416187,-1.5184402,-8.391905,-0.35901666,-6.133932,-5.338323,-6.5496325,5.5838704,6.724286,21.152996,6.9710255,-6.736273,-30.456179,-23.1198,-9.8004875,-17.175371,-11.203551,-11.185598,-11.932241,-20.001543,-5.5623827,-11.804509,-5.785185,9.510124,43.06388,37.796055,26.843082,30.004692,29.698336,32.05025,30.44113,37.31581,12.290692,19.614864,20.38045,10.167122,11.945545,3.190899,1.3152957,-4.9628735,-3.155905,-11.10031,-13.193548,-14.40565,2.7708411,-5.1482735,-2.7380228,3.1390548,-0.29580593,6.0237885,1.1889458,11.498857,8.706784,16.719936,18.87064,17.281092,6.9146633,10.966396,4.579401,5.7022095,8.909655,10.247922,15.763497,14.052868,14.259386,19.759464,24.443615],"EWL^P_PRICE_RETURNS_PR('52W',2,-10AY,0,AM)":[3.9068103,1.8193841,6.2946677,0.13849735,4.598081,1.105082,0.28125048,2.2106528,3.23025,-1.6312003,6.906903,-5.5177093,-0.750196,2.741444,-3.0135393,0.28828382,-7.6633635,-8.981216,-9.892124,-10.965353,-10.641277,-7.0082664,-10.234666,0.49598217,0.9726286,-7.9215946,-6.367117,-2.1387458,8.6526985,10.03381,11.06379,13.346052,18.078375,17.698383,19.115389,15.711641,18.162477,23.27584,27.407742,24.002636,21.918571,12.266958,8.208239,3.3836722,-1.8227816,-2.4191916,2.1828651,3.881967,0.76231956,-1.4680624,-2.1027327,-10.74127,-8.714026,4.061687,8.167195,9.3153715,10.9612465,18.200148,9.807861,9.246075,7.799983,18.315304,17.446888,32.84123,25.393248,13.720072,-0.8005023,2.9318213,10.808921,6.6479445,12.320638,13.203001,15.904558,7.0604563,13.207352,11.787022,11.27857,14.022148,32.477615,30.626547,25.571955,26.301552,25.4354,24.705482,15.659666,27.75942,17.55787,20.581318,11.771048,10.154009,12.176191,0.18882751,-6.439626,-13.02101,-13.362408,-19.85411,-18.376463,-24.103434,-10.534376,-17.866253,-6.1262665,-4.2694807,-6.286174,7.698083,5.598259,12.91697,10.537648,17.080784,15.957403,16.117775,7.7215195,14.779413,6.921208,10.989261,5.572903,-2.620864,6.8816185,7.456088,9.077263,15.85747,22.076488],"EWJ^P_PRICE_RETURNS_PR('52W',2,-10AY,0,AM)":[-0.43292642,4.5282364,-0.39174557,-4.490942,5.7477117,10.029257,12.14695,17.524565,13.655222,6.721592,8.600176,0.587523,3.6767602,3.2611132,6.1228395,9.162164,-2.4324179,-6.323653,-10.432518,-10.426962,-9.558225,-9.648591,-6.2764463,7.387948,8.934855,2.5916815,0.99806786,3.6163807,16.51429,14.87919,18.559324,15.851271,19.830168,18.388866,18.160236,12.134684,14.125037,20.25138,22.757626,25.712336,24.245811,18.349707,17.859161,16.685688,13.340366,8.166588,7.6720715,7.967663,8.573568,-5.4658175,-4.580748,-15.667301,-13.192195,-6.6220284,-6.616366,-5.7295265,-10.457486,-0.5068898,-6.1558247,-5.767679,-4.9226284,10.147738,7.9453826,19.107258,9.906864,-0.85276365,-14.106024,-5.9912148,9.538519,1.337564,4.6025634,9.145355,7.4836135,3.427434,12.6544,15.40935,19.35265,30.48147,48.74023,35.7648,22.382402,24.481678,24.513865,25.793434,19.700968,17.419743,3.5892963,1.270771,-5.230987,-7.319194,-8.57262,-14.641166,-15.420109,-19.572884,-16.552866,-23.264378,-27.236855,-26.820671,-14.54823,-17.413246,-7.786703,-6.308275,-3.6506832,4.0055513,7.773435,18.128777,10.937559,18.256546,19.195795,25.40375,13.559496,18.01368,15.654051,28.189934,21.940804,20.64141,14.314592,14.34387,7.41781,16.74155,23.425425],"EWG^P_PRICE_RETURNS_PR('52W',2,-10AY,0,AM)":[-1.3759732,-5.862445,-2.9102623,-9.494901,1.600039,-1.7475545,-1.9275844,-3.5145342,-5.0690117,-9.212196,1.238668,-9.456831,-6.742507,3.2082438,-5.0302863,-2.79271,-15.916795,-15.617186,-13.744556,-11.693621,-10.647946,-12.140441,-9.202456,4.3566823,7.7863216,-4.915905,-5.549103,3.678,17.315186,17.252659,15.273309,17.693281,24.889278,28.070091,24.604988,19.625902,26.581526,34.221397,36.155773,28.932358,25.431501,17.11582,13.062536,11.635947,4.370308,1.4526725,1.9751787,0.9038806,-5.7065845,-14.858067,-14.994896,-23.93207,-20.872295,-11.139929,-10.032648,-9.247065,-12.653124,-2.6142836,-10.987127,-11.159695,-9.800398,7.1332574,8.38995,21.277916,9.562004,-2.1357358,-24.767273,-17.153847,5.732441,-1.0038435,10.415613,15.615618,13.1447315,-3.4159482,8.942329,10.563791,16.12978,26.289474,70.44282,55.269993,31.779325,29.986143,23.235344,20.918476,15.694893,29.820442,5.602193,7.0670247,1.3777614,-13.51121,-13.5556755,-23.527224,-21.924717,-30.947208,-29.178165,-36.91226,-36.170135,-36.58418,-16.462332,-21.784204,-8.610535,5.312836,2.8383136,15.375435,6.553054,26.880014,22.535824,31.744062,29.568386,27.078379,15.437115,18.15374,4.0325284,15.048528,13.987982,8.909297,15.64455,11.663055,9.057367,19.39596,32.220566],"EWC^P_PRICE_RETURNS_PR('52W',2,-10AY,0,AM)":[9.735859,2.7857661,6.8553925,1.180768,3.2443166,-2.2175968,-5.4311695,-2.3891568,-6.967658,-15.785461,-19.040716,-26.3942,-21.478992,-15.801817,-21.550411,-23.909348,-23.405344,-17.944765,-11.667085,-13.669544,-8.655209,-4.4914007,1.5963674,12.184143,12.18245,5.487132,15.108955,24.528921,32.828667,22.034157,15.469575,8.001041,8.957493,10.485638,12.664497,12.299013,15.4945135,18.242287,14.546561,16.55984,8.843601,5.1779985,4.2513967,9.853899,11.223173,7.7688813,7.4887037,5.491352,1.6285062,-5.7732344,-6.4656615,-17.966915,-6.637806,2.8898954,5.068028,3.4659624,-2.160412,4.6184063,-1.407367,-0.28738976,-0.48508644,11.176753,11.405384,26.936483,11.640633,2.6613593,-23.353922,-14.37223,-1.3644218,-7.2576103,-0.12560487,3.963852,0.38648844,-3.3569992,8.134651,5.5211782,9.107149,21.196102,70.401955,54.26763,46.885933,47.161137,38.67321,36.525787,35.35266,47.218513,22.632526,27.463472,23.140038,18.790901,18.33539,6.613922,2.078998,-7.686311,-4.248184,-9.653205,-11.072361,-16.680634,-4.2606235,-13.766521,-4.907775,-7.3590994,-11.560732,-6.0269475,-8.755046,5.9775352,1.7817378,7.3082805,3.7051558,7.1118116,2.7166486,13.843036,4.2808414,10.971808,12.393093,11.694956,12.79496,9.967351,9.034311,16.558897,31.213236],"EWA^P_PRICE_RETURNS_PR('52W',2,-10AY,0,AM)":[-1.6106427,-2.5962412,-2.266699,-4.2111754,5.5432916,0.35979748,-7.1191072,-6.2319813,-11.478329,-14.640504,-16.983795,-30.607765,-19.851887,-18.512314,-13.056207,-9.960371,-20.058119,-16.874283,-11.727208,-10.969061,-7.23322,-4.1840973,3.345275,16.572071,19.616222,8.862888,11.01048,13.081741,29.576897,22.263348,22.243881,16.364754,17.368757,15.886378,14.985645,17.78332,12.4479885,19.525564,16.054344,19.362045,14.181746,8.483934,1.6954184,7.266879,10.915065,8.581138,5.347359,3.7284255,1.021409,-5.0801573,-3.2600164,-14.45719,-8.83103,0.09881258,5.6005716,1.8324375,1.1835098,7.58754,3.8296342,1.6456842,5.4438233,15.24744,11.84107,23.516106,12.942087,-1.793927,-29.292292,-22.309727,-5.0261555,-8.731431,-5.8606267,-1.3834894,-4.2097807,-6.676066,8.3323,8.265495,12.665188,27.398132,71.34552,65.74744,39.179134,34.843563,32.540512,32.059715,28.280699,31.40564,6.367135,9.125876,-1.5004039,1.7906666,11.61269,-0.64234734,-2.556628,-12.843555,-7.8070345,-11.771387,-13.427562,-17.554205,2.5674105,-7.1085095,12.050533,1.271224,-8.084697,-3.79709,-5.7606754,11.562956,2.8209925,6.2711596,6.924796,11.39791,0.28856993,13.124645,-1.597786,8.943474,9.516549,10.775364,13.605392,13.779306,11.873722,19.247269,33.276917],"ENZL^P_PRICE_RETURNS_PR('52W',2,-10AY,0,AM)":[3.2989383,4.3521404,9.629381,12.037039,11.962223,7.5782537,0.28384924,-1.970154,-2.6933253,-12.836796,-8.172732,-17.3356,-12.216579,-3.1965494,-4.743618,-1.9886672,-5.5347443,-4.1359067,6.6857576,7.552302,16.923582,28.644062,34.575294,54.73617,49.236332,22.337591,21.443928,11.455107,27.463282,17.188692,8.510387,7.9015136,12.160254,11.530256,9.810484,3.5515904,5.5674314,11.770832,14.648211,24.709011,17.842329,19.512165,20.132614,17.463743,13.438582,9.683716,3.1799197,9.108675,6.319487,4.338491,9.938013,-1.5888453,0.8842349,6.7422867,10.390509,11.211443,9.035122,14.625942,17.511045,10.837817,11.893463,16.605938,18.103218,30.63575,19.793392,10.573017,-12.056404,-3.4128487,11.06757,10.6545925,12.984764,15.5083065,16.166342,17.556213,21.99633,20.04013,23.798143,21.531796,42.820213,39.421906,13.971556,9.935581,5.8106422,11.862826,9.703684,7.716894,-10.549808,-12.660456,-18.32912,-11.34184,-9.100848,-22.817904,-18.559015,-25.094341,-18.497913,-25.261963,-31.343174,-30.877573,-13.168865,-16.15314,-2.5783718,-7.9734683,-8.22317,2.4676323,0.87914467,12.314892,0.4328966,-0.37047267,5.246961,5.0468206,-3.458041,1.7241359,-10.102999,-5.140364,-6.166893,-5.1296053,-2.0469964,-4.535055,-2.0269215,10.187996,15.889883],"ENZL^JULIAN(P_PRICE_RETURNS_PR('52W',2,-10AY,0,AM).DATES)":[41915,41946,41976,42006,42038,42066,42096,42125,42158,42187,42219,42250,42279,42311,42341,42369,42403,42432,42461,42493,42524,42552,42585,42615,42646,42677,42706,42738,42769,42797,42828,42858,42888,42919,42950,42979,43011,43042,43070,43103,43133,43161,43193,43223,43252,43284,43315,43343,43376,43406,43437,43468,43497,43525,43558,43588,43619,43649,43679,43711,43741,43770,43802,43833,43864,43893,43924,43952,43985,44014,44046,44077,44106,44138,44168,44196,44230,44258,44287,44319,44350,44379,44411,44442,44470,44503,44533,44564,44595,44623,44652,44684,44715,44743,44776,44806,44837,44868,44897,44929,44960,44988,45019,45049,45079,45110,45141,45170,45202,45233,45261,45294,45324,45352,45385,45415,45446,45476,45506,45538,45568],"EWI^FG_TOTAL_RETURNC(-10AY,0,AM)":[-6.9050493,-3.8410604,1.7217636,-7.0770025,5.4291964,2.4356365,2.5815248,2.6490092,2.967739,-4.4867573,3.3377886,-5.1679554,-0.06812215,1.2951612,-3.701204,-3.6930919,-15.429401,3.442347,0.1663804,2.1594763,-2.0325184,-7.64913,-0.6469488,6.6976786,-4.6207547,0.09140968,1.0502219,11.685383,-0.77583194,0.94650984,3.9951086,4.5080304,6.339085,0.74261427,7.807493,0.6283045,2.8261662,-0.22372007,-1.1531055,-0.16512275,8.355093,-5.0903616,2.1263123,4.9720287,-10.124331,-1.9045174,-0.37969947,-6.0984077,1.6236186,-6.463331,0.89285374,-6.3988447,8.076596,5.238831,3.5139084,-0.49505234,-6.9651723,11.780441,-5.127299,0.7454395,-0.77691674,8.948541,-2.156055,3.8661122,-1.9328594,-7.641774,-26.656681,5.7682395,18.918919,0.80013275,2.4003267,0.87405443,-3.6234736,-0.9807944,19.603802,2.426374,0.47553778,1.5889049,5.8901906,1.2256384,4.6879888,-2.3528337,0.18445253,1.5955806,-3.654486,7.084644,-7.5234175,7.0425034,-1.1397779,-13.652915,5.3056955,-7.407403,2.1621585,-11.981976,1.2391567,-6.9359484,-3.0249834,7.4141026,17.676758,-0.4929781,9.631515,2.5291204,-0.1622796,1.9505858,-1.8494904,6.3148737,1.1584282,-1.4546633,-7.726133,6.671214,5.775368,1.35324,1.3562441,6.779659,4.511273,-1.518786,5.492437,-3.4370959,-2.3679972,6.049633,-1.4721394],"EWD^FG_TOTAL_RETURNC(-10AY,0,AM)":[-5.627191,0.5590081,3.0883312,-5.059868,5.8169127,3.7248373,-2.2589028,1.2740731,2.3113012,-6.191051,0.6626725,-4.8589287,-3.064251,3.3990502,-0.4930973,-3.5153747,-8.019191,5.14158,4.5003532999999996,0.37300587,0.7432461,-4.233551,0.2548337,5.0835133,0.86386204,-6.988698,1.0681391,5.4479957,6.878674,-0.64683557,1.953125,6.9284916,3.4935713,0.2646923,0.8828759,1.5460968,3.7345529,-1.5508235,-3.9943695,1.4448643,3.4130692,-6.234127,-1.534301,0.0,0.18332005,-2.138847,4.0769696,-0.12534857,1.8826485,-7.791811,-0.66800714,-7.9140844,9.13409,1.6069651,4.019761,1.4254093,-8.806992,10.906326,-8.381134,-2.1912992,0.99573135,12.5,-1.7527401,6.188786,-2.8250277,-3.5948694,-22.730219,11.917746,20.584929,-1.5883148,10.301113,0.4022956,1.1734366,-0.59405565,12.720549,1.2316704,5.3266287,3.125,4.6726823,4.198897,3.5630941,-1.443398,3.5721898,-0.06158352,-6.943303,7.8587174,-9.087193,8.577657,-9.281439,-16.053741,11.597872,-10.14092,3.2483935,-14.77083,8.939099,-12.293357,-4.3522954,3.1529903,19.10386,-4.0917215,10.183477,0.055515766,-1.5533924,2.8458714,-3.397262,-0.14179945,-2.442491,-3.4934402,-3.076923,2.956736,11.215234,5.4496408,-0.9772837,6.6684484,0.15003681,-1.498121,7.122934,-1.9472182,-4.855323,6.2628865,1.9888401],"EWN^FG_TOTAL_RETURNC(-10AY,0,AM)":[-5.307603,0.04246235,5.390489,-3.820324,3.1512618,4.3177247,1.1714101,1.813972,1.8574715,-3.1523407,3.6547422,-9.227305,-1.9008279,6.1499596,-3.6904752,-1.1676431,-2.8104007,1.424253,4.212761,0.26541948,2.7081966,-7.0414543,2.769363,6.7789555,-1.3406932,-3.8369358,-3.6990821,5.6163907,4.0148973,3.5415888,2.9976845,6.2313437,4.9174666,-2.1290183,6.994462,-0.7119715,2.5749683,0.5084157,-0.853616,2.5541663,3.1582355,-4.1830897,0.66434145,-0.21998882,-0.31496286,-2.4836838,4.21468,-1.9273281,-2.8672695,-5.14096,0.17482042,-9.549034,10.275305,4.781997,2.6677847,3.2848597,-5.854434,7.9714656,-2.8070211,-0.13127327,0.8379817,5.360937,-0.24745464,5.267906,-2.425319,-6.24432,-19.786621,12.051594,16.47483,3.1171322,4.730344,0.7767558,0.99915266,-0.33918023,13.669896,3.4809232,5.17658,1.0349631,7.8306317,2.596581,1.6872406,-1.3746262,3.8207412,6.76347,-7.9560223,7.4493885,-9.080637,5.093479,-9.3014,-10.931706,4.7035813,-9.452504,0.64599514,-9.641087,9.4127655,-12.865037,-5.2838087,0.7331848,24.685753,-3.0326962,12.773239,-2.428776,1.4839649,-1.2971759,1.983273,2.7551532,0.011527538,-5.2219033,-10.216493,7.017064,7.493663,1.8460155,6.7567587,5.477965,2.89675,-0.9652138,4.1421294,1.7590523,-9.571791,5.656743,1.3993025],"EWQ^FG_TOTAL_RETURNC(-10AY,0,AM)":[-7.6231537,-1.7516553,3.5261512,-5.327922,5.7911873,1.2721658,1.1039138,3.5768151,0.3635049,-5.011499,4.1101217,-7.89572,-0.9704828,6.3699484,-4.9520135,-1.8661618,-4.997933,2.1739125,1.9999981,2.5031328,1.1803031,-5.5503902,2.0533085,4.751706,-1.5529215,-1.2038231,-1.7226875,5.808604,2.2708774,1.5860438,3.2396555,6.9187164,5.7284236,-2.1837354,3.5826087,0.06715059,3.859067,1.2924075,-0.5741656,1.2050033,3.5612106,-3.6843657,-0.4144132,4.73752,-1.9254327,-3.0329347,2.985561,-1.1787176,0.51579475,-7.6651692,-1.59778,-8.12158,9.03126,4.707968,1.9607782,1.8567562,-4.8828125,8.617115,-5.779785,0.44550896,-0.20470619,7.4529886,-0.827235,4.8104763,-3.3128798,-7.2969556,-25.222445,9.885586,16.743029,-0.028920174,2.262926,2.7397275,-3.9316237,-0.32028556,19.136024,0.16372204,-0.15032887,3.4929276,2.9677033,5.707824,4.0898085,-1.1421263,2.3115396,0.20538568,-3.689468,6.9167256,-5.9218645,6.598699,-2.8046966,-11.594957,5.756676,-7.0707083,3.7137628,-9.757966,5.380273,-8.761417,-5.354065,6.2043786,17.11341,-1.5240252,11.094511,0.43069124,2.4926305,2.4842977999999998,-3.546822,3.8854837,-1.6141593,-0.9526372,-7.480627,2.9454231,5.890596,1.3711929,1.5255094,4.2487144,2.534783,-1.5026629,2.6820898,-4.6651897,-3.3950627,4.7923326,-0.7367909],"SPY^FG_TOTAL_RETURNC(-10AY,0,AM)":[-1.5263617,2.6714802,3.0331492,-0.64027905,-0.28719902,3.0658126,-1.7865479,2.0757198,0.5694747,-1.6973555,1.1962771,-6.787735,0.24600029,8.205128,-2.5545,-0.24568439,-6.1656895,4.4302106,4.108453,-0.3676772,1.9988418,0.35048723,2.9816866,1.0130405,-0.6849408,-3.2440424,5.2208066,3.136444,1.8202782,3.9591908,-0.86581707,1.3385415,2.38595,-0.31903386,1.961112,0.3563285,2.5309682,2.2107124,2.3253918,2.7911305,1.8412471,-2.3125887,-2.7006567,0.7094383,4.180956,-0.541836,4.688084,2.3660064,0.9408593,-6.7976117,2.7253628,-12.042111,10.585154,3.8361907,2.587378,2.6569366,-6.6183686,9.354628,-2.0682693,-0.6424725,0.35330057,5.412853,1.1138558,4.664278,0.53037405,-7.3676405,-16.82831,13.94093,10.392868,0.4587531,5.3037763,5.0488114,-2.9525638,0.6560087,9.124184,2.3971438,2.1317005,-0.112605095,5.3757668,4.390812,0.13629198,3.9134145,1.7130852,2.7042985,-3.8481116,7.019162,-2.4315715,5.731964,-6.512314,-2.438426,4.2693257,-8.06765,-1.4025629,-6.736702,8.711052,-5.3589163,-6.1472774,1.2001872,9.67629,-5.9767427,8.279503,-1.978904,2.065158,-0.7129848,4.8772216,4.09528,1.1379242,0.5235791,-6.226778,3.1072855,5.6154966,2.5253534,5.452335,3.7422776,1.595974,-1.5633047,3.2290816,4.820287,-3.365612,3.5991669,3.1669736],"QQQ^FG_TOTAL_RETURNC(-10AY,0,AM)":[-1.0821402,3.5958052,3.6578178,-1.9904196,0.019431114,5.740094,-3.2237887,3.7385821,1.2379646,-1.9930601,3.3811927,-7.3566318,0.84797144,10.575903,-2.1737218,-0.2678454,-9.118539,3.9051652,4.787147,-4.1953564,4.095328,-1.5346825,6.717241,1.5432715,1.4745831,-3.7958682,1.4467239,3.625548,5.1363587,4.2488933,1.1871696,3.5449743,4.7229767,-4.8075795,5.2867293,1.8202066,0.14392138,5.0586104,0.79598427,3.8010836,2.8619647,0.83835125,-5.102563,2.886939,6.7614317,-0.9111047,5.4332495,3.6483765,-0.19638538,-8.9109955,1.7416477,-12.807327,11.7674465,4.1445255,5.575943,3.9884686,-10.983205,12.780881,-2.136439,-0.9073973,0.42835474,6.879127,1.2772202,6.570065,3.8285613,-5.800885,-12.277948,16.016806,11.257875,6.731856,6.816292,6.6931486,-4.419428,0.1239419,10.788274,3.2963276,4.028821,-5.27606,5.1145315,3.5801172,-1.8412232,8.804011,2.2780418,4.0238857,-5.498952,9.162081,-2.5560796,4.9770355,-11.982179,-3.1933188,5.85469,-11.891669,-3.9583445,-7.687998,14.447248,-8.584965,-7.1662664,-4.7673044,12.307572,-9.375275,15.766775,-2.1229327,6.995499,-0.8933246,11.774707,4.5534015,0.94521046,1.0166049,-5.8680534,3.6036253,6.045532,2.408111,7.70216,3.8693666,-0.65762997,-1.4973998,4.0529966,8.540368,-8.612335,2.910304,4.429269],"EWU^FG_TOTAL_RETURNC(-10AY,0,AM)":[-8.118618,-0.7407367,2.2654533,-5.068988,4.4232845,1.6085863,-3.8522482,5.488479,0.0,-2.6275814,0.2720356,-9.169835,0.89606047,4.4404984,-4.2517004,-2.5323749,-6.257743,2.2471905,0.38784742,3.3483505,1.370728,-3.200543,0.91086626,4.4487476,-2.2839546,-6.0012636,1.982522,2.9213905,2.2395372,1.6825318,0.9990573,2.442038,5.009055,-2.075845,3.180313,-1.163125,2.5301456,0.0,0.22956133,5.273211,0.49875975,-5.238491,0.84376335,3.8084269,0.80600977,-2.6740134,0.02900362,-2.667445,1.4298439,-5.256981,-1.6429007,-6.122768,8.404803,3.259492,3.7082434,0.08864403,-6.2296987,5.860257,-6.314826,-1.2699425,0.13192892,7.6416373,-1.1321902,6.5690637,-4.2848706,-9.972215,-22.66804,9.046566,11.63075,-3.328836,0.99464655,-1.2499988,-1.2658238,-1.6705513,16.712772,0.28973818,1.4680743,4.643345,1.8327951,4.1995525,2.7575731,-0.91928244,0.7566571,0.5407095,-3.226775,4.322326,-4.557562,6.831157,2.1175146,-4.2348146,3.4766674,-3.9493084,0.88984966,-7.4246764,3.077948,-7.7896776,-5.420625,2.8656483,15.41245,-2.0990372,4.712379,1.5518308,0.03055334,2.13871,-2.393055,0.6303668,0.4967451,-0.9576678,-3.7117898,1.4901161,4.9473405,1.8665671,-0.8552313,1.4171243,3.8274646,3.393793,2.4901032,-0.85662603,0.7098198,3.7778378,0.054335594],"EWL^FG_TOTAL_RETURNC(-10AY,0,AM)":[-7.075751,0.7898927,3.3855796,-4.3966,2.4104,2.3536682,2.2995472,3.6379695,1.1415482,-4.1986647,2.7442694,-7.7487526,-1.3999403,3.2913804,-2.4054945,-0.64020157,-6.1855674,0.89285374,0.6466985,3.0436277,1.5096903,-1.0553479,-0.06708503,2.7861714,-0.45722127,-5.80709,-1.3932407,4.515898,4.1596174,2.1753192,1.5888095,5.1610827,5.2349806,-0.8931458,1.1360288,-1.324892,2.8604865,-1.7309904,1.4438391,2.1918654,1.8105745,-5.991787,-1.4260828,0.47239065,-0.9403467,-0.62446,5.9057593,0.46229362,-0.37388802,-4.1281757,1.0237932,-6.825632,6.174016,4.9111247,2.6421666,1.5388846,0.55111647,5.858612,-1.5852034,-0.080531836,-1.6926408,5.793929,-0.25832653,5.387199,0.22118092,-4.855323,-10.463911,4.7495604,8.876061,1.3182402,4.227841,0.7043958,0.048244,-1.6875625,5.4683685,3.9371014,-0.11190772,-2.5095284,3.3095956,4.0044427,4.663098,1.9069195,3.513074,0.118386745,-7.41033,8.833551,-2.9532611,6.6102386,-7.4102106,-3.919965,5.206108,-7.109666,-2.2613645,-5.6098995,3.4872413,-7.0183635,-6.073475,1.1974335,14.120436,-1.8894017,5.8243275,-2.0195305,2.9898047,6.751704,-2.7812183,-0.50671697,1.3066292,-1.2682736,-7.206619,1.3373971,6.112528,4.2984843,-0.9832561,-0.50708055,-0.297302,-1.53355,6.705606,0.028049946,3.4760952,4.2191625,-2.2256315],"EWJ^FG_TOTAL_RETURNC(-10AY,0,AM)":[-3.6043584,5.565226,-3.088963,-3.7291825,2.9307246,6.29853,3.0032516,2.6004791,0.84484816,-1.2560308,-0.15503764,-7.8416166,-1.8534124,6.4377666,-0.40321946,-1.1479139,-7.838285,2.0590782,-2.3684144,3.5040498,1.8229127,-1.3546884,3.5714388,4.793942,0.32103062,0.23999214,-0.99760294,0.43884516,3.6337852,0.6268382,0.7591963,1.1398792,4.8710704,-2.1239758,3.3714175,-1.2683392,2.8445601,5.6209803,0.76026917,3.1682134,1.9633532,-3.770858,0.4001975,0.13287067,-0.23220778,-4.628807,2.8988123,-0.5975723,3.0058384,-8.254128,1.9447446,-8.818674,6.5221667,0.850904,1.5407205,1.0838151,-5.235881,5.9695125,-2.92691,-0.20347834,3.9295673,5.689311,0.47249794,0.6097555,-1.7060876,-9.02217,-12.032485,9.190464,11.878073,-2.245897,0.48940182,4.13059,1.836133,2.2112608,9.435844,3.1398058,1.5837789,-0.53911805,1.2891889,-1.330632,0.85018873,-0.5690813,0.51538944,5.200696,-2.6180148,-0.22880435,-3.4542024,0.83134174,-4.9380836,-2.7306974,-0.080668926,-7.879865,-0.07011294,-6.0357866,4.9387336,-5.927789,-5.041051,0.34184456,12.084162,-1.9818187,6.1425924,-1.1712015,2.7535677,-0.55969954,5.7479143,0.8521676,-1.4495134,1.389122,-5.3352714,5.5678487,1.951611,1.4095068,5.2206993,5.7434916,0.099527836,-1.6193151,0.20213127,0.87800026,-6.965023,9.651971,0.084638596],"EWG^FG_TOTAL_RETURNC(-10AY,0,AM)":[-7.935965,-0.33296347,6.0504794,-4.5152245,7.11143,0.92402697,2.8484225,-1.0880291,-0.8666694,-4.1141567,1.7838001,-8.4122,-4.860306,9.935641,-2.4149299,-1.7997742,-7.789236,1.2836456,4.3336153,2.0376205,0.30721426,-5.413061,4.850745,4.9426675,-1.4318049,-3.0198753,-2.4832547,7.150793,4.3396235,1.2296557,2.5723457,4.179728,5.95119,-2.55633,2.0138621,-0.16180873,5.251217,2.8333783,-1.3177574,1.7128348,1.2862682,-6.054342,-0.15718341,2.865231,-2.6323795,-3.638333,2.5392532,-1.4988601,-1.3562679,-6.8410454,-1.7998576,-8.980942,7.9742193,2.946663,1.0869503,3.7634492,-6.2867045,7.4365854,-6.5209746,-1.4328837,0.15302896,9.931242,0.0,1.841557,-2.4564981,-8.044767,-22.289848,12.922168,21.022976,-0.2237916,5.1142573,3.209114,-2.4740875,-5.6907773,12.795353,3.6746979,2.1403909,0.0,4.622495,3.1222343,2.7135134,-1.581496,-0.3448248,1.2687445,-6.2072935,5.2823424,-8.246827,5.112803,-3.2870948,-14.686621,4.568708,-8.773154,4.8658967,-13.255042,2.5618792,-9.610504,-5.2927437,4.5994043,21.702135,-2.25932,13.00199,-1.6889513,2.1116734,2.348411,-2.0205498,2.0994544,-0.94970465,-1.953125,-7.6783776,2.5892496,9.866154,0.6666064,1.071918,5.302775,2.8265119,-2.211684,4.038775,-1.4156878,-2.7114272,6.7352295,2.2381186],"EWC^FG_TOTAL_RETURNC(-10AY,0,AM)":[-8.133536,-2.6759207,1.9348383,-3.1429052,-2.858138,0.0,-0.86114407,5.4650784,-3.8778305,-3.9430797,-5.468166,-5.9429464,-1.6427934,3.9828658,-5.024719,-5.4986954,-2.7907014,7.1291804,5.448866,4.3201923,1.7052412,-0.09109974,1.0873914,3.027892,-0.8507371,-2.2230864,4.627049,1.2687087,3.6882162,-1.576823,-0.22354722,-2.4271905,0.80367327,3.1214356,3.0809164,1.224339,3.4507275,0.10316372,0.8931637,3.5222292,-3.530985,-5.1104965,-0.5094588,2.816391,2.0988941,-0.119155645,2.812934,-1.5047908,0.5208373,-7.633853,0.63575506,-9.207177,12.900532,2.1747112,1.1183262,1.2486577,-3.4531355,6.8010807,-3.241384,-0.24946332,0.32154322,3.3831954,0.65449476,3.4503222,-0.7039845,-6.0432196,-24.505924,12.993813,11.331093,-0.44567585,5.105567,3.8349152,-3.1304955,-0.47204494,12.623131,1.1531353,2.4643302,4.3670893,5.03335,3.3776045,6.0039043,-0.25914907,-0.95668435,2.2269845,-3.8582623,8.135403,-6.1853113,5.1379204,-1.0111451,0.68098307,4.6306014,-6.8622646,1.4949322,-9.800774,2.7320862,-3.7460744,-5.169338,1.3157845,8.843541,-6.2097907,9.157955,-1.9144177,-0.11481047,-1.0344863,0.0,3.242302,-1.3352334,0.57587624,-7.5293484,4.643965,5.000007,3.333211,0.58043003,1.9785643,2.9372096,-1.6492188,0.9848237,0.654161,-1.6653478,6.962371,4.096496],"EWA^FG_TOTAL_RETURNC(-10AY,0,AM)":[-12.143379,3.788507,-5.836344,-2.7981818,3.393662,3.7636757,-3.078866,2.0452619,-4.9466968,-1.7121434,-3.0387998,-13.500476,1.7279744,5.260265,0.46850443,0.98176,-8.491552,7.8962445,2.5641084,3.2812476,-0.95814466,0.90146065,5.2200556,-1.0700345,2.9498577,-4.202491,3.1405807,2.1776557,4.8567295,1.8063903,2.5477767,-1.6858935,-1.9855618,1.5399814,4.402232,1.2871623,-1.6652048,1.8270969,0.0,5.242443,0.21303892,-3.316331,-3.7379086,3.7003279,0.088095665,0.65455437,1.2929082,-1.0123193,-3.5126686,-3.7788093,1.3409972,-6.9388447,8.438826,4.2315245,1.8665433,0.0,-0.54970384,7.0251107,-2.5032938,-2.8378427,0.092720985,5.419171,-1.8892825,2.7757645,-0.8444488,-9.367996,-26.65677,9.170604,22.359478,1.5849352,1.8154383,1.7830491,-3.406322,3.3753157,13.888895,3.3514857,2.546966,2.4837136,-0.15892386,4.337442,2.745998,-1.5795231,0.07648468,1.4138341,-6.028634,5.733764,-7.8119097,6.032002,-7.4386835,5.907905,9.474981,-7.1187677,0.7664323,-12.84486,6.92271,-3.4589767,-7.3036313,0.6937504,16.338587,-5.333698,11.652255,-4.2804775,-0.6388426,-2.7861118,0.13227463,1.710701,-1.4556706,-0.4028678,-6.561792,4.9062014,5.135262,6.3777566,-1.2552261,2.4999976,1.5708923,-1.6687036,2.6903987,1.8664241,-3.1060934,6.161535,4.431367],"ENZL^FG_TOTAL_RETURNC(-10AY,0,AM)":[-5.7708797,3.0295134,2.1292806,1.1211872,0.20185709,3.3744693,-1.9488394,0.32298565,-4.449731,-7.1525393,0.45820475,-9.207529,1.3186812,12.209475,0.49710274,4.9646497,-4.268938,4.905236,8.767271,1.4655709,3.87578,1.8619895,5.391705,4.0008664,-1.9129694,-8.015436,-0.67566633,-3.2433271,9.480822,-3.5509825,0.71259737,0.89621544,5.598414,3.570068,3.7665963,-2.916491,1.0157824,-2.6101887,1.1643171,5.9933305,2.3386955,-0.67332983,0.78060627,-1.3452888,0.68181753,1.4329076,-2.3863375,3.371966,-2.2426069,-3.8998961,6.0112715,-5.119938,6.23765,3.1631231,4.849696,-0.61162114,-1.2884557,6.6339135,0.40801764,-2.8260052,-1.3115406,1.560092,5.879009,4.9482703,-2.5797427,-4.7772408,-16.608418,7.771349,14.969683,4.7794223,3.9489865,-0.65557957,-1.2463629,3.2924771,9.878075,3.9494395,-0.19097328,-6.5204678,-1.826483,5.020058,-6.017107,1.0689616,0.048673153,5.0267577,-3.257674,1.5320778,-8.755106,1.4966607,-6.668961,1.4770985,0.6550193,-10.827905,-0.83114505,-8.27806,10.326946,-4.2100964,-10.646462,2.2206306,16.65498,-3.700322,8.441294,-4.1425824,0.3819108,-0.440526,-1.7498016,1.476562,-1.3447523,-6.0305595,-4.54945,2.026248,6.5447927,2.1026373,-1.9695044,-1.555413,-0.26332736,0.66006184,1.4426231,-1.1009872,1.1635661,5.772567,0.3898263],"ENZL^JULIAN(FG_TOTAL_RETURNC(-10AY,0,AM).DATES)":[41915,41946,41976,42006,42038,42066,42096,42125,42158,42187,42219,42250,42279,42311,42341,42369,42403,42432,42461,42493,42524,42552,42585,42615,42646,42677,42706,42738,42769,42797,42828,42858,42888,42919,42950,42979,43011,43042,43070,43103,43133,43161,43193,43223,43252,43284,43315,43343,43376,43406,43437,43468,43497,43525,43558,43588,43619,43649,43679,43711,43741,43770,43802,43833,43864,43893,43924,43952,43985,44014,44046,44077,44106,44138,44168,44196,44230,44258,44287,44319,44350,44379,44411,44442,44470,44503,44533,44564,44595,44623,44652,44684,44715,44743,44776,44806,44837,44868,44897,44929,44960,44988,45019,45049,45079,45110,45141,45170,45202,45233,45261,45294,45324,45352,45385,45415,45446,45476,45506,45538,45568],"EWI^FMA_DIV_YLD(NTMA,-10AY,0,AM,\"PORTAGG\",\"MEANR\")":[3.77215895485406,3.9553050686675,3.82416317342507,4.06134587663002,3.68790629550577,3.4927146655092,3.13160358072627,3.19624753464953,3.19670019162985,3.32377782990653,3.1010379440181,3.33569063817576,3.69527891923271,3.55925630285151,3.65414109983908,3.83180955229543,4.65426600803373,4.31088273824712,4.50181223588659,4.47098959327093,4.68068410809657,4.95911206174502,4.93750748703275,4.71141530882967,5.01697167923278,4.98233898074449,4.82374329909708,4.23894995867216,4.35626800212647,4.05990350477389,3.95461413530568,3.89495811841641,3.79358750966842,3.8099664237188,3.72052299252876,3.76365208942429,3.75256729353277,3.73841304676083,3.93219223576159,3.9902612257787,3.82342077337038,4.14334489179592,4.10621892357625,3.88157815673556,4.29618304948368,4.47343043111058,4.44232084193975,4.76770665054115,4.7059351859546,5.02846733666882,5.12855201386566,5.47503021706496,5.1230138199694,4.77612647624272,4.60071739131162,4.63412917957235,5.13730534135522,4.69711184705548,4.91040692672873,4.87525427739201,4.91487122134504,4.59891067856975,4.67397416902807,4.48424327475321,4.55996557596334,5.02830936460709,6.36779775197604,5.25468343349546,4.22465111285346,4.26315896223712,3.99706299452383,4.06932248293851,4.21280879446129,4.32651781774448,3.96277722498776,3.94464053531275,4.0080923120802,4.19051356262307,3.99637371635555,4.15484615186176,4.07504850755197,4.1376130952578,4.34245271312962,4.4217926580871,4.55865571078303,4.3298046184208,4.75235358825797,4.53718705981403,4.72214660401035,5.32226206792956,5.00794335850543,5.11659120925527,5.26220557604744,5.92881946620004,5.79601174271768,5.64469696857694,6.10438909771264,5.68975191172902,5.67755563875915,5.752368631855,5.43386967367618,5.21946125726169,5.42125419843271,5.47003895362488,5.43936078668085,5.26263674027405,5.4375690993146,5.38738414368684,5.68360937752271,5.57528462825803,5.45355488219512,5.52838484208633,5.37966330971021,5.27441524854175,5.13155595639786,5.32676989966069,5.22042597467436,5.390621484742,5.61301277050221,5.34896683135376,5.24589914131862],"EWD^FMA_DIV_YLD(NTMA,-10AY,0,AM,\"PORTAGG\",\"MEANR\")":[4.30738999542707,4.21319905031306,4.06799302785047,4.09745096649795,3.79927392107423,3.6687469386581,3.65937690689615,3.79829888810221,3.80136872414316,4.02620848817658,3.95573343339766,4.29254993155621,4.57136566651824,4.18473447570094,4.16408975027585,4.31327587806828,4.62706296142609,4.31596190047124,4.40734178071996,4.45927772968265,4.44920851553594,4.45984828805178,4.41613410733203,4.18540209469836,4.17667890374862,4.19958859956613,4.03949567137985,3.85646974265457,3.67984413142987,3.63830664450521,3.6685909311425,3.52101791562066,3.36604315801769,3.56050769275156,3.71653025058835,3.74100517530846,3.53025046147456,3.51379707662705,3.71480855788289,3.74181409062143,3.81273090284385,3.98582247509225,4.11661390701418,4.05590177020334,4.08219953725919,4.17906637120055,4.09562349798691,4.01946392634289,4.01376506285446,4.30719388408219,4.3977170466652,4.8034920910934,4.31460243160613,4.14542734539885,4.04798088027722,4.02507737635489,4.42125269178346,4.09494153782596,4.15208592794377,4.19762516862354,4.05403559133954,3.72747315673289,3.79246096846995,3.59455175737922,3.63254233053869,3.76766334167478,3.99197055999929,3.29514658547268,2.92702187333507,3.00406054867347,3.00785593016833,3.04395026818329,3.03184647760103,3.21942470993476,3.01558546349081,3.10729782337201,2.96469258100929,2.89591560962486,2.75477930334971,2.82559488460142,2.67351102252135,2.69545486892775,2.72588688099804,2.72957627047542,2.90119716333823,3.00614616331883,3.0255724295658,2.83243607321917,2.90837359672215,3.2846552393404,3.09699512884962,3.34568758513399,3.23859299265796,3.63852903670848,3.49086470778631,3.7112199859302,3.76419206873863,3.79755111255842,3.55931360579662,3.68893084966023,3.42718086908169,3.49742819121744,3.65512291544251,3.68653001145171,3.70942843381164,3.72742142034935,3.89074550807829,3.95389923996707,4.0812166939763,3.85284520662915,3.14355201516501,2.9859678446246,3.32829763951551,3.28045791199652,3.2341541991053,3.29115634974395,3.181433434678,3.2149976231373,3.37486816063141,3.22147575220658,3.12328948102815],"EWN^FMA_DIV_YLD(NTMA,-10AY,0,AM,\"PORTAGG\",\"MEANR\")":[3.06632105731315,3.11843191248987,2.98775181626055,3.08146154647867,2.89451887553058,2.72683204259672,2.65446860563694,2.7461343999879,2.85573044865426,2.95031048369196,2.85776456473631,3.39314995471695,3.59274484905921,3.21173002625891,3.24206195515243,3.15784476268672,3.44253804798224,3.3384564413399,3.33589768325509,3.41851989300593,3.15820379646118,3.32961459433652,3.24603666037402,3.06719574638024,3.11397926349474,3.22163469285607,3.17431436302957,2.93601632929679,2.9453471749988,2.81676394391233,2.77256897480202,2.71490317953811,2.69270382525859,2.80029212195414,2.77032091041325,2.86919605885253,2.76984213447611,2.74329851679338,2.87240875502282,2.84269707646851,2.85162940046749,3.01713124475304,2.99935419497406,2.96077630900196,2.88192081467549,2.96667622010222,2.8361045196147,2.9031838112027,3.00988638937534,3.19994166073887,3.20356565830321,3.5286508179305,3.26422453828259,3.10551316904025,3.00870200705356,2.95313298217354,3.17467228098796,2.94241712006661,2.96913778293588,2.95075067982008,2.84317461974498,2.72748033360936,2.71203434097683,2.57692311266818,2.65961641033031,2.82710096227577,3.2048560582471,2.70522584837752,2.38030127294679,2.34370972399241,2.36281981784351,2.30787850815647,2.32667071874397,2.33845748150586,2.07511249060778,1.96818147987341,1.95416446954984,2.06304227062061,1.91768257939403,1.96121173304953,2.01112140273061,2.00869469453035,1.94587120580075,1.83825568935758,1.97422166671737,1.88680384817743,2.00595870564382,1.92309868762391,2.21442033362267,2.37196990995199,2.23773474627326,2.41187906213631,2.56107238147737,3.48420352083584,3.03181498558376,3.79304013172156,3.04754749271325,3.02047548741934,2.63424290174967,2.73928390499722,2.50476079928558,2.62721852044839,2.65128824708107,2.70985017430602,2.68790282519785,2.68692931881404,2.73551733580183,2.88342966685643,3.1074988960776,2.97389703622563,2.80176725768945,2.75228265601913,2.55304738078806,2.58267407287806,2.52230670945531,2.56068016391766,2.46586225687219,2.46495676279258,2.7368425098974,2.6301195726218,2.61911768183999],"EWQ^FMA_DIV_YLD(NTMA,-10AY,0,AM,\"PORTAGG\",\"MEANR\")":[3.66366166176064,3.73175600592118,3.55626549348805,3.64916230848045,3.31327970843936,3.20328431521053,3.16908348705545,3.25032792451333,3.27054802215561,3.42910900812975,3.27197071230645,3.61602943698635,3.75713712725147,3.41247382929496,3.52499360859415,3.60193863288813,3.92411006559962,3.76910282211486,3.81704597364603,3.76794540316446,3.74099399348952,3.87498928857858,3.83046523987379,3.65727704865518,3.7308925254311,3.81050802139729,3.69359323027504,3.44636758061764,3.48467204640201,3.43312872630518,3.37461516447417,3.24812811949443,3.22577455836148,3.35209483649732,3.38695958904275,3.40480123197067,3.27828773184498,3.22881272844645,3.3108365060302,3.31353197436119,3.28798644955116,3.4729556178549,3.4819873621686,3.31309466896049,3.36118442045111,3.4665935651196,3.39473735393995,3.45504612316079,3.43955030777749,3.70183322733909,3.74032481645029,4.11040699447312,3.77589250735133,3.62006056995402,3.52617244129402,3.48983441390456,3.70591402344882,3.48307835795131,3.65992110181949,3.61720760541756,3.63470766821379,3.43179236264564,3.47876572136871,3.32107568916215,3.41722674401293,3.66371648884262,4.48843952327881,3.51706365099569,3.10239914281055,3.0826010369631,3.18047991504309,3.12081622524359,3.27590211721152,3.29660852253238,2.87880047333373,2.93955434766353,2.95630808410143,2.82070202714915,2.74011410693292,2.69826998503452,2.67059455919365,2.693180384744,2.69594024516496,2.75631013332157,2.86615409968608,2.74699319545773,2.87627629346692,2.7212788103135,2.86480110453517,3.22918330031806,3.08139101129037,3.19225121509229,3.20814683637919,3.53733272125416,3.27500529023888,3.49763065023889,3.75298915686468,3.52762605368299,3.26087956868997,3.3213320055559,3.05821087434466,3.13610251859614,3.16887869528533,3.16658516086448,3.26043456834492,3.24105305642881,3.33552779515852,3.32497479969173,3.49620147215057,3.45444609561291,3.32226507245985,3.2888291574304,3.20815071313048,3.12888408484978,3.07163760011359,3.14832944380594,3.16038619523957,3.32554585449578,3.48445760320834,3.36969061658377,3.33313857682194],"SPY^FMA_DIV_YLD(NTMA,-10AY,0,AM,\"PORTAGG\",\"MEANR\")":[2.13837907315852,2.10902388039136,2.07019945853303,2.10229323424265,2.13299561237452,2.12574093142075,2.18037388974949,2.14931031730696,2.15493385036624,2.19149921343609,2.19522722870663,2.37794765570554,2.38199274009803,2.21759331456005,2.31038034566258,2.31468341119618,2.45182025901469,2.47519773454617,2.29179874134034,2.29270141173246,2.27208474723715,2.27675912156177,2.22053303408092,2.21341278146833,2.22851500199598,2.31888150701755,2.22327630646496,2.17123639152028,2.15382596381122,2.08878190762007,2.12128920463657,2.10756243966117,2.07494532252397,2.10129944099141,2.08541275156381,2.09267262525336,2.04962292150315,2.02482466402925,1.97452527147198,1.936775235659,1.92807790157411,2.00588531378872,2.0802317558753,2.09197843077927,2.02241372702905,2.05879959204646,1.98851052453935,1.95551789133049,1.95151189650942,2.10136678168294,2.06545387156079,2.37770513288763,2.16110422856803,2.09436131892643,2.06411562757654,2.0238384183685,2.18479931237061,2.01162769205833,2.06527222206653,2.09575906006616,2.10246060478503,2.01070301397953,2.00738294315501,1.93167259149295,1.9398485350721,2.11209514549615,2.517429845675,2.15226426466775,1.9337151976176,1.91411503611448,1.80608099687472,1.72706036700873,1.78152900874096,1.77954255317905,1.63616554561525,1.57770775561851,1.55979240959466,1.57730305250284,1.50646577862943,1.45702453092437,1.46530000139719,1.42593222076986,1.42137204336307,1.39709800196697,1.45917066588853,1.37996050852671,1.41997315034029,1.34694121768054,1.46219893966951,1.51514599574523,1.45055025681169,1.58401105084784,1.61780052606074,1.75495807526175,1.62368765899506,1.74086662512774,1.86386673208624,1.85722389872387,1.6991976163308,1.81687164768108,1.69152585789581,1.73637962368359,1.71063522457656,1.72606906572751,1.65609088871319,1.5950899116787,1.58709318031744,1.59260646099435,1.71390543450744,1.66928426176443,1.5870780482383,1.56594663762354,1.50262785051875,1.46163800085581,1.44096403204886,1.48862546074229,1.45336616277175,1.38983275861046,1.44533568251682,1.40436102691124,1.35902446481307],"QQQ^FMA_DIV_YLD(NTMA,-10AY,0,AM,\"PORTAGG\",\"MEANR\")":[1.24654883397084,1.22421724965822,1.19727591837308,1.20789072103969,1.21901237000279,1.20622884804028,1.28225423001148,1.2376520692411,1.23625695353002,1.26122092774196,1.26511761066486,1.37565929345392,1.36720016176551,1.24977922506572,1.28922215009072,1.25997804336583,1.39675483135398,1.37433763887308,1.31866278442854,1.39047842273711,1.34556864664874,1.35862473258535,1.28967827763806,1.28338731892531,1.26303933969636,1.32615764431913,1.31592340023061,1.28957877123463,1.23899425993883,1.21595978537277,1.20844145400015,1.18270189374547,1.14103212413917,1.21065328104709,1.17418625352971,1.16027732463639,1.16069592661258,1.11336772703611,1.10938838728236,1.07251608328371,1.0631498940693,1.07210358135772,1.14413087752383,1.12984161971372,1.06473200386643,1.08105015398593,1.07950353871957,1.05046082475478,1.0614799270575,1.18219257849352,1.17200926712339,1.36159909445826,1.22445201957326,1.1693555171644,1.11431883447169,1.08025528401419,1.22664851020956,1.08864064799322,1.11621918769169,1.11766359722321,1.13299845334909,1.0738404175979,1.09182641529687,1.04111648466804,1.00878023139285,1.07826383645397,1.23145700254171,1.04478205789157,0.936437578633701,0.879624689923442,0.824390880655632,0.775853296109381,0.812639707256137,0.821565436961404,0.745082998521364,0.763066798695191,0.740341364686658,0.789430192399872,0.754172587177616,0.734137687151852,0.751809387272577,0.696209339031744,0.700127825051279,0.677079340779165,0.723255601001135,0.66673539315555,0.690278904369432,0.661232407305658,0.761055192178424,0.799193104866416,0.757604898425325,0.863622126647409,0.908893485074966,0.992342141143262,0.873573804138427,0.962519183356525,1.04604012721065,1.10813380703866,0.987037691099067,1.04667853761406,0.914676861026531,0.942468659225222,0.88584481589786,0.878689582787578,0.791640313239775,0.76142570361568,0.877792408046294,0.874202943994887,0.956189208598552,0.928321953459184,0.884761727654068,0.945427938301342,0.894795972624875,0.87017085963777,0.888802157545119,0.92657336670763,0.894321277993522,0.82290882486242,0.884670735515334,0.863170335285204,0.829608853991719],"EWU^FMA_DIV_YLD(NTMA,-10AY,0,AM,\"PORTAGG\",\"MEANR\")":[4.13435088218619,4.13398701124162,4.02628431483449,4.17006326625388,4.00188552890118,3.91761422305888,4.0204209325582,3.90727354923853,3.94210652073723,4.14420467296905,4.09999413659817,4.45310278778329,4.42968318466133,4.22904736212352,4.26585098206561,4.30856301942377,4.57350851976247,4.43500691191784,4.3902824733655,4.32427507674589,4.29394929485512,4.18327853364226,4.17188381459929,4.0356491162387,4.13161948385436,4.41842741900204,4.43792867253151,4.26508370505551,4.29250413560299,4.28452968118164,4.35633225932581,4.37436758028783,4.22036612470311,4.32356898553152,4.23453766965518,4.31442701168876,4.2691707747382,4.28615202258082,4.4051747101624,4.20452665864256,4.2797272394745,4.72587456316156,4.5820252186516,4.38627064705038,4.32964674886198,4.43552806190112,4.42349679681116,4.5766306421935,4.52278015082554,4.85250651158737,4.93499852428916,5.39199909960503,5.04855046991584,4.97145053687759,4.80122297370688,4.85246839573992,4.93942128617898,4.69962001497596,4.95549492712638,5.03906050988387,5.09265429306289,4.81327990527494,4.86095738664866,4.5539228173407,4.75177568437463,5.22148363535015,6.38088175237656,4.84039989593216,3.92567181312225,4.0845478487221,4.06937620747634,4.13525811272064,4.23485959643517,4.43208159722147,3.87892145013872,3.94854082888533,4.06643018607345,3.95021948956032,4.04961279973749,3.95974571561855,3.89122418127058,3.99465105912553,4.15442231924717,4.16520225902265,4.20973412385899,4.0441495932163,4.10837664648062,3.91770955459623,3.79719146301455,4.02359563334693,4.0030961252353,4.05938690401668,4.0706093420231,4.32396103570579,4.18993632877917,4.43917798176809,4.7266924823244,4.5493423887267,4.21267202738892,4.23063593239194,4.09508331338928,4.12631840798938,4.19701505436275,4.2054800942897,4.35347865733026,4.37537927606522,4.41738832859884,4.47500433134127,4.56791631050753,4.55661688180826,4.41201258392099,4.30936301807109,4.30280954846838,4.15967773201777,4.0317197244322,3.90755875459421,3.89746893290681,3.9549379255041,3.93809971205031,3.89301833830669,3.87281371347721],"EWL^FMA_DIV_YLD(NTMA,-10AY,0,AM,\"PORTAGG\",\"MEANR\")":[3.39975935487568,3.35726195481536,3.23575250119978,3.31217177074199,3.34670568364244,3.18807757666017,3.13109479757595,3.09952287960115,3.11510792742399,3.23806260266242,3.09512902667881,3.34531557890567,3.43939997398871,3.24761114728144,3.26843043959375,3.27040945041367,3.48544377818477,3.50360054526098,3.59224856747807,3.53213058495115,3.47111952779416,3.5203014955333,3.54204540466534,3.42822070948567,3.48724165591302,3.70229761944608,3.71630699819162,3.53354550423212,3.44727006785641,3.34966278776583,3.43095423759489,3.35337622841362,3.26916377488315,3.26305177639174,3.24878442449617,3.31966903233124,3.23548208205862,3.22632650051147,3.2504472447529,3.19637575153954,3.23399277619482,3.52843856823392,3.5392132005445,3.49351614256622,3.55352667181163,3.55226520638505,3.37459045442245,3.41830060980553,3.39325185844876,3.50453699075546,3.49633207941159,3.70933525091923,3.46170458346392,3.33694159663307,3.28797380080478,3.26136714678486,3.31235641932791,3.17912848944572,3.25367930914858,3.24343259386172,3.30375197385756,3.14559545770692,3.16067071364201,3.02261710479137,3.0219546406825,3.19661020604052,3.53400523961669,3.26156325188524,3.06173416733813,3.04301857241544,2.95329292676187,2.95087468766599,2.95441049163062,3.0201913570302,2.92792674378954,2.82077523850231,2.84167737252235,2.87714160065829,2.79350069710843,2.75377678056206,2.69317189825435,2.63100633268272,2.58097339907662,2.57558710693509,2.77919579426776,2.58752522528222,2.67077607476083,2.52766057359219,2.7459182838398,2.87547374600155,2.78158936299687,2.8834465249832,2.97445030051647,3.1965228346668,3.06961084841396,3.19651036025271,3.43273184564079,3.34072332044146,3.08467540106566,3.171271457296,3.02742752716638,3.13399285691957,3.1676380924024,3.05209715749871,3.12627979885354,3.18555114093357,3.21111504765614,3.245367403327,3.42408183278,3.46260057864335,3.3647868004724,3.28739273393361,3.31234120879826,3.29531729714116,3.30160598705897,3.39028473042879,3.21858205677596,3.23008863255899,3.21402876903289,3.1044966898678,3.13384844501219],"EWJ^FMA_DIV_YLD(NTMA,-10AY,0,AM,\"PORTAGG\",\"MEANR\")":[2.09508174668382,2.0241710661743,1.92595117454037,1.98232280512474,2.03957274813629,1.87572094066119,1.87306489716522,1.86203725739815,1.84804773331924,1.90159297065694,1.90053470849988,2.16228293062966,2.21331368535566,2.09844160882508,2.01397587667463,2.09547306420622,2.3246959055071,2.34435900558684,2.48429726034848,2.46872076711157,2.36457455130072,2.5223679725129,2.47785748991105,2.34100500255819,2.39636736824108,2.34980845933361,2.16760263994861,2.12608545916543,2.1650400585983,2.13338853949562,2.21820628105934,2.18951787308208,2.13768306048346,2.16770465963382,2.15808115342257,2.20887719488853,2.1538393832725,2.03622719983469,2.07112668125357,2.06107499225508,2.03511276396523,2.26918251959667,2.29034320308387,2.21430800276511,2.27187897061566,2.35153795733357,2.29282134765729,2.31702072981049,2.23883549040927,2.44503711950436,2.42706934465823,2.75286922807915,2.63492681885579,2.55430607502661,2.55503263588145,2.5679259861292,2.77545399443256,2.64058840198406,2.71605049992335,2.75369474515911,2.50679486234031,2.37294278981094,2.31357425031809,2.30636618356817,2.37027682277258,2.61550476347752,2.95797410686984,2.69591899383926,2.32892585954341,2.37576130824459,2.3995951016837,2.20579260780647,2.24312826132934,2.24403031884738,2.00091336775824,1.97858107415621,1.93217979153606,1.93206880456689,1.91179506431632,2.00359621107824,1.989107773361,2.02518582641094,2.08207823378959,2.03821227626546,2.0938231742154,2.06722594450013,2.1745109379609,2.1533378455701,2.28129434995478,2.39676889798896,2.34767074076518,2.41940644591337,2.40873871757479,2.55754306454177,2.44717251278241,2.46502863506893,2.60511998949283,2.49076220865513,2.46414427084341,2.57782924871047,2.45541498074377,2.40138816883336,2.43010157348662,2.36563743999097,2.25637332017967,2.14331094610245,2.22451986692044,2.17867111338536,2.27749890111739,2.2482210206715,2.22538887163287,2.27463435890944,2.12627372227955,2.00723238429024,2.0526795004372,2.06964432902435,2.05160345170869,2.03855926618471,2.35105072420895,2.19870677145369,2.46283559316199],"EWG^FMA_DIV_YLD(NTMA,-10AY,0,AM,\"PORTAGG\",\"MEANR\")":[3.29188127460621,3.29149232304021,3.13125217655171,3.20673972066176,2.90182042431732,2.8073884646224,2.68976864034982,2.85825084742977,2.94155716955829,3.05685616476568,2.98252985474319,3.31320623126091,3.51099814566017,2.96691579204998,3.01345977681513,3.02919339249765,3.46682556002658,3.37984793570013,3.34682933835506,3.34387713538835,3.32649893888525,3.45090564501753,3.31619870470981,3.15759180837066,3.17379810955025,3.25466501012214,3.22706974405052,2.95163241005929,2.96780169636894,2.91453132973445,2.92343803461662,2.89131693492007,2.89345814013456,3.00041456595016,3.08289786423354,3.12476873166622,2.97302899282491,2.85286242267193,2.95149356278972,2.9395260966212,3.03486414155075,3.26415442174342,3.27482753672234,3.1403838462567,3.15662323993141,3.26814988784593,3.20173208428678,3.25711693495655,3.30631554198623,3.58808191674732,3.61358083111044,4.01653082416572,3.71929133890379,3.58126323581273,3.49333645892765,3.37985280098915,3.63680608840298,3.42631044972663,3.53950872042247,3.52471724328991,3.52438281070039,3.25420404312015,3.15239174493499,3.09872815389408,3.15107499206845,3.41765068707865,4.00760950726393,3.34626637373,2.85229687599187,2.86559149083768,2.86149637328113,2.81062236628373,2.87796489297879,3.05775589495302,2.79572615952888,2.72025953204543,2.73430824656167,2.79636518082055,2.68998307807009,2.76651747495984,2.7886483228095,2.80251261657159,2.84943691524538,2.84332633997915,3.0078935552656,2.9154898002214,3.15436196248588,3.01997254027272,3.19752613735381,3.68360211398475,3.53484356274227,3.75644907410051,3.72655139752754,4.21178417068705,3.97780274975047,4.13837661745278,4.43756862934496,4.17887213851013,3.70961527771599,3.76526705565981,3.4258411305255,3.48240193507943,3.54007302020603,3.54043750667439,3.61814953391389,3.64063165485183,3.71536103582844,3.71753673276881,3.93588656658543,3.93031420690237,3.61815876891383,3.60588188660411,3.53326059972162,3.45238990658127,3.26841550109324,3.38204830887383,3.35075540276193,3.39731370129546,3.55854115593258,3.33308679087835,3.18327234619462],"EWC^FMA_DIV_YLD(NTMA,-10AY,0,AM,\"PORTAGG\",\"MEANR\")":[2.91369474506466,2.98521311091916,2.92314185546973,2.90627132915346,2.8779754773955,2.87051706452049,2.88985059263069,2.82023525804275,2.87427391901491,3.0015151753047,3.06493059669098,3.22514535762316,3.30547131549187,3.22197129197304,3.32222507493554,3.3535405693637,3.43173615195993,3.2773672473518,3.16722468171465,3.10738988839325,3.01468549032031,3.0768974137006,2.99145073288157,2.93570045645377,2.94526434357704,2.97757999255185,2.88509080898664,2.82956773852031,2.82487684845552,2.87954070619418,2.91256665928359,2.94411157135632,2.97949800928306,3.05134311316204,3.03412883337459,3.0708359150307,2.96444028609399,2.91559582201892,2.91855330962318,2.88819433146771,3.03444594585367,3.16644044857663,3.22921287399446,3.15527053159589,3.09338401957996,3.07534124195832,3.07070010637545,3.12182649824625,3.17395512489621,3.38607122550708,3.35780470115117,3.63299272237214,3.34214490413316,3.26225225955191,3.23924954980271,3.22124880660834,3.38733013416333,3.28350093395983,3.38638357961866,3.39600365418735,3.40338184920036,3.33781594235714,3.28168078505956,3.26432852170396,3.26703181960962,3.5016223121096,4.42740933450196,3.9094621829445,3.52802181569321,3.5263001010409,3.42539608115122,3.36348177175283,3.43666205396405,3.48193330936136,3.14979975868572,3.13893857768554,3.040834065617,2.92495988307472,2.80258135035122,2.74609395128552,2.61036094008019,2.70419184812494,2.70328017705064,2.71305785779172,2.82619890035865,2.71956790427315,2.87145110775974,2.7814183291077,2.82768437972632,2.85842945846337,2.8310748335118,3.04372440487315,3.10242999425018,3.42241268976922,3.34745116369132,3.47749931269678,3.55268104748089,3.50056130903149,3.28170113423955,3.45958113432034,3.2543708724161,3.28701411032518,3.3056776285401,3.27970051135695,3.31110259678328,3.2470151307481,3.22344963332513,3.44666746973776,3.73905557413443,3.6149891933657,3.440610777263,3.37844733452766,3.32612028208511,3.22415572385246,3.10686542675609,3.0957857152629,3.28069717624345,3.28489788059415,3.30139558560258,3.16315256472665,3.05452212579071],"EWA^FMA_DIV_YLD(NTMA,-10AY,0,AM,\"PORTAGG\",\"MEANR\")":[5.05057519231253,4.85422559416702,5.0333048638907,4.95610550061048,4.76448424015323,4.54467712624937,4.61054270870761,4.65774731007215,4.852626581022,4.85649458853878,4.83132937817374,5.50585349737648,5.45496103020028,5.2374718222577,5.20995801321906,5.09625601977213,5.27053611593646,4.81825582406001,4.92816711059488,4.5592305514669,4.60736851394045,4.67110150724477,4.51661542470782,4.58236082419872,4.51245224156447,4.73133095025647,4.59212589379812,4.48045848583636,4.58267927812281,4.56585486549954,4.50077314600783,4.49777741442596,4.61124187305626,4.65593019811276,4.58388444150709,4.57391715057525,4.60923937437827,4.46900978717414,4.49724618115489,4.44621282222671,4.47306088124523,4.66559465320391,4.8492360719703,4.63735652392982,4.7643423411268,4.59296362000577,4.63159948350894,4.61443164962547,4.81161015066486,5.07323443284335,5.21621563312121,5.38077247169709,5.12153635098732,4.93178777880528,4.85447474860872,4.87897621861783,4.89514376383217,4.61323053043652,4.56425079486326,4.60454810136453,4.57339072569573,4.40768446618338,4.34542875744207,4.29147325394443,4.21162658705937,4.47853205444788,5.13034388775953,4.07821543113563,3.38386780343537,3.38867077170893,3.44322848685761,3.39028913447094,3.72496845586372,3.68650891319588,3.42845315245375,3.58444483818843,3.58518383908559,3.8257151637492,3.97163701791149,3.92423929879495,3.84457163707472,4.05887339968994,4.07275383524452,4.01386602795329,4.15358137947733,3.94855819920437,4.03994299487509,3.89434288117164,4.31248007423237,4.30145858461887,4.24076049679413,4.55189946308023,4.67171506929082,5.31604037070342,4.83397292195135,4.87310864353945,5.2224115758118,4.98746058866272,4.43365853400106,4.61500686113672,4.24934450400746,4.45700276690121,4.49828695289786,4.47426605830882,4.47915140953114,4.27929142784067,4.18447470409149,4.15464262415454,4.38797273411286,4.36548090276511,4.29064807029694,4.03193220207915,3.95902174753598,3.95046016639566,3.94293995290826,4.00278767724344,3.93820495704615,3.94909396157225,3.85467996174603,3.70281983527258,3.60873212087288],"ENZL^FMA_DIV_YLD(NTMA,-10AY,0,AM,\"PORTAGG\",\"MEANR\")":[4.6018441958213,4.48079791873781,4.51945482183468,4.43586796347832,4.29047390710051,4.25712790508793,4.4138014957123,4.45989456357006,4.42861373092563,4.61186719416915,4.5207221465803,5.1912359789459,5.29837676602734,4.88798580648389,4.76738269230874,4.72515980905889,4.87211837114319,4.76221271193593,4.57794648713835,4.56374768777169,4.32438540893238,4.39813902459698,4.18798204207646,4.19990245517957,4.30069864165122,4.70215792021015,4.57716127993359,4.65334533607171,4.48771596543018,4.53853881969885,4.5582591150528,4.47422304865746,4.41186765273181,4.40722247995424,4.35804155090181,4.38776912924581,4.42060768778833,4.40757024033168,4.31485409915926,4.19928923352615,4.19229139119894,4.28903646170116,4.31676551095227,4.2147169828085,4.16799857437243,4.0145683088214,4.14032000134658,3.89557331235409,4.00620100865691,4.2119740238095,4.12178328972977,4.20189506410039,4.0989739418008,3.92348559420387,3.72202081911828,3.69334715459933,3.70409678438946,3.54877451256345,3.4045182177879,3.31365793978709,3.36802343766234,3.37994591537248,3.25672515768842,3.15398808168914,3.14420633699525,3.15234939802316,3.19033008901938,2.71491788736381,2.5600714281659,2.46940636216753,2.39195894068645,2.33698918497974,2.45015190111474,2.42833267685247,2.40215823220257,2.4053926222329,2.48677789788995,2.57766802319298,2.59513837593968,2.5864676378589,2.70445909419883,2.62515176449993,2.62936612248742,2.56437170995465,2.61871250572142,2.67746634680615,2.79726862480778,2.76710281410754,2.93028974689589,2.99049338216445,3.06349188101699,3.11442558036135,3.20060229740517,3.40633922082389,3.19088892061988,3.19455866958716,3.45503061432492,3.41085028276121,3.3856709241706,3.48485233430836,3.27615153414347,3.3888399996977,3.40964215227727,3.41993660000044,3.41498055072975,3.41179852724799,3.42269302699826,3.30573005842523,3.44228233336214,3.47128414208079,3.105679102701,2.99294458930023,2.98016778926963,2.76217458458242,2.7638895733828,2.74782679618678,2.72580831064263,2.7641277073443,2.60571153340891,2.91794323357977,3.09194717445289],"ENZL^JULIAN(FMA_DIV_YLD(NTMA,-10AY,0,AM,\"PORTAGG\",\"MEANR\").DATES)":[41915,41946,41976,42006,42038,42066,42096,42125,42158,42187,42219,42250,42279,42311,42341,42369,42403,42432,42461,42493,42524,42552,42585,42615,42646,42677,42706,42738,42769,42797,42828,42858,42888,42919,42950,42979,43011,43042,43070,43103,43133,43161,43193,43223,43252,43284,43315,43343,43376,43406,43437,43468,43497,43525,43558,43588,43619,43649,43679,43711,43741,43770,43802,43833,43864,43893,43924,43952,43985,44014,44046,44077,44106,44138,44168,44196,44230,44258,44287,44319,44350,44379,44411,44442,44470,44503,44533,44564,44595,44623,44652,44684,44715,44743,44776,44806,44837,44868,44897,44929,44960,44988,45019,45049,45079,45110,45141,45170,45202,45233,45261,45294,45324,45352,45385,45415,45446,45476,45506,45538,45566],"EWI^FMA_PE(NTMA,-10AY,0,AM,\"PORTAGG\",\"MEANR\")":[13.2073275393212,12.5576179173147,13.1623858149017,12.3465411669524,14.3198801467284,15.1834296962757,15.9388310177707,15.78845062378,15.7027571351323,14.8304003267738,15.5405522755939,14.5534786358858,13.9538705482463,14.7683071520887,14.5431793561257,14.0570435212574,12.3172480392494,13.2634982986881,12.8388132228063,12.9381933619816,12.7778702479836,11.8557083830139,11.9860567623468,12.5206266110849,11.6223672238555,11.5322597068413,12.014925970761,13.6967710191172,12.9864369833174,13.3715242527145,13.4918721164092,13.4448163725681,13.3007485007019,13.2911156316648,13.5047431218829,13.3394042700422,13.7679971729233,13.7293486959989,13.2668277987846,12.9216746841321,13.0654642426309,12.3046923683967,12.437198330193,13.0567383048472,11.7420446539254,11.4468033693622,11.3942858634379,10.5885717201615,10.6081992200872,9.94002956158159,9.72168818882367,9.12558809979454,9.89504201309672,10.4911479274243,10.9843857361254,10.8935892251122,9.79226769128617,10.8047167214337,10.3747233306414,10.5196642789061,10.4021490623781,11.1590078572378,11.0145537611363,11.4631351033453,11.3341688885635,10.3872805341913,9.5976681545152,13.3841180198839,17.593154850527,17.9760991754632,16.3073482576369,15.646577554842,14.5590336185972,13.790117019009,15.1200325949475,14.7412461357557,13.8425837839588,13.4846015854328,14.0471705125076,13.5393698809794,13.6830972729438,13.4337090345574,12.2059998113223,11.9288059196513,11.5581456791629,11.7812763667681,10.6649134370866,11.2661221013335,10.8032274590119,9.48082655289783,9.81421282883604,9.3694464065689,8.76345679183419,7.70345533018875,7.70855700687612,7.64077774858365,7.30564869170986,7.87610475413762,7.88857804052585,7.83054642113263,8.41203256935796,8.7761051157398,8.54315152257127,8.40791927515806,8.54537760711136,8.84448989022233,8.41238293442095,8.48261079696335,8.02592388952062,8.16949934805625,8.64684142677665,8.84359698539982,9.00429954865367,9.34110330597422,9.72885837035832,9.53458729007271,9.76466782905651,9.48109096925835,9.25608891904245,9.99672007737511,10.1852349509356],"EWD^FMA_PE(NTMA,-10AY,0,AM,\"PORTAGG\",\"MEANR\")":[14.3306098956464,15.1495839978102,15.7595507918297,15.580527381065,16.3983336392227,17.070134887271,17.0216798453716,15.84340237342,16.4252823223659,15.5856786497829,15.9770386635213,14.9249893878755,14.1462302046591,15.5368057265921,15.4910338136381,14.9750159777383,14.0531016716157,15.4010533984669,14.9967251926417,14.9763722310021,14.7761017947686,14.6967790020612,14.8466643971007,15.6461650170137,15.7907199645773,15.6393834025522,15.958798335709,16.5927359872557,16.5227064130977,16.488603046213,16.9606018729626,17.1611356902211,18.0717772891166,16.6697160211889,15.9541508069328,15.965060274012,16.9496826801417,17.3618010522557,16.3458888812158,16.2054219400277,16.4732815841935,15.7541759072653,15.5053694434635,15.7596939230996,15.5701425212651,15.1698699116889,15.564368026137,15.8653631698662,15.9134883748037,14.6065068232269,14.2982727191439,13.1820331932575,14.216734947416,14.8597644903292,15.241218908239,15.6580016634076,14.1244679534734,15.2240009529527,14.5782762358166,13.8214044163325,14.4730282223125,15.7537412472901,15.3091861251125,16.239141329118,16.1068546098743,15.2923514934455,14.2429721306595,17.2131256482661,19.6792264902538,19.6992071303135,18.5697510985861,17.9797783481211,18.1513216070563,16.132906412909,17.338683165522,17.9837525904741,18.8710048509772,19.3487583301008,20.2750642492587,18.780630967952,18.6846010509381,18.6976545553091,18.5393275040563,18.6210487664345,17.8128266714756,18.4307933493936,18.3813314291527,18.6078033352797,16.5343443575564,14.4456995006499,15.2776032536875,14.3384170488522,16.2081108480992,14.1175287461339,15.0660625537557,13.9449496753824,13.1157936826953,12.3800151379387,13.2020133271602,12.9000871332881,14.5489479765727,14.2596382657626,13.7224115859291,13.6562081518669,13.67982223937,13.5505957038806,13.0145241911788,12.9978133031696,12.6707405464111,12.8759371897283,14.6781321560517,15.3602834644782,15.6426811473785,16.3621203567738,16.3546148232303,15.9198749894029,16.2588475527605,15.9981575918782,15.4070675841956,16.100245246834,16.5744423167657],"EWN^FMA_PE(NTMA,-10AY,0,AM,\"PORTAGG\",\"MEANR\")":[14.3962121736047,14.4965683627354,15.1568959216298,14.7415881880381,15.7304555737969,16.9057087988969,17.2941740768059,16.8883612821547,16.8124450976534,16.3203363371118,17.0118101489982,15.0380838669042,14.3419530965628,15.9884769854282,15.8257155915059,15.3744123294909,14.5853062744485,15.0398086380949,15.1497446213715,14.7132725345129,15.0861469584859,14.211112750831,14.5096079383238,15.3407069268504,14.9649244000464,14.3110047518368,14.2262921960439,15.1449268589016,15.1490347352061,15.8009171850079,16.0091199641191,16.4848853508091,16.396469374385,15.7501055642313,15.9662313430661,15.6909424418986,16.1104803807877,16.421423660795,15.7640513277946,15.9549068281994,16.011029812542,15.1871700478783,15.318398031113,15.4753513816207,15.8200460711922,15.4454391834472,15.9445439213679,15.4862825689879,15.0089293330814,14.2175372558626,14.2100253144715,12.8118702938193,14.1490824801262,14.979078434099,15.5137271862609,15.7858604141071,14.8484935581621,15.7382749438967,15.3613052680216,15.5198013664902,15.7223586156753,16.3425801739007,16.339577350479,17.1873996142188,16.9314902174296,16.0034007806922,14.0657701017291,17.2144600259616,19.3333989010074,19.8346728403176,19.8832422461759,19.5907196309142,19.4526675532078,19.1642279726001,20.4043023030508,20.5781242257232,21.5839535209266,21.2568525199458,22.7386615449256,21.9130099758622,21.2342256194943,21.3058753768985,21.5288831843732,21.9478952210125,20.2604898835083,21.45411656752,19.7739927458131,20.717017654518,18.4200324301197,17.1671418569584,18.3784351782723,16.9559535868301,17.2274206467265,15.8399377332913,18.0898236898892,15.9523177279284,14.541208486872,14.5883951420075,16.4611002911448,15.7665754718526,17.3668687397087,16.7098725564767,16.4576370489627,15.6627607671001,15.7479511197564,15.930747266335,15.6661040559058,14.7313262083087,13.2945705504251,13.8899955250093,14.6336824245094,14.6890398949667,15.7917304699253,16.0013606210117,16.3099246761942,15.7582585556514,16.3637018928825,16.4840642080082,14.5883595914683,15.0461439650992,15.0981842698514],"EWQ^FMA_PE(NTMA,-10AY,0,AM,\"PORTAGG\",\"MEANR\")":[13.2381987885324,13.0813255126006,13.9624317408898,13.7289565546907,15.5467188679493,16.1220030795324,16.6037523299544,16.3096469232353,16.1854506010367,15.3237084896228,15.8768257180312,14.3482318836575,13.8827690699177,15.247198519785,14.7872414213683,14.5525026687196,13.7007115597823,14.415166727315,14.184321111574,14.3441814696039,14.3182960735214,13.6982287872212,13.7269589038023,14.265122056874,13.8825205951037,13.6151115293769,13.7541373927975,14.6479636930293,14.3369487502949,14.5341399191049,14.7960005861341,15.2537647923694,15.2634708736995,14.759932603358,14.603648018016,14.5510852693452,15.2147880081581,15.4478297837694,14.8890691457655,14.8316471225941,14.883011983911,14.1847968466843,14.1433045602181,14.7650826920243,14.4415011211086,13.9214169739867,14.072271243197,13.7846595155505,13.8239803257092,12.8366828005511,12.6789413245826,11.581233776182,12.9237369222963,13.5461494041884,13.904807974685,14.0397728643122,13.2476568381014,14.0809810001404,13.6054904169093,13.7197617919166,13.6487651014295,14.5228116936095,14.3176746494115,15.0300559821301,14.5876064306023,13.6875789816933,12.5360040856704,16.5440312793632,18.9720978606001,19.280975252133,19.5184965550064,19.4028345022434,18.0821505082638,17.188085232885,18.9715543616588,17.9677191068397,17.7069566120956,18.0382157593804,18.3013203833378,18.0083977287345,17.8761347009951,17.4624739308707,16.7765262036507,16.2899795203528,15.5264043198272,15.8619353415341,15.1399050411246,15.9120973398127,14.9223149637959,13.2803724016191,13.5781266831993,12.6812632848377,12.4293879274776,11.1854920609667,11.7246874319686,11.1240945179385,10.279283177835,11.0781547077079,12.184638535583,12.0512785994966,13.4168543024106,13.3424173809201,13.3473699352042,13.538173874091,13.1338546226261,13.2765052198438,12.9377959574377,12.949964999677,12.1893457417619,12.4418555615209,13.0055804512982,13.162201065106,13.6540399318989,14.3276559280944,14.6371148757955,14.3407335151208,14.3455156306646,13.6765447212431,13.2026375414465,13.712353018986,13.9989231374953],"SPY^FMA_PE(NTMA,-10AY,0,AM,\"PORTAGG\",\"MEANR\")":[14.9925693310257,15.4821557010817,15.9377718039432,15.96244162404,16.4832500187173,16.9186043370943,16.4721081381795,16.7045817863234,16.5754329154127,16.2167847939528,16.377833817045,15.1882245096225,15.211116793077,16.5375970530146,16.005074710341,15.991430392029,15.5099438140132,15.5167363536305,16.5004635460184,16.5226770167304,16.5924966240686,16.5274762929012,16.8646807390181,16.8353987793995,16.5813264427647,15.964394900734,16.6187304749981,16.9361934539184,17.2007565377716,17.7918478206949,17.4630314639626,17.4357595066685,17.6699845483287,17.4455862424405,17.6223410746639,17.5139583604644,17.819346789833,17.9873893505642,18.1962903724008,18.3050888466772,17.4567931643708,16.7186294157627,16.1401525980873,15.9267044843159,16.3485048016767,16.0711269701908,16.5791208014203,16.8103827441345,16.8279173714714,15.5692950591314,15.9056785805342,14.1253145292313,15.782974885227,16.3320836374113,16.6311180987644,16.907555054394,15.637194391743,17.0327146444967,16.6709137134696,16.4377306818886,16.4311115974727,17.3374647042634,17.4297873669917,18.1692255231249,18.1977336742884,16.8629932107798,15.4150158360435,19.8915742284157,22.1415022502709,21.8530126365564,22.03821521958,22.5291890375639,21.3957099154665,20.7565144979451,21.9922214032949,22.4393921126365,21.8170027808151,21.3858282547762,22.0538827180567,21.6598118583921,21.1328990284242,21.5927823815265,21.0440940491603,21.253105807103,20.3383472123969,21.3429114184746,20.5356978834473,21.4299613577131,19.7416505011238,19.0248872833278,19.4955291814043,17.6947159554988,17.2338442497718,15.9841343403852,17.5088423996227,16.5141805927614,15.5257644601532,16.0925675680102,17.5966782872619,16.5859325778974,18.2600208200598,17.8029503865761,18.1239283387761,17.807182718084,18.4624160638884,19.1451485423133,19.1607799891726,18.8902623714902,17.5843097293501,18.0386482658051,18.8291863475253,19.2211473404437,20.1627180364323,20.6325955356372,20.7412323208666,20.170875300777,20.4860322145424,21.2830307391875,20.3653247027913,20.7732370061017,21.428460143057],"QQQ^FMA_PE(NTMA,-10AY,0,AM,\"PORTAGG\",\"MEANR\")":[17.3233638844064,17.770355515359,18.1697762687735,17.4085719896589,17.2400653375028,18.1474657420672,17.5930702998624,18.0048963080168,18.037662713006,17.6216170239777,18.5759876490857,17.1087693570574,17.1770994663732,18.8435566018781,18.402015598739,18.4588215357575,16.8563192558777,17.354658749861,18.0861929547362,17.4425547895054,17.9437090657512,17.7093238287946,18.6246590523477,18.5893421645408,18.6144135424636,17.7098109011023,17.7586649712242,18.2152081064909,19.3094351018213,20.1405453119786,20.1143293500475,20.4664578976586,21.2027524572007,19.8547435220406,20.6289235709858,20.6993067237689,20.3961076988715,20.9012350377746,20.8107825461829,21.3329043866782,20.8845307369388,20.6426104833192,19.3793518097182,19.3925311514042,20.3931962500705,19.9944536382941,20.5652717594885,21.1439522256258,20.8931997085869,18.8850673113004,19.1104733972726,16.9030456765786,18.9850887961166,19.8238920117317,20.7694262230855,21.4494060379668,18.929517647918,21.2833510293655,20.6348273535576,20.4554378626428,20.1225262771053,21.3230852985599,21.5882725559225,22.8635331653895,23.0939677400347,21.6843821661444,20.1149121724151,24.7721685339768,27.6944966171964,28.823008327338,29.2449742201618,30.5994670685224,28.7721261111426,27.8328891727276,30.0105244985865,30.0918514273639,29.6852588629246,27.2897671453379,28.4157876009043,27.6208099129404,26.5833224094995,28.6177147205566,28.1119358347599,28.7401385133963,27.0611439315946,29.4117480965405,28.1983203910881,29.450734379468,25.5369889879896,24.4411099332918,25.6253249698258,22.8355710987049,21.6483580174814,20.0874046940477,23.5263250055565,21.4813742694238,19.9692262791325,19.9419066973414,22.2772242058322,20.7221220364455,24.328771729871,23.5610648536918,24.9764730078874,24.1127069089218,26.1242967847946,26.8025556049734,25.1714583764291,24.6469528715631,22.8963785538705,23.3834650637671,24.3017034477751,24.3558747524299,25.983101602031,26.5773126596653,26.0033930101557,25.3402306963591,25.7818983980113,27.561894325881,25.0796009249068,25.4392505286142,26.1040696840838],"EWU^FMA_PE(NTMA,-10AY,0,AM,\"PORTAGG\",\"MEANR\")":[12.8099544815321,13.0237984059929,13.7543679568244,13.7274018826704,15.3763206807301,15.6169868099462,15.4774161276279,16.0124486951167,15.8969185973287,15.1399987260779,15.3640252513551,14.2439673639203,14.4814131553931,15.4075909959407,15.162932841194,15.2053139260079,15.0894237757325,15.7946888840177,16.0054167293524,15.9994136065783,15.774831287018,16.1076551566143,15.9491327909388,16.2733929134538,15.8012318693138,14.5705451332328,14.1545278968975,14.459620646513,14.3236830243526,14.4688844653649,14.3254694940627,14.3426926915862,14.8416697673004,14.5138786965978,14.8668906156184,14.6286836464253,14.6180852001251,14.5461107053146,14.1193684645936,14.7051845975754,14.145621020314,12.8099255289285,13.1730467413614,13.6337362668208,13.6334728503001,13.1907166661787,13.1626874798717,12.6358290761544,12.7366900284635,11.8665666456458,11.8338740451954,11.29031464082,12.2478018688638,12.4162939089334,12.8214051022228,12.648113795473,12.1527350729982,12.8024236233268,12.3164397874696,12.1042587505276,11.9731451749485,12.7197609697585,12.6842199314826,13.5180263681201,13.0724917617563,12.1427607749599,11.7524374552894,14.5831263929362,16.626895808596,16.0086558153006,15.3679120937615,14.9994238977649,14.3871770064025,13.4818465010361,15.0740789413165,14.3905800527763,13.834616152876,14.1559591079939,13.4300037359464,13.2424259732928,13.145990047108,12.6929133195585,12.3317549561922,12.2406371430538,11.782384194235,12.1700698245574,11.7308465567517,12.1341068243821,12.2943476270711,11.6308044799421,11.2497207858536,10.7004394858532,10.4162764701686,9.53791080247596,9.80970286954039,9.21916511442858,8.63673990616575,8.9721518874352,9.93080706869502,9.96212925203826,10.4971711045259,10.5435923065085,10.4297898597926,10.6173453001835,10.3032187132493,10.3613849205857,10.4773772067486,10.3710540584097,10.1671421360935,10.2434253796835,10.5918941338039,10.9170350215433,11.0577025250551,11.2361575336852,11.5036406504103,11.6441907242278,11.6360069481462,11.4312255119811,11.4236880311746,11.5744811224744,11.7873202892321],"EWL^FMA_PE(NTMA,-10AY,0,AM,\"PORTAGG\",\"MEANR\")":[15.6369396707244,15.7678320265198,16.1324784443649,15.6550501907529,16.5017322064591,17.4085730036628,17.7000054458579,17.7436319002889,17.6974040184281,17.041634530551,17.788690352129,16.4601148075245,16.0054315414928,17.0376448501912,16.9235890067809,16.8788893702635,16.0505998744081,16.5074018531502,16.2188975213253,16.5491524057561,17.0576555536762,16.895370900135,16.9884715741338,17.4419500342325,17.1471504473567,16.1407231863716,16.1562192824815,16.8893770391978,17.2049004017712,17.6434894956563,17.3304913537805,17.801176613946,18.2644958815692,17.8769566416458,17.9614706889583,17.4885502054535,17.9293048795041,17.9836230246756,17.6115320037995,17.7950097261307,17.3427588214935,16.0124396473691,15.8630034558523,16.0516710592614,15.689540932587,15.6242358668332,16.3074694348589,16.0320587816632,16.1213848873235,15.7177625033584,15.7340321644728,14.4866850963291,15.5825025071396,16.387212962816,16.765784565119,16.8970832968054,16.6181739794948,17.3769096483735,16.9283003434567,16.9032974624042,16.6365470477215,17.3733815047836,17.1666487784444,17.9126715110934,17.875824324125,16.997526432504,16.0373107608519,18.3838141610209,19.5827917027453,19.5197212042751,19.5513441002363,19.3298178039455,19.0512570791866,18.2639673411527,18.362538240258,18.8631388298919,18.6818143457735,18.4416508202949,18.8140765229449,19.0506131182569,19.4555229944078,19.751334170712,19.827702225687,19.7512107869727,18.211083298949,19.3630043937778,18.6773071439818,19.8058466704819,18.2698526514164,17.6436871297294,18.3393219219863,17.6403552270805,16.848724453765,15.7364674857983,16.8288719120489,16.1352721394159,14.9346476789957,15.733572545494,16.9119655431448,16.4955020213597,17.420384369086,17.1475803432278,17.1180014350351,17.6451168159671,16.7714574837315,16.4010898701471,16.5573990892435,16.6075138478088,15.84792166331,15.7708803501935,16.3480573226043,16.787896862273,17.0932642063189,17.4743237003838,17.4234738626574,16.6959063872789,17.2463790966497,17.1340348764443,17.0488181970634,17.5312609186606,17.4159937168573],"EWJ^FMA_PE(NTMA,-10AY,0,AM,\"PORTAGG\",\"MEANR\")":[13.605547455641,13.9745464600625,14.6210301584392,14.2217382053288,13.7853686097118,15.1388549813899,15.3071373737643,15.6616916730624,16.2345603524454,15.5409536493671,15.5182506824877,13.6021756050416,13.2918978074689,14.0771462434334,14.7031685423665,14.0592028995939,12.8172669588575,13.0219594302064,12.3706974096579,12.4626902033257,13.4176105000418,12.6818555773172,12.8794304702322,13.636063568928,13.3094826126717,13.5844052034974,14.6070228151189,14.6093404012477,14.2633100796732,14.3112752079332,13.7871604913067,14.0251751272783,14.6177589268447,14.2554982317049,14.2878874479774,13.7297054110204,14.0670024417097,14.8043693202298,14.7504364366261,14.6999165313368,14.824058295345,12.8016957965391,12.685156407475,13.1918715917862,12.9500813214387,12.6573301662808,12.8227895061279,12.6994134229768,13.219183283015,12.1167172200331,12.4628329110763,11.1029436238529,11.9182586991163,12.572848675728,12.7014605929677,12.7487263614611,12.1102081503696,12.9190445512845,12.6129594170335,12.5579546717678,13.870311941593,14.7104551724881,15.3683108032102,15.4650365447577,15.0301857664544,13.7684206882276,12.5205993820909,14.7539345597728,18.2753902959205,18.7813447842372,18.6878469440143,19.7604029968378,19.4029785254081,18.8070985223871,20.1817401555809,19.8985914322829,20.1011035339015,19.3046172453429,19.0341896386259,18.009899480083,18.0342896458391,17.6232843864836,16.9624311236725,16.9430669268417,16.3021728744832,16.5076409341128,15.5821795929647,15.5766397715646,14.7557563176497,13.9645617401112,14.2100121293769,13.7227686757408,13.855069923407,13.0340214258098,13.6127498696936,13.5336405569798,12.7928902025683,13.4649619907213,13.6763699156413,13.1055886206003,13.8151818504233,14.3087264758505,14.2426485185076,14.6467873156759,15.3674653408097,16.1995143617765,15.4900353986227,15.7256877954679,15.0845889553903,15.165643406269,15.337198592059,14.9653717914223,16.0121430296198,16.9432369391556,16.6218949260267,16.5350702078899,16.8941209662616,17.1102728235018,14.8113572897039,15.8091023206918,14.0998668801423],"EWG^FMA_PE(NTMA,-10AY,0,AM,\"PORTAGG\",\"MEANR\")":[12.1334345673536,12.2088248807508,13.1375131569375,12.7825272234926,14.2108916922367,14.6861535372343,15.401928977175,14.5569971956958,14.0841409702043,13.5190984789168,13.8915287066761,12.5261524983388,11.7567898125376,13.4760181192107,13.4632739145788,13.3509645902165,11.9278140025264,12.4684966695875,12.5186064134994,12.5577162050446,12.5002303711458,12.0769572673331,12.5382826998923,13.0598123735016,12.8732137749072,12.5068389246441,12.6282640722403,13.7507505136724,13.6655992190853,13.9620892654792,14.004120627734,13.9840481033179,13.929161446858,13.4368981466052,13.0934938798189,13.0136614052677,13.7229496226108,14.2955132092919,13.7322685017056,13.7979883397067,13.4818469676368,12.601035925087,12.6801021521288,13.2820449474699,13.1606055802944,12.7784281918763,13.0651007580992,12.8487783933063,12.7050127487014,11.8116826163144,11.7863285202916,10.8067484219722,11.7351785206771,12.2225715604446,12.5804598129671,13.0365111748838,12.1714773590253,12.9923530179425,12.5713738736076,12.5772887458714,12.5709182119545,13.6516186608075,13.8460826359011,14.1093670463904,13.8962988992815,12.7684171082816,11.8796957350468,15.1729980028329,18.0399527102484,18.1529602694738,17.8157844212896,17.7596517772716,16.7639181988117,15.0953617486649,15.9456306965683,16.0451618403573,15.8496989324818,15.5957147265945,16.234769821099,15.254968481057,14.9720944083716,14.7443989851861,14.2214899345355,14.1714929365441,13.4514953620421,13.9223537936072,12.8626815223707,13.5085332319504,12.8288579244283,11.1545470890195,11.6374919242097,10.9959630911099,11.0354173549676,9.70409026672145,10.3717921654005,9.72517035959141,9.06983969240558,9.73348467736008,10.8693707765504,10.7004284754771,11.7708886987739,11.675323341028,11.3533695774123,11.2670587359495,10.86248001111,10.7941192105308,10.6268783674411,10.6467692088693,10.1174458897883,10.1603229461148,11.0354102774536,11.0184303830705,11.5337287047113,12.0542910204739,12.3088456207895,11.9341682714467,11.9791215085174,11.7917205190615,11.3433789307819,12.1462520579923,12.8348380089753],"EWC^FMA_PE(NTMA,-10AY,0,AM,\"PORTAGG\",\"MEANR\")":[14.3135030463203,14.2708263108631,14.8735637773728,15.6006677092602,16.9988689062687,17.3494960065271,17.0975978273143,17.3653448047375,16.6974045614288,15.9393195822104,15.6342847496092,14.6660413258173,14.4606031738619,14.9385137640342,14.4724511270951,14.1218582708115,14.1987512906145,15.2292189984145,15.8880851041344,16.3982714275677,16.7267394913414,16.292351603394,16.3076981780551,16.4424361334629,16.0408622088085,15.571006035195,15.8701628570013,15.8418328985486,16.0332923907167,16.0771331126213,15.8783240624098,15.6442975903912,15.5123585292512,15.2185526976216,15.6725841849508,15.3768543989389,15.8530913353988,15.921295855547,15.9235049953578,16.0263117223084,14.9050084693492,14.2838736765197,13.9877488194092,14.1146517490391,14.1750368162333,14.1973164222681,14.1594270157489,13.8050323583318,13.5533193733147,12.6295019222956,12.8222526274984,12.0372049582774,13.6454069515695,14.1889227458099,14.2198415065002,13.8350180935099,13.3125704597496,13.7908806569724,13.545819287593,13.6257027159562,13.6809294756144,14.0478474893884,14.2301489678957,14.3988361227101,14.4849710428363,14.1012115038107,12.9230124201948,16.3983591720723,18.303333749078,17.7111157856744,17.5537250155466,17.042594882549,16.22194493864,15.4577394700162,16.1381606667723,15.7520462514364,15.8471461629774,15.3938045725968,15.5223416392423,15.5045093329663,15.5418015087079,15.5841026701326,15.1320194174747,15.0059607722278,14.4003158722003,14.9252914998368,14.0775350596005,14.4533319738781,14.0551846541641,13.912233111444,13.5781892894371,12.6099365762166,12.4319886314992,11.2255879530961,11.5075576878195,11.2982604285122,11.0133305805341,11.4074230658366,12.4490725801399,11.9554981006404,13.068455910617,12.9696040312464,12.8876121041023,12.8812526338409,12.9373386500213,13.00512848392,13.1897487356783,13.3546044330381,12.2477918030142,12.6053140822153,13.115805165423,13.553205012476,13.8601503570676,14.3284271822048,14.5603694870514,14.292279175898,14.2194680577427,14.1783319898523,13.9517756687537,14.3977116187819,15.1477767925165],"EWA^FMA_PE(NTMA,-10AY,0,AM,\"PORTAGG\",\"MEANR\")":[13.9080576011534,14.5112163417791,13.9587870653565,14.6262194220997,15.5177679687974,16.3238145547927,16.2523775221701,16.2534079600681,15.4358886008893,15.4841375406311,15.6115448359457,14.0098089349966,14.2968851204463,15.0789153170191,15.250667827915,15.7577891400844,14.9325957939335,15.8176002523494,15.4658529260418,16.6028438181518,16.2996290566753,15.999973819414,16.4495465907588,16.2099438092433,16.3581110581153,15.5325804610336,15.6786481105494,15.951520027419,15.6042763822164,15.7107518687991,15.8674616338228,15.8614874472193,15.39965433794,15.3175279280684,15.7122212788436,15.6384385009527,15.4745888576585,15.946902792774,15.8621452188413,16.0075050385414,15.9032455761203,15.3294363410676,14.71896130612,15.4303420557411,15.0356792812731,15.5010352829042,15.4881824673553,15.6920441685479,15.0639406371922,14.3912145806402,14.3334800396115,13.92061203901,14.6180898442541,15.4389791308334,15.5326571620992,15.4009511831517,15.3446699290333,16.2872000468238,16.3162212856101,16.1485126142986,16.1733753263465,16.9088212544424,17.0897010864144,17.2377024363528,17.6688101406406,16.5645806498231,14.2933414864608,16.6199755158604,19.3898115739926,19.2256058688285,18.9153376948051,19.6188683122914,17.8949313774311,18.3286534983565,19.8682274557874,18.9693708542816,19.0200009998956,18.4331705323032,17.6611665393569,17.9451869469077,18.3105308788862,17.306681807889,16.9943494471519,17.3874603791186,16.7414712674518,17.545603069112,16.9172725511445,17.4230504078573,15.9077265037863,15.7241750395275,16.1527514734008,14.7521124015199,14.2559874186128,12.4724347323239,13.7785882894197,13.5788553462772,12.6121024220762,13.3028981148094,14.5963023123388,13.9587174655514,15.0568337909699,14.5201460991821,14.4510407168759,14.387589659825,14.3998475346568,15.0142265583721,15.3207261705012,15.5104648620548,14.5348267439825,14.8757381207264,15.3251173786581,16.2348211605183,16.5890082254016,16.676392318325,16.6070515995895,16.4521316127157,16.7659022078183,16.8154693828243,17.169531512843,17.9606696693962,18.3938682757726],"ENZL^FMA_PE(NTMA,-10AY,0,AM,\"PORTAGG\",\"MEANR\")":[17.0817297077626,17.7020969497913,17.9905150098252,18.3613013678912,19.1668218175234,19.3346839393093,18.4899205739579,18.319896868662,18.3748535360052,18.2289772582524,18.5060959516593,17.2744909668773,16.9700635398646,18.1317334281143,18.1872739277192,18.2879518587097,17.3396746508146,17.9205953213693,18.4156126192307,18.8817317116466,19.4929709603077,19.059687665176,20.0155169547382,20.6958794495932,20.3047393168138,18.4275506816422,18.7150183102484,18.4707572511409,19.0975197273083,19.0176230962398,19.0996311563671,19.5198043247427,19.4809545927608,19.4565018600269,19.8329438484622,19.9205763536595,19.7757323266027,20.2607857672626,20.2190870835144,20.9584730154328,20.9643662464545,20.254594308011,19.955784417586,20.3691961816755,20.4909780057569,21.3783934241575,20.9208465976924,22.0706051942858,21.530224883951,20.3149253120883,20.3168510012662,19.8635296057454,20.4586874128021,21.6303992254278,22.4919806402928,22.8790877957082,22.8779169144861,23.9009109176406,24.7241187918701,26.0798988958079,25.1600504459997,24.8057519208909,25.67493726285,25.8924171109274,25.8609360349881,25.83974328249,25.4321240507768,28.8627772918146,30.2451312821522,31.1429877779013,31.7433349225491,33.0004764656428,31.9539883178776,32.5791716810891,32.6939353581011,34.2882847038098,33.1699594019517,32.2135795738792,32.1646564885547,32.4537538798617,32.9111398089028,34.299454196945,34.0991847989553,35.0558026403956,34.536515098558,33.5665739008779,31.1544014668578,32.2935947403441,30.5033822610958,29.4090500582014,29.4533379851454,28.3058078520454,26.9009383290656,25.3355710494879,26.7394208275364,27.0887216497513,23.8041920620769,23.4863861650591,23.4701979242175,22.9697307303176,24.4182625447013,23.5699104034889,23.2248929501148,23.5126900895137,21.1567772124641,21.0360950329036,20.9493432806758,20.8795335736984,20.0557692530591,20.0584414307091,21.6659634313289,22.7831835629748,22.4469701202822,24.6771376251891,25.0949346288809,25.3731861590112,24.4074989952622,23.9375906967146,25.2815794420691,25.4721327658546,23.9859692680043],"EWI^FMA_PE(LTMA,-10AY,0,AM,\"PORTAGG\",\"MEANR\")":[17.2120704446378,17.0357315446723,19.1340927393247,18.3466638170294,24.3288208478224,44.925223167695,42.2802481730877,39.584429081175,36.5333591446011,33.483948253963,31.1144744548403,27.7050949188422,24.8459512457413,22.9953626954865,20.7744879550874,17.9614432089949,14.256068631385,15.4341594905217,15.206613016826,15.1054415846917,14.9456084735528,14.4259968433632,14.4376718301794,15.1038076396175,14.5602987797429,14.3910023363138,14.4867861339462,28.0160351074272,20.4174498420508,85.3564615635191,78.1002093330944,71.0844759653779,64.0285620945993,56.8092072651158,49.7476975282875,42.9328744031754,35.8716422232018,28.8236970843374,22.2411344838242,15.0329666049037,15.4206696166956,14.1696212278114,14.0569354235395,14.1834243342098,13.5979394796518,13.3079904494722,13.1387089321782,12.4458594415345,12.2866821666902,11.5501657389104,11.2501124890291,10.3613469930161,11.0367709734709,11.2968756302449,11.3697294365886,11.34433898976,10.8459301451374,11.2832911384678,11.0615612962911,11.1073837280429,11.0149143282132,11.7720322730905,11.6849469762168,12.1860381147651,12.0898123968424,11.3222134381871,11.0870115154984,12.6078208976612,15.3878353032504,17.0037692368536,17.1026681195388,17.7873035022738,18.115127925755,18.9861391640907,22.2848570858848,23.3237130000973,20.8434331280975,20.2157912063969,19.7895671723476,19.0835324332974,18.5784915143196,17.9766484038761,16.5263360904963,15.5697007485226,14.6199042510871,14.0924573306732,12.2946929957655,12.2967057420443,11.9717111543935,10.5783037832588,10.582352330359,10.3683279105526,9.96986201910191,9.32052182494765,8.95316874508229,8.51641207644438,8.07065127754682,8.10325817925491,7.88335706991699,7.60338179702673,8.18862995108811,8.32077859114348,8.32332791635696,8.30976089361933,8.41175433140411,8.63358897342958,8.32234466248113,8.38806422040202,8.07045796963924,8.20974373902798,8.63230951448981,8.79119855936909,9.08470140936237,9.36063616388658,9.47076129316944,9.45969729812926,9.60597937691154,9.52767002545634,9.4831477670518,10.0286250135954,10.1645252110608],"EWD^FMA_PE(LTMA,-10AY,0,AM,\"PORTAGG\",\"MEANR\")":[15.7984597954535,16.4982596723873,17.4228717735408,17.5611304283267,18.9081971594483,20.2152360009756,19.9577239367745,19.2562506036483,19.2424519747831,18.5594823200711,18.4809025540134,17.4645287819326,16.4681325303132,17.244545182686,17.007429647037,16.0162580656525,14.5014658626699,15.6209044187143,15.5496259742074,15.5681815408176,15.4832213384227,15.4538294040505,15.6065440221496,16.2003736307799,16.492215177308,16.6699875281011,17.3004395096195,18.4010847738681,17.317713288186,17.4512606454946,17.5591086967879,17.6706425762957,18.1528829143027,17.6072549666568,16.9743181303535,16.9755886646677,17.8342967939498,18.5544382013791,17.8216889028726,18.0235599006918,18.7371641814784,16.8815747774007,16.743268649486,16.7487213101668,16.6276635043872,16.3719159528033,16.5915548331113,16.8131756196541,16.9480599211101,15.4743853477997,14.943200276527,13.6332878146363,16.2348727994808,18.1610367121294,17.9313982759519,17.8458656942351,16.9620431269793,17.2231189993168,16.6021513782042,15.7891779209266,16.0283352271682,16.8402932528477,15.5753926684125,16.3339184135267,13.8988318529285,12.9550946154643,13.0293895823384,14.6114326531905,16.442794122504,17.5662302819605,17.2235161976662,17.2001966094543,18.0170875171368,15.4993259520369,16.990189258895,17.91501057852,18.3652259069329,17.6977859814152,18.167370415933,17.8920516737847,17.8735013747947,18.0065970890013,17.5547806634171,17.5730624134928,16.9609070654628,16.5875213087233,16.1153719464167,16.8898189156619,12.3766514792184,11.5810197625436,12.1023299211123,12.2335690383486,13.8639753999406,13.3077306699604,14.6701800237652,14.4811894667685,14.4266592520506,13.3172172004369,14.5318906899332,15.7811607798168,27.3071878814011,25.5959309284219,24.3132234639604,23.1944379732794,22.0141634601108,20.7797357870635,19.2149649627305,17.9417896809596,16.4254346839643,15.9391565590592,17.5552709871896,17.4771796481084,15.09460915473,15.8068334118034,15.9129392496763,15.8865962529554,16.1047103190382,16.0924227990047,16.0177123041924,16.9808918602861,17.6451931504521],"EWN^FMA_PE(LTMA,-10AY,0,AM,\"PORTAGG\",\"MEANR\")":[16.5766289696311,16.8176275876322,18.0021656063934,17.5290952437531,18.7319276221044,20.0856047528254,19.935824790479,19.6264132950042,19.3704810648015,18.9265659133696,19.1260607507248,17.5249604350579,16.6411710548961,17.5446063421702,17.5600556366055,16.8706386495531,15.8540571992893,16.3931589554441,16.3502918095853,16.1554964359284,16.2764740674428,15.8183783091024,15.9238170902884,16.4169863010332,16.1522064060868,15.4471424415603,15.2558604741705,16.4183539429921,16.1696397085979,16.4546385533255,16.5023017901043,16.7154768712298,16.7707809086025,16.5334856240205,16.7089199177138,16.6016722981034,17.1048804068899,17.5878297905684,16.9747585624299,17.3014415525403,17.2807800920778,16.5897048139151,16.5339702225687,16.5153190944809,16.6365813063737,16.4887357336975,16.7994862466477,16.6007329052535,16.3310151291185,15.666116999648,15.4992548217868,13.9664656826312,15.2677384156241,16.1603659396246,16.2387604778869,16.3605987307984,16.0273974709778,16.5162958949991,16.3989457026391,16.6412932947114,16.7077209322091,17.4597494111542,17.7248910339229,18.8462828680056,18.5151670141443,17.3846894447494,16.8215824982218,17.8263060143421,19.0265222950673,19.752142348653,20.5311611929481,21.2878374864843,22.1076454273954,22.2651043353049,25.858374322188,27.3483402911446,28.0632955946369,28.8495787759945,28.6410000034421,27.8557995865209,27.0189073473071,26.5711065792281,26.2703079932964,25.910921233497,24.1534486506697,24.8221748775614,22.3955136617285,22.9274717861123,20.0356160022737,18.2787238171023,18.5764891902353,18.2231776141523,18.5384856092261,18.0143758381022,19.7915005747897,18.4443194280141,17.304292202293,17.0549027823753,18.4499237143737,18.144032538576,19.8760856868473,20.660992092137,20.3064408075902,19.74686218845,19.4460044430492,19.2554152819116,18.7658836614016,17.81697511593,16.3943975547764,16.2083596082488,16.3995440835698,16.1655547409178,17.4298785564111,18.5010343173902,18.4230195791785,18.1534152745547,18.3588182846681,18.4440048593604,17.2664074598249,17.5442696656293,17.7090082975402],"EWQ^FMA_PE(LTMA,-10AY,0,AM,\"PORTAGG\",\"MEANR\")":[15.0806966009467,14.8217084016865,15.4835326975836,15.0097912131255,16.4630184453116,17.5064200627723,17.5702056949852,17.4613249037491,17.4339034754119,16.9947151139488,17.2494076514522,16.1133194034977,15.5019152118394,16.4611145524177,15.8645899493487,15.4220750370538,14.1493162876484,15.1752993874239,15.0982386968912,15.1307619949165,15.1587629026133,14.851521350003,14.819840562752,15.1507258838969,14.887685309006,14.6727405152206,14.8672597288948,15.8756157897837,15.6304564442559,15.6320599128845,15.6422517099815,15.7849786042648,15.827294319433,15.6130143914712,15.54561502643,15.528032370634,16.0013288068656,16.3556429553545,15.97207081065,16.0165249966998,16.0985045047139,15.5409620442201,15.440409547696,15.5888281872975,15.4486688332309,15.1374782007389,15.2332785841115,15.0320387753647,15.0879958275257,14.1901749458689,13.9203291803643,12.5976408907026,13.8352055231773,14.5822107705839,14.6162963854293,14.6602947224629,14.3551218831313,14.7858761985871,14.5884795613391,14.739240528664,14.7462853627023,15.6943298828789,15.7099176069605,16.6621931038749,16.123998025213,14.6741661863449,14.3853848493077,15.9257249283881,17.6970601894105,18.9656557882576,21.1161222039634,22.8453892183117,23.2948091299294,23.8435923330449,28.2033424186574,28.8602296382272,27.8355634435602,26.9865603095587,26.301859730096,25.3971992979393,24.5397608966956,23.6069043412978,22.1790977014164,20.9659896351342,19.5068567864263,18.8587203610715,17.2841654450817,17.3247954087811,16.3322314651159,15.361207690437,15.2576768722874,14.7786258158376,14.3780401769351,13.5290358544542,13.2980563514446,12.5414968857251,11.4605267455135,11.6456695260686,12.2242042972976,11.7473577699942,13.1080849446261,12.9301934567478,13.0184252133433,13.1893024367397,13.1286576284963,13.296649936805,13.2196637924169,13.2788952110292,12.755557908184,12.8915689948321,13.5488907342188,13.8254265732522,14.3985921799581,15.4932826627425,15.5069835118665,15.3848784814934,15.3683511877365,15.010833283324,14.687459627024,14.9882775902557,15.1546831838937],"SPY^FMA_PE(LTMA,-10AY,0,AM,\"PORTAGG\",\"MEANR\")":[16.3629751097438,16.7330577939498,17.2095470408453,17.2880609023596,17.1947574540741,17.5931233746036,17.4862016147174,17.5540375738837,17.5344168908543,17.3881398304416,17.500929483221,16.6916860482252,16.6496234324281,17.6463025880259,17.1697577997956,17.1423143271944,16.2966838906097,16.18819342752,16.4452153070474,16.565182572191,16.7753482194953,16.9159239183927,17.3601662966413,17.6159089870747,17.7215867947656,17.3180652605837,18.2194455870168,18.9495789753272,19.0470058282493,19.5059964529408,19.3204050300475,19.2116860368424,19.238310359636,19.0961398757214,19.1586661819704,19.0917620071552,19.4145947335308,19.6418530820794,19.9910531942729,20.5172800070221,20.4222110096896,19.753213097976,19.347839230935,18.998969243499,18.9236411247262,18.5562986133552,18.6694704620637,18.7016893540282,18.625115050498,17.3250553415588,17.4030089268716,15.1395850755328,16.6963695379994,17.1278184580145,17.1892613798775,17.3212839658182,16.8475410678125,17.5797539544443,17.4926407293234,17.4548901974621,17.596330981886,18.4911432058284,18.8446619129974,19.8915398417839,19.796393140348,17.9446756852307,17.5570404564108,19.1940770705635,20.7758625391569,21.3671575464668,22.2480831053041,23.5191059055412,23.5187738698152,23.4656978621943,25.664153585031,27.4234727585739,26.9152934191327,26.2284025183675,26.0393844562976,25.5508963974932,24.9990155286413,24.9298723595506,24.1722356829835,24.0082795083547,23.0654724826718,23.4592935504661,22.4745265712163,23.3651649541027,21.5272365898831,20.6940602049107,20.7160792587207,20.0509688724668,19.6695176573554,18.8216822917882,19.3882009698087,18.5435434035316,17.5367570829853,17.4838762431132,18.6182341205006,17.3268311828723,18.8100144148161,18.1092840330414,18.2414376675997,18.2203320404062,18.6056780188628,19.1666855557414,19.4773399692477,19.5863861151849,18.8716252050015,19.5024063568751,20.5743546479913,21.4331412083145,22.3918396599699,22.7964366730676,22.6951691450035,22.4310224651834,22.4968991018451,22.9349745580438,22.4720943744666,22.908126721095,23.5839495136177],"QQQ^FMA_PE(LTMA,-10AY,0,AM,\"PORTAGG\",\"MEANR\")":[19.2525087136177,19.8038690348495,20.4446249572432,20.0691968928018,19.8031365481522,20.7742162094398,20.457636356412,20.3971550159239,20.2604522916797,19.9452813801037,20.3979755154855,19.3208961502636,19.2635539720155,20.5604915816807,20.1684996331521,20.3489696602954,18.2772947323173,18.2538133713871,18.444790260331,18.3134217718364,18.6126621595739,18.6440457276687,19.3731234297652,19.6058006620666,19.9632199338191,19.3263277138746,19.6266462216378,20.486981092529,21.2572761468263,21.7219698335703,21.6489035235258,21.7422627461216,22.1022740381737,21.5399218389232,22.0706915313165,22.3062549192523,22.353030275048,22.9227416283693,23.0806527278178,24.1312123576773,24.1449957666679,24.0788483340659,23.4868294335111,23.1504170306691,23.2953884689179,22.9029684507188,23.1215312910434,23.4622072819795,23.2734890202394,21.1234186000788,21.022760250888,18.2323862752282,20.3044071419649,20.9219133925075,21.1543463990647,21.5142552176524,20.6083594785118,21.8960855364235,21.7403634686557,21.8368739308208,21.8754888285082,23.1364507139203,23.8009048457781,25.623483398816,25.9425404179026,23.8396566249686,23.364367539601,24.9386388224355,26.7429138176469,27.9753212570849,29.0277131313749,30.9373638990285,30.5399242484687,30.3060443903891,33.7277928564884,35.2372737359167,34.7642849964381,32.7828289757549,32.6716433114302,32.0578605453413,31.2766964523726,32.0171608648037,31.460235672158,31.8010791799524,30.3830949916534,31.8709341271455,30.8335049154955,32.2288617252178,27.8384915778844,26.6321439838833,26.8365688471859,25.9311560845959,25.2369454955355,24.173481217056,25.9895309681696,24.4888979950373,23.0282496593334,22.1272551969807,24.0273414040444,22.5439047176221,26.2413559949126,25.3131845513066,25.6708792323482,25.5189529451296,26.5729609940198,27.333813345071,26.7595453404474,26.7848354154062,25.7527854023729,26.3701895185455,27.7276252778541,28.3557578484202,30.0126927091888,30.3765869966773,29.9814241141268,29.5510918173862,29.5603720377607,30.4763172064916,29.1264570955855,29.6447702954247,30.406047078927],"EWU^FMA_PE(LTMA,-10AY,0,AM,\"PORTAGG\",\"MEANR\")":[13.6852686540251,13.7027568844699,14.0404438128917,13.6760489520509,14.4222924177442,15.1721879486391,15.2601983607484,15.568486125708,15.7275279790622,15.5181994991463,15.7330064256818,15.0543428989328,15.1081636704652,15.9025041198401,15.7722056171237,15.6728845885555,14.8454688030504,15.5524520347533,15.7247270423721,15.8986218064226,15.9914968248398,16.3512579053777,16.5790047181109,17.1492827394209,17.1552781809273,16.4255136009539,16.3684698356865,17.2349844539268,17.1730593944532,17.3620600606368,17.0726103733332,16.8363942687369,16.8020541321819,16.4550127307998,16.463687938917,16.103619870065,15.8832593925391,15.6243300350307,15.0729034916162,15.4861065373553,15.0783485898368,13.8558218942637,13.8701692089269,13.9969834466351,13.9999159097642,13.7950873312013,13.8587502045571,13.5125453110635,13.609852008149,12.861120610642,12.6590527108706,11.8152419649884,12.6629991530125,12.9360870157105,13.0227282844846,13.0043341051328,12.8270381715174,13.176766511977,12.9750348241246,12.8745590821084,12.7735598059477,13.3063234215566,13.2477860483057,14.2062040013852,13.7591069934435,12.3753747180455,12.3458950189182,13.5253516875696,14.9828330118798,15.3066474081545,15.649811290994,16.4626216731521,16.8126884937608,16.3109681644926,19.1429144918194,19.7285002872824,19.3235182390962,18.8008810340759,18.2122992672077,17.6171716498734,17.0574579255477,16.3376310614036,15.4068873805613,14.7333637410459,13.8598020351205,13.4616438833358,12.4697050815847,12.3247194074269,12.7351324709044,12.4887440704324,12.3031687772926,11.9874212688094,11.6959121557827,11.0989686368418,10.9145063934532,10.2749763753294,9.51368562750562,9.44362201260048,9.98719062861861,9.71527257206461,10.0973625069242,10.263271184897,10.2757238875107,10.3728955873398,10.3031050809087,10.3655236160614,10.5074988448653,10.5147139639226,10.379330642654,10.5240514039357,10.9297092151526,11.2098005164141,11.2642969461607,11.4488469371132,11.5353960656282,11.6301190647012,11.7066223255195,11.685525658819,11.805309678331,12.0107932110826,12.2038328721733],"EWL^FMA_PE(LTMA,-10AY,0,AM,\"PORTAGG\",\"MEANR\")":[17.0624895336422,17.159996003097,17.6326491786326,17.1892387956023,16.8096298654963,17.9545970839194,18.028330397076,18.0823487485388,18.1102880399083,17.8155523923486,18.254318082085,17.3319019580096,17.0105680671862,17.7781377464141,17.5762383715853,17.3781775117904,16.4362852750241,16.6193948589117,16.5964163990059,16.7662649156552,17.112112660667,17.2037167975357,17.4852262024064,17.9974801924623,18.0552295979781,17.251903851542,17.3308447360363,18.3308590106297,18.6143092662367,19.6758440484471,19.4493694835918,19.4787497180279,19.6261880786779,19.4095821352218,19.452584947097,19.1444664384264,19.61057016823,20.4025119141339,20.3191407844838,20.8719286703814,21.507578164467,21.1100631842414,20.5950002133386,20.2250305175112,19.6961564251071,19.2423074570726,19.2603756519011,18.7977019411547,18.584475278294,17.9929825099386,17.8018862540616,16.1699064555836,17.6000232415279,18.3575359207335,18.3041125246541,18.2748242009205,18.108482278911,18.4826916295533,18.2494739557424,18.2390941723032,18.0426162938839,18.7578110169301,18.7054245636423,19.7449365424873,19.723913836739,18.0862378948128,17.7952159029229,18.6034651660968,19.3895289268084,19.7118619811028,20.1893913418655,20.5726327564261,20.8093810688801,20.3533931129946,20.924809148717,22.0192335076548,21.4014224614389,20.4894454386376,20.4554903396325,20.4898459612368,20.6589132370761,20.859253667377,21.0114559230407,21.1174303918721,20.0012053258354,21.0232479274242,20.4227766564508,21.6670376324775,19.9322869304679,18.4244695754598,18.5890147428654,18.4334801072113,18.1448349367019,17.572476820139,18.2877193368033,17.9012740863063,16.9501503429121,18.4119630879869,19.9699112989813,20.4763301088039,20.8183851391826,20.6873810520265,20.3937321898593,20.2982955752113,19.6827548274603,19.2139210653518,18.9893370990094,18.8886452923249,18.1315103858356,17.7813440181419,18.0198034959578,18.3687488000004,18.5987585078883,19.1976932216384,19.0826950867706,18.7604647329286,18.8613389706901,18.7723433843206,18.6624244916278,18.9397730552344,18.8613216716365],"EWJ^FMA_PE(LTMA,-10AY,0,AM,\"PORTAGG\",\"MEANR\")":[15.069695567942,15.3413639166292,16.0478152707887,15.885694894027,15.2711048865126,16.9205239076806,16.846137982127,16.8850210625588,17.1396502036812,16.8303581367694,16.8370345861958,15.4637176800873,15.0560339317944,15.6043176635983,16.3038807288639,15.7241220272528,14.4209556979797,13.9278709196819,13.711784284269,13.6459638918014,14.0461427162594,13.7030448296098,13.7664660208578,14.381164911327,14.1969412749957,14.5847913452973,15.8579848447712,16.3248655507296,16.1498012859615,15.9673059796334,15.7073270126881,15.634885576171,15.7743482115011,15.5137692104781,15.4524465156186,14.9719992262634,15.0918079085068,15.6429949377032,16.1118501248426,16.3416747617786,16.4463583995679,14.4091154825721,14.2315449197728,14.2692137503363,14.0897163036692,13.8338121460953,13.8175423610797,13.6506504736833,13.8866667715135,12.9119129900646,13.026285561258,11.4779750567284,12.1613713410437,12.7022799934721,12.7477330742403,12.7922780940252,12.5702515368013,12.971409273773,12.8584558576732,12.858090885728,13.9704599830586,14.8540146226497,15.8396630178585,16.3379460358497,15.9742849991351,14.930097608131,14.5427161345797,15.2466621873229,17.1406734522903,18.1621959210536,19.0008942472127,20.7367525796614,21.6743592755029,22.4209510727289,24.7375478332816,26.0990026970076,26.0442040456735,23.915342242504,23.5024125424292,22.7626521818229,22.3161556195145,21.7099162528857,20.8590664420939,20.3572629010697,19.4246123706183,19.0732361572637,17.8688804943417,17.3530764006593,16.3936456682423,15.8448204759874,15.7478162222315,15.4354571099821,15.3464851013836,14.8059481861945,14.939842572595,14.6916724193863,13.9525969461437,14.2753349861707,14.3472731030126,13.6786734472287,14.3747124620962,14.7119529501162,14.6951044670172,14.8429963246239,15.2026954246178,15.8000531820268,15.6079814258597,15.9437769849718,15.6293518413487,15.9168000857208,16.3568880340025,16.3361234293823,17.56098599759,18.3225686854396,18.1433970481928,18.0165672498258,18.1010960118213,18.197864619814,16.7867491270058,17.343958169486,15.9024888649216],"EWG^FMA_PE(LTMA,-10AY,0,AM,\"PORTAGG\",\"MEANR\")":[13.7374051362458,13.674060422415,14.5690219752378,14.2318596028789,15.7185006776985,16.4486251563518,16.5142576521012,16.2020950800914,15.893387851925,15.471700557444,15.5182828060958,14.4414304232253,13.6947369017506,14.6185131910976,14.3088167167104,14.0285507216998,12.4787796201445,12.7006619511994,12.7367373784601,12.8108133364486,12.8653974745486,12.705984699086,13.0043146082854,13.4928239289522,13.5875647023573,13.4142703788049,13.5491630343979,14.9332402940697,14.8545220186501,15.0052215600377,14.9507726026173,14.901036099393,14.8415014924809,14.5588854078196,14.2950689063517,14.1350471384664,14.6739099022869,15.4846925731171,15.1727174553831,15.3346936363178,14.7787830038189,14.1641193569388,14.0643147639786,14.1812750273224,14.0895430336534,13.9157714629475,14.1001856742959,14.0214033605298,13.9459300541149,13.1625388688089,13.1103848736745,11.8725364045675,12.840174060001,13.2358567209154,13.2697835173575,13.427236034518,13.1156827069481,13.5682138672204,13.4258317322727,13.5470135000618,13.7274713970022,14.8613488051653,15.0118357850269,15.4651787096354,15.0882037576803,14.0397228933694,13.805812367724,15.0676505317944,16.9722933971875,17.9694938220647,18.9087260124896,20.1350210464216,20.3324112504187,19.1576957654611,20.7621176065964,22.1267684635384,21.2842867199953,20.2743593837738,20.0776866219531,19.3728588954805,18.8381732447153,18.3271729228187,17.4417071878781,16.8386908857609,15.830232476553,15.717647075923,14.0789470831735,14.257742206794,13.5051821503576,12.4069984517882,12.4501370702888,12.2021264996501,12.1395886508631,11.3778245348287,11.5154163098303,10.7948924755403,10.1611870978844,10.3559920574503,11.0713833727759,10.6466848367727,11.7593307494523,11.3760501465208,11.3717414291232,11.402423250791,11.2752590979744,11.2732724802476,11.1814443529639,11.2535872120991,10.8958104075038,10.9117388879176,11.6841115407002,11.8002527597166,12.0550611322789,12.5195352586186,12.5961198095634,12.5118041147147,12.5603055286152,12.4918278581724,12.3068159980957,12.8870830347079,13.6401141814012],"EWC^FMA_PE(LTMA,-10AY,0,AM,\"PORTAGG\",\"MEANR\")":[15.8239037173897,15.6005577889499,15.808707839055,15.7070156564,16.2755072455782,17.0224201593294,17.095456503967,17.3505916412903,17.2992920294025,17.0842855539427,17.0180514390215,16.4433116126662,16.3797557994676,16.8218843039477,16.5323380481214,15.7794491987031,15.270393421918,15.7917536092758,16.001157655848,16.3434394671097,16.7490838649762,16.7934665316453,17.1804275917849,17.6838143347528,17.8673391004533,18.001661198923,18.7977509765365,19.5026653079993,19.6526094006356,19.4084327608691,19.0884694659966,18.7457400911696,18.42952715946,18.0241574110775,17.9933704042033,17.5274265070569,17.7000497642474,17.4996441700455,17.315556170384,17.373195809982,16.3939027219064,15.8114070627831,15.6272265124374,15.5863750215142,15.5170458711105,15.464265835349,15.4898696571682,15.2389778780504,15.0388764824454,14.2201797377882,14.1320822900115,13.0110233478739,14.5170878783775,14.7339208885223,14.7405006045002,14.6032994608244,14.3538026949074,14.5470594711168,14.3726991699823,14.418004277955,14.4667550168803,14.8354398848766,14.971727212767,15.256983399573,15.4049023332051,14.4144068935254,14.1660935470872,15.5747218915481,17.1190674222151,17.4247692052252,18.0319627699423,18.2670030296381,18.4059117540934,18.3787554514747,19.8600441216043,20.3674881248119,20.7662206817835,19.9662083242364,19.6112449968824,19.210659918564,18.7703436963403,18.4301547295925,17.7422936707724,17.2307850610811,16.4144424371514,16.6710607422839,15.4860500993552,15.4174567731077,15.2849917969013,15.233474594826,15.0357474837891,14.5617816387308,14.2639868085087,13.4335584086702,13.2672401214386,12.7701419947638,12.325915062241,12.3991744330608,12.8844391541457,12.0659117514711,12.9204737630084,12.6256451851189,12.6819594425136,12.7621901692183,12.8934026265415,13.0503081712693,13.3707862635949,13.6581067908403,13.0359992876724,13.4832577920021,14.0081446167637,14.513093839802,14.6714287623334,14.8887396384415,14.9543745351874,14.9109217864206,14.9202556462961,14.9547152260991,14.942382225202,15.3129513333011,15.9635672948152],"EWA^FMA_PE(LTMA,-10AY,0,AM,\"PORTAGG\",\"MEANR\")":[14.7038804114428,15.2646570841521,14.5020957141617,14.8442549418679,15.4701000426982,16.2230519898175,16.2644675273386,16.3273988245437,16.037063787735,16.0606296735918,16.1431477447849,15.1084602871939,15.12316260996,15.638863724766,15.7001133531286,16.060762601513,14.8928432056556,15.0628500213757,15.0999390080493,15.6201930725432,15.7232898649166,15.7835404267062,16.2933958367382,16.3823856602455,16.8236062505633,16.5823295043671,17.0762607591871,17.9013067583146,17.4936874239121,17.502128523886,17.376097542018,17.2506631322694,16.9218107992119,16.7188263193845,16.8145916503031,16.621429923767,16.397730180619,16.7574925946574,16.6432391416311,16.7999888005691,16.9208824259969,16.5093584074697,16.2572126652837,16.3633938546947,16.1312538310613,16.2822757692091,16.2757098476572,16.3597947840177,15.8790652697394,15.3092180816754,15.1286134440337,14.5628850347398,15.2545673380389,15.9237833795216,15.9238653946596,15.8676886818646,15.8448496005472,16.321577945621,16.4440725633018,16.3979932194432,16.5010000773045,17.2934364679023,17.4942953867203,17.8281072293301,18.22372416819,16.9564933837432,16.3629234918986,17.0824418644086,18.4244712108511,18.6699008747,18.9456589213714,19.9452629696001,19.0311680544188,20.1026932336978,22.6629354753962,22.9540612302639,23.0387611404924,21.825181980916,21.3012038669974,20.987391329632,20.7494545246087,19.8750088483824,19.2803090508705,19.1294168570337,18.2803166398166,18.5356295942383,17.5754168615523,17.72794966345,16.0803086119723,15.7085570053434,15.7961537924992,15.3370736786907,15.0184661938661,13.9861245020638,14.4645616342681,14.1304713775496,13.2335104408495,13.4119606410562,14.4123445903674,13.8120369422328,14.9855807887684,14.2712508232755,14.2766752771481,14.276601836081,14.3006014082232,14.6558819543819,14.9221194441244,15.1076587386803,14.5221098289934,14.8805678458168,15.264272649608,16.3382623920369,16.6425468433246,16.6278424378432,16.6321392656026,16.6103671117387,16.762150692281,16.8373931598303,17.0918239528224,17.650254238797,18.1147863202492],"ENZL^FMA_PE(LTMA,-10AY,0,AM,\"PORTAGG\",\"MEANR\")":[17.8726778206679,18.485227782721,18.8607300754127,19.2341389813833,20.0308483577169,20.5296505145399,20.2701126972107,20.1000815154015,20.0333622411875,19.8755888358466,19.9254513989948,19.0204755044276,18.6100967787143,19.5588899132747,19.6217440363979,19.8617758299773,19.0464665479358,19.3176762206068,19.333984789594,19.4827563060388,19.8165848770946,19.7077987621199,20.4224200078163,20.963367602413,21.003853332603,19.6597152633503,20.0199524674571,19.9496956000646,20.5408386654425,19.8138835774319,19.8045223502001,19.9578623667492,20.0034945545716,20.0780043061073,20.4994210356473,20.6091379600415,20.61840120177,21.2244259438749,21.5609239490599,22.4153638645603,22.4628391333142,22.5797765761439,22.3696898620416,22.411419203255,22.4265512501182,22.978318263358,22.8067158433713,23.757388864391,23.6463891382505,22.824232228699,23.0734886516876,22.7456611999977,23.2798198585488,24.1854317851912,24.1989984602057,24.2577298861835,24.2622034686916,24.7717361132745,25.4183300791344,28.3503973493082,28.4229770177569,28.8281059970238,31.0235851173559,32.5714798139415,32.1872150634918,31.0470153778185,30.573284357585,31.46312599861,32.1767010539208,32.8069383082732,33.6083614313484,34.1572472820561,33.918621820524,35.0613050648468,35.9988090197148,37.9280377333323,36.7557777648922,34.4519030801936,34.4420912915879,34.6145894509243,35.1702673547071,36.274885505061,36.8277535784473,38.5269568753397,38.962087736309,39.1943462083738,37.4885671104568,39.32934156364,37.422782872336,35.3231564537939,35.0144802181867,34.4168487744112,33.679915023446,32.7706815751595,33.5807367888967,34.2725597961445,31.5055294932133,31.194330298314,29.939964754076,28.9594494737004,30.2234111048564,29.4854175379133,28.8521233337199,28.4203333052959,26.8703613650736,26.0517822896631,25.2255840343026,24.8184063173402,23.6514485619411,22.814491904977,23.4892598283858,23.8666702374631,23.4164186608314,23.7028780560669,24.0551109455502,24.4625820067831,24.2954059424869,24.2990045444365,25.1915641698114,25.3288455928064,24.2242201092424],"ENZL^JULIAN(FMA_DIV_YLD(LTMA,-10AY,0,AM,\"PORTAGG\",\"MEANR\").DATES)":[41915,41946,41976,42006,42038,42066,42096,42125,42158,42187,42219,42250,42279,42311,42341,42369,42403,42432,42461,42493,42524,42552,42585,42615,42646,42677,42706,42738,42769,42797,42828,42858,42888,42919,42950,42979,43011,43042,43070,43103,43133,43161,43193,43223,43252,43284,43315,43343,43376,43406,43437,43468,43497,43525,43558,43588,43619,43649,43679,43711,43741,43770,43802,43833,43864,43893,43924,43952,43985,44014,44046,44077,44106,44138,44168,44196,44230,44258,44287,44319,44350,44379,44411,44442,44470,44503,44533,44564,44595,44623,44652,44684,44715,44743,44776,44806,44837,44868,44897,44929,44960,44988,45019,45049,45079,45110,45141,45170,45202,45233,45261,45294,45324,45352,45385,45415,45446,45476,45506,45538,45566],"DDR3512M-FDS^MAX(FG_PRICE(0,-5AY))":3.3053632,"DDR3512M-FDS^FG_PRICE(0)/MAX(FG_PRICE(0,-1AY))":0.841590528846154,"DDR3512M-FDS^FG_PRICE_CHANGE(0,-1AY)":-12.3521936031474,"DDR3512M-FDS^FG_PRICE_CHANGE(0,-6AM)":-8.73621978195229,"DDR3512M-FDS^FG_PRICE_CHANGE(0,-3AM)":-5.80732004462167,"DDR3512M-FDS^FG_PRICE_CHANGE(0,-1AM)":-1.55555433582376,"DDR3512M-FDS^FG_PRICE_MAVG(0,,,,30)":0.88546216,"DDR3512M-FDS^FG_PRICE(0)":0.87525415,"WL-FDS^MAX(FG_PRICE(0,-5AY))":763.4,"WL-FDS^FG_PRICE(0)/MAX(FG_PRICE(0,-1AY))":0.764998690070736,"WL-FDS^FG_PRICE_CHANGE(0,-1AY)":-15.2517776810332,"WL-FDS^FG_PRICE_CHANGE(0,-6AM)":-9.83480006175699,"WL-FDS^FG_PRICE_CHANGE(0,-3AM)":1.47697654213728,"WL-FDS^FG_PRICE_CHANGE(0,-1AM)":7.78885197489849,"WL-FDS^FG_PRICE_MAVG(0,,,,30)":553.55664,"WL-FDS^FG_PRICE(0)":584.0,"PASP-FDS^MAX(FG_PRICE(0,-5AY))":3158.12,"PASP-FDS^FG_PRICE(0)/MAX(FG_PRICE(0,-1AY))":0.79047619047619,"PASP-FDS^FG_PRICE_CHANGE(0,-1AY)":-16.652719665272,"PASP-FDS^FG_PRICE_CHANGE(0,-6AM)":-2.35294117647059,"PASP-FDS^FG_PRICE_CHANGE(0,-3AM)":-5.59241706161138,"PASP-FDS^FG_PRICE_CHANGE(0,-1AM)":3.21243523316062,"PASP-FDS^FG_PRICE_MAVG(0,,,,30)":1015.76666,"PASP-FDS^FG_PRICE(0)":996.0,"NI-FDS^MAX(FG_PRICE(0,-5AY))":48241.0,"NI-FDS^FG_PRICE(0)/MAX(FG_PRICE(0,-1AY))":0.842303172737955,"NI-FDS^FG_PRICE_CHANGE(0,-1AY)":-2.63515349089921,"NI-FDS^FG_PRICE_CHANGE(0,-6AM)":6.22406639004149,"NI-FDS^FG_PRICE_CHANGE(0,-3AM)":4.73407364114553,"NI-FDS^FG_PRICE_CHANGE(0,-1AM)":10.0399140313172,"NI-FDS^FG_PRICE_MAVG(0,,,,30)":16372.333,"NI-FDS^FG_PRICE(0)":17920.0,"PLATI-FDS^MAX(FG_PRICE(0,-5AY))":1272.59,"PLATI-FDS^FG_PRICE(0)/MAX(FG_PRICE(0,-1AY))":0.926099158091674,"PLATI-FDS^FG_PRICE_CHANGE(0,-1AY)":11.6121758737317,"PLATI-FDS^FG_PRICE_CHANGE(0,-6AM)":6.10932475884245,"PLATI-FDS^FG_PRICE_CHANGE(0,-3AM)":-1.49253731343284,"PLATI-FDS^FG_PRICE_CHANGE(0,-1AM)":8.19672131147542,"PLATI-FDS^FG_PRICE_MAVG(0,,,,30)":970.6,"PLATI-FDS^FG_PRICE(0)":990.0,"CPALM-FDS^MAX(FG_PRICE(0,-5AY))":8163.0,"CPALM-FDS^FG_PRICE(0)/MAX(FG_PRICE(0,-1AY))":0.931862852151125,"CPALM-FDS^FG_PRICE_CHANGE(0,-1AY)":17.0965971459934,"CPALM-FDS^FG_PRICE_CHANGE(0,-6AM)":-6.81371478488753,"CPALM-FDS^FG_PRICE_CHANGE(0,-3AM)":3.24219695136705,"CPALM-FDS^FG_PRICE_CHANGE(0,-1AM)":6.14427860696518,"CPALM-FDS^FG_PRICE_MAVG(0,,,,30)":4038.0334,"CPALM-FDS^FG_PRICE(0)":4267.0,"W-FDS^MAX(FG_PRICE(0,-5AY))":14.2525,"W-FDS^FG_PRICE(0)/MAX(FG_PRICE(0,-1AY))":0.861835058907533,"W-FDS^FG_PRICE_CHANGE(0,-1AY)":6.15655233069483,"W-FDS^FG_PRICE_CHANGE(0,-6AM)":8.5431654676259,"W-FDS^FG_PRICE_CHANGE(0,-3AM)":8.83678990081154,"W-FDS^FG_PRICE_CHANGE(0,-1AM)":9.32971014492754,"W-FDS^FG_PRICE_MAVG(0,,,,30)":5.605,"W-FDS^FG_PRICE(0)":6.035,"BRENT-FDS^MAX(FG_PRICE(0,-5AY))":140.85,"BRENT-FDS^FG_PRICE(0)/MAX(FG_PRICE(0,-1AY))":0.887441860465116,"BRENT-FDS^FG_PRICE_CHANGE(0,-1AY)":-11.1088104358629,"BRENT-FDS^FG_PRICE_CHANGE(0,-6AM)":0.0,"BRENT-FDS^FG_PRICE_CHANGE(0,-3AM)":0.0,"BRENT-FDS^FG_PRICE_CHANGE(0,-1AM)":0.0,"BRENT-FDS^FG_PRICE_MAVG(0,,,,30)":85.86,"BRENT-FDS^FG_PRICE(0)":85.86,"COPP-FDS^MAX(FG_PRICE(0,-5AY))":5.119,"COPP-FDS^FG_PRICE(0)/MAX(FG_PRICE(0,-1AY))":0.879468646219965,"COPP-FDS^FG_PRICE_CHANGE(0,-1AY)":24.5194302309501,"COPP-FDS^FG_PRICE_CHANGE(0,-6AM)":7.36942523253041,"COPP-FDS^FG_PRICE_CHANGE(0,-3AM)":-0.858841664831544,"COPP-FDS^FG_PRICE_CHANGE(0,-1AM)":11.656746031746,"COPP-FDS^FG_PRICE_MAVG(0,,,,30)":4.25015,"COPP-FDS^FG_PRICE(0)":4.502,"TIOS-FDS^MAX(FG_PRICE(0,-5AY))":219.77,"TIOS-FDS^FG_PRICE(0)/MAX(FG_PRICE(0,-1AY))":0.751317980022198,"TIOS-FDS^FG_PRICE_CHANGE(0,-1AY)":-8.55285376561972,"TIOS-FDS^FG_PRICE_CHANGE(0,-6AM)":7.86774225674733,"TIOS-FDS^FG_PRICE_CHANGE(0,-3AM)":-4.20130903944808,"TIOS-FDS^FG_PRICE_CHANGE(0,-1AM)":7.71755345599205,"TIOS-FDS^FG_PRICE_MAVG(0,,,,30)":95.558334,"TIOS-FDS^FG_PRICE(0)":108.31,"FC0000US^FG_PRICE(0)":425.87115,"FC0000GB^FG_PRICE(0)":132.949,"FC0000CH^FG_PRICE(0)":348.318,"FC0000JP^FG_PRICE(0)":180.39697,"FC0000GR^FG_PRICE(0)":9.663866,"FC0000CA^FG_PRICE(0)":317.06393,"FC0000AU^FG_PRICE(0)":393.03607,"FC0000NZ^FG_PRICE(0)":414.8432,"EWI^FG_PRICE_MAVG(0,,,,200)":36.5424,"EWI^FG_PRICE_MAVG(0,,,,60)":37.6175,"EWI^FG_PRICE_MAVG(0,,,,30)":38.350666,"EWI^FG_PRICE(0)":37.48,"EWD^FG_PRICE_MAVG(0,,,,200)":39.954124,"EWD^FG_PRICE_MAVG(0,,,,60)":40.859,"EWD^FG_PRICE_MAVG(0,,,,30)":41.841,"EWD^FG_PRICE(0)":42.05,"EWN^FG_PRICE_MAVG(0,,,,200)":48.632526,"EWN^FG_PRICE_MAVG(0,,,,60)":49.472,"EWN^FG_PRICE_MAVG(0,,,,30)":49.713333,"EWN^FG_PRICE(0)":50.0,"EWQ^FG_PRICE_MAVG(0,,,,200)":39.648773,"EWQ^FG_PRICE_MAVG(0,,,,60)":38.988335,"EWQ^FG_PRICE_MAVG(0,,,,30)":39.609,"EWQ^FG_PRICE(0)":39.07,"SPY^FG_PRICE_MAVG(0,,,,200)":523.50415,"SPY^FG_PRICE_MAVG(0,,,,60)":553.66284,"SPY^FG_PRICE_MAVG(0,,,,30)":561.50433,"SPY^FG_PRICE(0)":567.82,"QQQ^FG_PRICE_MAVG(0,,,,200)":449.4936,"QQQ^FG_PRICE_MAVG(0,,,,60)":471.29184,"QQQ^FG_PRICE_MAVG(0,,,,30)":474.49933,"QQQ^FG_PRICE(0)":481.59,"EWU^FG_PRICE_MAVG(0,,,,200)":34.74825,"EWU^FG_PRICE_MAVG(0,,,,60)":36.453167,"EWU^FG_PRICE_MAVG(0,,,,30)":37.149666,"EWU^FG_PRICE(0)":36.83,"EWL^FG_PRICE_MAVG(0,,,,200)":48.53835,"EWL^FG_PRICE_MAVG(0,,,,60)":50.828167,"EWL^FG_PRICE_MAVG(0,,,,30)":51.715332,"EWL^FG_PRICE(0)":50.96,"EWJ^FG_PRICE_MAVG(0,,,,200)":68.36705,"EWJ^FG_PRICE_MAVG(0,,,,60)":69.65667,"EWJ^FG_PRICE_MAVG(0,,,,30)":70.77,"EWJ^FG_PRICE(0)":70.95,"EWG^FG_PRICE_MAVG(0,,,,200)":30.9273,"EWG^FG_PRICE_MAVG(0,,,,60)":31.767166,"EWG^FG_PRICE_MAVG(0,,,,30)":32.60367,"EWG^FG_PRICE(0)":32.89,"EWC^FG_PRICE_MAVG(0,,,,200)":37.8617,"EWC^FG_PRICE_MAVG(0,,,,60)":39.476665,"EWC^FG_PRICE_MAVG(0,,,,30)":40.605667,"EWC^FG_PRICE(0)":41.42,"EWA^FG_PRICE_MAVG(0,,,,200)":24.5328,"EWA^FG_PRICE_MAVG(0,,,,60)":25.432333,"EWA^FG_PRICE_MAVG(0,,,,30)":26.148,"EWA^FG_PRICE(0)":26.63,"ENZL^FG_PRICE_MAVG(0,,,,200)":46.461937,"ENZL^FG_PRICE_MAVG(0,,,,60)":47.945366,"ENZL^FG_PRICE_MAVG(0,,,,30)":49.3035,"ENZL^FG_PRICE(0)":48.93,"FXI^FG_TOTAL_RETURNC(0,-12AM)":37.973583,"FXI^P_PRICE(0)/P_PRICE_LOW_PR(0,,,,,,\"PRICE\",\"INTRA\",\"52W\")-1":0.653883,"FXI^P_PRICE(0)/P_PRICE_HIGH_PR(0,,,,,,\"PRICE\",\"INTRA\",\"52W\")":0.97046417,"FXI^FG_TOTAL_RETURNC(0,-6AM)":41.556335,"FXI^FG_TOTAL_RETURNC(0,-3AM)":28.252792,"FXI^FG_TOTAL_RETURNC(0,-1AM)":32.692314,"FXI^PERCENT_CHANGE(FMA_EPS(+1,0,,,,\"PORTAGG\",\"MEAN\"),FMA_EPS(+1,-3AM,,,,\"PORTAGG\",\"MEAN\"))":2.23471096571672,"FXI^PERCENT_CHANGE(FMA_EPS(+1,0,,,,\"PORTAGG\",\"MEAN\"),FMA_EPS(+1,-1AM,,,,\"PORTAGG\",\"MEAN\"))":-1.31422669541541,"FXI^FMA_PCT_ABOVE_MAVG(200,0,,,,\"PORTAGG\")":92.0,"SPY^FG_TOTAL_RETURNC(0,-12AM)":36.511684,"SPY^P_PRICE(0)/P_PRICE_LOW_PR(0,,,,,,\"PRICE\",\"INTRA\",\"52W\")-1":0.38760054,"SPY^P_PRICE(0)/P_PRICE_HIGH_PR(0,,,,,,\"PRICE\",\"INTRA\",\"52W\")":0.9880113,"SPY^FG_TOTAL_RETURNC(0,-6AM)":10.010242,"SPY^FG_TOTAL_RETURNC(0,-3AM)":3.2829642,"SPY^FG_TOTAL_RETURNC(0,-1AM)":3.1669736,"SPY^PERCENT_CHANGE(FMA_EPS(+1,0,,,,\"PORTAGG\",\"MEAN\"),FMA_EPS(+1,-3AM,,,,\"PORTAGG\",\"MEAN\"))":-1.23762309810854,"SPY^PERCENT_CHANGE(FMA_EPS(+1,0,,,,\"PORTAGG\",\"MEAN\"),FMA_EPS(+1,-1AM,,,,\"PORTAGG\",\"MEAN\"))":-1.06455397719023,"SPY^FMA_PCT_ABOVE_MAVG(200,0,,,,\"PORTAGG\")":75.8,"EWJ^FG_TOTAL_RETURNC(0,-12AM)":23.425425,"EWJ^P_PRICE(0)/P_PRICE_LOW_PR(0,,,,,,\"PRICE\",\"INTRA\",\"52W\")-1":0.24038458,"EWJ^P_PRICE(0)/P_PRICE_HIGH_PR(0,,,,,,\"PRICE\",\"INTRA\",\"52W\")":0.9687329,"EWJ^FG_TOTAL_RETURNC(0,-6AM)":1.5344262,"EWJ^FG_TOTAL_RETURNC(0,-3AM)":2.101016,"EWJ^FG_TOTAL_RETURNC(0,-1AM)":0.084638596,"EWJ^PERCENT_CHANGE(FMA_EPS(+1,0,,,,\"PORTAGG\",\"MEAN\"),FMA_EPS(+1,-3AM,,,,\"PORTAGG\",\"MEAN\"))":22.3969693678458,"EWJ^PERCENT_CHANGE(FMA_EPS(+1,0,,,,\"PORTAGG\",\"MEAN\"),FMA_EPS(+1,-1AM,,,,\"PORTAGG\",\"MEAN\"))":12.6709648593149,"EWJ^FMA_PCT_ABOVE_MAVG(200,0,,,,\"PORTAGG\")":49.748743718593,"URTH^FG_TOTAL_RETURNC(0,-12AM)":33.632935,"URTH^P_PRICE(0)/P_PRICE_LOW_PR(0,,,,,,\"PRICE\",\"INTRA\",\"52W\")-1":0.35170007,"URTH^P_PRICE(0)/P_PRICE_HIGH_PR(0,,,,,,\"PRICE\",\"INTRA\",\"52W\")":0.9851002,"URTH^FG_TOTAL_RETURNC(0,-6AM)":8.596695,"URTH^FG_TOTAL_RETURNC(0,-3AM)":3.6432862,"URTH^FG_TOTAL_RETURNC(0,-1AM)":2.6687026,"URTH^PERCENT_CHANGE(FMA_EPS(+1,0,,,,\"PORTAGG\",\"MEAN\"),FMA_EPS(+1,-3AM,,,,\"PORTAGG\",\"MEAN\"))":1.61565536642443,"URTH^PERCENT_CHANGE(FMA_EPS(+1,0,,,,\"PORTAGG\",\"MEAN\"),FMA_EPS(+1,-1AM,,,,\"PORTAGG\",\"MEAN\"))":0.829791880396504,"URTH^FMA_PCT_ABOVE_MAVG(200,0,,,,\"PORTAGG\")":70.1492537313433,"VWO^FG_TOTAL_RETURNC(0,-12AM)":29.371107,"VWO^P_PRICE(0)/P_PRICE_LOW_PR(0,,,,,,\"PRICE\",\"INTRA\",\"52W\")-1":0.29408622,"VWO^P_PRICE(0)/P_PRICE_HIGH_PR(0,,,,,,\"PRICE\",\"INTRA\",\"52W\")":0.98496246,"VWO^FG_TOTAL_RETURNC(0,-6AM)":15.809965,"VWO^FG_TOTAL_RETURNC(0,-3AM)":8.828831,"VWO^FG_TOTAL_RETURNC(0,-1AM)":10.3856325,"VWO^PERCENT_CHANGE(FMA_EPS(+1,0,,,,\"PORTAGG\",\"MEAN\"),FMA_EPS(+1,-3AM,,,,\"PORTAGG\",\"MEAN\"))":0.966803940686287,"VWO^PERCENT_CHANGE(FMA_EPS(+1,0,,,,\"PORTAGG\",\"MEAN\"),FMA_EPS(+1,-1AM,,,,\"PORTAGG\",\"MEAN\"))":0.0,"VWO^FMA_PCT_ABOVE_MAVG(200,0,,,,\"PORTAGG\")":36.8833368621639,"VGK^FG_TOTAL_RETURNC(0,-12AM)":26.811134,"VGK^P_PRICE(0)/P_PRICE_LOW_PR(0,,,,,,\"PRICE\",\"INTRA\",\"52W\")-1":0.25844526,"VGK^P_PRICE(0)/P_PRICE_HIGH_PR(0,,,,,,\"PRICE\",\"INTRA\",\"52W\")":0.961293,"VGK^FG_TOTAL_RETURNC(0,-6AM)":5.093336,"VGK^FG_TOTAL_RETURNC(0,-3AM)":2.4023652,"VGK^FG_TOTAL_RETURNC(0,-1AM)":-0.20182729,"VGK^PERCENT_CHANGE(FMA_EPS(+1,0,,,,\"PORTAGG\",\"MEAN\"),FMA_EPS(+1,-3AM,,,,\"PORTAGG\",\"MEAN\"))":-0.113165814793893,"VGK^PERCENT_CHANGE(FMA_EPS(+1,0,,,,\"PORTAGG\",\"MEAN\"),FMA_EPS(+1,-1AM,,,,\"PORTAGG\",\"MEAN\"))":0.0,"VGK^FMA_PCT_ABOVE_MAVG(200,0,,,,\"PORTAGG\")":63.370253164557,"EWI^FG_TOTAL_RETURNC(0,-12AM)":32.378376,"EWI^P_PRICE(0)/P_PRICE_LOW_PR(0,,,,,,\"PRICE\",\"INTRA\",\"52W\")-1":0.29174566,"EWI^P_PRICE(0)/P_PRICE_HIGH_PR(0,,,,,,\"PRICE\",\"INTRA\",\"52W\")":0.94574815,"EWI^FG_TOTAL_RETURNC(0,-6AM)":2.3400068,"EWI^FG_TOTAL_RETURNC(0,-3AM)":2.0141482,"EWI^FG_TOTAL_RETURNC(0,-1AM)":-1.4721394,"EWI^PERCENT_CHANGE(FMA_EPS(+1,0,,,,\"PORTAGG\",\"MEAN\"),FMA_EPS(+1,-3AM,,,,\"PORTAGG\",\"MEAN\"))":-3.17689028417551,"EWI^PERCENT_CHANGE(FMA_EPS(+1,0,,,,\"PORTAGG\",\"MEAN\"),FMA_EPS(+1,-1AM,,,,\"PORTAGG\",\"MEAN\"))":-0.17881935814594,"EWI^FMA_PCT_ABOVE_MAVG(200,0,,,,\"PORTAGG\")":60.0,"EWD^FG_TOTAL_RETURNC(0,-12AM)":36.26734,"EWD^P_PRICE(0)/P_PRICE_LOW_PR(0,,,,,,\"PRICE\",\"INTRA\",\"52W\")-1":0.37037635,"EWD^P_PRICE(0)/P_PRICE_HIGH_PR(0,,,,,,\"PRICE\",\"INTRA\",\"52W\")":0.95655143,"EWD^FG_TOTAL_RETURNC(0,-6AM)":6.685567,"EWD^FG_TOTAL_RETURNC(0,-3AM)":3.1142712,"EWD^FG_TOTAL_RETURNC(0,-1AM)":1.9888401,"EWD^PERCENT_CHANGE(FMA_EPS(+1,0,,,,\"PORTAGG\",\"MEAN\"),FMA_EPS(+1,-3AM,,,,\"PORTAGG\",\"MEAN\"))":-3.93094984039946,"EWD^PERCENT_CHANGE(FMA_EPS(+1,0,,,,\"PORTAGG\",\"MEAN\"),FMA_EPS(+1,-1AM,,,,\"PORTAGG\",\"MEAN\"))":1.3086941813935,"EWD^FMA_PCT_ABOVE_MAVG(200,0,,,,\"PORTAGG\")":73.3333333333333,"EWN^FG_TOTAL_RETURNC(0,-12AM)":38.026417,"EWN^P_PRICE(0)/P_PRICE_LOW_PR(0,,,,,,\"PRICE\",\"INTRA\",\"52W\")-1":0.37778997,"EWN^P_PRICE(0)/P_PRICE_HIGH_PR(0,,,,,,\"PRICE\",\"INTRA\",\"52W\")":0.9428626,"EWN^FG_TOTAL_RETURNC(0,-6AM)":1.6771674,"EWN^FG_TOTAL_RETURNC(0,-3AM)":-3.1195521,"EWN^FG_TOTAL_RETURNC(0,-1AM)":1.3993025,"EWN^PERCENT_CHANGE(FMA_EPS(+1,0,,,,\"PORTAGG\",\"MEAN\"),FMA_EPS(+1,-3AM,,,,\"PORTAGG\",\"MEAN\"))":1.16524642541792,"EWN^PERCENT_CHANGE(FMA_EPS(+1,0,,,,\"PORTAGG\",\"MEAN\"),FMA_EPS(+1,-1AM,,,,\"PORTAGG\",\"MEAN\"))":-0.583930354744956,"EWN^FMA_PCT_ABOVE_MAVG(200,0,,,,\"PORTAGG\")":51.8518518518518,"EWQ^FG_TOTAL_RETURNC(0,-12AM)":16.194069,"EWQ^P_PRICE(0)/P_PRICE_LOW_PR(0,,,,,,\"PRICE\",\"INTRA\",\"52W\")-1":0.16072488,"EWQ^P_PRICE(0)/P_PRICE_HIGH_PR(0,,,,,,\"PRICE\",\"INTRA\",\"52W\")":0.9171362,"EWQ^FG_TOTAL_RETURNC(0,-6AM)":-3.1080127,"EWQ^FG_TOTAL_RETURNC(0,-3AM)":0.48867464,"EWQ^FG_TOTAL_RETURNC(0,-1AM)":-0.7367909,"EWQ^PERCENT_CHANGE(FMA_EPS(+1,0,,,,\"PORTAGG\",\"MEAN\"),FMA_EPS(+1,-3AM,,,,\"PORTAGG\",\"MEAN\"))":-0.416662428993254,"EWQ^PERCENT_CHANGE(FMA_EPS(+1,0,,,,\"PORTAGG\",\"MEAN\"),FMA_EPS(+1,-1AM,,,,\"PORTAGG\",\"MEAN\"))":0.42462166481921,"EWQ^FMA_PCT_ABOVE_MAVG(200,0,,,,\"PORTAGG\")":54.0983606557377,"QQQ^FG_TOTAL_RETURNC(0,-12AM)":36.618782,"QQQ^P_PRICE(0)/P_PRICE_LOW_PR(0,,,,,,\"PRICE\",\"INTRA\",\"52W\")-1":0.40671825,"QQQ^P_PRICE(0)/P_PRICE_HIGH_PR(0,,,,,,\"PRICE\",\"INTRA\",\"52W\")":0.95644665,"QQQ^FG_TOTAL_RETURNC(0,-6AM)":9.260273,"QQQ^FG_TOTAL_RETURNC(0,-3AM)":-1.7870665,"QQQ^FG_TOTAL_RETURNC(0,-1AM)":4.429269,"QQQ^PERCENT_CHANGE(FMA_EPS(+1,0,,,,\"PORTAGG\",\"MEAN\"),FMA_EPS(+1,-3AM,,,,\"PORTAGG\",\"MEAN\"))":-2.66121860427843,"QQQ^PERCENT_CHANGE(FMA_EPS(+1,0,,,,\"PORTAGG\",\"MEAN\"),FMA_EPS(+1,-1AM,,,,\"PORTAGG\",\"MEAN\"))":0.14427772036177,"QQQ^FMA_PCT_ABOVE_MAVG(200,0,,,,\"PORTAGG\")":58.8235294117647,"EWU^FG_TOTAL_RETURNC(0,-12AM)":24.443615,"EWU^P_PRICE(0)/P_PRICE_LOW_PR(0,,,,,,\"PRICE\",\"INTRA\",\"52W\")-1":0.22196424,"EWU^P_PRICE(0)/P_PRICE_HIGH_PR(0,,,,,,\"PRICE\",\"INTRA\",\"52W\")":0.9722809,"EWU^FG_TOTAL_RETURNC(0,-6AM)":9.863245,"EWU^FG_TOTAL_RETURNC(0,-3AM)":4.571271,"EWU^FG_TOTAL_RETURNC(0,-1AM)":0.054335594,"EWU^PERCENT_CHANGE(FMA_EPS(+1,0,,,,\"PORTAGG\",\"MEAN\"),FMA_EPS(+1,-3AM,,,,\"PORTAGG\",\"MEAN\"))":1.53450266717907,"EWU^PERCENT_CHANGE(FMA_EPS(+1,0,,,,\"PORTAGG\",\"MEAN\"),FMA_EPS(+1,-1AM,,,,\"PORTAGG\",\"MEAN\"))":0.17881538952911,"EWU^FMA_PCT_ABOVE_MAVG(200,0,,,,\"PORTAGG\")":61.5384615384615,"EWL^FG_TOTAL_RETURNC(0,-12AM)":22.076488,"EWL^P_PRICE(0)/P_PRICE_LOW_PR(0,,,,,,\"PRICE\",\"INTRA\",\"52W\")-1":0.22647417,"EWL^P_PRICE(0)/P_PRICE_HIGH_PR(0,,,,,,\"PRICE\",\"INTRA\",\"52W\")":0.9609655,"EWL^FG_TOTAL_RETURNC(0,-6AM)":10.817898,"EWL^FG_TOTAL_RETURNC(0,-3AM)":5.441749,"EWL^FG_TOTAL_RETURNC(0,-1AM)":-2.2256315,"EWL^PERCENT_CHANGE(FMA_EPS(+1,0,,,,\"PORTAGG\",\"MEAN\"),FMA_EPS(+1,-3AM,,,,\"PORTAGG\",\"MEAN\"))":4.4922693676407,"EWL^PERCENT_CHANGE(FMA_EPS(+1,0,,,,\"PORTAGG\",\"MEAN\"),FMA_EPS(+1,-1AM,,,,\"PORTAGG\",\"MEAN\"))":0.101852377522542,"EWL^FMA_PCT_ABOVE_MAVG(200,0,,,,\"PORTAGG\")":71.7391304347826,"EWG^FG_TOTAL_RETURNC(0,-12AM)":32.220566,"EWG^P_PRICE(0)/P_PRICE_LOW_PR(0,,,,,,\"PRICE\",\"INTRA\",\"52W\")-1":0.33130944,"EWG^P_PRICE(0)/P_PRICE_HIGH_PR(0,,,,,,\"PRICE\",\"INTRA\",\"52W\")":0.96395075,"EWG^FG_TOTAL_RETURNC(0,-6AM)":6.4810753,"EWG^FG_TOTAL_RETURNC(0,-3AM)":6.165266,"EWG^FG_TOTAL_RETURNC(0,-1AM)":2.2381186,"EWG^PERCENT_CHANGE(FMA_EPS(+1,0,,,,\"PORTAGG\",\"MEAN\"),FMA_EPS(+1,-3AM,,,,\"PORTAGG\",\"MEAN\"))":-3.12222182316567,"EWG^PERCENT_CHANGE(FMA_EPS(+1,0,,,,\"PORTAGG\",\"MEAN\"),FMA_EPS(+1,-1AM,,,,\"PORTAGG\",\"MEAN\"))":-2.01762479254512,"EWG^FMA_PCT_ABOVE_MAVG(200,0,,,,\"PORTAGG\")":64.9122807017544,"EWC^FG_TOTAL_RETURNC(0,-12AM)":31.213236,"EWC^P_PRICE(0)/P_PRICE_LOW_PR(0,,,,,,\"PRICE\",\"INTRA\",\"52W\")-1":0.31868827,"EWC^P_PRICE(0)/P_PRICE_HIGH_PR(0,,,,,,\"PRICE\",\"INTRA\",\"52W\")":0.98925245,"EWC^FG_TOTAL_RETURNC(0,-6AM)":9.4559555,"EWC^FG_TOTAL_RETURNC(0,-3AM)":9.489811,"EWC^FG_TOTAL_RETURNC(0,-1AM)":4.096496,"EWC^PERCENT_CHANGE(FMA_EPS(+1,0,,,,\"PORTAGG\",\"MEAN\"),FMA_EPS(+1,-3AM,,,,\"PORTAGG\",\"MEAN\"))":1.02760823918641,"EWC^PERCENT_CHANGE(FMA_EPS(+1,0,,,,\"PORTAGG\",\"MEAN\"),FMA_EPS(+1,-1AM,,,,\"PORTAGG\",\"MEAN\"))":-0.557934174953873,"EWC^FMA_PCT_ABOVE_MAVG(200,0,,,,\"PORTAGG\")":77.9069767441861,"EWA^FG_TOTAL_RETURNC(0,-12AM)":33.276917,"EWA^P_PRICE(0)/P_PRICE_LOW_PR(0,,,,,,\"PRICE\",\"INTRA\",\"52W\")-1":0.3015641,"EWA^P_PRICE(0)/P_PRICE_HIGH_PR(0,,,,,,\"PRICE\",\"INTRA\",\"52W\")":0.9779655,"EWA^FG_TOTAL_RETURNC(0,-6AM)":10.496187,"EWA^FG_TOTAL_RETURNC(0,-3AM)":7.42234,"EWA^FG_TOTAL_RETURNC(0,-1AM)":4.431367,"EWA^PERCENT_CHANGE(FMA_EPS(+1,0,,,,\"PORTAGG\",\"MEAN\"),FMA_EPS(+1,-3AM,,,,\"PORTAGG\",\"MEAN\"))":-0.506942072257882,"EWA^PERCENT_CHANGE(FMA_EPS(+1,0,,,,\"PORTAGG\",\"MEAN\"),FMA_EPS(+1,-1AM,,,,\"PORTAGG\",\"MEAN\"))":2.91341286276648,"EWA^FMA_PCT_ABOVE_MAVG(200,0,,,,\"PORTAGG\")":67.2413793103448,"ENZL^FG_TOTAL_RETURNC(0,-12AM)":15.889883,"ENZL^P_PRICE(0)/P_PRICE_LOW_PR(0,,,,,,\"PRICE\",\"INTRA\",\"52W\")-1":0.1925391,"ENZL^P_PRICE(0)/P_PRICE_HIGH_PR(0,,,,,,\"PRICE\",\"INTRA\",\"52W\")":0.9706408,"ENZL^FG_TOTAL_RETURNC(0,-6AM)":8.481705,"ENZL^FG_TOTAL_RETURNC(0,-3AM)":7.4204206,"ENZL^FG_TOTAL_RETURNC(0,-1AM)":0.3898263,"ENZL^PERCENT_CHANGE(FMA_EPS(+1,0,,,,\"PORTAGG\",\"MEAN\"),FMA_EPS(+1,-3AM,,,,\"PORTAGG\",\"MEAN\"))":11.5758505975009,"ENZL^PERCENT_CHANGE(FMA_EPS(+1,0,,,,\"PORTAGG\",\"MEAN\"),FMA_EPS(+1,-1AM,,,,\"PORTAGG\",\"MEAN\"))":8.74948866701559,"ENZL^FMA_PCT_ABOVE_MAVG(200,0,,,,\"PORTAGG\")":42.3076923076923,"FXI^SIZE(FG_CONSTITUENTS)":53,"FXI^FMA_COS_DOWN(\"EPS\",\"1M\",+1,0,,,\"PORTAGG\",\"MEANR\")":19.0,"FXI^FMA_COS_UP(\"EPS\",\"1M\",+1,0,,,\"PORTAGG\",\"MEANR\")":24.0,"SPY^SIZE(FG_CONSTITUENTS)":503,"SPY^FMA_COS_DOWN(\"EPS\",\"1M\",+1,0,,,\"PORTAGG\",\"MEANR\")":163.0,"SPY^FMA_COS_UP(\"EPS\",\"1M\",+1,0,,,\"PORTAGG\",\"MEANR\")":148.0,"EWJ^SIZE(FG_CONSTITUENTS)":199,"EWJ^FMA_COS_DOWN(\"EPS\",\"1M\",+1,0,,,\"PORTAGG\",\"MEANR\")":77.0,"EWJ^FMA_COS_UP(\"EPS\",\"1M\",+1,0,,,\"PORTAGG\",\"MEANR\")":85.0,"URTH^SIZE(FG_CONSTITUENTS)":1414,"URTH^FMA_COS_DOWN(\"EPS\",\"1M\",+1,0,,,\"PORTAGG\",\"MEANR\")":544.0,"URTH^FMA_COS_UP(\"EPS\",\"1M\",+1,0,,,\"PORTAGG\",\"MEANR\")":430.0,"VWO^SIZE(FG_CONSTITUENTS)":4847,"VWO^FMA_COS_DOWN(\"EPS\",\"1M\",+1,0,,,\"PORTAGG\",\"MEANR\")":1672.0,"VWO^FMA_COS_UP(\"EPS\",\"1M\",+1,0,,,\"PORTAGG\",\"MEANR\")":1023.0,"VGK^SIZE(FG_CONSTITUENTS)":1284,"VGK^FMA_COS_DOWN(\"EPS\",\"1M\",+1,0,,,\"PORTAGG\",\"MEANR\")":600.0,"VGK^FMA_COS_UP(\"EPS\",\"1M\",+1,0,,,\"PORTAGG\",\"MEANR\")":427.0,"EWI^SIZE(FG_CONSTITUENTS)":26,"EWI^FMA_COS_DOWN(\"EPS\",\"1M\",+1,0,,,\"PORTAGG\",\"MEANR\")":9.0,"EWI^FMA_COS_UP(\"EPS\",\"1M\",+1,0,,,\"PORTAGG\",\"MEANR\")":7.0,"EWD^SIZE(FG_CONSTITUENTS)":46,"EWD^FMA_COS_DOWN(\"EPS\",\"1M\",+1,0,,,\"PORTAGG\",\"MEANR\")":21.0,"EWD^FMA_COS_UP(\"EPS\",\"1M\",+1,0,,,\"PORTAGG\",\"MEANR\")":6.0,"EWN^SIZE(FG_CONSTITUENTS)":55,"EWN^FMA_COS_DOWN(\"EPS\",\"1M\",+1,0,,,\"PORTAGG\",\"MEANR\")":21.0,"EWN^FMA_COS_UP(\"EPS\",\"1M\",+1,0,,,\"PORTAGG\",\"MEANR\")":21.0,"EWQ^SIZE(FG_CONSTITUENTS)":61,"EWQ^FMA_COS_DOWN(\"EPS\",\"1M\",+1,0,,,\"PORTAGG\",\"MEANR\")":29.0,"EWQ^FMA_COS_UP(\"EPS\",\"1M\",+1,0,,,\"PORTAGG\",\"MEANR\")":15.0,"QQQ^SIZE(FG_CONSTITUENTS)":102,"QQQ^FMA_COS_DOWN(\"EPS\",\"1M\",+1,0,,,\"PORTAGG\",\"MEANR\")":26.0,"QQQ^FMA_COS_UP(\"EPS\",\"1M\",+1,0,,,\"PORTAGG\",\"MEANR\")":34.0,"EWU^SIZE(FG_CONSTITUENTS)":79,"EWU^FMA_COS_DOWN(\"EPS\",\"1M\",+1,0,,,\"PORTAGG\",\"MEANR\")":36.0,"EWU^FMA_COS_UP(\"EPS\",\"1M\",+1,0,,,\"PORTAGG\",\"MEANR\")":30.0,"EWL^SIZE(FG_CONSTITUENTS)":47,"EWL^FMA_COS_DOWN(\"EPS\",\"1M\",+1,0,,,\"PORTAGG\",\"MEANR\")":28.0,"EWL^FMA_COS_UP(\"EPS\",\"1M\",+1,0,,,\"PORTAGG\",\"MEANR\")":14.0,"EWG^SIZE(FG_CONSTITUENTS)":57,"EWG^FMA_COS_DOWN(\"EPS\",\"1M\",+1,0,,,\"PORTAGG\",\"MEANR\")":29.0,"EWG^FMA_COS_UP(\"EPS\",\"1M\",+1,0,,,\"PORTAGG\",\"MEANR\")":18.0,"EWC^SIZE(FG_CONSTITUENTS)":87,"EWC^FMA_COS_DOWN(\"EPS\",\"1M\",+1,0,,,\"PORTAGG\",\"MEANR\")":44.0,"EWC^FMA_COS_UP(\"EPS\",\"1M\",+1,0,,,\"PORTAGG\",\"MEANR\")":8.0,"EWA^SIZE(FG_CONSTITUENTS)":59,"EWA^FMA_COS_DOWN(\"EPS\",\"1M\",+1,0,,,\"PORTAGG\",\"MEANR\")":18.0,"EWA^FMA_COS_UP(\"EPS\",\"1M\",+1,0,,,\"PORTAGG\",\"MEANR\")":19.0,"ENZL^SIZE(FG_CONSTITUENTS)":27,"ENZL^FMA_COS_DOWN(\"EPS\",\"1M\",+1,0,,,\"PORTAGG\",\"MEANR\")":9.0,"ENZL^FMA_COS_UP(\"EPS\",\"1M\",+1,0,,,\"PORTAGG\",\"MEANR\")":7.0,"EWI^FMA_RBICS_REV_CURRENT(30, LOC, \"PORTAGG\")":39.9503615126749,"EWD^FMA_RBICS_REV_CURRENT(30, LOC, \"PORTAGG\")":26.7323231015912,"EWN^FMA_RBICS_REV_CURRENT(30, LOC, \"PORTAGG\")":26.680073368061,"EWQ^FMA_RBICS_REV_CURRENT(30, LOC, \"PORTAGG\")":11.5124215499027,"SPY^FMA_RBICS_REV_CURRENT(30, LOC, \"PORTAGG\")":12.4668204376818,"QQQ^FMA_RBICS_REV_CURRENT(30, LOC, \"PORTAGG\")":0.944515959592099,"EWU^FMA_RBICS_REV_CURRENT(30, LOC, \"PORTAGG\")":19.9116441469539,"EWL^FMA_RBICS_REV_CURRENT(30, LOC, \"PORTAGG\")":18.3792371327833,"EWJ^FMA_RBICS_REV_CURRENT(30, LOC, \"PORTAGG\")":18.3724530578501,"EWG^FMA_RBICS_REV_CURRENT(30, LOC, \"PORTAGG\")":23.5276247083657,"EWC^FMA_RBICS_REV_CURRENT(30, LOC, \"PORTAGG\")":42.3593959954102,"EWA^FMA_RBICS_REV_CURRENT(30, LOC, \"PORTAGG\")":43.296210954324,"ENZL^FMA_RBICS_REV_CURRENT(30, LOC, \"PORTAGG\")":25.6286998493894,"EWI^FG_ROE(0)":13.3649531035831,"EWD^FG_ROE(0)":16.9957752024726,"EWN^FG_ROE(0)":11.0108325036414,"EWQ^FG_ROE(0)":12.1334530908553,"SPY^FG_ROE(0)":18.6236292712097,"QQQ^FG_ROE(0)":22.2797836547382,"EWU^FG_ROE(0)":13.8460968694687,"EWL^FG_ROE(0)":18.6849419085777,"EWJ^FG_ROE(0)":8.70085219505394,"EWG^FG_ROE(0)":10.8267163545814,"EWC^FG_ROE(0)":10.7759993981547,"EWA^FG_ROE(0)":13.1396648283051,"ENZL^FG_ROE(0)":3.42466056544476,"TRYIT10Y-FDS^FG_YIELD_NAME":"Italy Benchmark Bond - 10 Year","TRYSE10Y-FDS^FG_YIELD_NAME":"Sweden Benchmark Bond - 10 Year","TRYNL10Y-FDS^FG_YIELD_NAME":"Netherlands Benchmark Bond - 10 Year","TRYFR10Y-FDS^FG_YIELD_NAME":"France Benchmark Bond - 10 Year","TRYUS10Y-FDS^FG_YIELD_NAME":"US Benchmark Bond - 10 Year","TRYGB10Y-FDS^FG_YIELD_NAME":"United Kingdom Benchmark Bond - 10 Year","TRYCH10Y-FDS^FG_YIELD_NAME":"Treasury - Switzerland Benchmark Bond 10Y","TRYJP10Y-FDS^FG_YIELD_NAME":"Japan Benchmark Bond - 10 Year","TRYDE10Y-FDS^FG_YIELD_NAME":"Germany Benchmark Bond - 10 Year","TRYCA10Y-FDS^FG_YIELD_NAME":"Canada Benchmark Bond - 10 Year","TRYAU10Y-FDS^FG_YIELD_NAME":"Australia Benchmark Bond - 10 Year","TRYNZ10Y-FDS^FG_YIELD_NAME":"New Zealand Benchmark Bond - 10 Year","REFEUREFI-FDS^(SUBARRAY(NOT_NA(NO_REPEAT_F(FG_YIELD(NOW,-10AY,D))),0,1)-SUBARRAY(NOT_NA(NO_REPEAT_F(FG_YIELD(NOW,-10AY,D))),1,1))*100":-60.0,"REFEUREFI-FDS^FG_YIELD(NOW,,,0)":3.65,"REFEUREFI-FDS^PROPER_NAME(0,,,\"SECURITY\",\"NAME\")":"Eurozone Main Refinancing Operations Minimum Bid Rate","REFSEREPO-FDS^(SUBARRAY(NOT_NA(NO_REPEAT_F(FG_YIELD(NOW,-10AY,D))),0,1)-SUBARRAY(NOT_NA(NO_REPEAT_F(FG_YIELD(NOW,-10AY,D))),1,1))*100":-25.0,"REFSEREPO-FDS^FG_YIELD(NOW,,,0)":3.25,"REFSEREPO-FDS^PROPER_NAME(0,,,\"SECURITY\",\"NAME\")":"Sweden Repo Rate","REFFFUND-FDS^(SUBARRAY(NOT_NA(NO_REPEAT_F(FG_YIELD(NOW,-10AY,D))),0,1)-SUBARRAY(NOT_NA(NO_REPEAT_F(FG_YIELD(NOW,-10AY,D))),1,1))*100":-50.0,"REFFFUND-FDS^FG_YIELD(NOW,,,0)":5.0,"REFFFUND-FDS^PROPER_NAME(0,,,\"SECURITY\",\"NAME\")":"US Federal Funds Target Rate","REFGBBANK-FDS^(SUBARRAY(NOT_NA(NO_REPEAT_F(FG_YIELD(NOW,-10AY,D))),0,1)-SUBARRAY(NOT_NA(NO_REPEAT_F(FG_YIELD(NOW,-10AY,D))),1,1))*100":-25.0,"REFGBBANK-FDS^FG_YIELD(NOW,,,0)":5.0,"REFGBBANK-FDS^PROPER_NAME(0,,,\"SECURITY\",\"NAME\")":"UK Bank Rate","REFCHMPR-FDS^(SUBARRAY(NOT_NA(NO_REPEAT_F(FG_YIELD(NOW,-10AY,D))),0,1)-SUBARRAY(NOT_NA(NO_REPEAT_F(FG_YIELD(NOW,-10AY,D))),1,1))*100":-25.0,"REFCHMPR-FDS^FG_YIELD(NOW,,,0)":1.0,"REFCHMPR-FDS^PROPER_NAME(0,,,\"SECURITY\",\"NAME\")":"Swiss Policy Rate - Sight Deposit Rate","REFJPTON-FDS^(SUBARRAY(NOT_NA(NO_REPEAT_F(FG_YIELD(NOW,-10AY,D))),0,1)-SUBARRAY(NOT_NA(NO_REPEAT_F(FG_YIELD(NOW,-10AY,D))),1,1))*100":15.0,"REFJPTON-FDS^FG_YIELD(NOW,,,0)":0.25,"REFJPTON-FDS^PROPER_NAME(0,,,\"SECURITY\",\"NAME\")":"Japan Policy Rate","REFCATARG-FDS^(SUBARRAY(NOT_NA(NO_REPEAT_F(FG_YIELD(NOW,-10AY,D))),0,1)-SUBARRAY(NOT_NA(NO_REPEAT_F(FG_YIELD(NOW,-10AY,D))),1,1))*100":-25.0,"REFCATARG-FDS^FG_YIELD(NOW,,,0)":4.25,"REFCATARG-FDS^PROPER_NAME(0,,,\"SECURITY\",\"NAME\")":"Canada Target Rate","REFAUCASH-FDS^(SUBARRAY(NOT_NA(NO_REPEAT_F(FG_YIELD(NOW,-10AY,D))),0,1)-SUBARRAY(NOT_NA(NO_REPEAT_F(FG_YIELD(NOW,-10AY,D))),1,1))*100":25.0,"REFAUCASH-FDS^FG_YIELD(NOW,,,0)":4.35,"REFAUCASH-FDS^PROPER_NAME(0,,,\"SECURITY\",\"NAME\")":"Australia Target Cash Rate","REFNZOCR-FDS^(SUBARRAY(NOT_NA(NO_REPEAT_F(FG_YIELD(NOW,-10AY,D))),0,1)-SUBARRAY(NOT_NA(NO_REPEAT_F(FG_YIELD(NOW,-10AY,D))),1,1))*100":-25.0,"REFNZOCR-FDS^FG_YIELD(NOW,,,0)":5.25,"REFNZOCR-FDS^PROPER_NAME(0,,,\"SECURITY\",\"NAME\")":"New Zealand Official Cash Rate","TRYIT10Y-FDS^PCTCHG(FG_YIELD(0,,,,\"YTM\"),FG_YIELD(-3AM,,,,\"YTM\"))":-12.887891,"TRYIT10Y-FDS^PCTCHG(FG_YIELD(0,,,,\"YTM\"),FG_YIELD(-1AM,,,,\"YTM\"))":-4.656261,"TRYSE10Y-FDS^PCTCHG(FG_YIELD(0,,,,\"YTM\"),FG_YIELD(-3AM,,,,\"YTM\"))":-11.641139,"TRYSE10Y-FDS^PCTCHG(FG_YIELD(0,,,,\"YTM\"),FG_YIELD(-1AM,,,,\"YTM\"))":-2.3694403,"TRYNL10Y-FDS^PCTCHG(FG_YIELD(0,,,,\"YTM\"),FG_YIELD(-3AM,,,,\"YTM\"))":-15.003484,"TRYNL10Y-FDS^PCTCHG(FG_YIELD(0,,,,\"YTM\"),FG_YIELD(-1AM,,,,\"YTM\"))":-4.3204985,"TRYFR10Y-FDS^PCTCHG(FG_YIELD(0,,,,\"YTM\"),FG_YIELD(-3AM,,,,\"YTM\"))":-8.760487,"TRYFR10Y-FDS^PCTCHG(FG_YIELD(0,,,,\"YTM\"),FG_YIELD(-1AM,,,,\"YTM\"))":-1.310485,"TRYUS10Y-FDS^PCTCHG(FG_YIELD(0,,,,\"YTM\"),FG_YIELD(-3AM,,,,\"YTM\"))":-11.73111,"TRYUS10Y-FDS^PCTCHG(FG_YIELD(0,,,,\"YTM\"),FG_YIELD(-1AM,,,,\"YTM\"))":0.3624711,"TRYGB10Y-FDS^PCTCHG(FG_YIELD(0,,,,\"YTM\"),FG_YIELD(-3AM,,,,\"YTM\"))":-3.5037177,"TRYGB10Y-FDS^PCTCHG(FG_YIELD(0,,,,\"YTM\"),FG_YIELD(-1AM,,,,\"YTM\"))":2.1595478,"TRYCH10Y-FDS^PCTCHG(FG_YIELD(0,,,,\"YTM\"),FG_YIELD(-3AM,,,,\"YTM\"))":-36.939724,"TRYCH10Y-FDS^PCTCHG(FG_YIELD(0,,,,\"YTM\"),FG_YIELD(-1AM,,,,\"YTM\"))":-9.53437,"TRYJP10Y-FDS^PCTCHG(FG_YIELD(0,,,,\"YTM\"),FG_YIELD(-3AM,,,,\"YTM\"))":-25.631208,"TRYJP10Y-FDS^PCTCHG(FG_YIELD(0,,,,\"YTM\"),FG_YIELD(-1AM,,,,\"YTM\"))":-11.593887,"TRYDE10Y-FDS^PCTCHG(FG_YIELD(0,,,,\"YTM\"),FG_YIELD(-3AM,,,,\"YTM\"))":-15.830723,"TRYDE10Y-FDS^PCTCHG(FG_YIELD(0,,,,\"YTM\"),FG_YIELD(-1AM,,,,\"YTM\"))":-5.0817504,"TRYCA10Y-FDS^PCTCHG(FG_YIELD(0,,,,\"YTM\"),FG_YIELD(-3AM,,,,\"YTM\"))":-12.893776,"TRYCA10Y-FDS^PCTCHG(FG_YIELD(0,,,,\"YTM\"),FG_YIELD(-1AM,,,,\"YTM\"))":0.2204479,"TRYAU10Y-FDS^PCTCHG(FG_YIELD(0,,,,\"YTM\"),FG_YIELD(-3AM,,,,\"YTM\"))":-9.91418,"TRYAU10Y-FDS^PCTCHG(FG_YIELD(0,,,,\"YTM\"),FG_YIELD(-1AM,,,,\"YTM\"))":-0.3497302,"TRYNZ10Y-FDS^PCTCHG(FG_YIELD(0,,,,\"YTM\"),FG_YIELD(-3AM,,,,\"YTM\"))":-9.238034,"TRYNZ10Y-FDS^PCTCHG(FG_YIELD(0,,,,\"YTM\"),FG_YIELD(-1AM,,,,\"YTM\"))":-0.82723796,"TRYUS10Y-FDS^FG_YIELD(0,,,,\"YTM\")":3.8487,"TRYIT10Y-FDS^FG_YIELD(0,,,,\"YTM\")":3.481,"TRYSE10Y-FDS^FG_YIELD(0,,,,\"YTM\")":2.019,"TRYNL10Y-FDS^FG_YIELD(0,,,,\"YTM\")":2.436,"TRYFR10Y-FDS^FG_YIELD(0,,,,\"YTM\")":2.937,"TRYGB10Y-FDS^FG_YIELD(0,,,,\"YTM\")":4.021,"TRYCH10Y-FDS^FG_YIELD(0,,,,\"YTM\")":0.408,"TRYJP10Y-FDS^FG_YIELD(0,,,,\"YTM\")":0.8159,"TRYDE10Y-FDS^FG_YIELD(0,,,,\"YTM\")":2.148,"TRYCA10Y-FDS^FG_YIELD(0,,,,\"YTM\")":3.0914,"TRYAU10Y-FDS^FG_YIELD(0,,,,\"YTM\")":3.989,"TRYNZ10Y-FDS^FG_YIELD(0,,,,\"YTM\")":4.2679,"CC_IT^IMF_IFS_RCPI_Q(0)":0.80847347,"CC_SE^IMF_IFS_RCPI_Q(0)":3.39215,"CC_NL^IMF_IFS_RCPI_Q(0)":2.888117,"CC_FR^IMF_IFS_RCPI_Q(0)":2.2093682,"CC_US^IMF_IFS_RCPI_Q(0)":3.19889,"CC_GB^IMF_IFS_RCPI_Q(0)":2.8697004,"CC_CH^IMF_IFS_RCPI_Q(0)":1.3619826,"CC_JP^IMF_IFS_RCPI_Q(0)":2.7266946,"CC_DE^IMF_IFS_RCPI_Q(0)":2.2863681,"CC_CA^IMF_IFS_RCPI_Q(0)":2.7411842,"CC_AU^IMF_IFS_RCPI_Q(0)":3.81451,"CC_NZ^IMF_IFS_RCPI_Q(0)":3.330626,"VWO^FMA_EVAL_EBIT(LTMA,NOW,NOW,M,\"PORTAGG\",\"MEANR\")":14.5167318800948,"VWO^FMA_EVAL_EBITDA(NTMA,0,,,\"PORTAGG\",\"MEANR\")":8.91821151434893,"VWO^FG_FCF_YIELD_NTM(0)":5.38251240390823,"VWO^FMA_DIV_YLD(NTMA,NOW,NOW,M,\"PORTAGG\",\"MEANR\")":2.98179074531232,"VWO^FG_PE_NTM(0,,,90,0)":12.8369112640014,"VWO^FG_PE(0)":15.2556336992576,"VWO^JULIAN(FMA_DIV_YLD(NTMA,NOW,NOW,M,\"PORTAGG\",\"MEANR\").DATES)":45534,"VGK^FMA_EVAL_EBIT(LTMA,NOW,NOW,M,\"PORTAGG\",\"MEANR\")":13.5312683758444,"VGK^FMA_EVAL_EBITDA(NTMA,0,,,\"PORTAGG\",\"MEANR\")":9.05757657013508,"VGK^FG_FCF_YIELD_NTM(0)":5.28323894400439,"VGK^FMA_DIV_YLD(NTMA,NOW,NOW,M,\"PORTAGG\",\"MEANR\")":3.48209895975682,"VGK^FG_PE_NTM(0,,,90,0)":13.350862223615,"VGK^FG_PE(0)":15.528971407231,"VGK^JULIAN(FMA_DIV_YLD(NTMA,NOW,NOW,M,\"PORTAGG\",\"MEANR\").DATES)":45504,"EWI^FMA_EVAL_EBIT(LTMA,NOW,NOW,M,\"PORTAGG\",\"MEANR\")":11.8914128116274,"EWI^FMA_EVAL_EBITDA(NTMA,0,,,\"PORTAGG\",\"MEANR\")":7.66244364419875,"EWI^FG_FCF_YIELD_NTM(0)":4.9761368729988,"EWI^FMA_DIV_YLD(NTMA,NOW,NOW,M,\"PORTAGG\",\"MEANR\")":5.3171715976799,"EWI^FMA_PE(NTMA,0,,,\"PORTAGG\",\"MEANR\")":10.1852349509356,"EWI^FMA_PE(LTM,0,,,\"PORTAGG\",\"MEANR\")":11.3075101105051,"EWI^JULIAN(FMA_DIV_YLD(NTMA,NOW,NOW,M,\"PORTAGG\",\"MEANR\").DATES)":45565,"EWD^FMA_EVAL_EBIT(LTMA,NOW,NOW,M,\"PORTAGG\",\"MEANR\")":16.3844555598538,"EWD^FMA_EVAL_EBITDA(NTMA,0,,,\"PORTAGG\",\"MEANR\")":11.2641819658081,"EWD^FG_FCF_YIELD_NTM(0)":4.88658365080546,"EWD^FMA_DIV_YLD(NTMA,NOW,NOW,M,\"PORTAGG\",\"MEANR\")":3.12328948102815,"EWD^FMA_PE(NTMA,0,,,\"PORTAGG\",\"MEANR\")":16.5744423167657,"EWD^FMA_PE(LTM,0,,,\"PORTAGG\",\"MEANR\")":15.3519987673276,"EWD^JULIAN(FMA_DIV_YLD(NTMA,NOW,NOW,M,\"PORTAGG\",\"MEANR\").DATES)":45565,"EWN^FMA_EVAL_EBIT(LTMA,NOW,NOW,M,\"PORTAGG\",\"MEANR\")":20.9895705369418,"EWN^FMA_EVAL_EBITDA(NTMA,0,,,\"PORTAGG\",\"MEANR\")":12.0207374355756,"EWN^FG_FCF_YIELD_NTM(0)":4.05210524582539,"EWN^FMA_DIV_YLD(NTMA,NOW,NOW,M,\"PORTAGG\",\"MEANR\")":2.60530924757682,"EWN^FMA_PE(NTMA,0,,,\"PORTAGG\",\"MEANR\")":15.0981842698514,"EWN^FMA_PE(LTM,0,,,\"PORTAGG\",\"MEANR\")":21.6257412876513,"EWN^JULIAN(FMA_DIV_YLD(NTMA,NOW,NOW,M,\"PORTAGG\",\"MEANR\").DATES)":45565,"EWQ^FMA_EVAL_EBIT(LTMA,NOW,NOW,M,\"PORTAGG\",\"MEANR\")":13.5824281506307,"EWQ^FMA_EVAL_EBITDA(NTMA,0,,,\"PORTAGG\",\"MEANR\")":9.3057659360648,"EWQ^FG_FCF_YIELD_NTM(0)":5.76919147625228,"EWQ^FMA_DIV_YLD(NTMA,NOW,NOW,M,\"PORTAGG\",\"MEANR\")":3.33313857682194,"EWQ^FMA_PE(NTMA,0,,,\"PORTAGG\",\"MEANR\")":13.9989231374953,"EWQ^FMA_PE(LTM,0,,,\"PORTAGG\",\"MEANR\")":17.1397955475624,"EWQ^JULIAN(FMA_DIV_YLD(NTMA,NOW,NOW,M,\"PORTAGG\",\"MEANR\").DATES)":45565,"SPY^FMA_EVAL_EBIT(LTMA,NOW,NOW,M,\"PORTAGG\",\"MEANR\")":21.5272171990654,"SPY^FMA_EVAL_EBITDA(NTMA,0,,,\"PORTAGG\",\"MEANR\")":14.7456915631299,"SPY^FG_FCF_YIELD_NTM(0)":3.98100051366318,"SPY^FMA_DIV_YLD(NTMA,NOW,NOW,M,\"PORTAGG\",\"MEANR\")":1.34601007706055,"SPY^FMA_PE(NTMA,0,,,\"PORTAGG\",\"MEANR\")":21.428460143057,"SPY^FMA_PE(LTM,0,,,\"PORTAGG\",\"MEANR\")":26.7835318525045,"SPY^JULIAN(FMA_DIV_YLD(NTMA,NOW,NOW,M,\"PORTAGG\",\"MEANR\").DATES)":45565,"QQQ^FMA_EVAL_EBIT(LTMA,NOW,NOW,M,\"PORTAGG\",\"MEANR\")":25.1714969861137,"QQQ^FMA_EVAL_EBITDA(NTMA,0,,,\"PORTAGG\",\"MEANR\")":16.4857658410254,"QQQ^FG_FCF_YIELD_NTM(0)":3.58382994740792,"QQQ^FMA_DIV_YLD(NTMA,NOW,NOW,M,\"PORTAGG\",\"MEANR\")":0.817336538798677,"QQQ^FMA_PE(NTMA,0,,,\"PORTAGG\",\"MEANR\")":26.1040696840838,"QQQ^FMA_PE(LTM,0,,,\"PORTAGG\",\"MEANR\")":35.8575771207708,"QQQ^JULIAN(FMA_DIV_YLD(NTMA,NOW,NOW,M,\"PORTAGG\",\"MEANR\").DATES)":45565,"EWU^FMA_EVAL_EBIT(LTMA,NOW,NOW,M,\"PORTAGG\",\"MEANR\")":10.953552023465,"EWU^FMA_EVAL_EBITDA(NTMA,0,,,\"PORTAGG\",\"MEANR\")":7.66470534821935,"EWU^FG_FCF_YIELD_NTM(0)":6.0924761738348,"EWU^FMA_DIV_YLD(NTMA,NOW,NOW,M,\"PORTAGG\",\"MEANR\")":3.87281371347721,"EWU^FMA_PE(NTMA,0,,,\"PORTAGG\",\"MEANR\")":11.7873202892321,"EWU^FMA_PE(LTM,0,,,\"PORTAGG\",\"MEANR\")":14.1051571381183,"EWU^JULIAN(FMA_DIV_YLD(NTMA,NOW,NOW,M,\"PORTAGG\",\"MEANR\").DATES)":45565,"EWL^FMA_EVAL_EBIT(LTMA,NOW,NOW,M,\"PORTAGG\",\"MEANR\")":16.9419199105708,"EWL^FMA_EVAL_EBITDA(NTMA,0,,,\"PORTAGG\",\"MEANR\")":13.2483075989012,"EWL^FG_FCF_YIELD_NTM(0)":4.62621914731444,"EWL^FMA_DIV_YLD(NTMA,NOW,NOW,M,\"PORTAGG\",\"MEANR\")":3.13384844501219,"EWL^FMA_PE(NTMA,0,,,\"PORTAGG\",\"MEANR\")":17.4159937168573,"EWL^FMA_PE(LTM,0,,,\"PORTAGG\",\"MEANR\")":22.0725639883918,"EWL^JULIAN(FMA_DIV_YLD(NTMA,NOW,NOW,M,\"PORTAGG\",\"MEANR\").DATES)":45565,"EWJ^FMA_EVAL_EBIT(LTMA,NOW,NOW,M,\"PORTAGG\",\"MEANR\")":16.8117668330666,"EWJ^FMA_EVAL_EBITDA(NTMA,0,,,\"PORTAGG\",\"MEANR\")":9.91249756596425,"EWJ^FG_FCF_YIELD_NTM(0)":4.26719469499303,"EWJ^FMA_DIV_YLD(NTMA,NOW,NOW,M,\"PORTAGG\",\"MEANR\")":2.46283559316199,"EWJ^FMA_PE(NTMA,0,,,\"PORTAGG\",\"MEANR\")":14.0998668801423,"EWJ^FMA_PE(LTM,0,,,\"PORTAGG\",\"MEANR\")":17.4758508804571,"EWJ^JULIAN(FMA_DIV_YLD(NTMA,NOW,NOW,M,\"PORTAGG\",\"MEANR\").DATES)":45565,"EWG^FMA_EVAL_EBIT(LTMA,NOW,NOW,M,\"PORTAGG\",\"MEANR\")":14.6996288865786,"EWG^FMA_EVAL_EBITDA(NTMA,0,,,\"PORTAGG\",\"MEANR\")":8.8229742415721,"EWG^FG_FCF_YIELD_NTM(0)":5.62638961324891,"EWG^FMA_DIV_YLD(NTMA,NOW,NOW,M,\"PORTAGG\",\"MEANR\")":3.18327234619462,"EWG^FMA_PE(NTMA,0,,,\"PORTAGG\",\"MEANR\")":12.8348380089753,"EWG^FMA_PE(LTM,0,,,\"PORTAGG\",\"MEANR\")":16.006495714132,"EWG^JULIAN(FMA_DIV_YLD(NTMA,NOW,NOW,M,\"PORTAGG\",\"MEANR\").DATES)":45565,"EWC^FMA_EVAL_EBIT(LTMA,NOW,NOW,M,\"PORTAGG\",\"MEANR\")":16.2947148318906,"EWC^FMA_EVAL_EBITDA(NTMA,0,,,\"PORTAGG\",\"MEANR\")":9.98244161533762,"EWC^FG_FCF_YIELD_NTM(0)":4.76316517860281,"EWC^FMA_DIV_YLD(NTMA,NOW,NOW,M,\"PORTAGG\",\"MEANR\")":3.05960889813768,"EWC^FMA_PE(NTMA,0,,,\"PORTAGG\",\"MEANR\")":15.1477767925165,"EWC^FMA_PE(LTM,0,,,\"PORTAGG\",\"MEANR\")":19.1888822164518,"EWC^JULIAN(FMA_DIV_YLD(NTMA,NOW,NOW,M,\"PORTAGG\",\"MEANR\").DATES)":45565,"EWA^FMA_EVAL_EBIT(LTMA,NOW,NOW,M,\"PORTAGG\",\"MEANR\")":13.4435335898006,"EWA^FMA_EVAL_EBITDA(NTMA,0,,,\"PORTAGG\",\"MEANR\")":9.26676632157195,"EWA^FG_FCF_YIELD_NTM(0)":4.4819954283297,"EWA^FMA_DIV_YLD(NTMA,NOW,NOW,M,\"PORTAGG\",\"MEANR\")":3.56200524104349,"EWA^FMA_PE(NTMA,0,,,\"PORTAGG\",\"MEANR\")":18.3938682757726,"EWA^FMA_PE(LTM,0,,,\"PORTAGG\",\"MEANR\")":19.7134932781463,"EWA^JULIAN(FMA_DIV_YLD(NTMA,NOW,NOW,M,\"PORTAGG\",\"MEANR\").DATES)":45565,"ENZL^FMA_EVAL_EBIT(LTMA,NOW,NOW,M,\"PORTAGG\",\"MEANR\")":19.7849457837534,"ENZL^FMA_EVAL_EBITDA(NTMA,0,,,\"PORTAGG\",\"MEANR\")":12.6630230740037,"ENZL^FG_FCF_YIELD_NTM(0)":1.91235617449862,"ENZL^FMA_DIV_YLD(NTMA,NOW,NOW,M,\"PORTAGG\",\"MEANR\")":3.10558619759125,"ENZL^FMA_PE(NTMA,0,,,\"PORTAGG\",\"MEANR\")":23.9859692680043,"ENZL^FMA_PE(LTM,0,,,\"PORTAGG\",\"MEANR\")":50.2259006218484,"ENZL^JULIAN(FMA_DIV_YLD(NTMA,NOW,NOW,M,\"PORTAGG\",\"MEANR\").DATES)":45565,"EWJ^P_PRICE(0)/P_PRICE_HIGH_PR(0,,,USD,,,\"PRICE\",\"INTRA\",\"52W\")":0.9687329,"VGK^P_PRICE(0)/P_PRICE_HIGH_PR(0,,,USD,,,\"PRICE\",\"INTRA\",\"52W\")":0.961293,"TLT^P_PRICE(0)/P_PRICE_HIGH_PR(0,,,USD,,,\"PRICE\",\"INTRA\",\"52W\")":0.95179063,"TLT^FG_TOTAL_RETURNC(0,-6AM)":7.226801,"TLT^FG_TOTAL_RETURNC(0,-3AM)":6.4077377,"TLT^FG_TOTAL_RETURNC(0,-1AM)":-0.715971,"USO^P_PRICE(0)/P_PRICE_HIGH_PR(0,,,USD,,,\"PRICE\",\"INTRA\",\"52W\")":0.9079247,"USO^FG_TOTAL_RETURNC(0,-6AM)":-6.7938447,"USO^FG_TOTAL_RETURNC(0,-3AM)":-6.8167744,"USO^FG_TOTAL_RETURNC(0,-1AM)":6.526947,"DBA^P_PRICE(0)/P_PRICE_HIGH_PR(0,,,USD,,,\"PRICE\",\"INTRA\",\"52W\")":0.9428044,"DBA^FG_TOTAL_RETURNC(0,-6AM)":3.441286,"DBA^FG_TOTAL_RETURNC(0,-3AM)":6.3254237,"DBA^FG_TOTAL_RETURNC(0,-1AM)":3.525114,"QQQ^P_PRICE(0)/P_PRICE_HIGH_PR(0,,,USD,,,\"PRICE\",\"INTRA\",\"52W\")":0.95644665,"UUP^P_PRICE(0)/P_PRICE_HIGH_PR(0,,,USD,,,\"PRICE\",\"INTRA\",\"52W\")":0.94513506,"UUP^FG_TOTAL_RETURNC(0,-6AM)":0.70647,"UUP^FG_TOTAL_RETURNC(0,-3AM)":-1.6218066,"UUP^FG_TOTAL_RETURNC(0,-1AM)":0.6709099,"GLD^P_PRICE(0)/P_PRICE_HIGH_PR(0,,,USD,,,\"PRICE\",\"INTRA\",\"52W\")":0.9924001,"GLD^FG_TOTAL_RETURNC(0,-6AM)":15.394378,"GLD^FG_TOTAL_RETURNC(0,-3AM)":12.615252,"GLD^FG_TOTAL_RETURNC(0,-1AM)":6.60038,"SPY^P_PRICE(0)/P_PRICE_HIGH_PR(0,,,USD,,,\"PRICE\",\"INTRA\",\"52W\")":0.9880113,"VWO^P_PRICE(0)/P_PRICE_HIGH_PR(0,,,USD,,,\"PRICE\",\"INTRA\",\"52W\")":0.98496246,"DUMMY^ECON_DATE(45447,,, 'MM/YYYY')":"06/2024","DUMMY^ECON_DATE(45539,,, 'MM/YYYY')":"09/2024","DUMMY^ECON_EXPR_DATA('FDS_ECON[PMIDMMANHE]',09/2024,,Q)":48.213497,"DUMMY^ECON_EXPR_DATA('FDS_ECON[PMIDMMANHE]',06/2024,,Q)":49.418636,"DUMMY^ECON_EXPR_DATA('FDS_ECON[NTCPMIMFGSA@EME]',09/2024,,Q)":50.418407,"DUMMY^ECON_EXPR_DATA('FDS_ECON[NTCPMIMFGSA@EME]',06/2024,,Q)":51.999874,"DUMMY^ECON_EXPR_DATA('FDS_ECON[NTCPMIMFGSA@NZ]',09/2024,,Q)":null,"DUMMY^ECON_EXPR_DATA('FDS_ECON[NTCPMIMFGSA@NZ]',06/2024,,Q)":45.525333,"DUMMY^ECON_EXPR_DATA('FDS_ECON[NTCPMIMFGSA@AU]',09/2024,,Q)":47.56789,"DUMMY^ECON_EXPR_DATA('FDS_ECON[NTCPMIMFGSA@AU]',06/2024,,Q)":48.811333,"DUMMY^ECON_EXPR_DATA('FDS_ECON[NTCPMIMFGSA@CA]',09/2024,,Q)":49.193687,"DUMMY^ECON_EXPR_DATA('FDS_ECON[NTCPMIMFGSA@CA]',06/2024,,Q)":49.331886,"DUMMY^ECON_EXPR_DATA('FDS_ECON[NTCPMIMFGSA@DE]',09/2024,,Q)":42.06591,"DUMMY^ECON_EXPR_DATA('FDS_ECON[NTCPMIMFGSA@DE]',06/2024,,Q)":43.782,"DUMMY^ECON_EXPR_DATA('FDS_ECON[NTCPMIMFGSA@JP]',09/2024,,Q)":49.560066,"DUMMY^ECON_EXPR_DATA('FDS_ECON[NTCPMIMFGSA@JP]',06/2024,,Q)":49.991356,"DUMMY^ECON_EXPR_DATA('FDS_ECON[NTCPMIMFGSA@CH]',09/2024,,Q)":47.458324,"DUMMY^ECON_EXPR_DATA('FDS_ECON[NTCPMIMFGSA@CH]',06/2024,,Q)":43.896877,"DUMMY^ECON_EXPR_DATA('FDS_ECON[NTCPMIMFGSA@GB]',09/2024,,Q)":52.055466,"DUMMY^ECON_EXPR_DATA('FDS_ECON[NTCPMIMFGSA@GB]',06/2024,,Q)":50.395269999999996,"DUMMY^ECON_EXPR_DATA('FDS_ECON[NTCPMIMFGMESA@US]',09/2024,,Q)":48.26175,"DUMMY^ECON_EXPR_DATA('FDS_ECON[NTCPMIMFGMESA@US]',06/2024,,Q)":50.939392,"DUMMY^ECON_EXPR_DATA('FDS_ECON[NTCPMIMFGSA@FR]',09/2024,,Q)":44.15712,"DUMMY^ECON_EXPR_DATA('FDS_ECON[NTCPMIMFGSA@FR]',06/2024,,Q)":45.684513,"DUMMY^ECON_EXPR_DATA('FDS_ECON[NTCPMIMFGSA@NL]',09/2024,,Q)":48.353455,"DUMMY^ECON_EXPR_DATA('FDS_ECON[NTCPMIMFGSA@NL]',06/2024,,Q)":51.49388,"DUMMY^ECON_EXPR_DATA('FDS_ECON[]',09/2024,,Q)":null,"DUMMY^ECON_EXPR_DATA('FDS_ECON[]',06/2024,,Q)":null,"DUMMY^ECON_EXPR_DATA('FDS_ECON[NTCPMIMFGSA@IT]',09/2024,,Q)":48.375774,"DUMMY^ECON_EXPR_DATA('FDS_ECON[NTCPMIMFGSA@IT]',06/2024,,Q)":46.215786}]]></FdsFormulaCache>
</file>

<file path=customXml/itemProps1.xml><?xml version="1.0" encoding="utf-8"?>
<ds:datastoreItem xmlns:ds="http://schemas.openxmlformats.org/officeDocument/2006/customXml" ds:itemID="{79D2EADE-965E-4F2D-8A90-92D97E957841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2024-10-04T08:49:45Z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