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7989ED3-6D84-44D4-A4A6-092908905215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23" i="1" l="1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3" i="48" a="1"/>
  <c r="M12" i="48" a="1"/>
  <c r="M11" i="48" a="1"/>
  <c r="M9" i="48" a="1"/>
  <c r="M6" i="48" a="1"/>
  <c r="M7" i="48" a="1"/>
  <c r="M4" i="48" a="1"/>
  <c r="M14" i="48" a="1"/>
  <c r="M8" i="48" a="1"/>
  <c r="M5" i="48" a="1"/>
  <c r="M10" i="48" a="1"/>
  <c r="M10" i="48" l="1"/>
  <c r="M5" i="48"/>
  <c r="M8" i="48"/>
  <c r="M14" i="48"/>
  <c r="M4" i="48"/>
  <c r="M7" i="48"/>
  <c r="M6" i="48"/>
  <c r="M9" i="48"/>
  <c r="M11" i="48"/>
  <c r="M12" i="48"/>
  <c r="M13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J20" i="48" a="1"/>
  <c r="M2" i="38" a="1"/>
  <c r="AK4" i="9" a="1"/>
  <c r="U4" i="9" a="1"/>
  <c r="E4" i="9" a="1"/>
  <c r="J8" i="56" a="1"/>
  <c r="C26" i="56" a="1"/>
  <c r="B5" i="56" a="1"/>
  <c r="Q23" i="1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19" i="48" a="1"/>
  <c r="L2" i="38" a="1"/>
  <c r="AJ4" i="9" a="1"/>
  <c r="T4" i="9" a="1"/>
  <c r="D4" i="9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M7" i="12" a="1"/>
  <c r="O5" i="12" a="1"/>
  <c r="Q3" i="12" a="1"/>
  <c r="G20" i="12" a="1"/>
  <c r="F13" i="12" a="1"/>
  <c r="E8" i="12" a="1"/>
  <c r="B15" i="12" a="1"/>
  <c r="J15" i="48" a="1"/>
  <c r="J2" i="38" a="1"/>
  <c r="AH4" i="9" a="1"/>
  <c r="R4" i="9" a="1"/>
  <c r="B4" i="9" a="1"/>
  <c r="C9" i="42" a="1"/>
  <c r="K2" i="5" a="1"/>
  <c r="I2" i="7" a="1"/>
  <c r="G11" i="52" a="1"/>
  <c r="G9" i="52" a="1"/>
  <c r="G7" i="52" a="1"/>
  <c r="G5" i="52" a="1"/>
  <c r="G3" i="52" a="1"/>
  <c r="S15" i="56" a="1"/>
  <c r="S11" i="56" a="1"/>
  <c r="S7" i="56" a="1"/>
  <c r="G16" i="56" a="1"/>
  <c r="G12" i="56" a="1"/>
  <c r="G8" i="56" a="1"/>
  <c r="H10" i="43" a="1"/>
  <c r="C11" i="43" a="1"/>
  <c r="C15" i="42" a="1"/>
  <c r="C13" i="42" a="1"/>
  <c r="C11" i="42" a="1"/>
  <c r="C7" i="42" a="1"/>
  <c r="C5" i="42" a="1"/>
  <c r="C3" i="42" a="1"/>
  <c r="M2" i="15" a="1"/>
  <c r="G2" i="47" a="1"/>
  <c r="E2" i="46" a="1"/>
  <c r="J14" i="48" a="1"/>
  <c r="I2" i="38" a="1"/>
  <c r="AG4" i="9" a="1"/>
  <c r="Q4" i="9" a="1"/>
  <c r="J2" i="5" a="1"/>
  <c r="F11" i="52" a="1"/>
  <c r="F9" i="52" a="1"/>
  <c r="F7" i="52" a="1"/>
  <c r="F5" i="52" a="1"/>
  <c r="F3" i="52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H2" i="7" a="1"/>
  <c r="F2" i="47" a="1"/>
  <c r="D2" i="46" a="1"/>
  <c r="V14" i="56" a="1"/>
  <c r="V10" i="56" a="1"/>
  <c r="V6" i="56" a="1"/>
  <c r="J15" i="56" a="1"/>
  <c r="J11" i="56" a="1"/>
  <c r="J7" i="56" a="1"/>
  <c r="B17" i="56" a="1"/>
  <c r="C13" i="13" a="1"/>
  <c r="M23" i="12" a="1"/>
  <c r="O21" i="12" a="1"/>
  <c r="Q19" i="12" a="1"/>
  <c r="S15" i="12" a="1"/>
  <c r="L14" i="12" a="1"/>
  <c r="N12" i="12" a="1"/>
  <c r="P10" i="12" a="1"/>
  <c r="R8" i="12" a="1"/>
  <c r="K7" i="12" a="1"/>
  <c r="M5" i="12" a="1"/>
  <c r="O3" i="12" a="1"/>
  <c r="E20" i="12" a="1"/>
  <c r="G12" i="12" a="1"/>
  <c r="F7" i="12" a="1"/>
  <c r="B13" i="12" a="1"/>
  <c r="J9" i="39" a="1"/>
  <c r="H6" i="39" a="1"/>
  <c r="F3" i="39" a="1"/>
  <c r="L15" i="28" a="1"/>
  <c r="K10" i="28" a="1"/>
  <c r="J13" i="48" a="1"/>
  <c r="H2" i="38" a="1"/>
  <c r="AF4" i="9" a="1"/>
  <c r="P4" i="9" a="1"/>
  <c r="I14" i="42" a="1"/>
  <c r="I12" i="42" a="1"/>
  <c r="I10" i="42" a="1"/>
  <c r="I2" i="5" a="1"/>
  <c r="E11" i="52" a="1"/>
  <c r="E9" i="52" a="1"/>
  <c r="E7" i="52" a="1"/>
  <c r="E5" i="52" a="1"/>
  <c r="E3" i="52" a="1"/>
  <c r="U14" i="56" a="1"/>
  <c r="U10" i="56" a="1"/>
  <c r="U6" i="56" a="1"/>
  <c r="I11" i="56" a="1"/>
  <c r="I7" i="56" a="1"/>
  <c r="B16" i="56" a="1"/>
  <c r="C12" i="13" a="1"/>
  <c r="N21" i="12" a="1"/>
  <c r="R15" i="12" a="1"/>
  <c r="M12" i="12" a="1"/>
  <c r="O10" i="12" a="1"/>
  <c r="S6" i="12" a="1"/>
  <c r="L5" i="12" a="1"/>
  <c r="G19" i="12" a="1"/>
  <c r="F12" i="12" a="1"/>
  <c r="B12" i="12" a="1"/>
  <c r="J8" i="39" a="1"/>
  <c r="H9" i="43" a="1"/>
  <c r="C9" i="43" a="1"/>
  <c r="I8" i="42" a="1"/>
  <c r="I6" i="42" a="1"/>
  <c r="I4" i="42" a="1"/>
  <c r="M2" i="18" a="1"/>
  <c r="K2" i="15" a="1"/>
  <c r="G2" i="7" a="1"/>
  <c r="E2" i="47" a="1"/>
  <c r="C2" i="46" a="1"/>
  <c r="I15" i="56" a="1"/>
  <c r="L23" i="12" a="1"/>
  <c r="P19" i="12" a="1"/>
  <c r="K14" i="12" a="1"/>
  <c r="Q8" i="12" a="1"/>
  <c r="N3" i="12" a="1"/>
  <c r="E7" i="12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J4" i="39" a="1"/>
  <c r="F14" i="39" a="1"/>
  <c r="C11" i="39" a="1"/>
  <c r="M13" i="28" a="1"/>
  <c r="L8" i="28" a="1"/>
  <c r="K3" i="28" a="1"/>
  <c r="G8" i="28" a="1"/>
  <c r="D14" i="28" a="1"/>
  <c r="D6" i="28" a="1"/>
  <c r="G19" i="1" a="1"/>
  <c r="L13" i="1" a="1"/>
  <c r="J11" i="1" a="1"/>
  <c r="H9" i="1" a="1"/>
  <c r="F7" i="1" a="1"/>
  <c r="K4" i="1" a="1"/>
  <c r="C13" i="1" a="1"/>
  <c r="D11" i="49" a="1"/>
  <c r="C13" i="55" a="1"/>
  <c r="C7" i="40" a="1"/>
  <c r="F9" i="60" a="1"/>
  <c r="J8" i="48" a="1"/>
  <c r="C2" i="38" a="1"/>
  <c r="AA4" i="9" a="1"/>
  <c r="K4" i="9" a="1"/>
  <c r="G15" i="43" a="1"/>
  <c r="G7" i="43" a="1"/>
  <c r="C4" i="43" a="1"/>
  <c r="D14" i="42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S9" i="56" a="1"/>
  <c r="S5" i="56" a="1"/>
  <c r="G14" i="56" a="1"/>
  <c r="G10" i="56" a="1"/>
  <c r="G6" i="56" a="1"/>
  <c r="B10" i="56" a="1"/>
  <c r="C6" i="13" a="1"/>
  <c r="J10" i="48" a="1"/>
  <c r="V4" i="9" a="1"/>
  <c r="G5" i="43" a="1"/>
  <c r="I11" i="42" a="1"/>
  <c r="M2" i="47" a="1"/>
  <c r="J10" i="52" a="1"/>
  <c r="H6" i="52" a="1"/>
  <c r="T17" i="56" a="1"/>
  <c r="V9" i="56" a="1"/>
  <c r="H15" i="56" a="1"/>
  <c r="B9" i="56" a="1"/>
  <c r="N20" i="12" a="1"/>
  <c r="O15" i="12" a="1"/>
  <c r="P7" i="12" a="1"/>
  <c r="P4" i="12" a="1"/>
  <c r="F21" i="12" a="1"/>
  <c r="E3" i="12" a="1"/>
  <c r="F8" i="39" a="1"/>
  <c r="L14" i="28" a="1"/>
  <c r="H11" i="28" a="1"/>
  <c r="H11" i="1" a="1"/>
  <c r="I5" i="1" a="1"/>
  <c r="C14" i="1" a="1"/>
  <c r="C15" i="40" a="1"/>
  <c r="E10" i="60" a="1"/>
  <c r="F5" i="60" a="1"/>
  <c r="H5" i="1" a="1"/>
  <c r="C14" i="40" a="1"/>
  <c r="C13" i="40" a="1"/>
  <c r="H4" i="60" a="1"/>
  <c r="L6" i="28" a="1"/>
  <c r="E19" i="12" a="1"/>
  <c r="L10" i="1" a="1"/>
  <c r="E9" i="60" a="1"/>
  <c r="B9" i="12" a="1"/>
  <c r="H12" i="39" a="1"/>
  <c r="C10" i="40" a="1"/>
  <c r="M4" i="9" a="1"/>
  <c r="H2" i="15" a="1"/>
  <c r="G9" i="56" a="1"/>
  <c r="R22" i="12" a="1"/>
  <c r="S12" i="12" a="1"/>
  <c r="S9" i="12" a="1"/>
  <c r="O7" i="12" a="1"/>
  <c r="E21" i="12" a="1"/>
  <c r="F10" i="12" a="1"/>
  <c r="B14" i="12" a="1"/>
  <c r="J2" i="39" a="1"/>
  <c r="F7" i="39" a="1"/>
  <c r="K7" i="28" a="1"/>
  <c r="G11" i="28" a="1"/>
  <c r="E14" i="28" a="1"/>
  <c r="D4" i="28" a="1"/>
  <c r="G20" i="1" a="1"/>
  <c r="G14" i="1" a="1"/>
  <c r="I8" i="1" a="1"/>
  <c r="D7" i="49" a="1"/>
  <c r="E5" i="60" a="1"/>
  <c r="H9" i="60" a="1"/>
  <c r="D6" i="49" a="1"/>
  <c r="G9" i="60" a="1"/>
  <c r="R6" i="12" a="1"/>
  <c r="B10" i="12" a="1"/>
  <c r="H9" i="28" a="1"/>
  <c r="F5" i="1" a="1"/>
  <c r="D5" i="49" a="1"/>
  <c r="B6" i="56" a="1"/>
  <c r="J9" i="48" a="1"/>
  <c r="H11" i="42" a="1"/>
  <c r="J5" i="42" a="1"/>
  <c r="L2" i="47" a="1"/>
  <c r="H10" i="52" a="1"/>
  <c r="T9" i="56" a="1"/>
  <c r="G15" i="56" a="1"/>
  <c r="I8" i="56" a="1"/>
  <c r="B8" i="56" a="1"/>
  <c r="M20" i="12" a="1"/>
  <c r="M15" i="12" a="1"/>
  <c r="R12" i="12" a="1"/>
  <c r="N7" i="12" a="1"/>
  <c r="O4" i="12" a="1"/>
  <c r="F20" i="12" a="1"/>
  <c r="F6" i="39" a="1"/>
  <c r="K14" i="28" a="1"/>
  <c r="H10" i="28" a="1"/>
  <c r="F20" i="1" a="1"/>
  <c r="G11" i="1" a="1"/>
  <c r="H8" i="1" a="1"/>
  <c r="C12" i="1" a="1"/>
  <c r="Q9" i="12" a="1"/>
  <c r="G9" i="12" a="1"/>
  <c r="H13" i="39" a="1"/>
  <c r="F8" i="1" a="1"/>
  <c r="C11" i="40" a="1"/>
  <c r="K15" i="12" a="1"/>
  <c r="L7" i="1" a="1"/>
  <c r="C14" i="39" a="1"/>
  <c r="E12" i="28" a="1"/>
  <c r="J7" i="48" a="1"/>
  <c r="L4" i="9" a="1"/>
  <c r="C6" i="43" a="1"/>
  <c r="F2" i="15" a="1"/>
  <c r="F6" i="52" a="1"/>
  <c r="V16" i="56" a="1"/>
  <c r="P22" i="12" a="1"/>
  <c r="L20" i="12" a="1"/>
  <c r="Q12" i="12" a="1"/>
  <c r="R9" i="12" a="1"/>
  <c r="L7" i="12" a="1"/>
  <c r="E10" i="12" a="1"/>
  <c r="B11" i="12" a="1"/>
  <c r="H14" i="39" a="1"/>
  <c r="F5" i="39" a="1"/>
  <c r="M6" i="28" a="1"/>
  <c r="G10" i="28" a="1"/>
  <c r="E13" i="28" a="1"/>
  <c r="E3" i="28" a="1"/>
  <c r="L19" i="1" a="1"/>
  <c r="F14" i="1" a="1"/>
  <c r="G8" i="1" a="1"/>
  <c r="G5" i="1" a="1"/>
  <c r="F2" i="39" a="1"/>
  <c r="K13" i="28" a="1"/>
  <c r="J19" i="1" a="1"/>
  <c r="C10" i="1" a="1"/>
  <c r="J13" i="1" a="1"/>
  <c r="L4" i="1" a="1"/>
  <c r="C21" i="55" a="1"/>
  <c r="J6" i="48" a="1"/>
  <c r="J4" i="9" a="1"/>
  <c r="I5" i="42" a="1"/>
  <c r="J14" i="56" a="1"/>
  <c r="H7" i="56" a="1"/>
  <c r="B7" i="56" a="1"/>
  <c r="K20" i="12" a="1"/>
  <c r="L15" i="12" a="1"/>
  <c r="O12" i="12" a="1"/>
  <c r="N4" i="12" a="1"/>
  <c r="F19" i="12" a="1"/>
  <c r="F4" i="39" a="1"/>
  <c r="L13" i="28" a="1"/>
  <c r="K19" i="1" a="1"/>
  <c r="F11" i="1" a="1"/>
  <c r="C11" i="1" a="1"/>
  <c r="C12" i="40" a="1"/>
  <c r="M4" i="12" a="1"/>
  <c r="I4" i="9" a="1"/>
  <c r="F10" i="42" a="1"/>
  <c r="B2" i="47" a="1"/>
  <c r="F10" i="52" a="1"/>
  <c r="E6" i="52" a="1"/>
  <c r="U16" i="56" a="1"/>
  <c r="V8" i="56" a="1"/>
  <c r="O22" i="12" a="1"/>
  <c r="R19" i="12" a="1"/>
  <c r="D13" i="28" a="1"/>
  <c r="D3" i="28" a="1"/>
  <c r="K13" i="1" a="1"/>
  <c r="G4" i="60" a="1"/>
  <c r="L12" i="12" a="1"/>
  <c r="K6" i="28" a="1"/>
  <c r="D4" i="49" a="1"/>
  <c r="J5" i="48" a="1"/>
  <c r="H5" i="42" a="1"/>
  <c r="D2" i="15" a="1"/>
  <c r="H14" i="56" a="1"/>
  <c r="G7" i="56" a="1"/>
  <c r="H4" i="9" a="1"/>
  <c r="J15" i="42" a="1"/>
  <c r="D10" i="42" a="1"/>
  <c r="N2" i="46" a="1"/>
  <c r="E10" i="52" a="1"/>
  <c r="D6" i="52" a="1"/>
  <c r="T16" i="56" a="1"/>
  <c r="U8" i="56" a="1"/>
  <c r="C16" i="13" a="1"/>
  <c r="N22" i="12" a="1"/>
  <c r="O19" i="12" a="1"/>
  <c r="P9" i="12" a="1"/>
  <c r="Q6" i="12" a="1"/>
  <c r="F9" i="12" a="1"/>
  <c r="M5" i="28" a="1"/>
  <c r="G9" i="28" a="1"/>
  <c r="K7" i="1" a="1"/>
  <c r="J4" i="48" a="1"/>
  <c r="C2" i="15" a="1"/>
  <c r="G4" i="9" a="1"/>
  <c r="I15" i="42" a="1"/>
  <c r="F4" i="42" a="1"/>
  <c r="D10" i="52" a="1"/>
  <c r="C6" i="52" a="1"/>
  <c r="S16" i="56" a="1"/>
  <c r="T8" i="56" a="1"/>
  <c r="J13" i="56" a="1"/>
  <c r="M22" i="12" a="1"/>
  <c r="N19" i="12" a="1"/>
  <c r="O9" i="12" a="1"/>
  <c r="P6" i="12" a="1"/>
  <c r="N2" i="38" a="1"/>
  <c r="J9" i="42" a="1"/>
  <c r="B2" i="15" a="1"/>
  <c r="L2" i="46" a="1"/>
  <c r="H6" i="56" a="1"/>
  <c r="C11" i="13" a="1"/>
  <c r="R14" i="12" a="1"/>
  <c r="S11" i="12" a="1"/>
  <c r="K4" i="12" a="1"/>
  <c r="E2" i="38" a="1"/>
  <c r="F4" i="9" a="1"/>
  <c r="H15" i="42" a="1"/>
  <c r="D4" i="42" a="1"/>
  <c r="D5" i="52" a="1"/>
  <c r="T14" i="56" a="1"/>
  <c r="S8" i="56" a="1"/>
  <c r="I13" i="56" a="1"/>
  <c r="L22" i="12" a="1"/>
  <c r="M19" i="12" a="1"/>
  <c r="N9" i="12" a="1"/>
  <c r="N6" i="12" a="1"/>
  <c r="S3" i="12" a="1"/>
  <c r="F8" i="12" a="1"/>
  <c r="B6" i="12" a="1"/>
  <c r="H9" i="39" a="1"/>
  <c r="C12" i="39" a="1"/>
  <c r="L4" i="28" a="1"/>
  <c r="H7" i="28" a="1"/>
  <c r="E11" i="28" a="1"/>
  <c r="I9" i="42" a="1"/>
  <c r="K2" i="46" a="1"/>
  <c r="D9" i="52" a="1"/>
  <c r="D2" i="38" a="1"/>
  <c r="A4" i="9" a="1"/>
  <c r="F2" i="5" a="1"/>
  <c r="C9" i="52" a="1"/>
  <c r="H13" i="56" a="1"/>
  <c r="J5" i="56" a="1"/>
  <c r="K22" i="12" a="1"/>
  <c r="K19" i="12" a="1"/>
  <c r="P14" i="12" a="1"/>
  <c r="L9" i="12" a="1"/>
  <c r="M6" i="12" a="1"/>
  <c r="P3" i="12" a="1"/>
  <c r="B5" i="12" a="1"/>
  <c r="H7" i="39" a="1"/>
  <c r="C10" i="39" a="1"/>
  <c r="B2" i="38" a="1"/>
  <c r="F14" i="42" a="1"/>
  <c r="A2" i="38" a="1"/>
  <c r="D2" i="5" a="1"/>
  <c r="J8" i="52" a="1"/>
  <c r="G13" i="56" a="1"/>
  <c r="I5" i="56" a="1"/>
  <c r="R21" i="12" a="1"/>
  <c r="S18" i="12" a="1"/>
  <c r="M14" i="12" a="1"/>
  <c r="L6" i="12" a="1"/>
  <c r="M3" i="12" a="1"/>
  <c r="B4" i="12" a="1"/>
  <c r="C9" i="39" a="1"/>
  <c r="L11" i="28" a="1"/>
  <c r="M3" i="28" a="1"/>
  <c r="H6" i="28" a="1"/>
  <c r="D10" i="28" a="1"/>
  <c r="F13" i="1" a="1"/>
  <c r="L9" i="1" a="1"/>
  <c r="G4" i="1" a="1"/>
  <c r="H12" i="60" a="1"/>
  <c r="K15" i="1" a="1"/>
  <c r="L6" i="1" a="1"/>
  <c r="H7" i="60" a="1"/>
  <c r="E3" i="60" a="1"/>
  <c r="M21" i="12" a="1"/>
  <c r="N11" i="12" a="1"/>
  <c r="O8" i="12" a="1"/>
  <c r="G14" i="12" a="1"/>
  <c r="H3" i="39" a="1"/>
  <c r="D16" i="49" a="1"/>
  <c r="C14" i="55" a="1"/>
  <c r="I3" i="42" a="1"/>
  <c r="H4" i="52" a="1"/>
  <c r="T13" i="56" a="1"/>
  <c r="S6" i="56" a="1"/>
  <c r="I12" i="56" a="1"/>
  <c r="C7" i="13" a="1"/>
  <c r="P21" i="12" a="1"/>
  <c r="O11" i="12" a="1"/>
  <c r="P8" i="12" a="1"/>
  <c r="E15" i="12" a="1"/>
  <c r="F6" i="12" a="1"/>
  <c r="H4" i="39" a="1"/>
  <c r="K11" i="28" a="1"/>
  <c r="E9" i="28" a="1"/>
  <c r="L12" i="1" a="1"/>
  <c r="C4" i="1" a="1"/>
  <c r="C15" i="55" a="1"/>
  <c r="G12" i="60" a="1"/>
  <c r="V5" i="56" a="1"/>
  <c r="L10" i="28" a="1"/>
  <c r="AN4" i="9" a="1"/>
  <c r="G14" i="43" a="1"/>
  <c r="F8" i="42" a="1"/>
  <c r="J12" i="52" a="1"/>
  <c r="H8" i="52" a="1"/>
  <c r="H5" i="56" a="1"/>
  <c r="R18" i="12" a="1"/>
  <c r="S13" i="12" a="1"/>
  <c r="K6" i="12" a="1"/>
  <c r="L3" i="12" a="1"/>
  <c r="B3" i="12" a="1"/>
  <c r="C8" i="39" a="1"/>
  <c r="M10" i="28" a="1"/>
  <c r="L3" i="28" a="1"/>
  <c r="G6" i="28" a="1"/>
  <c r="D9" i="28" a="1"/>
  <c r="K12" i="1" a="1"/>
  <c r="K9" i="1" a="1"/>
  <c r="F4" i="1" a="1"/>
  <c r="C3" i="1" a="1"/>
  <c r="G7" i="60" a="1"/>
  <c r="H11" i="56" a="1"/>
  <c r="E6" i="12" a="1"/>
  <c r="E8" i="28" a="1"/>
  <c r="J15" i="1" a="1"/>
  <c r="J13" i="42" a="1"/>
  <c r="H3" i="42" a="1"/>
  <c r="B2" i="5" a="1"/>
  <c r="K6" i="1" a="1"/>
  <c r="F4" i="52" a="1"/>
  <c r="AM4" i="9" a="1"/>
  <c r="H13" i="43" a="1"/>
  <c r="D8" i="42" a="1"/>
  <c r="H12" i="52" a="1"/>
  <c r="I13" i="42" a="1"/>
  <c r="A2" i="5" a="1"/>
  <c r="F8" i="52" a="1"/>
  <c r="T5" i="56" a="1"/>
  <c r="G11" i="56" a="1"/>
  <c r="C25" i="56" a="1"/>
  <c r="L21" i="12" a="1"/>
  <c r="M11" i="12" a="1"/>
  <c r="N8" i="12" a="1"/>
  <c r="F14" i="12" a="1"/>
  <c r="F5" i="12" a="1"/>
  <c r="J13" i="39" a="1"/>
  <c r="H2" i="39" a="1"/>
  <c r="I15" i="1" a="1"/>
  <c r="I12" i="1" a="1"/>
  <c r="J6" i="1" a="1"/>
  <c r="K3" i="1" a="1"/>
  <c r="C12" i="55" a="1"/>
  <c r="H15" i="1" a="1"/>
  <c r="I6" i="1" a="1"/>
  <c r="D4" i="52" a="1"/>
  <c r="B15" i="56" a="1"/>
  <c r="O18" i="12" a="1"/>
  <c r="O13" i="12" a="1"/>
  <c r="P5" i="12" a="1"/>
  <c r="E23" i="12" a="1"/>
  <c r="H14" i="28" a="1"/>
  <c r="G15" i="1" a="1"/>
  <c r="H11" i="60" a="1"/>
  <c r="G4" i="12" a="1"/>
  <c r="C4" i="39" a="1"/>
  <c r="F15" i="1" a="1"/>
  <c r="F12" i="1" a="1"/>
  <c r="F12" i="42" a="1"/>
  <c r="S12" i="56" a="1"/>
  <c r="AL4" i="9" a="1"/>
  <c r="G13" i="43" a="1"/>
  <c r="J2" i="18" a="1"/>
  <c r="E4" i="52" a="1"/>
  <c r="U12" i="56" a="1"/>
  <c r="C23" i="56" a="1"/>
  <c r="C4" i="13" a="1"/>
  <c r="P18" i="12" a="1"/>
  <c r="Q13" i="12" a="1"/>
  <c r="R5" i="12" a="1"/>
  <c r="F23" i="12" a="1"/>
  <c r="E14" i="12" a="1"/>
  <c r="J12" i="39" a="1"/>
  <c r="C6" i="39" a="1"/>
  <c r="L9" i="28" a="1"/>
  <c r="G15" i="28" a="1"/>
  <c r="G5" i="28" a="1"/>
  <c r="E7" i="28" a="1"/>
  <c r="H12" i="1" a="1"/>
  <c r="I9" i="1" a="1"/>
  <c r="J3" i="1" a="1"/>
  <c r="D14" i="49" a="1"/>
  <c r="E12" i="60" a="1"/>
  <c r="E7" i="60" a="1"/>
  <c r="AC4" i="9" a="1"/>
  <c r="H13" i="42" a="1"/>
  <c r="J7" i="42" a="1"/>
  <c r="N2" i="7" a="1"/>
  <c r="F12" i="52" a="1"/>
  <c r="E8" i="52" a="1"/>
  <c r="J10" i="56" a="1"/>
  <c r="K21" i="12" a="1"/>
  <c r="L11" i="12" a="1"/>
  <c r="L8" i="12" a="1"/>
  <c r="Q5" i="12" a="1"/>
  <c r="G13" i="12" a="1"/>
  <c r="E5" i="12" a="1"/>
  <c r="J11" i="39" a="1"/>
  <c r="F13" i="39" a="1"/>
  <c r="H4" i="28" a="1"/>
  <c r="G12" i="1" a="1"/>
  <c r="C11" i="55" a="1"/>
  <c r="H6" i="60" a="1"/>
  <c r="T12" i="56" a="1"/>
  <c r="K11" i="12" a="1"/>
  <c r="D7" i="28" a="1"/>
  <c r="D13" i="49" a="1"/>
  <c r="R20" i="12" a="1"/>
  <c r="N18" i="12" a="1"/>
  <c r="K8" i="12" a="1"/>
  <c r="E6" i="28" a="1"/>
  <c r="U11" i="56" a="1"/>
  <c r="Q20" i="12" a="1"/>
  <c r="K18" i="12" a="1"/>
  <c r="S7" i="12" a="1"/>
  <c r="K5" i="12" a="1"/>
  <c r="F4" i="12" a="1"/>
  <c r="F11" i="39" a="1"/>
  <c r="E18" i="28" a="1"/>
  <c r="S23" i="12" a="1"/>
  <c r="E12" i="52" a="1"/>
  <c r="H10" i="56" a="1"/>
  <c r="S10" i="12" a="1"/>
  <c r="F12" i="39" a="1"/>
  <c r="H3" i="28" a="1"/>
  <c r="C10" i="55" a="1"/>
  <c r="M18" i="12" a="1"/>
  <c r="G22" i="12" a="1"/>
  <c r="E12" i="12" a="1"/>
  <c r="J7" i="39" a="1"/>
  <c r="H2" i="18" a="1"/>
  <c r="J17" i="56" a="1"/>
  <c r="E13" i="12" a="1"/>
  <c r="J10" i="39" a="1"/>
  <c r="C5" i="39" a="1"/>
  <c r="K9" i="28" a="1"/>
  <c r="G4" i="28" a="1"/>
  <c r="G9" i="1" a="1"/>
  <c r="I3" i="1" a="1"/>
  <c r="G6" i="60" a="1"/>
  <c r="D8" i="52" a="1"/>
  <c r="N5" i="12" a="1"/>
  <c r="H6" i="1" a="1"/>
  <c r="G11" i="60" a="1"/>
  <c r="F6" i="60" a="1"/>
  <c r="N13" i="12" a="1"/>
  <c r="M8" i="28" a="1"/>
  <c r="G3" i="28" a="1"/>
  <c r="L20" i="1" a="1"/>
  <c r="F9" i="1" a="1"/>
  <c r="G3" i="1" a="1"/>
  <c r="D12" i="49" a="1"/>
  <c r="AB4" i="9" a="1"/>
  <c r="G8" i="43" a="1"/>
  <c r="I7" i="42" a="1"/>
  <c r="H3" i="1" a="1"/>
  <c r="I17" i="56" a="1"/>
  <c r="B14" i="56" a="1"/>
  <c r="R23" i="12" a="1"/>
  <c r="Q10" i="12" a="1"/>
  <c r="C3" i="39" a="1"/>
  <c r="P23" i="12" a="1"/>
  <c r="C2" i="39" a="1"/>
  <c r="Z4" i="9" a="1"/>
  <c r="D2" i="7" a="1"/>
  <c r="C4" i="52" a="1"/>
  <c r="G14" i="28" a="1"/>
  <c r="F11" i="60" a="1"/>
  <c r="Y4" i="9" a="1"/>
  <c r="H7" i="42" a="1"/>
  <c r="F2" i="18" a="1"/>
  <c r="D12" i="52" a="1"/>
  <c r="D12" i="42" a="1"/>
  <c r="B2" i="7" a="1"/>
  <c r="D7" i="52" a="1"/>
  <c r="D3" i="52" a="1"/>
  <c r="H17" i="56" a="1"/>
  <c r="J9" i="56" a="1"/>
  <c r="B13" i="56" a="1"/>
  <c r="N23" i="12" a="1"/>
  <c r="X4" i="9" a="1"/>
  <c r="G6" i="43" a="1"/>
  <c r="E2" i="18" a="1"/>
  <c r="C7" i="52" a="1"/>
  <c r="C3" i="52" a="1"/>
  <c r="T10" i="56" a="1"/>
  <c r="P20" i="12" a="1"/>
  <c r="F6" i="42" a="1"/>
  <c r="D11" i="52" a="1"/>
  <c r="G17" i="56" a="1"/>
  <c r="I9" i="56" a="1"/>
  <c r="B11" i="56" a="1"/>
  <c r="K23" i="12" a="1"/>
  <c r="L13" i="12" a="1"/>
  <c r="M10" i="12" a="1"/>
  <c r="E22" i="12" a="1"/>
  <c r="F11" i="12" a="1"/>
  <c r="J5" i="39" a="1"/>
  <c r="W4" i="9" a="1"/>
  <c r="H5" i="43" a="1"/>
  <c r="J11" i="42" a="1"/>
  <c r="D2" i="18" a="1"/>
  <c r="N2" i="47" a="1"/>
  <c r="C11" i="52" a="1"/>
  <c r="J6" i="52" a="1"/>
  <c r="V17" i="56" a="1"/>
  <c r="S10" i="56" a="1"/>
  <c r="I16" i="56" a="1"/>
  <c r="O20" i="12" a="1"/>
  <c r="P15" i="12" a="1"/>
  <c r="Q7" i="12" a="1"/>
  <c r="R4" i="12" a="1"/>
  <c r="G3" i="12" a="1"/>
  <c r="F9" i="39" a="1"/>
  <c r="M14" i="28" a="1"/>
  <c r="H12" i="28" a="1"/>
  <c r="I20" i="1" a="1"/>
  <c r="I11" i="1" a="1"/>
  <c r="K5" i="1" a="1"/>
  <c r="C15" i="1" a="1"/>
  <c r="C17" i="40" a="1"/>
  <c r="F10" i="60" a="1"/>
  <c r="D6" i="42" a="1"/>
  <c r="H9" i="56" a="1"/>
  <c r="S22" i="12" a="1"/>
  <c r="K13" i="12" a="1"/>
  <c r="L10" i="12" a="1"/>
  <c r="G21" i="12" a="1"/>
  <c r="G10" i="12" a="1"/>
  <c r="F3" i="12" a="1"/>
  <c r="J3" i="39" a="1"/>
  <c r="L7" i="28" a="1"/>
  <c r="G12" i="28" a="1"/>
  <c r="D15" i="28" a="1"/>
  <c r="E4" i="28" a="1"/>
  <c r="H20" i="1" a="1"/>
  <c r="H14" i="1" a="1"/>
  <c r="J8" i="1" a="1"/>
  <c r="H9" i="42" a="1"/>
  <c r="L4" i="12" a="1"/>
  <c r="H8" i="39" a="1"/>
  <c r="I19" i="1" a="1"/>
  <c r="C8" i="1" a="1"/>
  <c r="J3" i="42" a="1"/>
  <c r="R3" i="12" a="1"/>
  <c r="H5" i="39" a="1"/>
  <c r="G13" i="28" a="1"/>
  <c r="L8" i="1" a="1"/>
  <c r="E11" i="60" a="1"/>
  <c r="H19" i="1" a="1"/>
  <c r="C7" i="1" a="1"/>
  <c r="H10" i="60" a="1"/>
  <c r="J2" i="46" a="1"/>
  <c r="K3" i="12" a="1"/>
  <c r="H8" i="28" a="1"/>
  <c r="K8" i="1" a="1"/>
  <c r="C6" i="1" a="1"/>
  <c r="G10" i="60" a="1"/>
  <c r="F22" i="12" a="1"/>
  <c r="F10" i="39" a="1"/>
  <c r="F19" i="1" a="1"/>
  <c r="J7" i="1" a="1"/>
  <c r="C5" i="1" a="1"/>
  <c r="Q18" i="12" a="1"/>
  <c r="D15" i="49" a="1"/>
  <c r="G18" i="12" a="1"/>
  <c r="G7" i="28" a="1"/>
  <c r="L15" i="1" a="1"/>
  <c r="I7" i="1" a="1"/>
  <c r="H8" i="60" a="1"/>
  <c r="C5" i="52" a="1"/>
  <c r="Q15" i="12" a="1"/>
  <c r="E18" i="12" a="1"/>
  <c r="C13" i="39" a="1"/>
  <c r="D10" i="49" a="1"/>
  <c r="J4" i="52" a="1"/>
  <c r="S14" i="12" a="1"/>
  <c r="G15" i="12" a="1"/>
  <c r="H5" i="28" a="1"/>
  <c r="L14" i="1" a="1"/>
  <c r="H7" i="1" a="1"/>
  <c r="G8" i="60" a="1"/>
  <c r="Q14" i="12" a="1"/>
  <c r="F15" i="12" a="1"/>
  <c r="D18" i="28" a="1"/>
  <c r="K14" i="1" a="1"/>
  <c r="D9" i="49" a="1"/>
  <c r="S14" i="56" a="1"/>
  <c r="O14" i="12" a="1"/>
  <c r="J14" i="1" a="1"/>
  <c r="G7" i="1" a="1"/>
  <c r="D8" i="49" a="1"/>
  <c r="F8" i="60" a="1"/>
  <c r="V13" i="56" a="1"/>
  <c r="R13" i="12" a="1"/>
  <c r="G11" i="12" a="1"/>
  <c r="C7" i="39" a="1"/>
  <c r="E15" i="28" a="1"/>
  <c r="G6" i="12" a="1"/>
  <c r="L12" i="28" a="1"/>
  <c r="E10" i="28" a="1"/>
  <c r="G13" i="1" a="1"/>
  <c r="C16" i="55" a="1"/>
  <c r="N10" i="12" a="1"/>
  <c r="K12" i="28" a="1"/>
  <c r="D8" i="28" a="1"/>
  <c r="J4" i="1" a="1"/>
  <c r="G5" i="60" a="1"/>
  <c r="M11" i="28" a="1"/>
  <c r="J6" i="56" a="1"/>
  <c r="M9" i="12" a="1"/>
  <c r="K8" i="28" a="1"/>
  <c r="D5" i="28" a="1"/>
  <c r="C18" i="40" a="1"/>
  <c r="H3" i="60" a="1"/>
  <c r="R7" i="12" a="1"/>
  <c r="F3" i="1" a="1"/>
  <c r="C10" i="13" a="1"/>
  <c r="J14" i="39" a="1"/>
  <c r="G10" i="1" a="1"/>
  <c r="H15" i="28" a="1"/>
  <c r="S21" i="12" a="1"/>
  <c r="H10" i="39" a="1"/>
  <c r="J9" i="1" a="1"/>
  <c r="S8" i="12" a="1"/>
  <c r="B7" i="12" a="1"/>
  <c r="K11" i="1" a="1"/>
  <c r="H4" i="1" a="1"/>
  <c r="E4" i="60" a="1"/>
  <c r="K5" i="28" a="1"/>
  <c r="C9" i="40" a="1"/>
  <c r="M4" i="28" a="1"/>
  <c r="I10" i="1" a="1"/>
  <c r="C9" i="13" a="1"/>
  <c r="J6" i="39" a="1"/>
  <c r="C8" i="40" a="1"/>
  <c r="F10" i="1" a="1"/>
  <c r="I14" i="1" a="1"/>
  <c r="M7" i="28" a="1"/>
  <c r="C16" i="40" a="1"/>
  <c r="K10" i="1" a="1"/>
  <c r="L3" i="1" a="1"/>
  <c r="C14" i="13" a="1"/>
  <c r="J10" i="1" a="1"/>
  <c r="G3" i="60" a="1"/>
  <c r="F3" i="60" a="1"/>
  <c r="C5" i="13" a="1"/>
  <c r="K4" i="28" a="1"/>
  <c r="H10" i="1" a="1"/>
  <c r="S5" i="12" a="1"/>
  <c r="S4" i="12" a="1"/>
  <c r="J20" i="1" a="1"/>
  <c r="G5" i="56" a="1"/>
  <c r="L5" i="28" a="1"/>
  <c r="K20" i="1" a="1"/>
  <c r="C6" i="40" a="1"/>
  <c r="H11" i="39" a="1"/>
  <c r="C9" i="1" a="1"/>
  <c r="H13" i="28" a="1"/>
  <c r="F12" i="60" a="1"/>
  <c r="M12" i="28" a="1"/>
  <c r="F7" i="60" a="1"/>
  <c r="M9" i="28" a="1"/>
  <c r="H5" i="60" a="1"/>
  <c r="D11" i="28" a="1"/>
  <c r="I13" i="1" a="1"/>
  <c r="H13" i="1" a="1"/>
  <c r="L11" i="1" a="1"/>
  <c r="F6" i="1" a="1"/>
  <c r="L5" i="1" a="1"/>
  <c r="J5" i="1" a="1"/>
  <c r="E9" i="12" a="1"/>
  <c r="G8" i="12" a="1"/>
  <c r="M15" i="28" a="1"/>
  <c r="C9" i="55" a="1"/>
  <c r="E6" i="60" a="1"/>
  <c r="D12" i="28" a="1"/>
  <c r="F4" i="60" a="1"/>
  <c r="E5" i="28" a="1"/>
  <c r="V12" i="56" a="1"/>
  <c r="U7" i="56" a="1"/>
  <c r="G6" i="1" a="1"/>
  <c r="G7" i="12" a="1"/>
  <c r="J12" i="1" a="1"/>
  <c r="P11" i="12" a="1"/>
  <c r="C20" i="55" a="1"/>
  <c r="C19" i="55" a="1"/>
  <c r="C18" i="55" a="1"/>
  <c r="C17" i="55" a="1"/>
  <c r="T6" i="56" a="1"/>
  <c r="M13" i="12" a="1"/>
  <c r="K12" i="12" a="1"/>
  <c r="Q11" i="12" a="1"/>
  <c r="I4" i="1" a="1"/>
  <c r="E4" i="12" a="1"/>
  <c r="K15" i="28" a="1"/>
  <c r="E8" i="60" a="1"/>
  <c r="E8" i="60" l="1"/>
  <c r="K15" i="28"/>
  <c r="E4" i="12"/>
  <c r="I4" i="1"/>
  <c r="Q11" i="12"/>
  <c r="K12" i="12"/>
  <c r="M13" i="12"/>
  <c r="T6" i="56"/>
  <c r="C17" i="55"/>
  <c r="C18" i="55"/>
  <c r="C19" i="55"/>
  <c r="C20" i="55"/>
  <c r="P11" i="12"/>
  <c r="J12" i="1"/>
  <c r="G7" i="12"/>
  <c r="G6" i="1"/>
  <c r="U7" i="56"/>
  <c r="V12" i="56"/>
  <c r="E5" i="28"/>
  <c r="F4" i="60"/>
  <c r="D12" i="28"/>
  <c r="E6" i="60"/>
  <c r="C9" i="55"/>
  <c r="M15" i="28"/>
  <c r="G8" i="12"/>
  <c r="E9" i="12"/>
  <c r="J5" i="1"/>
  <c r="L5" i="1"/>
  <c r="F6" i="1"/>
  <c r="L11" i="1"/>
  <c r="H13" i="1"/>
  <c r="I13" i="1"/>
  <c r="D11" i="28"/>
  <c r="H5" i="60"/>
  <c r="M9" i="28"/>
  <c r="F7" i="60"/>
  <c r="M12" i="28"/>
  <c r="F12" i="60"/>
  <c r="H13" i="28"/>
  <c r="C9" i="1"/>
  <c r="H11" i="39"/>
  <c r="C6" i="40"/>
  <c r="K20" i="1"/>
  <c r="L5" i="28"/>
  <c r="G5" i="56"/>
  <c r="J20" i="1"/>
  <c r="S4" i="12"/>
  <c r="S5" i="12"/>
  <c r="H10" i="1"/>
  <c r="K4" i="28"/>
  <c r="C5" i="13"/>
  <c r="F3" i="60"/>
  <c r="G3" i="60"/>
  <c r="J10" i="1"/>
  <c r="C14" i="13"/>
  <c r="L3" i="1"/>
  <c r="K10" i="1"/>
  <c r="C16" i="40"/>
  <c r="M7" i="28"/>
  <c r="I14" i="1"/>
  <c r="F10" i="1"/>
  <c r="C8" i="40"/>
  <c r="J6" i="39"/>
  <c r="C9" i="13"/>
  <c r="I10" i="1"/>
  <c r="M4" i="28"/>
  <c r="C9" i="40"/>
  <c r="K5" i="28"/>
  <c r="E4" i="60"/>
  <c r="H4" i="1"/>
  <c r="K11" i="1"/>
  <c r="B7" i="12"/>
  <c r="S8" i="12"/>
  <c r="J9" i="1"/>
  <c r="H10" i="39"/>
  <c r="S21" i="12"/>
  <c r="H15" i="28"/>
  <c r="G10" i="1"/>
  <c r="J14" i="39"/>
  <c r="C10" i="13"/>
  <c r="F3" i="1"/>
  <c r="R7" i="12"/>
  <c r="H3" i="60"/>
  <c r="C18" i="40"/>
  <c r="D5" i="28"/>
  <c r="K8" i="28"/>
  <c r="M9" i="12"/>
  <c r="J6" i="56"/>
  <c r="M11" i="28"/>
  <c r="G5" i="60"/>
  <c r="J4" i="1"/>
  <c r="D8" i="28"/>
  <c r="K12" i="28"/>
  <c r="N10" i="12"/>
  <c r="C16" i="55"/>
  <c r="G13" i="1"/>
  <c r="E10" i="28"/>
  <c r="L12" i="28"/>
  <c r="G6" i="12"/>
  <c r="E15" i="28"/>
  <c r="C7" i="39"/>
  <c r="G11" i="12"/>
  <c r="R13" i="12"/>
  <c r="V13" i="56"/>
  <c r="F8" i="60"/>
  <c r="D8" i="49"/>
  <c r="G7" i="1"/>
  <c r="J14" i="1"/>
  <c r="O14" i="12"/>
  <c r="S14" i="56"/>
  <c r="D9" i="49"/>
  <c r="K14" i="1"/>
  <c r="D18" i="28"/>
  <c r="F15" i="12"/>
  <c r="Q14" i="12"/>
  <c r="G8" i="60"/>
  <c r="H7" i="1"/>
  <c r="L14" i="1"/>
  <c r="H5" i="28"/>
  <c r="G15" i="12"/>
  <c r="S14" i="12"/>
  <c r="J4" i="52"/>
  <c r="D10" i="49"/>
  <c r="C13" i="39"/>
  <c r="E18" i="12"/>
  <c r="Q15" i="12"/>
  <c r="C5" i="52"/>
  <c r="H8" i="60"/>
  <c r="I7" i="1"/>
  <c r="L15" i="1"/>
  <c r="G7" i="28"/>
  <c r="G18" i="12"/>
  <c r="D15" i="49"/>
  <c r="Q18" i="12"/>
  <c r="C5" i="1"/>
  <c r="J7" i="1"/>
  <c r="F19" i="1"/>
  <c r="F10" i="39"/>
  <c r="F22" i="12"/>
  <c r="G10" i="60"/>
  <c r="C6" i="1"/>
  <c r="K8" i="1"/>
  <c r="H8" i="28"/>
  <c r="K3" i="12"/>
  <c r="J2" i="46"/>
  <c r="H10" i="60"/>
  <c r="C7" i="1"/>
  <c r="H19" i="1"/>
  <c r="E11" i="60"/>
  <c r="L8" i="1"/>
  <c r="G13" i="28"/>
  <c r="H5" i="39"/>
  <c r="R3" i="12"/>
  <c r="J3" i="42"/>
  <c r="C8" i="1"/>
  <c r="I19" i="1"/>
  <c r="H8" i="39"/>
  <c r="L4" i="12"/>
  <c r="H9" i="42"/>
  <c r="J8" i="1"/>
  <c r="H14" i="1"/>
  <c r="H20" i="1"/>
  <c r="E4" i="28"/>
  <c r="D15" i="28"/>
  <c r="G12" i="28"/>
  <c r="L7" i="28"/>
  <c r="J3" i="39"/>
  <c r="F3" i="12"/>
  <c r="G10" i="12"/>
  <c r="G21" i="12"/>
  <c r="L10" i="12"/>
  <c r="K13" i="12"/>
  <c r="S22" i="12"/>
  <c r="H9" i="56"/>
  <c r="D6" i="42"/>
  <c r="F10" i="60"/>
  <c r="C17" i="40"/>
  <c r="C15" i="1"/>
  <c r="K5" i="1"/>
  <c r="I11" i="1"/>
  <c r="I20" i="1"/>
  <c r="H12" i="28"/>
  <c r="M14" i="28"/>
  <c r="F9" i="39"/>
  <c r="G3" i="12"/>
  <c r="R4" i="12"/>
  <c r="Q7" i="12"/>
  <c r="P15" i="12"/>
  <c r="O20" i="12"/>
  <c r="I16" i="56"/>
  <c r="S10" i="56"/>
  <c r="V17" i="56"/>
  <c r="J6" i="52"/>
  <c r="C11" i="52"/>
  <c r="N2" i="47"/>
  <c r="D2" i="18"/>
  <c r="J11" i="42"/>
  <c r="H5" i="43"/>
  <c r="W4" i="9"/>
  <c r="J5" i="39"/>
  <c r="F11" i="12"/>
  <c r="E22" i="12"/>
  <c r="M10" i="12"/>
  <c r="L13" i="12"/>
  <c r="K23" i="12"/>
  <c r="B11" i="56"/>
  <c r="I9" i="56"/>
  <c r="G17" i="56"/>
  <c r="D11" i="52"/>
  <c r="F6" i="42"/>
  <c r="P20" i="12"/>
  <c r="T10" i="56"/>
  <c r="C3" i="52"/>
  <c r="C7" i="52"/>
  <c r="E2" i="18"/>
  <c r="G6" i="43"/>
  <c r="X4" i="9"/>
  <c r="N23" i="12"/>
  <c r="B13" i="56"/>
  <c r="J9" i="56"/>
  <c r="H17" i="56"/>
  <c r="D3" i="52"/>
  <c r="D7" i="52"/>
  <c r="B2" i="7"/>
  <c r="D12" i="42"/>
  <c r="D12" i="52"/>
  <c r="F2" i="18"/>
  <c r="H7" i="42"/>
  <c r="Y4" i="9"/>
  <c r="F11" i="60"/>
  <c r="G14" i="28"/>
  <c r="C4" i="52"/>
  <c r="D2" i="7"/>
  <c r="Z4" i="9"/>
  <c r="C2" i="39"/>
  <c r="P23" i="12"/>
  <c r="C3" i="39"/>
  <c r="Q10" i="12"/>
  <c r="R23" i="12"/>
  <c r="B14" i="56"/>
  <c r="I17" i="56"/>
  <c r="H3" i="1"/>
  <c r="I7" i="42"/>
  <c r="G8" i="43"/>
  <c r="AB4" i="9"/>
  <c r="D12" i="49"/>
  <c r="G3" i="1"/>
  <c r="F9" i="1"/>
  <c r="L20" i="1"/>
  <c r="G3" i="28"/>
  <c r="M8" i="28"/>
  <c r="N13" i="12"/>
  <c r="F6" i="60"/>
  <c r="G11" i="60"/>
  <c r="H6" i="1"/>
  <c r="N5" i="12"/>
  <c r="D8" i="52"/>
  <c r="G6" i="60"/>
  <c r="I3" i="1"/>
  <c r="G9" i="1"/>
  <c r="G4" i="28"/>
  <c r="K9" i="28"/>
  <c r="C5" i="39"/>
  <c r="J10" i="39"/>
  <c r="E13" i="12"/>
  <c r="J17" i="56"/>
  <c r="H2" i="18"/>
  <c r="J7" i="39"/>
  <c r="E12" i="12"/>
  <c r="G22" i="12"/>
  <c r="M18" i="12"/>
  <c r="C10" i="55"/>
  <c r="H3" i="28"/>
  <c r="F12" i="39"/>
  <c r="S10" i="12"/>
  <c r="H10" i="56"/>
  <c r="E12" i="52"/>
  <c r="S23" i="12"/>
  <c r="E18" i="28"/>
  <c r="F11" i="39"/>
  <c r="F4" i="12"/>
  <c r="K5" i="12"/>
  <c r="S7" i="12"/>
  <c r="K18" i="12"/>
  <c r="Q20" i="12"/>
  <c r="U11" i="56"/>
  <c r="E6" i="28"/>
  <c r="K8" i="12"/>
  <c r="N18" i="12"/>
  <c r="R20" i="12"/>
  <c r="D13" i="49"/>
  <c r="D7" i="28"/>
  <c r="K11" i="12"/>
  <c r="T12" i="56"/>
  <c r="H6" i="60"/>
  <c r="C11" i="55"/>
  <c r="G12" i="1"/>
  <c r="H4" i="28"/>
  <c r="F13" i="39"/>
  <c r="J11" i="39"/>
  <c r="E5" i="12"/>
  <c r="G13" i="12"/>
  <c r="Q5" i="12"/>
  <c r="L8" i="12"/>
  <c r="L11" i="12"/>
  <c r="K21" i="12"/>
  <c r="J10" i="56"/>
  <c r="E8" i="52"/>
  <c r="F12" i="52"/>
  <c r="N2" i="7"/>
  <c r="J7" i="42"/>
  <c r="H13" i="42"/>
  <c r="AC4" i="9"/>
  <c r="E7" i="60"/>
  <c r="E12" i="60"/>
  <c r="D14" i="49"/>
  <c r="J3" i="1"/>
  <c r="I9" i="1"/>
  <c r="H12" i="1"/>
  <c r="E7" i="28"/>
  <c r="G5" i="28"/>
  <c r="G15" i="28"/>
  <c r="L9" i="28"/>
  <c r="C6" i="39"/>
  <c r="J12" i="39"/>
  <c r="E14" i="12"/>
  <c r="F23" i="12"/>
  <c r="R5" i="12"/>
  <c r="Q13" i="12"/>
  <c r="P18" i="12"/>
  <c r="C4" i="13"/>
  <c r="C23" i="56"/>
  <c r="U12" i="56"/>
  <c r="E4" i="52"/>
  <c r="J2" i="18"/>
  <c r="G13" i="43"/>
  <c r="AL4" i="9"/>
  <c r="S12" i="56"/>
  <c r="F12" i="42"/>
  <c r="F12" i="1"/>
  <c r="F15" i="1"/>
  <c r="C4" i="39"/>
  <c r="G4" i="12"/>
  <c r="H11" i="60"/>
  <c r="G15" i="1"/>
  <c r="H14" i="28"/>
  <c r="E23" i="12"/>
  <c r="P5" i="12"/>
  <c r="O13" i="12"/>
  <c r="O18" i="12"/>
  <c r="B15" i="56"/>
  <c r="D4" i="52"/>
  <c r="I6" i="1"/>
  <c r="H15" i="1"/>
  <c r="C12" i="55"/>
  <c r="K3" i="1"/>
  <c r="J6" i="1"/>
  <c r="I12" i="1"/>
  <c r="I15" i="1"/>
  <c r="H2" i="39"/>
  <c r="J13" i="39"/>
  <c r="F5" i="12"/>
  <c r="F14" i="12"/>
  <c r="N8" i="12"/>
  <c r="M11" i="12"/>
  <c r="L21" i="12"/>
  <c r="C25" i="56"/>
  <c r="G11" i="56"/>
  <c r="T5" i="56"/>
  <c r="F8" i="52"/>
  <c r="A2" i="5"/>
  <c r="I13" i="42"/>
  <c r="H12" i="52"/>
  <c r="D8" i="42"/>
  <c r="H13" i="43"/>
  <c r="AM4" i="9"/>
  <c r="F4" i="52"/>
  <c r="K6" i="1"/>
  <c r="B2" i="5"/>
  <c r="H3" i="42"/>
  <c r="J13" i="42"/>
  <c r="J15" i="1"/>
  <c r="E8" i="28"/>
  <c r="E6" i="12"/>
  <c r="H11" i="56"/>
  <c r="G7" i="60"/>
  <c r="C3" i="1"/>
  <c r="F4" i="1"/>
  <c r="K9" i="1"/>
  <c r="K12" i="1"/>
  <c r="D9" i="28"/>
  <c r="G6" i="28"/>
  <c r="L3" i="28"/>
  <c r="M10" i="28"/>
  <c r="C8" i="39"/>
  <c r="B3" i="12"/>
  <c r="L3" i="12"/>
  <c r="K6" i="12"/>
  <c r="S13" i="12"/>
  <c r="R18" i="12"/>
  <c r="H5" i="56"/>
  <c r="H8" i="52"/>
  <c r="J12" i="52"/>
  <c r="F8" i="42"/>
  <c r="G14" i="43"/>
  <c r="AN4" i="9"/>
  <c r="L10" i="28"/>
  <c r="V5" i="56"/>
  <c r="G12" i="60"/>
  <c r="C15" i="55"/>
  <c r="C4" i="1"/>
  <c r="L12" i="1"/>
  <c r="E9" i="28"/>
  <c r="K11" i="28"/>
  <c r="H4" i="39"/>
  <c r="F6" i="12"/>
  <c r="E15" i="12"/>
  <c r="P8" i="12"/>
  <c r="O11" i="12"/>
  <c r="P21" i="12"/>
  <c r="C7" i="13"/>
  <c r="I12" i="56"/>
  <c r="S6" i="56"/>
  <c r="T13" i="56"/>
  <c r="H4" i="52"/>
  <c r="I3" i="42"/>
  <c r="C14" i="55"/>
  <c r="D16" i="49"/>
  <c r="H3" i="39"/>
  <c r="G14" i="12"/>
  <c r="O8" i="12"/>
  <c r="N11" i="12"/>
  <c r="M21" i="12"/>
  <c r="E3" i="60"/>
  <c r="H7" i="60"/>
  <c r="L6" i="1"/>
  <c r="K15" i="1"/>
  <c r="H12" i="60"/>
  <c r="G4" i="1"/>
  <c r="L9" i="1"/>
  <c r="F13" i="1"/>
  <c r="D10" i="28"/>
  <c r="H6" i="28"/>
  <c r="M3" i="28"/>
  <c r="L11" i="28"/>
  <c r="C9" i="39"/>
  <c r="B4" i="12"/>
  <c r="M3" i="12"/>
  <c r="L6" i="12"/>
  <c r="M14" i="12"/>
  <c r="S18" i="12"/>
  <c r="R21" i="12"/>
  <c r="I5" i="56"/>
  <c r="G13" i="56"/>
  <c r="J8" i="52"/>
  <c r="D2" i="5"/>
  <c r="A2" i="38"/>
  <c r="F14" i="42"/>
  <c r="B2" i="38"/>
  <c r="C10" i="39"/>
  <c r="H7" i="39"/>
  <c r="B5" i="12"/>
  <c r="P3" i="12"/>
  <c r="M6" i="12"/>
  <c r="L9" i="12"/>
  <c r="P14" i="12"/>
  <c r="K19" i="12"/>
  <c r="K22" i="12"/>
  <c r="J5" i="56"/>
  <c r="H13" i="56"/>
  <c r="C9" i="52"/>
  <c r="F2" i="5"/>
  <c r="A13" i="9"/>
  <c r="A12" i="9"/>
  <c r="A11" i="9"/>
  <c r="A10" i="9"/>
  <c r="A9" i="9"/>
  <c r="A8" i="9"/>
  <c r="A7" i="9"/>
  <c r="A6" i="9"/>
  <c r="A5" i="9"/>
  <c r="A4" i="9"/>
  <c r="D2" i="38"/>
  <c r="D9" i="52"/>
  <c r="K2" i="46"/>
  <c r="I9" i="42"/>
  <c r="E11" i="28"/>
  <c r="H7" i="28"/>
  <c r="L4" i="28"/>
  <c r="C12" i="39"/>
  <c r="H9" i="39"/>
  <c r="B6" i="12"/>
  <c r="F8" i="12"/>
  <c r="S3" i="12"/>
  <c r="N6" i="12"/>
  <c r="N9" i="12"/>
  <c r="M19" i="12"/>
  <c r="L22" i="12"/>
  <c r="I13" i="56"/>
  <c r="S8" i="56"/>
  <c r="T14" i="56"/>
  <c r="D5" i="52"/>
  <c r="D4" i="42"/>
  <c r="H15" i="42"/>
  <c r="F4" i="9"/>
  <c r="E2" i="38"/>
  <c r="K4" i="12"/>
  <c r="S11" i="12"/>
  <c r="R14" i="12"/>
  <c r="C11" i="13"/>
  <c r="H6" i="56"/>
  <c r="L2" i="46"/>
  <c r="B2" i="15"/>
  <c r="J9" i="42"/>
  <c r="N2" i="38"/>
  <c r="P6" i="12"/>
  <c r="O9" i="12"/>
  <c r="N19" i="12"/>
  <c r="M22" i="12"/>
  <c r="J13" i="56"/>
  <c r="T8" i="56"/>
  <c r="S16" i="56"/>
  <c r="C6" i="52"/>
  <c r="D10" i="52"/>
  <c r="F4" i="42"/>
  <c r="I15" i="42"/>
  <c r="G4" i="9"/>
  <c r="C2" i="15"/>
  <c r="J4" i="48"/>
  <c r="K7" i="1"/>
  <c r="G9" i="28"/>
  <c r="M5" i="28"/>
  <c r="F9" i="12"/>
  <c r="Q6" i="12"/>
  <c r="P9" i="12"/>
  <c r="O19" i="12"/>
  <c r="N22" i="12"/>
  <c r="C16" i="13"/>
  <c r="U8" i="56"/>
  <c r="T16" i="56"/>
  <c r="D6" i="52"/>
  <c r="E10" i="52"/>
  <c r="N2" i="46"/>
  <c r="D10" i="42"/>
  <c r="J15" i="42"/>
  <c r="H4" i="9"/>
  <c r="G7" i="56"/>
  <c r="H14" i="56"/>
  <c r="D2" i="15"/>
  <c r="H5" i="42"/>
  <c r="J5" i="48"/>
  <c r="D4" i="49"/>
  <c r="K6" i="28"/>
  <c r="L12" i="12"/>
  <c r="G4" i="60"/>
  <c r="K13" i="1"/>
  <c r="D3" i="28"/>
  <c r="D13" i="28"/>
  <c r="R19" i="12"/>
  <c r="O22" i="12"/>
  <c r="V8" i="56"/>
  <c r="U16" i="56"/>
  <c r="E6" i="52"/>
  <c r="F10" i="52"/>
  <c r="B2" i="47"/>
  <c r="F10" i="42"/>
  <c r="I4" i="9"/>
  <c r="M4" i="12"/>
  <c r="C12" i="40"/>
  <c r="C11" i="1"/>
  <c r="F11" i="1"/>
  <c r="K19" i="1"/>
  <c r="L13" i="28"/>
  <c r="F4" i="39"/>
  <c r="F19" i="12"/>
  <c r="N4" i="12"/>
  <c r="O12" i="12"/>
  <c r="L15" i="12"/>
  <c r="K20" i="12"/>
  <c r="B7" i="56"/>
  <c r="H7" i="56"/>
  <c r="J14" i="56"/>
  <c r="I5" i="42"/>
  <c r="J4" i="9"/>
  <c r="J6" i="48"/>
  <c r="C21" i="55"/>
  <c r="L4" i="1"/>
  <c r="J13" i="1"/>
  <c r="C10" i="1"/>
  <c r="J19" i="1"/>
  <c r="K13" i="28"/>
  <c r="F2" i="39"/>
  <c r="G5" i="1"/>
  <c r="G8" i="1"/>
  <c r="F14" i="1"/>
  <c r="L19" i="1"/>
  <c r="E3" i="28"/>
  <c r="E13" i="28"/>
  <c r="G10" i="28"/>
  <c r="M6" i="28"/>
  <c r="F5" i="39"/>
  <c r="H14" i="39"/>
  <c r="B11" i="12"/>
  <c r="E10" i="12"/>
  <c r="L7" i="12"/>
  <c r="R9" i="12"/>
  <c r="Q12" i="12"/>
  <c r="L20" i="12"/>
  <c r="P22" i="12"/>
  <c r="V16" i="56"/>
  <c r="F6" i="52"/>
  <c r="F2" i="15"/>
  <c r="C6" i="43"/>
  <c r="L4" i="9"/>
  <c r="J7" i="48"/>
  <c r="E12" i="28"/>
  <c r="C14" i="39"/>
  <c r="L7" i="1"/>
  <c r="K15" i="12"/>
  <c r="C11" i="40"/>
  <c r="F8" i="1"/>
  <c r="H13" i="39"/>
  <c r="G9" i="12"/>
  <c r="Q9" i="12"/>
  <c r="C12" i="1"/>
  <c r="H8" i="1"/>
  <c r="G11" i="1"/>
  <c r="F20" i="1"/>
  <c r="H10" i="28"/>
  <c r="K14" i="28"/>
  <c r="F6" i="39"/>
  <c r="F20" i="12"/>
  <c r="O4" i="12"/>
  <c r="N7" i="12"/>
  <c r="R12" i="12"/>
  <c r="M15" i="12"/>
  <c r="M20" i="12"/>
  <c r="B8" i="56"/>
  <c r="I8" i="56"/>
  <c r="G15" i="56"/>
  <c r="T9" i="56"/>
  <c r="H10" i="52"/>
  <c r="L2" i="47"/>
  <c r="J5" i="42"/>
  <c r="H11" i="42"/>
  <c r="J9" i="48"/>
  <c r="B6" i="56"/>
  <c r="D5" i="49"/>
  <c r="F5" i="1"/>
  <c r="H9" i="28"/>
  <c r="B10" i="12"/>
  <c r="R6" i="12"/>
  <c r="G9" i="60"/>
  <c r="D6" i="49"/>
  <c r="H9" i="60"/>
  <c r="E5" i="60"/>
  <c r="D7" i="49"/>
  <c r="I8" i="1"/>
  <c r="G14" i="1"/>
  <c r="G20" i="1"/>
  <c r="D4" i="28"/>
  <c r="E14" i="28"/>
  <c r="G11" i="28"/>
  <c r="K7" i="28"/>
  <c r="F7" i="39"/>
  <c r="J2" i="39"/>
  <c r="B14" i="12"/>
  <c r="F10" i="12"/>
  <c r="E21" i="12"/>
  <c r="O7" i="12"/>
  <c r="S9" i="12"/>
  <c r="Y12" i="12" s="1" a="1"/>
  <c r="Y12" i="12" s="1"/>
  <c r="S12" i="12"/>
  <c r="R22" i="12"/>
  <c r="G9" i="56"/>
  <c r="H2" i="15"/>
  <c r="M4" i="9"/>
  <c r="C10" i="40"/>
  <c r="H12" i="39"/>
  <c r="B9" i="12"/>
  <c r="E9" i="60"/>
  <c r="L10" i="1"/>
  <c r="E19" i="12"/>
  <c r="L6" i="28"/>
  <c r="H4" i="60"/>
  <c r="C13" i="40"/>
  <c r="C14" i="40"/>
  <c r="H5" i="1"/>
  <c r="F5" i="60"/>
  <c r="E10" i="60"/>
  <c r="C15" i="40"/>
  <c r="C14" i="1"/>
  <c r="I5" i="1"/>
  <c r="H11" i="1"/>
  <c r="H11" i="28"/>
  <c r="L14" i="28"/>
  <c r="F8" i="39"/>
  <c r="E3" i="12"/>
  <c r="F21" i="12"/>
  <c r="P4" i="12"/>
  <c r="P7" i="12"/>
  <c r="O15" i="12"/>
  <c r="N20" i="12"/>
  <c r="B9" i="56"/>
  <c r="H15" i="56"/>
  <c r="V9" i="56"/>
  <c r="T17" i="56"/>
  <c r="H6" i="52"/>
  <c r="J10" i="52"/>
  <c r="M2" i="47"/>
  <c r="I11" i="42"/>
  <c r="G5" i="43"/>
  <c r="V4" i="9"/>
  <c r="J10" i="48"/>
  <c r="C6" i="13"/>
  <c r="B10" i="56"/>
  <c r="G6" i="56"/>
  <c r="G10" i="56"/>
  <c r="G14" i="56"/>
  <c r="S5" i="56"/>
  <c r="S9" i="56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D14" i="42"/>
  <c r="C4" i="43"/>
  <c r="G7" i="43"/>
  <c r="G15" i="43"/>
  <c r="K4" i="9"/>
  <c r="AA4" i="9"/>
  <c r="C2" i="38"/>
  <c r="J8" i="48"/>
  <c r="F9" i="60"/>
  <c r="C7" i="40"/>
  <c r="C13" i="55"/>
  <c r="D11" i="49"/>
  <c r="C13" i="1"/>
  <c r="K4" i="1"/>
  <c r="F7" i="1"/>
  <c r="H9" i="1"/>
  <c r="J11" i="1"/>
  <c r="L13" i="1"/>
  <c r="G19" i="1"/>
  <c r="D6" i="28"/>
  <c r="D14" i="28"/>
  <c r="G8" i="28"/>
  <c r="K3" i="28"/>
  <c r="L8" i="28"/>
  <c r="M13" i="28"/>
  <c r="C11" i="39"/>
  <c r="F14" i="39"/>
  <c r="J4" i="39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N4" i="9"/>
  <c r="AD4" i="9"/>
  <c r="F2" i="38"/>
  <c r="J11" i="48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E7" i="12"/>
  <c r="N3" i="12"/>
  <c r="Q8" i="12"/>
  <c r="K14" i="12"/>
  <c r="P19" i="12"/>
  <c r="L23" i="12"/>
  <c r="I15" i="56"/>
  <c r="C2" i="46"/>
  <c r="E2" i="47"/>
  <c r="G2" i="7"/>
  <c r="K2" i="15"/>
  <c r="M2" i="18"/>
  <c r="I4" i="42"/>
  <c r="I6" i="42"/>
  <c r="I8" i="42"/>
  <c r="C9" i="43"/>
  <c r="H9" i="43"/>
  <c r="J8" i="39"/>
  <c r="B12" i="12"/>
  <c r="F12" i="12"/>
  <c r="G19" i="12"/>
  <c r="L5" i="12"/>
  <c r="S6" i="12"/>
  <c r="Y13" i="12" s="1" a="1"/>
  <c r="Y13" i="12" s="1"/>
  <c r="O10" i="12"/>
  <c r="M12" i="12"/>
  <c r="R15" i="12"/>
  <c r="N21" i="12"/>
  <c r="C12" i="13"/>
  <c r="B16" i="56"/>
  <c r="I7" i="56"/>
  <c r="I11" i="56"/>
  <c r="U6" i="56"/>
  <c r="U10" i="56"/>
  <c r="U14" i="56"/>
  <c r="E3" i="52"/>
  <c r="E5" i="52"/>
  <c r="E7" i="52"/>
  <c r="E9" i="52"/>
  <c r="E11" i="52"/>
  <c r="I2" i="5"/>
  <c r="I10" i="42"/>
  <c r="I12" i="42"/>
  <c r="I14" i="42"/>
  <c r="P4" i="9"/>
  <c r="AF4" i="9"/>
  <c r="H2" i="38"/>
  <c r="J13" i="48"/>
  <c r="K10" i="28"/>
  <c r="L15" i="28"/>
  <c r="F3" i="39"/>
  <c r="H6" i="39"/>
  <c r="J9" i="39"/>
  <c r="B13" i="12"/>
  <c r="F7" i="12"/>
  <c r="G12" i="12"/>
  <c r="E20" i="12"/>
  <c r="O3" i="12"/>
  <c r="M5" i="12"/>
  <c r="K7" i="12"/>
  <c r="R8" i="12"/>
  <c r="P10" i="12"/>
  <c r="N12" i="12"/>
  <c r="L14" i="12"/>
  <c r="S15" i="12"/>
  <c r="Q19" i="12"/>
  <c r="O21" i="12"/>
  <c r="M23" i="12"/>
  <c r="C13" i="13"/>
  <c r="B17" i="56"/>
  <c r="J7" i="56"/>
  <c r="J11" i="56"/>
  <c r="J15" i="56"/>
  <c r="V6" i="56"/>
  <c r="V10" i="56"/>
  <c r="V14" i="56"/>
  <c r="D2" i="46"/>
  <c r="F2" i="47"/>
  <c r="H2" i="7"/>
  <c r="L2" i="15"/>
  <c r="N2" i="18"/>
  <c r="J4" i="42"/>
  <c r="J6" i="42"/>
  <c r="J8" i="42"/>
  <c r="J10" i="42"/>
  <c r="J12" i="42"/>
  <c r="J14" i="42"/>
  <c r="C10" i="43"/>
  <c r="G10" i="43"/>
  <c r="F3" i="52"/>
  <c r="F5" i="52"/>
  <c r="F7" i="52"/>
  <c r="F9" i="52"/>
  <c r="F11" i="52"/>
  <c r="J2" i="5"/>
  <c r="Q4" i="9"/>
  <c r="AG4" i="9"/>
  <c r="I2" i="38"/>
  <c r="J14" i="48"/>
  <c r="E2" i="46"/>
  <c r="G2" i="47"/>
  <c r="M2" i="15"/>
  <c r="C3" i="42"/>
  <c r="C5" i="42"/>
  <c r="C7" i="42"/>
  <c r="C11" i="42"/>
  <c r="C13" i="42"/>
  <c r="C15" i="42"/>
  <c r="C11" i="43"/>
  <c r="H10" i="43"/>
  <c r="G8" i="56"/>
  <c r="G12" i="56"/>
  <c r="G16" i="56"/>
  <c r="S7" i="56"/>
  <c r="S11" i="56"/>
  <c r="S15" i="56"/>
  <c r="G3" i="52"/>
  <c r="G5" i="52"/>
  <c r="G7" i="52"/>
  <c r="G9" i="52"/>
  <c r="G11" i="52"/>
  <c r="I2" i="7"/>
  <c r="K2" i="5"/>
  <c r="C9" i="42"/>
  <c r="B4" i="9"/>
  <c r="R4" i="9"/>
  <c r="AH4" i="9"/>
  <c r="J2" i="38"/>
  <c r="J15" i="48"/>
  <c r="B15" i="12"/>
  <c r="E8" i="12"/>
  <c r="F13" i="12"/>
  <c r="G20" i="12"/>
  <c r="Q3" i="12"/>
  <c r="O5" i="12"/>
  <c r="M7" i="12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D4" i="9"/>
  <c r="T4" i="9"/>
  <c r="AJ4" i="9"/>
  <c r="L2" i="38"/>
  <c r="J19" i="48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Q23" i="12"/>
  <c r="B5" i="56"/>
  <c r="C26" i="56"/>
  <c r="J8" i="56"/>
  <c r="E4" i="9"/>
  <c r="U4" i="9"/>
  <c r="AK4" i="9"/>
  <c r="M2" i="38"/>
  <c r="J20" i="48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8" i="12" a="1"/>
  <c r="Y8" i="12" s="1"/>
  <c r="Y6" i="12" a="1"/>
  <c r="Y6" i="12" s="1"/>
  <c r="Y5" i="12" a="1"/>
  <c r="Y5" i="12" s="1"/>
  <c r="Y7" i="12" a="1"/>
  <c r="Y7" i="12" s="1"/>
  <c r="Y10" i="12" a="1"/>
  <c r="Y10" i="12" s="1"/>
  <c r="Y4" i="12" a="1"/>
  <c r="Y4" i="12" s="1"/>
  <c r="Y9" i="12" a="1"/>
  <c r="Y9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6" i="48" l="1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20" i="48" l="1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AB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0" i="49"/>
  <c r="M16" i="40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F11" i="55" l="1"/>
  <c r="J11" i="55" s="1"/>
  <c r="F17" i="55"/>
  <c r="J17" i="55" s="1"/>
  <c r="J7" i="49"/>
  <c r="M15" i="40"/>
  <c r="F21" i="55"/>
  <c r="J21" i="55" s="1"/>
  <c r="J16" i="49"/>
  <c r="J13" i="49"/>
  <c r="M11" i="40"/>
  <c r="N6" i="40" s="1" a="1"/>
  <c r="N6" i="40" s="1"/>
  <c r="L4" i="49" s="1"/>
  <c r="J9" i="49"/>
  <c r="F14" i="55"/>
  <c r="J14" i="55" s="1"/>
  <c r="J4" i="49"/>
  <c r="N12" i="40" a="1"/>
  <c r="N12" i="40" s="1"/>
  <c r="L10" i="49" s="1"/>
  <c r="N10" i="40" l="1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B7AFA3E-8E22-4EA9-9BD3-AAC011AD7DE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Timestamp="1713512932"&gt;&lt;FQL&gt;&lt;Q&gt;FC0000ZA^FG_MCAP_IDX(0,,,USD)&lt;/Q&gt;&lt;R&gt;1&lt;/R&gt;&lt;C&gt;1&lt;/C&gt;&lt;D xsi:type="xsd:double"&gt;286270.5&lt;/D&gt;&lt;/FQL&gt;&lt;FQL&gt;&lt;Q&gt;EWI^FREF_MARKET_VALUE_COMPANY(0,,,USD,,0,,"LEGACY")&lt;/Q&gt;&lt;R&gt;1&lt;/R&gt;&lt;C&gt;1&lt;/C&gt;&lt;D xsi:type="xsd:double"&gt;408.8325&lt;/D&gt;&lt;/FQL&gt;&lt;FQL&gt;&lt;Q&gt;FC0000IT^FMA_MCAP(0,,,USD,"PORTAGG")&lt;/Q&gt;&lt;R&gt;1&lt;/R&gt;&lt;C&gt;1&lt;/C&gt;&lt;D xsi:type="xsd:double"&gt;862353.25&lt;/D&gt;&lt;/FQL&gt;&lt;FQL&gt;&lt;Q&gt;EWD^FREF_MARKET_VALUE_COMPANY(0,,,USD,,0,,"LEGACY")&lt;/Q&gt;&lt;R&gt;1&lt;/R&gt;&lt;C&gt;1&lt;/C&gt;&lt;D xsi:type="xsd:double"&gt;270.6495&lt;/D&gt;&lt;/FQL&gt;&lt;FQL&gt;&lt;Q&gt;FC0000SE^FMA_MCAP(0,,,USD,"PORTAGG")&lt;/Q&gt;&lt;R&gt;1&lt;/R&gt;&lt;C&gt;1&lt;/C&gt;&lt;D xsi:type="xsd:double"&gt;988484.1&lt;/D&gt;&lt;/FQL&gt;&lt;FQL&gt;&lt;Q&gt;EWN^FREF_MARKET_VALUE_COMPANY(0,,,USD,,0,,"LEGACY")&lt;/Q&gt;&lt;R&gt;1&lt;/R&gt;&lt;C&gt;1&lt;/C&gt;&lt;D xsi:type="xsd:double"&gt;276.1785&lt;/D&gt;&lt;/FQL&gt;&lt;FQL&gt;&lt;Q&gt;FC0000NL^FMA_MCAP(0,,,USD,"PORTAGG")&lt;/Q&gt;&lt;R&gt;1&lt;/R&gt;&lt;C&gt;1&lt;/C&gt;&lt;D xsi:type="xsd:double"&gt;1079557.9&lt;/D&gt;&lt;/FQL&gt;&lt;FQL&gt;&lt;Q&gt;EWQ^FREF_MARKET_VALUE_COMPANY(0,,,USD,,0,,"LEGACY")&lt;/Q&gt;&lt;R&gt;1&lt;/R&gt;&lt;C&gt;1&lt;/C&gt;&lt;D xsi:type="xsd:double"&gt;652.884&lt;/D&gt;&lt;/FQL&gt;&lt;FQL&gt;&lt;Q&gt;FC0000FR^FMA_MCAP(0,,,USD,"PORTAGG")&lt;/Q&gt;&lt;R&gt;1&lt;/R&gt;&lt;C&gt;1&lt;/C&gt;&lt;D xsi:type="xsd:double"&gt;3304591.3&lt;/D&gt;&lt;/FQL&gt;&lt;FQL&gt;&lt;Q&gt;SPY^FREF_MARKET_VALUE_COMPANY(0,,,USD,,0,,"LEGACY")&lt;/Q&gt;&lt;R&gt;1&lt;/R&gt;&lt;C&gt;1&lt;/C&gt;&lt;D xsi:type="xsd:double"&gt;498412.114592&lt;/D&gt;&lt;/FQL&gt;&lt;FQL&gt;&lt;Q&gt;FC0000US^FMA_MCAP(0,,,USD,"PORTAGG")&lt;/Q&gt;&lt;R&gt;1&lt;/R&gt;&lt;C&gt;1&lt;/C&gt;&lt;D xsi:type="xsd:double"&gt;52196920&lt;/D&gt;&lt;/FQL&gt;&lt;FQL&gt;&lt;Q&gt;QQQ^FREF_MARKET_VALUE_COMPANY(0,,,USD,,0,,"LEGACY")&lt;/Q&gt;&lt;R&gt;1&lt;/R&gt;&lt;C&gt;1&lt;/C&gt;&lt;D xsi:type="xsd:double"&gt;245895.3575&lt;/D&gt;&lt;/FQL&gt;&lt;FQL&gt;&lt;Q&gt;EWU^FREF_MARKET_VALUE_COMPANY(0,,,USD,,0,,"LEGACY")&lt;/Q&gt;&lt;R&gt;1&lt;/R&gt;&lt;C&gt;1&lt;/C&gt;&lt;D xsi:type="xsd:double"&gt;2599.74&lt;/D&gt;&lt;/FQL&gt;&lt;FQL&gt;&lt;Q&gt;FC0000GB^FMA_MCAP(0,,,USD,"PORTAGG")&lt;/Q&gt;&lt;R&gt;1&lt;/R&gt;&lt;C&gt;1&lt;/C&gt;&lt;D xsi:type="xsd:double"&gt;3055768.5&lt;/D&gt;&lt;/FQL&gt;&lt;FQL&gt;&lt;Q&gt;EWL^FREF_MARKET_VALUE_COMPANY(0,,,USD,,0,,"LEGACY")&lt;/Q&gt;&lt;R&gt;1&lt;/R&gt;&lt;C&gt;1&lt;/C&gt;&lt;D xsi:type="xsd:double"&gt;999.6075&lt;/D&gt;&lt;/FQL&gt;&lt;FQL&gt;&lt;Q&gt;FC0000CH^FMA_MCAP(0,,,USD,"PORTAGG")&lt;/Q&gt;&lt;R&gt;1&lt;/R&gt;&lt;C&gt;1&lt;/C&gt;&lt;D xsi:type="xsd:double"&gt;2026340.1&lt;/D&gt;&lt;/FQL&gt;&lt;FQL&gt;&lt;Q&gt;EWJ^FREF_MARKET_VALUE_COMPANY(0,,,USD,,0,,"LEGACY")&lt;/Q&gt;&lt;R&gt;1&lt;/R&gt;&lt;C&gt;1&lt;/C&gt;&lt;D xsi:type="xsd:double"&gt;16364.6385&lt;/D&gt;&lt;/FQL&gt;&lt;FQL&gt;&lt;Q&gt;FC0000JP^FMA_MCAP(0,,,USD,"PORTAGG")&lt;/Q&gt;&lt;R&gt;1&lt;/R&gt;&lt;C&gt;1&lt;/C&gt;&lt;D xsi:type="xsd:double"&gt;6367850.5&lt;/D&gt;&lt;/FQL&gt;&lt;FQL&gt;&lt;Q&gt;EWG^FREF_MARKET_VALUE_COMPANY(0,,,USD,,0,,"LEGACY")&lt;/Q&gt;&lt;R&gt;1&lt;/R&gt;&lt;C&gt;1&lt;/C&gt;&lt;D xsi:type="xsd:double"&gt;973.296&lt;/D&gt;&lt;/FQL&gt;&lt;FQL&gt;&lt;Q&gt;FC0000DE^FMA_MCAP(0,,,USD,"PORTAGG")&lt;/Q&gt;&lt;R&gt;1&lt;/R&gt;&lt;C&gt;1&lt;/C&gt;&lt;D xsi:type="xsd:double"&gt;2223028&lt;/D&gt;&lt;/FQL&gt;&lt;FQL&gt;&lt;Q&gt;EWC^FREF_MARKET_VALUE_COMPANY(0,,,USD,,0,,"LEGACY")&lt;/Q&gt;&lt;R&gt;1&lt;/R&gt;&lt;C&gt;1&lt;/C&gt;&lt;D xsi:type="xsd:double"&gt;2741.64&lt;/D&gt;&lt;/FQL&gt;&lt;FQL&gt;&lt;Q&gt;FC0000CA^FMA_MCAP(0,,,USD,"PORTAGG")&lt;/Q&gt;&lt;R&gt;1&lt;/R&gt;&lt;C&gt;1&lt;/C&gt;&lt;D xsi:type="xsd:double"&gt;2658612.5&lt;/D&gt;&lt;/FQL&gt;&lt;FQL&gt;&lt;Q&gt;EWA^FREF_MARKET_VALUE_COMPANY(0,,,USD,,0,,"LEGACY")&lt;/Q&gt;&lt;R&gt;1&lt;/R&gt;&lt;C&gt;1&lt;/C&gt;&lt;D xsi:type="xsd:double"&gt;1696.24&lt;/D&gt;&lt;/FQL&gt;&lt;FQL&gt;&lt;Q&gt;FC0000AU^FMA_MCAP(0,,,USD,"PORTAGG")&lt;/Q&gt;&lt;R&gt;1&lt;/R&gt;&lt;C&gt;1&lt;/C&gt;&lt;D xsi:type="xsd:double"&gt;1612711.9&lt;/D&gt;&lt;/FQL&gt;&lt;FQL&gt;&lt;Q&gt;ENZL^FREF_MARKET_VALUE_COMPANY(0,,,USD,,0,,"LEGACY")&lt;/Q&gt;&lt;R&gt;1&lt;/R&gt;&lt;C&gt;1&lt;/C&gt;&lt;D xsi:type="xsd:double"&gt;85.8&lt;/D&gt;&lt;/FQL&gt;&lt;FQL&gt;&lt;Q&gt;FC0000NZ^FMA_MCAP(0,,,USD,"PORTAGG")&lt;/Q&gt;&lt;R&gt;1&lt;/R&gt;&lt;C&gt;1&lt;/C&gt;&lt;D xsi:type="xsd:double"&gt;88983.984&lt;/D&gt;&lt;/FQL&gt;&lt;FQL&gt;&lt;Q&gt;NQG00809^FG_COMPANY_NAME&lt;/Q&gt;&lt;R&gt;1&lt;/R&gt;&lt;C&gt;1&lt;/C&gt;&lt;D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xsi:type="xsd:double"&gt;50.388508&lt;/D&gt;&lt;/FQL&gt;&lt;FQL&gt;&lt;Q&gt;DUMMY^ECON_EXPR_DATA('FDS_ECON[NTCPMIMFGSA@FR]',,,M)&lt;/Q&gt;&lt;R&gt;1&lt;/R&gt;&lt;C&gt;1&lt;/C&gt;&lt;D xsi:type="xsd:double"&gt;46.246628&lt;/D&gt;&lt;/FQL&gt;&lt;FQL&gt;&lt;Q&gt;DUMMY^ECON_EXPR_DATA('FDS_ECON[NTCPMIMFGMESA@US]',,,M)&lt;/Q&gt;&lt;R&gt;1&lt;/R&gt;&lt;C&gt;1&lt;/C&gt;&lt;D xsi:type="xsd:double"&gt;51.857662&lt;/D&gt;&lt;/FQL&gt;&lt;FQL&gt;&lt;Q&gt;DUMMY^ECON_EXPR_DATA('FDS_ECON[NTCPMIMFGSA@CH]',,,M)&lt;/Q&gt;&lt;R&gt;1&lt;/R&gt;&lt;C&gt;1&lt;/C&gt;&lt;D xsi:type="xsd:double"&gt;45.16902&lt;/D&gt;&lt;/FQL&gt;&lt;FQL&gt;&lt;Q&gt;DUMMY^ECON_EXPR_DATA('FDS_ECON[NTCPMIMFGSA@CA]',,,M)&lt;/Q&gt;&lt;R&gt;1&lt;/R&gt;&lt;C&gt;1&lt;/C&gt;&lt;D xsi:type="xsd:double"&gt;49.82964&lt;/D&gt;&lt;/FQL&gt;&lt;FQL&gt;&lt;Q&gt;DUMMY^ECON_EXPR_DATA('FDS_ECON[]',,,M)&lt;/Q&gt;&lt;R&gt;0&lt;/R&gt;&lt;C&gt;0&lt;/C&gt;&lt;/FQL&gt;&lt;FQL&gt;&lt;Q&gt;DUMMY^ECON_EXPR_DATA('FDS_ECON[NTCPMIMFGSA@DE]',,,M)&lt;/Q&gt;&lt;R&gt;1&lt;/R&gt;&lt;C&gt;1&lt;/C&gt;&lt;D xsi:type="xsd:double"&gt;41.885403&lt;/D&gt;&lt;/FQL&gt;&lt;FQL&gt;&lt;Q&gt;DUMMY^ECON_EXPR_DATA('FDS_ECON[NTCPMIMFGSA@NZ]',,,M)&lt;/Q&gt;&lt;R&gt;1&lt;/R&gt;&lt;C&gt;1&lt;/C&gt;&lt;D xsi:type="xsd:double"&gt;47.066513&lt;/D&gt;&lt;/FQL&gt;&lt;FQL&gt;&lt;Q&gt;DUMMY^ECON_EXPR_DATA('FDS_ECON[NTCPMIMFGSA@NL]',,,M)&lt;/Q&gt;&lt;R&gt;1&lt;/R&gt;&lt;C&gt;1&lt;/C&gt;&lt;D xsi:type="xsd:double"&gt;49.698322&lt;/D&gt;&lt;/FQL&gt;&lt;FQL&gt;&lt;Q&gt;DUMMY^ECON_EXPR_DATA('FDS_ECON[NTCPMIMFGSA@JP]',,,M)&lt;/Q&gt;&lt;R&gt;1&lt;/R&gt;&lt;C&gt;1&lt;/C&gt;&lt;D xsi:type="xsd:double"&gt;48.224022&lt;/D&gt;&lt;/FQL&gt;&lt;FQL&gt;&lt;Q&gt;DUMMY^ECON_EXPR_DATA('FDS_ECON[NTCPMIMFGSA@AU]',,,M)&lt;/Q&gt;&lt;R&gt;1&lt;/R&gt;&lt;C&gt;1&lt;/C&gt;&lt;D xsi:type="xsd:double"&gt;47.25435&lt;/D&gt;&lt;/FQL&gt;&lt;FQL&gt;&lt;Q&gt;DUMMY^ECON_EXPR_DATA('FDS_ECON[NTCPMIMFGSA@GB]',,,M)&lt;/Q&gt;&lt;R&gt;1&lt;/R&gt;&lt;C&gt;1&lt;/C&gt;&lt;D xsi:type="xsd:double"&gt;50.269836&lt;/D&gt;&lt;/FQL&gt;&lt;FQL&gt;&lt;Q&gt;CAGDPY@FR^EE_ACTUAL_ANNUAL(MED,+1)&lt;/Q&gt;&lt;R&gt;1&lt;/R&gt;&lt;C&gt;1&lt;/C&gt;&lt;D xsi:type="xsd:double"&gt;-1.15&lt;/D&gt;&lt;/FQL&gt;&lt;FQL&gt;&lt;Q&gt;CAGDPY@AU^EE_ACTUAL_ANNUAL(MED,+1)&lt;/Q&gt;&lt;R&gt;1&lt;/R&gt;&lt;C&gt;1&lt;/C&gt;&lt;D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xsi:type="xsd:double"&gt;1.8394232&lt;/D&gt;&lt;/FQL&gt;&lt;FQL&gt;&lt;Q&gt;USDANG^FG_PRICE_CHANGE(0,-3AM)&lt;/Q&gt;&lt;R&gt;1&lt;/R&gt;&lt;C&gt;1&lt;/C&gt;&lt;D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xsi:type="xsd:double"&gt;1.8199325&lt;/D&gt;&lt;/FQL&gt;&lt;FQL&gt;&lt;Q&gt;USDJPY^FG_PRICE_CHANGE(0,-3AM)&lt;/Q&gt;&lt;R&gt;1&lt;/R&gt;&lt;C&gt;1&lt;/C&gt;&lt;D xsi:type="xsd:double"&gt;4.3388724&lt;/D&gt;&lt;/FQL&gt;&lt;FQL&gt;&lt;Q&gt;USDCAD^FG_PRICE_CHANGE(0,-3AM)&lt;/Q&gt;&lt;R&gt;1&lt;/R&gt;&lt;C&gt;1&lt;/C&gt;&lt;D xsi:type="xsd:double"&gt;1.7682076&lt;/D&gt;&lt;/FQL&gt;&lt;FQL&gt;&lt;Q&gt;USDNZD^FG_PRICE_CHANGE(0,-3AM)&lt;/Q&gt;&lt;R&gt;1&lt;/R&gt;&lt;C&gt;1&lt;/C&gt;&lt;D xsi:type="xsd:double"&gt;3.1957984&lt;/D&gt;&lt;/FQL&gt;&lt;FQL&gt;&lt;Q&gt;EWA^FMA_EPS(NTMA,-20AY,0,CY,,"PORTAGG","MEANR")&lt;/Q&gt;&lt;R&gt;20&lt;/R&gt;&lt;C&gt;1&lt;/C&gt;&lt;D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xsi:type="xsd:long"&gt;45400&lt;/D&gt;&lt;/FQL&gt;&lt;FQL&gt;&lt;Q&gt;EWD^FMA_DIV_YLD(NTMA,-10AY,0,AM,"PORTAGG","MEANR")&lt;/Q&gt;&lt;R&gt;121&lt;/R&gt;&lt;C&gt;1&lt;/C&gt;&lt;D xsi:type="xsd:double"&gt;4.10658685633339&lt;/D&gt;&lt;D xsi:type="xsd:double"&gt;4.05699706704334&lt;/D&gt;&lt;D xsi:type="xsd:double"&gt;4.1471512154331&lt;/D&gt;&lt;D xsi:type="xsd:double"&gt;4.18380595564762&lt;/D&gt;&lt;D xsi:type="xsd:double"&gt;4.26069884142551&lt;/D&gt;&lt;D xsi:type="xsd:double"&gt;4.14325691173149&lt;/D&gt;&lt;D xsi:type="xsd:double"&gt;4.50271891342975&lt;/D&gt;&lt;D xsi:type="xsd:double"&gt;4.14271359646743&lt;/D&gt;&lt;D xsi:type="xsd:double"&gt;4.15425656112496&lt;/D&gt;&lt;D xsi:type="xsd:double"&gt;4.10853464384359&lt;/D&gt;&lt;D xsi:type="xsd:double"&gt;3.67128737280383&lt;/D&gt;&lt;D xsi:type="xsd:double"&gt;3.59335678983807&lt;/D&gt;&lt;D xsi:type="xsd:double"&gt;3.71477611230126&lt;/D&gt;&lt;D xsi:type="xsd:double"&gt;3.83964527514921&lt;/D&gt;&lt;D xsi:type="xsd:double"&gt;4.02026369754913&lt;/D&gt;&lt;D xsi:type="xsd:double"&gt;3.88469336882092&lt;/D&gt;&lt;D xsi:type="xsd:double"&gt;4.05897257367556&lt;/D&gt;&lt;D xsi:type="xsd:double"&gt;4.45085881548837&lt;/D&gt;&lt;D xsi:type="xsd:double"&gt;4.39694919424729&lt;/D&gt;&lt;D xsi:type="xsd:double"&gt;4.16521830291504&lt;/D&gt;&lt;D xsi:type="xsd:double"&gt;4.39867641082854&lt;/D&gt;&lt;D xsi:type="xsd:double"&gt;4.75612412835376&lt;/D&gt;&lt;D xsi:type="xsd:double"&gt;4.39780050447432&lt;/D&gt;&lt;D xsi:type="xsd:double"&gt;4.31475585889011&lt;/D&gt;&lt;D xsi:type="xsd:double"&gt;4.33022589320129&lt;/D&gt;&lt;D xsi:type="xsd:double"&gt;4.45357640181301&lt;/D&gt;&lt;D xsi:type="xsd:double"&gt;4.61394995042471&lt;/D&gt;&lt;D xsi:type="xsd:double"&gt;4.36659523625678&lt;/D&gt;&lt;D xsi:type="xsd:double"&gt;4.25428395150704&lt;/D&gt;&lt;D xsi:type="xsd:double"&gt;4.28130521897875&lt;/D&gt;&lt;D xsi:type="xsd:double"&gt;4.07661703826407&lt;/D&gt;&lt;D xsi:type="xsd:double"&gt;4.04312774345562&lt;/D&gt;&lt;D xsi:type="xsd:double"&gt;3.83182065589598&lt;/D&gt;&lt;D xsi:type="xsd:double"&gt;3.89951512015294&lt;/D&gt;&lt;D xsi:type="xsd:double"&gt;3.64412621412014&lt;/D&gt;&lt;D xsi:type="xsd:double"&gt;3.63830171573328&lt;/D&gt;&lt;D xsi:type="xsd:double"&gt;3.69664506546369&lt;/D&gt;&lt;D xsi:type="xsd:double"&gt;3.43040551157493&lt;/D&gt;&lt;D xsi:type="xsd:double"&gt;3.52322416659464&lt;/D&gt;&lt;D xsi:type="xsd:double"&gt;3.61571399774354&lt;/D&gt;&lt;D xsi:type="xsd:double"&gt;3.79287067293053&lt;/D&gt;&lt;D xsi:type="xsd:double"&gt;3.69017388335513&lt;/D&gt;&lt;D xsi:type="xsd:double"&gt;3.5681633816885&lt;/D&gt;&lt;D xsi:type="xsd:double"&gt;3.64140213389896&lt;/D&gt;&lt;D xsi:type="xsd:double"&gt;3.67701310647497&lt;/D&gt;&lt;D xsi:type="xsd:double"&gt;3.65624177557271&lt;/D&gt;&lt;D xsi:type="xsd:double"&gt;3.88809065457878&lt;/D&gt;&lt;D xsi:type="xsd:double"&gt;3.88744848062447&lt;/D&gt;&lt;D xsi:type="xsd:double"&gt;4.0524072494578&lt;/D&gt;&lt;D xsi:type="xsd:double"&gt;3.94415889676687&lt;/D&gt;&lt;D xsi:type="xsd:double"&gt;4.12203058095518&lt;/D&gt;&lt;D xsi:type="xsd:double"&gt;4.14062963926887&lt;/D&gt;&lt;D xsi:type="xsd:double"&gt;4.09517429964534&lt;/D&gt;&lt;D xsi:type="xsd:double"&gt;4.12590335616309&lt;/D&gt;&lt;D xsi:type="xsd:double"&gt;4.30088539047595&lt;/D&gt;&lt;D xsi:type="xsd:double"&gt;4.46993840135065&lt;/D&gt;&lt;D xsi:type="xsd:double"&gt;4.63828395360975&lt;/D&gt;&lt;D xsi:type="xsd:double"&gt;4.37893456688104&lt;/D&gt;&lt;D xsi:type="xsd:double"&gt;4.12241564004056&lt;/D&gt;&lt;D xsi:type="xsd:double"&gt;4.07994369957444&lt;/D&gt;&lt;D xsi:type="xsd:double"&gt;3.96434695606085&lt;/D&gt;&lt;D xsi:type="xsd:double"&gt;4.19112178304092&lt;/D&gt;&lt;D xsi:type="xsd:double"&gt;4.19086964083461&lt;/D&gt;&lt;D xsi:type="xsd:double"&gt;4.11447485773675&lt;/D&gt;&lt;D xsi:type="xsd:double"&gt;4.32526034929052&lt;/D&gt;&lt;D xsi:type="xsd:double"&gt;3.89842056387304&lt;/D&gt;&lt;D xsi:type="xsd:double"&gt;3.83992569534479&lt;/D&gt;&lt;D xsi:type="xsd:double"&gt;3.67933632702952&lt;/D&gt;&lt;D xsi:type="xsd:double"&gt;3.5668989256817&lt;/D&gt;&lt;D xsi:type="xsd:double"&gt;3.49657380864174&lt;/D&gt;&lt;D xsi:type="xsd:double"&gt;3.42334633579844&lt;/D&gt;&lt;D xsi:type="xsd:double"&gt;4.77898563931625&lt;/D&gt;&lt;D xsi:type="xsd:double"&gt;3.44717895495353&lt;/D&gt;&lt;D xsi:type="xsd:double"&gt;3.28511940316675&lt;/D&gt;&lt;D xsi:type="xsd:double"&gt;3.02652232676363&lt;/D&gt;&lt;D xsi:type="xsd:double"&gt;2.92829050799155&lt;/D&gt;&lt;D xsi:type="xsd:double"&gt;3.01879527838143&lt;/D&gt;&lt;D xsi:type="xsd:double"&gt;2.96360070125199&lt;/D&gt;&lt;D xsi:type="xsd:double"&gt;3.02115292514155&lt;/D&gt;&lt;D xsi:type="xsd:double"&gt;3.01163572049708&lt;/D&gt;&lt;D xsi:type="xsd:double"&gt;3.07918785637133&lt;/D&gt;&lt;D xsi:type="xsd:double"&gt;3.0127729206983&lt;/D&gt;&lt;D xsi:type="xsd:double"&gt;2.98631746002772&lt;/D&gt;&lt;D xsi:type="xsd:double"&gt;2.77572785838734&lt;/D&gt;&lt;D xsi:type="xsd:double"&gt;2.67739967093212&lt;/D&gt;&lt;D xsi:type="xsd:double"&gt;2.83525342166626&lt;/D&gt;&lt;D xsi:type="xsd:double"&gt;2.71030861114013&lt;/D&gt;&lt;D xsi:type="xsd:double"&gt;2.68426057221577&lt;/D&gt;&lt;D xsi:type="xsd:double"&gt;2.74275685065575&lt;/D&gt;&lt;D xsi:type="xsd:double"&gt;2.78291656286128&lt;/D&gt;&lt;D xsi:type="xsd:double"&gt;2.82566397647406&lt;/D&gt;&lt;D xsi:type="xsd:double"&gt;2.93474621382371&lt;/D&gt;&lt;D xsi:type="xsd:double"&gt;2.97097185833616&lt;/D&gt;&lt;D xsi:type="xsd:double"&gt;2.81289831392558&lt;/D&gt;&lt;D xsi:type="xsd:double"&gt;3.06800296030138&lt;/D&gt;&lt;D xsi:type="xsd:double"&gt;3.02486633232152&lt;/D&gt;&lt;D xsi:type="xsd:double"&gt;3.1673914547519&lt;/D&gt;&lt;D xsi:type="xsd:double"&gt;3.4242421727883&lt;/D&gt;&lt;D xsi:type="xsd:double"&gt;3.62136001734343&lt;/D&gt;&lt;D xsi:type="xsd:double"&gt;3.69359853179673&lt;/D&gt;&lt;D xsi:type="xsd:double"&gt;3.46342658468236&lt;/D&gt;&lt;D xsi:type="xsd:double"&gt;3.77923447684383&lt;/D&gt;&lt;D xsi:type="xsd:double"&gt;3.6252791014593&lt;/D&gt;&lt;D xsi:type="xsd:double"&gt;3.61986969368066&lt;/D&gt;&lt;D xsi:type="xsd:double"&gt;3.73026996489475&lt;/D&gt;&lt;D xsi:type="xsd:double"&gt;3.4917374855988&lt;/D&gt;&lt;D xsi:type="xsd:double"&gt;3.52159941920069&lt;/D&gt;&lt;D xsi:type="xsd:double"&gt;3.83499467178376&lt;/D&gt;&lt;D xsi:type="xsd:double"&gt;3.59480363676915&lt;/D&gt;&lt;D xsi:type="xsd:double"&gt;3.75460426934308&lt;/D&gt;&lt;D xsi:type="xsd:double"&gt;3.67220525828507&lt;/D&gt;&lt;D xsi:type="xsd:double"&gt;3.78036970523814&lt;/D&gt;&lt;D xsi:type="xsd:double"&gt;4.00985817859547&lt;/D&gt;&lt;D xsi:type="xsd:double"&gt;3.96341420123974&lt;/D&gt;&lt;D xsi:type="xsd:double"&gt;3.84198653529365&lt;/D&gt;&lt;D xsi:type="xsd:double"&gt;3.7011214646836&lt;/D&gt;&lt;D xsi:type="xsd:double"&gt;2.95228350203&lt;/D&gt;&lt;D xsi:type="xsd:double"&gt;3.05813118590169&lt;/D&gt;&lt;D xsi:type="xsd:double"&gt;3.33119206438515&lt;/D&gt;&lt;D xsi:type="xsd:double"&gt;3.21925755319286&lt;/D&gt;&lt;D xsi:type="xsd:double"&gt;3.27732794893413&lt;/D&gt;&lt;/FQL&gt;&lt;FQL&gt;&lt;Q&gt;EWQ^FMA_PE(NTMA,-10AY,0,AM,"PORTAGG","MEANR")&lt;/Q&gt;&lt;R&gt;121&lt;/R&gt;&lt;C&gt;1&lt;/C&gt;&lt;D xsi:type="xsd:double"&gt;13.87773036983&lt;/D&gt;&lt;D xsi:type="xsd:double"&gt;14.036757254923&lt;/D&gt;&lt;D xsi:type="xsd:double"&gt;14.262942046125&lt;/D&gt;&lt;D xsi:type="xsd:double"&gt;13.6361817897718&lt;/D&gt;&lt;D xsi:type="xsd:double"&gt;13.2638355602104&lt;/D&gt;&lt;D xsi:type="xsd:double"&gt;13.8150294326407&lt;/D&gt;&lt;D xsi:type="xsd:double"&gt;12.5489153992832&lt;/D&gt;&lt;D xsi:type="xsd:double"&gt;13.3739452142969&lt;/D&gt;&lt;D xsi:type="xsd:double"&gt;13.6642205665739&lt;/D&gt;&lt;D xsi:type="xsd:double"&gt;14.3101186853963&lt;/D&gt;&lt;D xsi:type="xsd:double"&gt;15.9595539724101&lt;/D&gt;&lt;D xsi:type="xsd:double"&gt;16.5420706782688&lt;/D&gt;&lt;D xsi:type="xsd:double"&gt;16.681820367625&lt;/D&gt;&lt;D xsi:type="xsd:double"&gt;16.2304118300615&lt;/D&gt;&lt;D xsi:type="xsd:double"&gt;15.3773297974517&lt;/D&gt;&lt;D xsi:type="xsd:double"&gt;16.079066522745&lt;/D&gt;&lt;D xsi:type="xsd:double"&gt;15.3308677496785&lt;/D&gt;&lt;D xsi:type="xsd:double"&gt;14.1155153182944&lt;/D&gt;&lt;D xsi:type="xsd:double"&gt;14.6125367310741&lt;/D&gt;&lt;D xsi:type="xsd:double"&gt;15.2278709758064&lt;/D&gt;&lt;D xsi:type="xsd:double"&gt;14.5218531465315&lt;/D&gt;&lt;D xsi:type="xsd:double"&gt;13.4651441857621&lt;/D&gt;&lt;D xsi:type="xsd:double"&gt;13.8843484260046&lt;/D&gt;&lt;D xsi:type="xsd:double"&gt;14.5840893406383&lt;/D&gt;&lt;D xsi:type="xsd:double"&gt;14.735973644746&lt;/D&gt;&lt;D xsi:type="xsd:double"&gt;14.1093168232334&lt;/D&gt;&lt;D xsi:type="xsd:double"&gt;13.4661705103172&lt;/D&gt;&lt;D xsi:type="xsd:double"&gt;13.9280081902963&lt;/D&gt;&lt;D xsi:type="xsd:double"&gt;13.9936144545503&lt;/D&gt;&lt;D xsi:type="xsd:double"&gt;13.6024941273295&lt;/D&gt;&lt;D xsi:type="xsd:double"&gt;13.9861027491849&lt;/D&gt;&lt;D xsi:type="xsd:double"&gt;13.6909639448354&lt;/D&gt;&lt;D xsi:type="xsd:double"&gt;14.5158717167062&lt;/D&gt;&lt;D xsi:type="xsd:double"&gt;14.5177077673905&lt;/D&gt;&lt;D xsi:type="xsd:double"&gt;14.273920010363&lt;/D&gt;&lt;D xsi:type="xsd:double"&gt;14.6149066064755&lt;/D&gt;&lt;D xsi:type="xsd:double"&gt;14.4744740320449&lt;/D&gt;&lt;D xsi:type="xsd:double"&gt;15.1226104411049&lt;/D&gt;&lt;D xsi:type="xsd:double"&gt;14.9809724417214&lt;/D&gt;&lt;D xsi:type="xsd:double"&gt;14.7796352235972&lt;/D&gt;&lt;D xsi:type="xsd:double"&gt;14.5083152258111&lt;/D&gt;&lt;D xsi:type="xsd:double"&gt;14.8685672333167&lt;/D&gt;&lt;D xsi:type="xsd:double"&gt;15.2075955058969&lt;/D&gt;&lt;D xsi:type="xsd:double"&gt;14.8219308118101&lt;/D&gt;&lt;D xsi:type="xsd:double"&gt;15.1032248714443&lt;/D&gt;&lt;D xsi:type="xsd:double"&gt;15.2243997386986&lt;/D&gt;&lt;D xsi:type="xsd:double"&gt;14.6009205691885&lt;/D&gt;&lt;D xsi:type="xsd:double"&gt;14.5360915971499&lt;/D&gt;&lt;D xsi:type="xsd:double"&gt;14.6439213743632&lt;/D&gt;&lt;D xsi:type="xsd:double"&gt;14.9174272652125&lt;/D&gt;&lt;D xsi:type="xsd:double"&gt;14.3617620895396&lt;/D&gt;&lt;D xsi:type="xsd:double"&gt;14.1611141759974&lt;/D&gt;&lt;D xsi:type="xsd:double"&gt;13.6578535341948&lt;/D&gt;&lt;D xsi:type="xsd:double"&gt;13.619201706488&lt;/D&gt;&lt;D xsi:type="xsd:double"&gt;12.8480191887347&lt;/D&gt;&lt;D xsi:type="xsd:double"&gt;12.6135588062794&lt;/D&gt;&lt;D xsi:type="xsd:double"&gt;11.9715870651085&lt;/D&gt;&lt;D xsi:type="xsd:double"&gt;12.5377029770586&lt;/D&gt;&lt;D xsi:type="xsd:double"&gt;13.1933277057201&lt;/D&gt;&lt;D xsi:type="xsd:double"&gt;13.8245518055016&lt;/D&gt;&lt;D xsi:type="xsd:double"&gt;14.117434404387&lt;/D&gt;&lt;D xsi:type="xsd:double"&gt;13.754216614496&lt;/D&gt;&lt;D xsi:type="xsd:double"&gt;13.8425102907275&lt;/D&gt;&lt;D xsi:type="xsd:double"&gt;13.9892381417284&lt;/D&gt;&lt;D xsi:type="xsd:double"&gt;13.4067156635136&lt;/D&gt;&lt;D xsi:type="xsd:double"&gt;14.1035114162592&lt;/D&gt;&lt;D xsi:type="xsd:double"&gt;14.2395568006937&lt;/D&gt;&lt;D xsi:type="xsd:double"&gt;14.8367861856618&lt;/D&gt;&lt;D xsi:type="xsd:double"&gt;14.8549966137264&lt;/D&gt;&lt;D xsi:type="xsd:double"&gt;15.1735496145974&lt;/D&gt;&lt;D xsi:type="xsd:double"&gt;15.1940060503446&lt;/D&gt;&lt;D xsi:type="xsd:double"&gt;10.0410668195819&lt;/D&gt;&lt;D xsi:type="xsd:double"&gt;15.2151726039703&lt;/D&gt;&lt;D xsi:type="xsd:double"&gt;16.7251140382886&lt;/D&gt;&lt;D xsi:type="xsd:double"&gt;18.8169585849043&lt;/D&gt;&lt;D xsi:type="xsd:double"&gt;19.7965740983632&lt;/D&gt;&lt;D xsi:type="xsd:double"&gt;19.5747112269878&lt;/D&gt;&lt;D xsi:type="xsd:double"&gt;18.8765615833967&lt;/D&gt;&lt;D xsi:type="xsd:double"&gt;18.2304175070353&lt;/D&gt;&lt;D xsi:type="xsd:double"&gt;19.2308878332871&lt;/D&gt;&lt;D xsi:type="xsd:double"&gt;18.2775390543907&lt;/D&gt;&lt;D xsi:type="xsd:double"&gt;17.8580785068537&lt;/D&gt;&lt;D xsi:type="xsd:double"&gt;17.8953124024518&lt;/D&gt;&lt;D xsi:type="xsd:double"&gt;18.4694901962062&lt;/D&gt;&lt;D xsi:type="xsd:double"&gt;18.3467198727171&lt;/D&gt;&lt;D xsi:type="xsd:double"&gt;17.7071057432453&lt;/D&gt;&lt;D xsi:type="xsd:double"&gt;17.8114601386069&lt;/D&gt;&lt;D xsi:type="xsd:double"&gt;16.8656119977045&lt;/D&gt;&lt;D xsi:type="xsd:double"&gt;16.5586850823139&lt;/D&gt;&lt;D xsi:type="xsd:double"&gt;15.8907161753266&lt;/D&gt;&lt;D xsi:type="xsd:double"&gt;15.5470690173931&lt;/D&gt;&lt;D xsi:type="xsd:double"&gt;16.0220112935915&lt;/D&gt;&lt;D xsi:type="xsd:double"&gt;15.3728517893677&lt;/D&gt;&lt;D xsi:type="xsd:double"&gt;15.5055143703074&lt;/D&gt;&lt;D xsi:type="xsd:double"&gt;14.5086923030259&lt;/D&gt;&lt;D xsi:type="xsd:double"&gt;13.7353897263833&lt;/D&gt;&lt;D xsi:type="xsd:double"&gt;13.1477264725815&lt;/D&gt;&lt;D xsi:type="xsd:double"&gt;12.1305526803288&lt;/D&gt;&lt;D xsi:type="xsd:double"&gt;11.1531368733634&lt;/D&gt;&lt;D xsi:type="xsd:double"&gt;11.3081622152764&lt;/D&gt;&lt;D xsi:type="xsd:double"&gt;11.8050199614155&lt;/D&gt;&lt;D xsi:type="xsd:double"&gt;10.9692002733878&lt;/D&gt;&lt;D xsi:type="xsd:double"&gt;10.8128355222207&lt;/D&gt;&lt;D xsi:type="xsd:double"&gt;11.9352685096227&lt;/D&gt;&lt;D xsi:type="xsd:double"&gt;11.7529638088832&lt;/D&gt;&lt;D xsi:type="xsd:double"&gt;13.0725024594034&lt;/D&gt;&lt;D xsi:type="xsd:double"&gt;13.4427265686096&lt;/D&gt;&lt;D xsi:type="xsd:double"&gt;12.5903534248567&lt;/D&gt;&lt;D xsi:type="xsd:double"&gt;13.7230486302489&lt;/D&gt;&lt;D xsi:type="xsd:double"&gt;13.3668978210077&lt;/D&gt;&lt;D xsi:type="xsd:double"&gt;13.3461550047671&lt;/D&gt;&lt;D xsi:type="xsd:double"&gt;13.1986817540371&lt;/D&gt;&lt;D xsi:type="xsd:double"&gt;12.7073823799177&lt;/D&gt;&lt;D xsi:type="xsd:double"&gt;12.8162933209845&lt;/D&gt;&lt;D xsi:type="xsd:double"&gt;12.171171633912&lt;/D&gt;&lt;D xsi:type="xsd:double"&gt;12.8232715230129&lt;/D&gt;&lt;D xsi:type="xsd:double"&gt;13.4273472129046&lt;/D&gt;&lt;D xsi:type="xsd:double"&gt;13.228809801529&lt;/D&gt;&lt;D xsi:type="xsd:double"&gt;13.9967806829472&lt;/D&gt;&lt;D xsi:type="xsd:double"&gt;14.617233072561&lt;/D&gt;&lt;D xsi:type="xsd:double"&gt;14.3742650847746&lt;/D&gt;&lt;/FQL&gt;&lt;FQL&gt;&lt;Q&gt;QQQ^FMA_PE(LTMA,-10AY,0,AM,"PORTAGG","MEANR")&lt;/Q&gt;&lt;R&gt;121&lt;/R&gt;&lt;C&gt;1&lt;/C&gt;&lt;D xsi:type="xsd:double"&gt;18.8801493608707&lt;/D&gt;&lt;D xsi:type="xsd:double"&gt;18.6988801069234&lt;/D&gt;&lt;D xsi:type="xsd:double"&gt;18.9533380896504&lt;/D&gt;&lt;D xsi:type="xsd:double"&gt;19.2043659196476&lt;/D&gt;&lt;D xsi:type="xsd:double"&gt;19.2815923737566&lt;/D&gt;&lt;D xsi:type="xsd:double"&gt;19.5114343046984&lt;/D&gt;&lt;D xsi:type="xsd:double"&gt;18.4466686644066&lt;/D&gt;&lt;D xsi:type="xsd:double"&gt;20.1160543310593&lt;/D&gt;&lt;D xsi:type="xsd:double"&gt;20.2529168629619&lt;/D&gt;&lt;D xsi:type="xsd:double"&gt;19.5352133605673&lt;/D&gt;&lt;D xsi:type="xsd:double"&gt;20.4984932391602&lt;/D&gt;&lt;D xsi:type="xsd:double"&gt;20.6485317907084&lt;/D&gt;&lt;D xsi:type="xsd:double"&gt;20.3862357443063&lt;/D&gt;&lt;D xsi:type="xsd:double"&gt;20.3449641196392&lt;/D&gt;&lt;D xsi:type="xsd:double"&gt;20.2105916569216&lt;/D&gt;&lt;D xsi:type="xsd:double"&gt;20.4773335090047&lt;/D&gt;&lt;D xsi:type="xsd:double"&gt;20.2612961048779&lt;/D&gt;&lt;D xsi:type="xsd:double"&gt;19.4882471788593&lt;/D&gt;&lt;D xsi:type="xsd:double"&gt;19.7522977909972&lt;/D&gt;&lt;D xsi:type="xsd:double"&gt;20.3607175236638&lt;/D&gt;&lt;D xsi:type="xsd:double"&gt;19.7733955250887&lt;/D&gt;&lt;D xsi:type="xsd:double"&gt;18.2634328835928&lt;/D&gt;&lt;D xsi:type="xsd:double"&gt;18.1874866214075&lt;/D&gt;&lt;D xsi:type="xsd:double"&gt;18.3033545742248&lt;/D&gt;&lt;D xsi:type="xsd:double"&gt;18.5050568707305&lt;/D&gt;&lt;D xsi:type="xsd:double"&gt;18.3256455259173&lt;/D&gt;&lt;D xsi:type="xsd:double"&gt;18.3845919335176&lt;/D&gt;&lt;D xsi:type="xsd:double"&gt;19.1387921696444&lt;/D&gt;&lt;D xsi:type="xsd:double"&gt;19.5809939177438&lt;/D&gt;&lt;D xsi:type="xsd:double"&gt;19.6943265831601&lt;/D&gt;&lt;D xsi:type="xsd:double"&gt;19.9490616937055&lt;/D&gt;&lt;D xsi:type="xsd:double"&gt;19.838745730403&lt;/D&gt;&lt;D xsi:type="xsd:double"&gt;20.3620809062086&lt;/D&gt;&lt;D xsi:type="xsd:double"&gt;20.9901546355609&lt;/D&gt;&lt;D xsi:type="xsd:double"&gt;21.7629193504294&lt;/D&gt;&lt;D xsi:type="xsd:double"&gt;21.6915977042496&lt;/D&gt;&lt;D xsi:type="xsd:double"&gt;21.5527077831868&lt;/D&gt;&lt;D xsi:type="xsd:double"&gt;21.7432083297054&lt;/D&gt;&lt;D xsi:type="xsd:double"&gt;21.7612940494373&lt;/D&gt;&lt;D xsi:type="xsd:double"&gt;22.1768664416484&lt;/D&gt;&lt;D xsi:type="xsd:double"&gt;21.8326028711533&lt;/D&gt;&lt;D xsi:type="xsd:double"&gt;22.3279227632851&lt;/D&gt;&lt;D xsi:type="xsd:double"&gt;22.7125248833635&lt;/D&gt;&lt;D xsi:type="xsd:double"&gt;22.9879963290216&lt;/D&gt;&lt;D xsi:type="xsd:double"&gt;23.9527752515297&lt;/D&gt;&lt;D xsi:type="xsd:double"&gt;24.9227298177188&lt;/D&gt;&lt;D xsi:type="xsd:double"&gt;23.9657419816844&lt;/D&gt;&lt;D xsi:type="xsd:double"&gt;24.0713317525567&lt;/D&gt;&lt;D xsi:type="xsd:double"&gt;23.6319454716044&lt;/D&gt;&lt;D xsi:type="xsd:double"&gt;23.1904498258411&lt;/D&gt;&lt;D xsi:type="xsd:double"&gt;23.3993304405297&lt;/D&gt;&lt;D xsi:type="xsd:double"&gt;23.3769301927965&lt;/D&gt;&lt;D xsi:type="xsd:double"&gt;23.0169954039989&lt;/D&gt;&lt;D xsi:type="xsd:double"&gt;23.0061895802286&lt;/D&gt;&lt;D xsi:type="xsd:double"&gt;21.9609768799479&lt;/D&gt;&lt;D xsi:type="xsd:double"&gt;20.7013601011065&lt;/D&gt;&lt;D xsi:type="xsd:double"&gt;19.2624852907969&lt;/D&gt;&lt;D xsi:type="xsd:double"&gt;20.0599763864504&lt;/D&gt;&lt;D xsi:type="xsd:double"&gt;20.7601571034967&lt;/D&gt;&lt;D xsi:type="xsd:double"&gt;21.0044256456574&lt;/D&gt;&lt;D xsi:type="xsd:double"&gt;21.3003007033449&lt;/D&gt;&lt;D xsi:type="xsd:double"&gt;21.2139642958417&lt;/D&gt;&lt;D xsi:type="xsd:double"&gt;21.4780542376089&lt;/D&gt;&lt;D xsi:type="xsd:double"&gt;22.0357886945743&lt;/D&gt;&lt;D xsi:type="xsd:double"&gt;21.6334057157309&lt;/D&gt;&lt;D xsi:type="xsd:double"&gt;22.3094794022072&lt;/D&gt;&lt;D xsi:type="xsd:double"&gt;22.4496336095543&lt;/D&gt;&lt;D xsi:type="xsd:double"&gt;23.672503706063&lt;/D&gt;&lt;D xsi:type="xsd:double"&gt;24.8215739809486&lt;/D&gt;&lt;D xsi:type="xsd:double"&gt;26.6037633295549&lt;/D&gt;&lt;D xsi:type="xsd:double"&gt;27.2010387721113&lt;/D&gt;&lt;D xsi:type="xsd:double"&gt;23.0490799083727&lt;/D&gt;&lt;D xsi:type="xsd:double"&gt;24.6469648731734&lt;/D&gt;&lt;D xsi:type="xsd:double"&gt;25.9332213440601&lt;/D&gt;&lt;D xsi:type="xsd:double"&gt;27.4591023309779&lt;/D&gt;&lt;D xsi:type="xsd:double"&gt;28.7410645015544&lt;/D&gt;&lt;D xsi:type="xsd:double"&gt;29.7879020392057&lt;/D&gt;&lt;D xsi:type="xsd:double"&gt;29.5646294103188&lt;/D&gt;&lt;D xsi:type="xsd:double"&gt;32.1481851227239&lt;/D&gt;&lt;D xsi:type="xsd:double"&gt;31.9808245188666&lt;/D&gt;&lt;D xsi:type="xsd:double"&gt;34.8551378817442&lt;/D&gt;&lt;D xsi:type="xsd:double"&gt;34.7099584657098&lt;/D&gt;&lt;D xsi:type="xsd:double"&gt;35.0426904257409&lt;/D&gt;&lt;D xsi:type="xsd:double"&gt;32.5871905937378&lt;/D&gt;&lt;D xsi:type="xsd:double"&gt;32.933143288729&lt;/D&gt;&lt;D xsi:type="xsd:double"&gt;31.3615506330571&lt;/D&gt;&lt;D xsi:type="xsd:double"&gt;31.5046649464664&lt;/D&gt;&lt;D xsi:type="xsd:double"&gt;31.8082565801585&lt;/D&gt;&lt;D xsi:type="xsd:double"&gt;30.9287981677109&lt;/D&gt;&lt;D xsi:type="xsd:double"&gt;31.2286984097719&lt;/D&gt;&lt;D xsi:type="xsd:double"&gt;30.9111130156204&lt;/D&gt;&lt;D xsi:type="xsd:double"&gt;32.3291042387004&lt;/D&gt;&lt;D xsi:type="xsd:double"&gt;30.8590140055542&lt;/D&gt;&lt;D xsi:type="xsd:double"&gt;29.579456345449&lt;/D&gt;&lt;D xsi:type="xsd:double"&gt;26.3630434404004&lt;/D&gt;&lt;D xsi:type="xsd:double"&gt;26.6823320745723&lt;/D&gt;&lt;D xsi:type="xsd:double"&gt;26.3264958057133&lt;/D&gt;&lt;D xsi:type="xsd:double"&gt;24.9792189975375&lt;/D&gt;&lt;D xsi:type="xsd:double"&gt;24.014463307094&lt;/D&gt;&lt;D xsi:type="xsd:double"&gt;24.279008970886&lt;/D&gt;&lt;D xsi:type="xsd:double"&gt;26.349523780926&lt;/D&gt;&lt;D xsi:type="xsd:double"&gt;24.0252426063436&lt;/D&gt;&lt;D xsi:type="xsd:double"&gt;22.8136079822702&lt;/D&gt;&lt;D xsi:type="xsd:double"&gt;23.5883636088115&lt;/D&gt;&lt;D xsi:type="xsd:double"&gt;22.4861960628732&lt;/D&gt;&lt;D xsi:type="xsd:double"&gt;23.6470893899269&lt;/D&gt;&lt;D xsi:type="xsd:double"&gt;25.7287243995809&lt;/D&gt;&lt;D xsi:type="xsd:double"&gt;25.3557605241914&lt;/D&gt;&lt;D xsi:type="xsd:double"&gt;25.6767752087176&lt;/D&gt;&lt;D xsi:type="xsd:double"&gt;26.1137841534791&lt;/D&gt;&lt;D xsi:type="xsd:double"&gt;27.1854629395225&lt;/D&gt;&lt;D xsi:type="xsd:double"&gt;28.1735901620593&lt;/D&gt;&lt;D xsi:type="xsd:double"&gt;25.9490459968088&lt;/D&gt;&lt;D xsi:type="xsd:double"&gt;26.5542492886915&lt;/D&gt;&lt;D xsi:type="xsd:double"&gt;26.2792815230603&lt;/D&gt;&lt;D xsi:type="xsd:double"&gt;27.506618780786&lt;/D&gt;&lt;D xsi:type="xsd:double"&gt;28.9289539617735&lt;/D&gt;&lt;D xsi:type="xsd:double"&gt;29.2564431427581&lt;/D&gt;&lt;D xsi:type="xsd:double"&gt;29.9190304623893&lt;/D&gt;&lt;D xsi:type="xsd:double"&gt;30.1110928625782&lt;/D&gt;&lt;D xsi:type="xsd:double"&gt;29.5384434851034&lt;/D&gt;&lt;/FQL&gt;&lt;FQL&gt;&lt;Q&gt;DDR3512M-FDS^FG_PRICE(0)&lt;/Q&gt;&lt;R&gt;1&lt;/R&gt;&lt;C&gt;1&lt;/C&gt;&lt;D xsi:type="xsd:double"&gt;0.96972036&lt;/D&gt;&lt;/FQL&gt;&lt;FQL&gt;&lt;Q&gt;PASP-FDS^FG_PRICE(0)&lt;/Q&gt;&lt;R&gt;1&lt;/R&gt;&lt;C&gt;1&lt;/C&gt;&lt;D xsi:type="xsd:double"&gt;1060&lt;/D&gt;&lt;/FQL&gt;&lt;FQL&gt;&lt;Q&gt;PLATI-FDS^FG_PRICE(0)&lt;/Q&gt;&lt;R&gt;1&lt;/R&gt;&lt;C&gt;1&lt;/C&gt;&lt;D xsi:type="xsd:double"&gt;945&lt;/D&gt;&lt;/FQL&gt;&lt;FQL&gt;&lt;Q&gt;DUMMY^ECON_EXPR_DATA('FDS_ECON[NTCPMIMFGSA@EME]',,,M)&lt;/Q&gt;&lt;R&gt;1&lt;/R&gt;&lt;C&gt;1&lt;/C&gt;&lt;D xsi:type="xsd:double"&gt;51.96338&lt;/D&gt;&lt;/FQL&gt;&lt;FQL&gt;&lt;Q&gt;EWD^FMA_ROE(NTMA,-20AY,NOW,FY,"PORTAGG","MEANR")&lt;/Q&gt;&lt;R&gt;20&lt;/R&gt;&lt;C&gt;1&lt;/C&gt;&lt;D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xsi:type="xsd:double"&gt;2.004&lt;/D&gt;&lt;/FQL&gt;&lt;FQL&gt;&lt;Q&gt;EWG^FG_PRICE_MAVG(0,,,,200)&lt;/Q&gt;&lt;R&gt;1&lt;/R&gt;&lt;C&gt;1&lt;/C&gt;&lt;D xsi:type="xsd:double"&gt;28.535&lt;/D&gt;&lt;/FQL&gt;&lt;FQL&gt;&lt;Q&gt;EWI^FG_COMPANY_NAME&lt;/Q&gt;&lt;R&gt;1&lt;/R&gt;&lt;C&gt;1&lt;/C&gt;&lt;D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xsi:type="xsd:double"&gt;0.7884741&lt;/D&gt;&lt;/FQL&gt;&lt;FQL&gt;&lt;Q&gt;CAGDPY@FR^EE_ACTUAL_ANNUAL(MED,0)&lt;/Q&gt;&lt;R&gt;1&lt;/R&gt;&lt;C&gt;1&lt;/C&gt;&lt;D xsi:type="xsd:double"&gt;-0.767964482578006&lt;/D&gt;&lt;/FQL&gt;&lt;FQL&gt;&lt;Q&gt;CAGDPY@AU^EE_ACTUAL_ANNUAL(MED,0)&lt;/Q&gt;&lt;R&gt;1&lt;/R&gt;&lt;C&gt;1&lt;/C&gt;&lt;D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xsi:type="xsd:double"&gt;2.1585107&lt;/D&gt;&lt;/FQL&gt;&lt;FQL&gt;&lt;Q&gt;USDANG^FG_PRICE_CHANGE(0,-1AM)&lt;/Q&gt;&lt;R&gt;1&lt;/R&gt;&lt;C&gt;1&lt;/C&gt;&lt;D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xsi:type="xsd:double"&gt;2.306056&lt;/D&gt;&lt;/FQL&gt;&lt;FQL&gt;&lt;Q&gt;USDJPY^FG_PRICE_CHANGE(0,-1AM)&lt;/Q&gt;&lt;R&gt;1&lt;/R&gt;&lt;C&gt;1&lt;/C&gt;&lt;D xsi:type="xsd:double"&gt;3.6777496&lt;/D&gt;&lt;/FQL&gt;&lt;FQL&gt;&lt;Q&gt;USDCAD^FG_PRICE_CHANGE(0,-1AM)&lt;/Q&gt;&lt;R&gt;1&lt;/R&gt;&lt;C&gt;1&lt;/C&gt;&lt;D xsi:type="xsd:double"&gt;1.5728354&lt;/D&gt;&lt;/FQL&gt;&lt;FQL&gt;&lt;Q&gt;USDNZD^FG_PRICE_CHANGE(0,-1AM)&lt;/Q&gt;&lt;R&gt;1&lt;/R&gt;&lt;C&gt;1&lt;/C&gt;&lt;D xsi:type="xsd:double"&gt;2.8829813&lt;/D&gt;&lt;/FQL&gt;&lt;FQL&gt;&lt;Q&gt;ENZL^FMA_EPS(NTMA,-20AY,0,CY,,"PORTAGG","MEANR")&lt;/Q&gt;&lt;R&gt;20&lt;/R&gt;&lt;C&gt;1&lt;/C&gt;&lt;D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xsi:type="xsd:double"&gt;2.8307319&lt;/D&gt;&lt;D xsi:type="xsd:double"&gt;-5.561799&lt;/D&gt;&lt;D xsi:type="xsd:double"&gt;8.090425&lt;/D&gt;&lt;D xsi:type="xsd:double"&gt;-6.3005805&lt;/D&gt;&lt;D xsi:type="xsd:double"&gt;-6.9088817&lt;/D&gt;&lt;D xsi:type="xsd:double"&gt;3.3909082&lt;/D&gt;&lt;D xsi:type="xsd:double"&gt;-12.1905985&lt;/D&gt;&lt;D xsi:type="xsd:double"&gt;2.889359&lt;/D&gt;&lt;D xsi:type="xsd:double"&gt;-3.7190378&lt;/D&gt;&lt;D xsi:type="xsd:double"&gt;-4.65616&lt;/D&gt;&lt;D xsi:type="xsd:double"&gt;10.668659&lt;/D&gt;&lt;D xsi:type="xsd:double"&gt;-1.6293287&lt;/D&gt;&lt;D xsi:type="xsd:double"&gt;2.4844766&lt;/D&gt;&lt;D xsi:type="xsd:double"&gt;7.003367&lt;/D&gt;&lt;D xsi:type="xsd:double"&gt;-2.643174&lt;/D&gt;&lt;D xsi:type="xsd:double"&gt;1</t>
        </r>
      </text>
    </comment>
    <comment ref="A2" authorId="0" shapeId="0" xr:uid="{0B918BE2-50E5-41C8-A3EA-47DC5CEF2A6E}">
      <text>
        <r>
          <rPr>
            <b/>
            <sz val="9"/>
            <color indexed="81"/>
            <rFont val="Tahoma"/>
            <charset val="1"/>
          </rPr>
          <t>.4328718&lt;/D&gt;&lt;D xsi:type="xsd:double"&gt;0.19454956&lt;/D&gt;&lt;D xsi:type="xsd:double"&gt;-5.7605147&lt;/D&gt;&lt;D xsi:type="xsd:double"&gt;4.876375&lt;/D&gt;&lt;D xsi:type="xsd:double"&gt;-7.2036686&lt;/D&gt;&lt;D xsi:type="xsd:double"&gt;-3.2462955&lt;/D&gt;&lt;D xsi:type="xsd:double"&gt;-8.989132&lt;/D&gt;&lt;D xsi:type="xsd:double"&gt;-9.485525&lt;/D&gt;&lt;D xsi:type="xsd:double"&gt;10.657191&lt;/D&gt;&lt;D xsi:type="xsd:double"&gt;-0.8025706&lt;/D&gt;&lt;D xsi:type="xsd:double"&gt;-4.6925545&lt;/D&gt;&lt;D xsi:type="xsd:double"&gt;-1.0186732&lt;/D&gt;&lt;D xsi:type="xsd:double"&gt;-2.707857&lt;/D&gt;&lt;D xsi:type="xsd:double"&gt;2.3572087&lt;/D&gt;&lt;D xsi:type="xsd:double"&gt;-4.340124&lt;/D&gt;&lt;D xsi:type="xsd:double"&gt;3.1481504&lt;/D&gt;&lt;D xsi:type="xsd:double"&gt;-6.328547&lt;/D&gt;&lt;D xsi:type="xsd:double"&gt;14.51844&lt;/D&gt;&lt;D xsi:type="xsd:double"&gt;3.3718944&lt;/D&gt;&lt;D xsi:type="xsd:double"&gt;-2.9003203&lt;/D&gt;&lt;D xsi:type="xsd:double"&gt;6.8573833&lt;/D&gt;&lt;D xsi:type="xsd:double"&gt;-2.9133856&lt;/D&gt;&lt;D xsi:type="xsd:double"&gt;13.787508&lt;/D&gt;&lt;D xsi:type="xsd:double"&gt;0.5702019&lt;/D&gt;&lt;D xsi:type="xsd:double"&gt;4.670477&lt;/D&gt;&lt;D xsi:type="xsd:double"&gt;3.1713247&lt;/D&gt;&lt;D xsi:type="xsd:double"&gt;4.443705&lt;/D&gt;&lt;D xsi:type="xsd:double"&gt;-1.3435721&lt;/D&gt;&lt;D xsi:type="xsd:double"&gt;-1.5888453&lt;/D&gt;&lt;D xsi:type="xsd:double"&gt;1.6144991&lt;/D&gt;&lt;D xsi:type="xsd:double"&gt;9.159255&lt;/D&gt;&lt;D xsi:type="xsd:double"&gt;-1.9713283&lt;/D&gt;&lt;D xsi:type="xsd:double"&gt;-0.7921934&lt;/D&gt;&lt;D xsi:type="xsd:double"&gt;4.8832893&lt;/D&gt;&lt;D xsi:type="xsd:double"&gt;-6.3543262&lt;/D&gt;&lt;D xsi:type="xsd:double"&gt;-5.5972457&lt;/D&gt;&lt;D xsi:type="xsd:double"&gt;-0.39868355&lt;/D&gt;&lt;D xsi:type="xsd:double"&gt;-8.102566&lt;/D&gt;&lt;D xsi:type="xsd:double"&gt;5.9895873&lt;/D&gt;&lt;D xsi:type="xsd:double"&gt;-11.723412&lt;/D&gt;&lt;D xsi:type="xsd:double"&gt;0.31808615&lt;/D&gt;&lt;D xsi:type="xsd:double"&gt;-0.92995167&lt;/D&gt;&lt;D xsi:type="xsd:double"&gt;4.659641&lt;/D&gt;&lt;D xsi:type="xsd:double"&gt;2.4777412&lt;/D&gt;&lt;D xsi:type="xsd:double"&gt;5.364561&lt;/D&gt;&lt;D xsi:type="xsd:double"&gt;1.6852021&lt;/D&gt;&lt;D xsi:type="xsd:double"&gt;-4.442877&lt;/D&gt;&lt;D xsi:type="xsd:double"&gt;2.9835105&lt;/D&gt;&lt;D xsi:type="xsd:double"&gt;5.487585&lt;/D&gt;&lt;D xsi:type="xsd:double"&gt;-9.806681&lt;/D&gt;&lt;D xsi:type="xsd:double"&gt;8.028054&lt;/D&gt;&lt;D xsi:type="xsd:double"&gt;2.4531007&lt;/D&gt;&lt;D xsi:type="xsd:double"&gt;3.6619782&lt;/D&gt;&lt;D xsi:type="xsd:double"&gt;0.76464415&lt;/D&gt;&lt;D xsi:type="xsd:double"&gt;1.7651081&lt;/D&gt;&lt;D xsi:type="xsd:double"&gt;1.0006666&lt;/D&gt;&lt;D xsi:type="xsd:double"&gt;-39.23382&lt;/D&gt;&lt;D xsi:type="xsd:double"&gt;11.576092&lt;/D&gt;&lt;D xsi:type="xsd:double"&gt;2.3380399&lt;/D&gt;&lt;D xsi:type="xsd:double"&gt;15.234017&lt;/D&gt;&lt;D xsi:type="xsd:double"&gt;7.80468&lt;/D&gt;&lt;D xsi:type="xsd:double"&gt;0.6194353&lt;/D&gt;&lt;D xsi:type="xsd:double"&gt;-2.7702928&lt;/D&gt;&lt;D xsi:type="xsd:double"&gt;-2.0182014&lt;/D&gt;&lt;D xsi:type="xsd:double"&gt;12.3182535&lt;/D&gt;&lt;D xsi:type="xsd:double"&gt;6.155479&lt;/D&gt;&lt;D xsi:type="xsd:double"&gt;0.1707673&lt;/D&gt;&lt;D xsi:type="xsd:double"&gt;2.8980613&lt;/D&gt;&lt;D xsi:type="xsd:double"&gt;3.7110686&lt;/D&gt;&lt;D xsi:type="xsd:double"&gt;3.5143852&lt;/D&gt;&lt;D xsi:type="xsd:double"&gt;1.6666532&lt;/D&gt;&lt;D xsi:type="xsd:double"&gt;-0.5629778&lt;/D&gt;&lt;D xsi:type="xsd:double"&gt;-2.6266992&lt;/D&gt;&lt;D xsi:type="xsd:double"&gt;5.2047014&lt;/D&gt;&lt;D xsi:type="xsd:double"&gt;-2.8959334&lt;/D&gt;&lt;D xsi:type="xsd:double"&gt;1.9882083&lt;/D&gt;&lt;D xsi:type="xsd:double"&gt;2.314949&lt;/D&gt;&lt;D xsi:type="xsd:double"&gt;-4.554635&lt;/D&gt;&lt;D xsi:type="xsd:double"&gt;4.7453284&lt;/D&gt;&lt;D xsi:type="xsd:double"&gt;-2.9598296&lt;/D&gt;&lt;D xsi:type="xsd:double"&gt;-10.488642&lt;/D&gt;&lt;D xsi:type="xsd:double"&gt;1.0083437&lt;/D&gt;&lt;D xsi:type="xsd:double"&gt;-6.919098&lt;/D&gt;&lt;D xsi:type="xsd:double"&gt;-6.955433&lt;/D&gt;&lt;D xsi:type="xsd:double"&gt;-6.4317884&lt;/D&gt;&lt;D xsi:type="xsd:double"&gt;8.887922&lt;/D&gt;&lt;D xsi:type="xsd:double"&gt;-4.5034227&lt;/D&gt;&lt;D xsi:type="xsd:double"&gt;-3.5368443&lt;/D&gt;&lt;D xsi:type="xsd:double"&gt;19.074642&lt;/D&gt;&lt;D xsi:type="xsd:double"&gt;-0.98924637&lt;/D&gt;&lt;D xsi:type="xsd:double"&gt;10.747838&lt;/D&gt;&lt;D xsi:type="xsd:double"&gt;4.547&lt;/D&gt;&lt;D xsi:type="xsd:double"&gt;-8.8283&lt;/D&gt;&lt;D xsi:type="xsd:double"&gt;12.815952&lt;/D&gt;&lt;D xsi:type="xsd:double"&gt;-2.461344&lt;/D&gt;&lt;D xsi:type="xsd:double"&gt;4.2104483&lt;/D&gt;&lt;D xsi:type="xsd:double"&gt;5.3117037&lt;/D&gt;&lt;D xsi:type="xsd:double"&gt;-6.1310825&lt;/D&gt;&lt;D xsi:type="xsd:double"&gt;0.90090036&lt;/D&gt;&lt;D xsi:type="xsd:double"&gt;-4.1773024&lt;/D&gt;&lt;D xsi:type="xsd:double"&gt;8.319473&lt;/D&gt;&lt;D xsi:type="xsd:double"&gt;3.594482&lt;/D&gt;&lt;D xsi:type="xsd:double"&gt;0.33067465&lt;/D&gt;&lt;D xsi:type="xsd:double"&gt;2.9631853&lt;/D&gt;&lt;D xsi:type="xsd:double"&gt;7.848823&lt;/D&gt;&lt;D xsi:type="xsd:double"&gt;-2.6954174&lt;/D&gt;&lt;/FQL&gt;&lt;FQL&gt;&lt;Q&gt;EWN^FMA_DIV_YLD(NTMA,-10AY,0,AM,"PORTAGG","MEANR")&lt;/Q&gt;&lt;R&gt;121&lt;/R&gt;&lt;C&gt;1&lt;/C&gt;&lt;D xsi:type="xsd:double"&gt;2.79136559214829&lt;/D&gt;&lt;D xsi:type="xsd:double"&gt;2.83927477042187&lt;/D&gt;&lt;D xsi:type="xsd:double"&gt;2.79962617636892&lt;/D&gt;&lt;D xsi:type="xsd:double"&gt;2.92117902022166&lt;/D&gt;&lt;D xsi:type="xsd:double"&gt;3.05920107032426&lt;/D&gt;&lt;D xsi:type="xsd:double"&gt;2.99710707181168&lt;/D&gt;&lt;D xsi:type="xsd:double"&gt;3.28453859731829&lt;/D&gt;&lt;D xsi:type="xsd:double"&gt;3.08823863616394&lt;/D&gt;&lt;D xsi:type="xsd:double"&gt;3.10076029850251&lt;/D&gt;&lt;D xsi:type="xsd:double"&gt;3.03387504756435&lt;/D&gt;&lt;D xsi:type="xsd:double"&gt;2.8150581604224&lt;/D&gt;&lt;D xsi:type="xsd:double"&gt;2.62399874575697&lt;/D&gt;&lt;D xsi:type="xsd:double"&gt;2.68143425885452&lt;/D&gt;&lt;D xsi:type="xsd:double"&gt;2.73897185321627&lt;/D&gt;&lt;D xsi:type="xsd:double"&gt;2.9572576748944&lt;/D&gt;&lt;D xsi:type="xsd:double"&gt;2.81667053387157&lt;/D&gt;&lt;D xsi:type="xsd:double"&gt;3.17063000476017&lt;/D&gt;&lt;D xsi:type="xsd:double"&gt;3.52037059982701&lt;/D&gt;&lt;D xsi:type="xsd:double"&gt;3.40588988344419&lt;/D&gt;&lt;D xsi:type="xsd:double"&gt;3.15449632145446&lt;/D&gt;&lt;D xsi:type="xsd:double"&gt;3.33036748949995&lt;/D&gt;&lt;D xsi:type="xsd:double"&gt;3.39180773227307&lt;/D&gt;&lt;D xsi:type="xsd:double"&gt;3.47185898411981&lt;/D&gt;&lt;D xsi:type="xsd:double"&gt;3.2842317030068&lt;/D&gt;&lt;D xsi:type="xsd:double"&gt;3.24504615433977&lt;/D&gt;&lt;D xsi:type="xsd:double"&gt;3.40278679492159&lt;/D&gt;&lt;D xsi:type="xsd:double"&gt;3.39308996002512&lt;/D&gt;&lt;D xsi:type="xsd:double"&gt;3.23888436355764&lt;/D&gt;&lt;D xsi:type="xsd:double"&gt;3.16041703209502&lt;/D&gt;&lt;D xsi:type="xsd:double"&gt;3.23886909330247&lt;/D&gt;&lt;D xsi:type="xsd:double"&gt;3.10793054599624&lt;/D&gt;&lt;D xsi:type="xsd:double"&gt;3.14423825676435&lt;/D&gt;&lt;D xsi:type="xsd:double"&gt;3.00379622822399&lt;/D&gt;&lt;D xsi:type="xsd:double"&gt;2.96719995865503&lt;/D&gt;&lt;D xsi:type="xsd:double"&gt;2.83885988653288&lt;/D&gt;&lt;D xsi:type="xsd:double"&gt;2.76134753583376&lt;/D&gt;&lt;D xsi:type="xsd:double"&gt;2.79728454599274&lt;/D&gt;&lt;D xsi:type="xsd:double"&gt;2.75399925229295&lt;/D&gt;&lt;D xsi:type="xsd:double"&gt;2.74498051575446&lt;/D&gt;&lt;D xsi:type="xsd:double"&gt;2.78908179527486&lt;/D&gt;&lt;D xsi:type="xsd:double"&gt;2.80887260257175&lt;/D&gt;&lt;D xsi:type="xsd:double"&gt;2.80467224811567&lt;/D&gt;&lt;D xsi:type="xsd:double"&gt;2.74633912645847&lt;/D&gt;&lt;D xsi:type="xsd:double"&gt;2.84393306768217&lt;/D&gt;&lt;D xsi:type="xsd:double"&gt;2.79892529998292&lt;/D&gt;&lt;D xsi:type="xsd:double"&gt;2.76753209412414&lt;/D&gt;&lt;D xsi:type="xsd:double"&gt;2.94222146873073&lt;/D&gt;&lt;D xsi:type="xsd:double"&gt;2.91776475521495&lt;/D&gt;&lt;D xsi:type="xsd:double"&gt;2.91369312922462&lt;/D&gt;&lt;D xsi:type="xsd:double"&gt;2.88207533576421&lt;/D&gt;&lt;D xsi:type="xsd:double"&gt;2.87760760679524&lt;/D&gt;&lt;D xsi:type="xsd:double"&gt;2.87952408902988&lt;/D&gt;&lt;D xsi:type="xsd:double"&gt;2.95657348265926&lt;/D&gt;&lt;D xsi:type="xsd:double"&gt;3.03338317416425&lt;/D&gt;&lt;D xsi:type="xsd:double"&gt;3.1729802720224&lt;/D&gt;&lt;D xsi:type="xsd:double"&gt;3.20517021151715&lt;/D&gt;&lt;D xsi:type="xsd:double"&gt;3.4110031748017&lt;/D&gt;&lt;D xsi:type="xsd:double"&gt;3.32413661648342&lt;/D&gt;&lt;D xsi:type="xsd:double"&gt;3.11910751355892&lt;/D&gt;&lt;D xsi:type="xsd:double"&gt;3.04109009885337&lt;/D&gt;&lt;D xsi:type="xsd:double"&gt;2.95777907764433&lt;/D&gt;&lt;D xsi:type="xsd:double"&gt;3.02952373562659&lt;/D&gt;&lt;D xsi:type="xsd:double"&gt;3.03577739490688&lt;/D&gt;&lt;D xsi:type="xsd:double"&gt;2.94370369552169&lt;/D&gt;&lt;D xsi:type="xsd:double"&gt;3.02564571330945&lt;/D&gt;&lt;D xsi:type="xsd:double"&gt;2.74588343932367&lt;/D&gt;&lt;D xsi:type="xsd:double"&gt;2.74729539506638&lt;/D&gt;&lt;D xsi:type="xsd:double"&gt;2.64504965820371&lt;/D&gt;&lt;D xsi:type="xsd:double"&gt;2.59879372265746&lt;/D&gt;&lt;D xsi:type="xsd:double"&gt;2.57451461308405&lt;/D&gt;&lt;D xsi:type="xsd:double"&gt;2.49261328818368&lt;/D&gt;&lt;D xsi:type="xsd:double"&gt;3.82534009481596&lt;/D&gt;&lt;D xsi:type="xsd:double"&gt;2.85046994375983&lt;/D&gt;&lt;D xsi:type="xsd:double"&gt;2.59901311456047&lt;/D&gt;&lt;D xsi:type="xsd:double"&gt;2.3806634866219&lt;/D&gt;&lt;D xsi:type="xsd:double"&gt;2.324077545118&lt;/D&gt;&lt;D xsi:type="xsd:double"&gt;2.3444477060729&lt;/D&gt;&lt;D xsi:type="xsd:double"&gt;2.33024422864621&lt;/D&gt;&lt;D xsi:type="xsd:double"&gt;2.27226683511372&lt;/D&gt;&lt;D xsi:type="xsd:double"&gt;2.17721055637825&lt;/D&gt;&lt;D xsi:type="xsd:double"&gt;2.02989320797293&lt;/D&gt;&lt;D xsi:type="xsd:double"&gt;1.96606909281491&lt;/D&gt;&lt;D xsi:type="xsd:double"&gt;1.91523353273191&lt;/D&gt;&lt;D xsi:type="xsd:double"&gt;2.00752827471556&lt;/D&gt;&lt;D xsi:type="xsd:double"&gt;1.90607266614583&lt;/D&gt;&lt;D xsi:type="xsd:double"&gt;1.99979806465927&lt;/D&gt;&lt;D xsi:type="xsd:double"&gt;2.01673955056041&lt;/D&gt;&lt;D xsi:type="xsd:double"&gt;2.01996785755066&lt;/D&gt;&lt;D xsi:type="xsd:double"&gt;1.86258313301797&lt;/D&gt;&lt;D xsi:type="xsd:double"&gt;1.85337318279996&lt;/D&gt;&lt;D xsi:type="xsd:double"&gt;1.93470913595237&lt;/D&gt;&lt;D xsi:type="xsd:double"&gt;1.83708553992021&lt;/D&gt;&lt;D xsi:type="xsd:double"&gt;2.0080865542202&lt;/D&gt;&lt;D xsi:type="xsd:double"&gt;2.03817765799494&lt;/D&gt;&lt;D xsi:type="xsd:double"&gt;2.25422524696023&lt;/D&gt;&lt;D xsi:type="xsd:double"&gt;2.24579208874258&lt;/D&gt;&lt;D xsi:type="xsd:double"&gt;2.32213749938801&lt;/D&gt;&lt;D xsi:type="xsd:double"&gt;2.5765870057631&lt;/D&gt;&lt;D xsi:type="xsd:double"&gt;3.5686272539998&lt;/D&gt;&lt;D xsi:type="xsd:double"&gt;3.3148484843505&lt;/D&gt;&lt;D xsi:type="xsd:double"&gt;3.05488062579661&lt;/D&gt;&lt;D xsi:type="xsd:double"&gt;3.76103818314811&lt;/D&gt;&lt;D xsi:type="xsd:double"&gt;3.06477995711853&lt;/D&gt;&lt;D xsi:type="xsd:double"&gt;2.67822200300636&lt;/D&gt;&lt;D xsi:type="xsd:double"&gt;2.74083456685724&lt;/D&gt;&lt;D xsi:type="xsd:double"&gt;2.55537701841243&lt;/D&gt;&lt;D xsi:type="xsd:double"&gt;2.55481964428236&lt;/D&gt;&lt;D xsi:type="xsd:double"&gt;2.76230797525795&lt;/D&gt;&lt;D xsi:type="xsd:double"&gt;2.66101774664321&lt;/D&gt;&lt;D xsi:type="xsd:double"&gt;2.66016528594511&lt;/D&gt;&lt;D xsi:type="xsd:double"&gt;2.6517914821457&lt;/D&gt;&lt;D xsi:type="xsd:double"&gt;2.65972745006268&lt;/D&gt;&lt;D xsi:type="xsd:double"&gt;2.89028366771721&lt;/D&gt;&lt;D xsi:type="xsd:double"&gt;3.00841141058094&lt;/D&gt;&lt;D xsi:type="xsd:double"&gt;3.08323465213639&lt;/D&gt;&lt;D xsi:type="xsd:double"&gt;2.8226430327047&lt;/D&gt;&lt;D xsi:type="xsd:double"&gt;2.67541524100935&lt;/D&gt;&lt;D xsi:type="xsd:double"&gt;2.71462121477104&lt;/D&gt;&lt;D xsi:type="xsd:double"&gt;2.46904986943145&lt;/D&gt;&lt;D xsi:type="xsd:double"&gt;2.60323260637433&lt;/D&gt;&lt;D xsi:type="xsd:double"&gt;2.58501799124237&lt;/D&gt;&lt;/FQL&gt;&lt;FQL&gt;&lt;Q&gt;SPY^FMA_PE(NTMA,-10AY,0,AM,"PORTAGG","MEANR")&lt;/Q&gt;&lt;R&gt;121&lt;/R&gt;&lt;C&gt;1&lt;/C&gt;&lt;D xsi:type="xsd:double"&gt;14.9859879962179&lt;/D&gt;&lt;D xsi:type="xsd:double"&gt;14.8864570130049&lt;/D&gt;&lt;D xsi:type="xsd:double"&gt;15.3618211403862&lt;/D&gt;&lt;D xsi:type="xsd:double"&gt;15.3597921745608&lt;/D&gt;&lt;D xsi:type="xsd:double"&gt;15.1629451196307&lt;/D&gt;&lt;D xsi:type="xsd:double"&gt;15.3475942367567&lt;/D&gt;&lt;D xsi:type="xsd:double"&gt;14.4216673069704&lt;/D&gt;&lt;D xsi:type="xsd:double"&gt;15.7243484418968&lt;/D&gt;&lt;D xsi:type="xsd:double"&gt;15.9876166375339&lt;/D&gt;&lt;D xsi:type="xsd:double"&gt;15.9384278995937&lt;/D&gt;&lt;D xsi:type="xsd:double"&gt;16.8617181592275&lt;/D&gt;&lt;D xsi:type="xsd:double"&gt;16.7990530885071&lt;/D&gt;&lt;D xsi:type="xsd:double"&gt;16.6063765210832&lt;/D&gt;&lt;D xsi:type="xsd:double"&gt;16.7690015945212&lt;/D&gt;&lt;D xsi:type="xsd:double"&gt;16.5855101811328&lt;/D&gt;&lt;D xsi:type="xsd:double"&gt;16.6080094788332&lt;/D&gt;&lt;D xsi:type="xsd:double"&gt;16.342064336502&lt;/D&gt;&lt;D xsi:type="xsd:double"&gt;15.2485124762281&lt;/D&gt;&lt;D xsi:type="xsd:double"&gt;15.918646410385&lt;/D&gt;&lt;D xsi:type="xsd:double"&gt;16.3167699047432&lt;/D&gt;&lt;D xsi:type="xsd:double"&gt;15.6839741440287&lt;/D&gt;&lt;D xsi:type="xsd:double"&gt;14.8633281655956&lt;/D&gt;&lt;D xsi:type="xsd:double"&gt;15.5099438140132&lt;/D&gt;&lt;D xsi:type="xsd:double"&gt;15.5167363536305&lt;/D&gt;&lt;D xsi:type="xsd:double"&gt;16.5004635460184&lt;/D&gt;&lt;D xsi:type="xsd:double"&gt;16.5226770167304&lt;/D&gt;&lt;D xsi:type="xsd:double"&gt;16.3100236406347&lt;/D&gt;&lt;D xsi:type="xsd:double"&gt;16.9837643291891&lt;/D&gt;&lt;D xsi:type="xsd:double"&gt;16.9787575123854&lt;/D&gt;&lt;D xsi:type="xsd:double"&gt;16.4848230909905&lt;/D&gt;&lt;D xsi:type="xsd:double"&gt;16.3556927956409&lt;/D&gt;&lt;D xsi:type="xsd:double"&gt;16.6196568958713&lt;/D&gt;&lt;D xsi:type="xsd:double"&gt;17.019118731154&lt;/D&gt;&lt;D xsi:type="xsd:double"&gt;16.9449857393695&lt;/D&gt;&lt;D xsi:type="xsd:double"&gt;17.5894428121593&lt;/D&gt;&lt;D xsi:type="xsd:double"&gt;17.6866127927459&lt;/D&gt;&lt;D xsi:type="xsd:double"&gt;17.2488575878936&lt;/D&gt;&lt;D xsi:type="xsd:double"&gt;17.2146674762137&lt;/D&gt;&lt;D xsi:type="xsd:double"&gt;17.5621413915088&lt;/D&gt;&lt;D xsi:type="xsd:double"&gt;17.6510884307728&lt;/D&gt;&lt;D xsi:type="xsd:double"&gt;17.2345952972235&lt;/D&gt;&lt;D xsi:type="xsd:double"&gt;17.6859722010135&lt;/D&gt;&lt;D xsi:type="xsd:double"&gt;17.908902997272&lt;/D&gt;&lt;D xsi:type="xsd:double"&gt;17.8547288172865&lt;/D&gt;&lt;D xsi:type="xsd:double"&gt;18.4234487710571&lt;/D&gt;&lt;D xsi:type="xsd:double"&gt;18.2979795404326&lt;/D&gt;&lt;D xsi:type="xsd:double"&gt;17.0679000965126&lt;/D&gt;&lt;D xsi:type="xsd:double"&gt;17.0494543503598&lt;/D&gt;&lt;D xsi:type="xsd:double"&gt;16.6373305194782&lt;/D&gt;&lt;D xsi:type="xsd:double"&gt;16.2977817835718&lt;/D&gt;&lt;D xsi:type="xsd:double"&gt;16.515044599858&lt;/D&gt;&lt;D xsi:type="xsd:double"&gt;16.590330175078&lt;/D&gt;&lt;D xsi:type="xsd:double"&gt;16.5737428318053&lt;/D&gt;&lt;D xsi:type="xsd:double"&gt;16.737556466856&lt;/D&gt;&lt;D xsi:type="xsd:double"&gt;15.8570597643033&lt;/D&gt;&lt;D xsi:type="xsd:double"&gt;15.6334845014148&lt;/D&gt;&lt;D xsi:type="xsd:double"&gt;14.5793708465742&lt;/D&gt;&lt;D xsi:type="xsd:double"&gt;15.5176222702284&lt;/D&gt;&lt;D xsi:type="xsd:double"&gt;16.1790743240804&lt;/D&gt;&lt;D xsi:type="xsd:double"&gt;16.4643698437505&lt;/D&gt;&lt;D xsi:type="xsd:double"&gt;16.7520894416395&lt;/D&gt;&lt;D xsi:type="xsd:double"&gt;16.3507663140404&lt;/D&gt;&lt;D xsi:type="xsd:double"&gt;16.5997069083757&lt;/D&gt;&lt;D xsi:type="xsd:double"&gt;17.0625638918443&lt;/D&gt;&lt;D xsi:type="xsd:double"&gt;16.4035626961471&lt;/D&gt;&lt;D xsi:type="xsd:double"&gt;16.9514753971282&lt;/D&gt;&lt;D xsi:type="xsd:double"&gt;16.8908542429871&lt;/D&gt;&lt;D xsi:type="xsd:double"&gt;17.5981507783665&lt;/D&gt;&lt;D xsi:type="xsd:double"&gt;17.9525116562965&lt;/D&gt;&lt;D xsi:type="xsd:double"&gt;18.6496788523071&lt;/D&gt;&lt;D xsi:type="xsd:double"&gt;18.8893041827252&lt;/D&gt;&lt;D xsi:type="xsd:double"&gt;13.8132768210628&lt;/D&gt;&lt;D xsi:type="xsd:double"&gt;19.353797404677&lt;/D&gt;&lt;D xsi:type="xsd:double"&gt;21.0435096855361&lt;/D&gt;&lt;D xsi:type="xsd:double"&gt;21.8774814004049&lt;/D&gt;&lt;D xsi:type="xsd:double"&gt;22.2801478965399&lt;/D&gt;&lt;D xsi:type="xsd:double"&gt;22.3844338020517&lt;/D&gt;&lt;D xsi:type="xsd:double"&gt;21.3800983898598&lt;/D&gt;&lt;D xsi:type="xsd:double"&gt;21.9712401596061&lt;/D&gt;&lt;D xsi:type="xsd:double"&gt;21.6416547136276&lt;/D&gt;&lt;D xsi:type="xsd:double"&gt;21.9627233504787&lt;/D&gt;&lt;D xsi:type="xsd:double"&gt;22.171631474645&lt;/D&gt;&lt;D xsi:type="xsd:double"&gt;22.1004193950768&lt;/D&gt;&lt;D xsi:type="xsd:double"&gt;21.6749821259107&lt;/D&gt;&lt;D xsi:type="xsd:double"&gt;22.4559947785418&lt;/D&gt;&lt;D xsi:type="xsd:double"&gt;21.0435290371737&lt;/D&gt;&lt;D xsi:type="xsd:double"&gt;20.8289454453613&lt;/D&gt;&lt;D xsi:type="xsd:double"&gt;21.2107754183493&lt;/D&gt;&lt;D xsi:type="xsd:double"&gt;20.7540594409114&lt;/D&gt;&lt;D xsi:type="xsd:double"&gt;20.6995394838243&lt;/D&gt;&lt;D xsi:type="xsd:double"&gt;20.7355457176345&lt;/D&gt;&lt;D xsi:type="xsd:double"&gt;21.390237032136&lt;/D&gt;&lt;D xsi:type="xsd:double"&gt;20.746331528686&lt;/D&gt;&lt;D xsi:type="xsd:double"&gt;20.3563197897692&lt;/D&gt;&lt;D xsi:type="xsd:double"&gt;19.0485066378162&lt;/D&gt;&lt;D xsi:type="xsd:double"&gt;19.2567007859986&lt;/D&gt;&lt;D xsi:type="xsd:double"&gt;18.6557462579247&lt;/D&gt;&lt;D xsi:type="xsd:double"&gt;16.5436396123505&lt;/D&gt;&lt;D xsi:type="xsd:double"&gt;15.3323964938762&lt;/D&gt;&lt;D xsi:type="xsd:double"&gt;16.0117924669209&lt;/D&gt;&lt;D xsi:type="xsd:double"&gt;18.0562526798378&lt;/D&gt;&lt;D xsi:type="xsd:double"&gt;16.2715862920549&lt;/D&gt;&lt;D xsi:type="xsd:double"&gt;15.8012082877684&lt;/D&gt;&lt;D xsi:type="xsd:double"&gt;17.1675359322715&lt;/D&gt;&lt;D xsi:type="xsd:double"&gt;16.6778395191745&lt;/D&gt;&lt;D xsi:type="xsd:double"&gt;17.1711213388579&lt;/D&gt;&lt;D xsi:type="xsd:double"&gt;17.9815344802681&lt;/D&gt;&lt;D xsi:type="xsd:double"&gt;17.1797259598507&lt;/D&gt;&lt;D xsi:type="xsd:double"&gt;18.2373824396921&lt;/D&gt;&lt;D xsi:type="xsd:double"&gt;18.239668507101&lt;/D&gt;&lt;D xsi:type="xsd:double"&gt;18.9439679330982&lt;/D&gt;&lt;D xsi:type="xsd:double"&gt;19.593475064081&lt;/D&gt;&lt;D xsi:type="xsd:double"&gt;18.4429518650368&lt;/D&gt;&lt;D xsi:type="xsd:double"&gt;18.580938481834&lt;/D&gt;&lt;D xsi:type="xsd:double"&gt;17.896362096586&lt;/D&gt;&lt;D xsi:type="xsd:double"&gt;18.6319923713907&lt;/D&gt;&lt;D xsi:type="xsd:double"&gt;19.4551659181992&lt;/D&gt;&lt;D xsi:type="xsd:double"&gt;19.5306983094871&lt;/D&gt;&lt;D xsi:type="xsd:double"&gt;20.2505446773372&lt;/D&gt;&lt;D xsi:type="xsd:double"&gt;20.607160058929&lt;/D&gt;&lt;D xsi:type="xsd:double"&gt;20.0577707227666&lt;/D&gt;&lt;/FQL&gt;&lt;FQL&gt;&lt;Q&gt;EWU^FMA_PE(LTMA,-10AY,0,AM,"PORTAGG","MEANR")&lt;/Q&gt;&lt;R&gt;121&lt;/R&gt;&lt;C&gt;1&lt;/C&gt;&lt;D xsi:type="xsd:double"&gt;14.2974117416021&lt;/D&gt;&lt;D xsi:type="xsd:double"&gt;14.4157371923195&lt;/D&gt;&lt;D xsi:type="xsd:double"&gt;14.3484527761884&lt;/D&gt;&lt;D xsi:type="xsd:double"&gt;14.3330825487452&lt;/D&gt;&lt;D xsi:type="xsd:double"&gt;14.2334865386202&lt;/D&gt;&lt;D xsi:type="xsd:double"&gt;14.2339070666137&lt;/D&gt;&lt;D xsi:type="xsd:double"&gt;13.4024909452766&lt;/D&gt;&lt;D xsi:type="xsd:double"&gt;13.9706642143549&lt;/D&gt;&lt;D xsi:type="xsd:double"&gt;13.6011842630977&lt;/D&gt;&lt;D xsi:type="xsd:double"&gt;13.6269451519732&lt;/D&gt;&lt;D xsi:type="xsd:double"&gt;14.7502939019348&lt;/D&gt;&lt;D xsi:type="xsd:double"&gt;15.2307560361496&lt;/D&gt;&lt;D xsi:type="xsd:double"&gt;15.4918551181616&lt;/D&gt;&lt;D xsi:type="xsd:double"&gt;15.7136686932075&lt;/D&gt;&lt;D xsi:type="xsd:double"&gt;15.6336906322549&lt;/D&gt;&lt;D xsi:type="xsd:double"&gt;15.799995020816&lt;/D&gt;&lt;D xsi:type="xsd:double"&gt;15.6070244927128&lt;/D&gt;&lt;D xsi:type="xsd:double"&gt;15.0901804977372&lt;/D&gt;&lt;D xsi:type="xsd:double"&gt;15.7571704215956&lt;/D&gt;&lt;D xsi:type="xsd:double"&gt;15.7826198062733&lt;/D&gt;&lt;D xsi:type="xsd:double"&gt;15.2315729108424&lt;/D&gt;&lt;D xsi:type="xsd:double"&gt;14.521775842277&lt;/D&gt;&lt;D xsi:type="xsd:double"&gt;14.9297123568599&lt;/D&gt;&lt;D xsi:type="xsd:double"&gt;15.7212597894704&lt;/D&gt;&lt;D xsi:type="xsd:double"&gt;15.9676354518834&lt;/D&gt;&lt;D xsi:type="xsd:double"&gt;15.9181881508113&lt;/D&gt;&lt;D xsi:type="xsd:double"&gt;15.7986434092372&lt;/D&gt;&lt;D xsi:type="xsd:double"&gt;16.5140841333346&lt;/D&gt;&lt;D xsi:type="xsd:double"&gt;16.9683326325046&lt;/D&gt;&lt;D xsi:type="xsd:double"&gt;16.6543916690216&lt;/D&gt;&lt;D xsi:type="xsd:double"&gt;16.9407043914834&lt;/D&gt;&lt;D xsi:type="xsd:double"&gt;16.2702072317234&lt;/D&gt;&lt;D xsi:type="xsd:double"&gt;16.9360422086708&lt;/D&gt;&lt;D xsi:type="xsd:double"&gt;17.1962414112165&lt;/D&gt;&lt;D xsi:type="xsd:double"&gt;17.2911741921827&lt;/D&gt;&lt;D xsi:type="xsd:double"&gt;17.2626945137543&lt;/D&gt;&lt;D xsi:type="xsd:double"&gt;16.904874254792&lt;/D&gt;&lt;D xsi:type="xsd:double"&gt;16.8508654471438&lt;/D&gt;&lt;D xsi:type="xsd:double"&gt;16.598412962029&lt;/D&gt;&lt;D xsi:type="xsd:double"&gt;16.4491669624544&lt;/D&gt;&lt;D xsi:type="xsd:double"&gt;16.0498766576655&lt;/D&gt;&lt;D xsi:type="xsd:double"&gt;15.846086360393&lt;/D&gt;&lt;D xsi:type="xsd:double"&gt;15.8239672580549&lt;/D&gt;&lt;D xsi:type="xsd:double"&gt;15.1965921933713&lt;/D&gt;&lt;D xsi:type="xsd:double"&gt;15.3178253481361&lt;/D&gt;&lt;D xsi:type="xsd:double"&gt;15.6074496533216&lt;/D&gt;&lt;D xsi:type="xsd:double"&gt;14.7016709983108&lt;/D&gt;&lt;D xsi:type="xsd:double"&gt;13.9431176558217&lt;/D&gt;&lt;D xsi:type="xsd:double"&gt;13.996869884978&lt;/D&gt;&lt;D xsi:type="xsd:double"&gt;14.1322909770927&lt;/D&gt;&lt;D xsi:type="xsd:double"&gt;13.894795443393&lt;/D&gt;&lt;D xsi:type="xsd:double"&gt;13.7930647858222&lt;/D&gt;&lt;D xsi:type="xsd:double"&gt;13.619676469327&lt;/D&gt;&lt;D xsi:type="xsd:double"&gt;13.4047962730083&lt;/D&gt;&lt;D xsi:type="xsd:double"&gt;12.8934060740524&lt;/D&gt;&lt;D xsi:type="xsd:double"&gt;12.7023905463366&lt;/D&gt;&lt;D xsi:type="xsd:double"&gt;11.9578506161675&lt;/D&gt;&lt;D xsi:type="xsd:double"&gt;12.4611106427725&lt;/D&gt;&lt;D xsi:type="xsd:double"&gt;12.8363496045825&lt;/D&gt;&lt;D xsi:type="xsd:double"&gt;12.985311900812&lt;/D&gt;&lt;D xsi:type="xsd:double"&gt;13.02155751431&lt;/D&gt;&lt;D xsi:type="xsd:double"&gt;12.9163043081167&lt;/D&gt;&lt;D xsi:type="xsd:double"&gt;13.0049113886961&lt;/D&gt;&lt;D xsi:type="xsd:double"&gt;13.1034632283309&lt;/D&gt;&lt;D xsi:type="xsd:double"&gt;12.6658274471066&lt;/D&gt;&lt;D xsi:type="xsd:double"&gt;13.0723123764271&lt;/D&gt;&lt;D xsi:type="xsd:double"&gt;13.1235196056637&lt;/D&gt;&lt;D xsi:type="xsd:double"&gt;13.4094379325261&lt;/D&gt;&lt;D xsi:type="xsd:double"&gt;14.0091776444091&lt;/D&gt;&lt;D xsi:type="xsd:double"&gt;14.3314461552574&lt;/D&gt;&lt;D xsi:type="xsd:double"&gt;13.9636109510535&lt;/D&gt;&lt;D xsi:type="xsd:double"&gt;11.8673405880253&lt;/D&gt;&lt;D xsi:type="xsd:double"&gt;13.0284790623684&lt;/D&gt;&lt;D xsi:type="xsd:double"&gt;14.1947728160426&lt;/D&gt;&lt;D xsi:type="xsd:double"&gt;15.0617235250084&lt;/D&gt;&lt;D xsi:type="xsd:double"&gt;15.6553454044647&lt;/D&gt;&lt;D xsi:type="xsd:double"&gt;16.3710486643401&lt;/D&gt;&lt;D xsi:type="xsd:double"&gt;16.8748686987811&lt;/D&gt;&lt;D xsi:type="xsd:double"&gt;16.992364310024&lt;/D&gt;&lt;D xsi:type="xsd:double"&gt;18.5684072069057&lt;/D&gt;&lt;D xsi:type="xsd:double"&gt;19.5485323515862&lt;/D&gt;&lt;D xsi:type="xsd:double"&gt;20.2047061127445&lt;/D&gt;&lt;D xsi:type="xsd:double"&gt;19.5193055003521&lt;/D&gt;&lt;D xsi:type="xsd:double"&gt;18.5719620728916&lt;/D&gt;&lt;D xsi:type="xsd:double"&gt;18.0267344473996&lt;/D&gt;&lt;D xsi:type="xsd:double"&gt;17.3834584630044&lt;/D&gt;&lt;D xsi:type="xsd:double"&gt;16.6892545592469&lt;/D&gt;&lt;D xsi:type="xsd:double"&gt;15.8730767831742&lt;/D&gt;&lt;D xsi:type="xsd:double"&gt;15.0744808889798&lt;/D&gt;&lt;D xsi:type="xsd:double"&gt;14.1489646210826&lt;/D&gt;&lt;D xsi:type="xsd:double"&gt;13.8301395285055&lt;/D&gt;&lt;D xsi:type="xsd:double"&gt;13.0686384564433&lt;/D&gt;&lt;D xsi:type="xsd:double"&gt;12.3622118974574&lt;/D&gt;&lt;D xsi:type="xsd:double"&gt;12.7092958751298&lt;/D&gt;&lt;D xsi:type="xsd:double"&gt;12.6717691032586&lt;/D&gt;&lt;D xsi:type="xsd:double"&gt;12.4501001772895&lt;/D&gt;&lt;D xsi:type="xsd:double"&gt;12.2174356997706&lt;/D&gt;&lt;D xsi:type="xsd:double"&gt;11.7486939133405&lt;/D&gt;&lt;D xsi:type="xsd:double"&gt;11.2047118539013&lt;/D&gt;&lt;D xsi:type="xsd:double"&gt;10.9804292499051&lt;/D&gt;&lt;D xsi:type="xsd:double"&gt;10.7659149257572&lt;/D&gt;&lt;D xsi:type="xsd:double"&gt;10.0367061589797&lt;/D&gt;&lt;D xsi:type="xsd:double"&gt;9.45269242383379&lt;/D&gt;&lt;D xsi:type="xsd:double"&gt;9.76568376223816&lt;/D&gt;&lt;D xsi:type="xsd:double"&gt;9.57589588279331&lt;/D&gt;&lt;D xsi:type="xsd:double"&gt;10.3018603943764&lt;/D&gt;&lt;D xsi:type="xsd:double"&gt;10.3364301582561&lt;/D&gt;&lt;D xsi:type="xsd:double"&gt;10.1241144031&lt;/D&gt;&lt;D xsi:type="xsd:double"&gt;10.4205872966398&lt;/D&gt;&lt;D xsi:type="xsd:double"&gt;10.3334622179396&lt;/D&gt;&lt;D xsi:type="xsd:double"&gt;10.3984792088593&lt;/D&gt;&lt;D xsi:type="xsd:double"&gt;10.4685767004217&lt;/D&gt;&lt;D xsi:type="xsd:double"&gt;10.3254577087974&lt;/D&gt;&lt;D xsi:type="xsd:double"&gt;10.6777127426747&lt;/D&gt;&lt;D xsi:type="xsd:double"&gt;10.5596210310159&lt;/D&gt;&lt;D xsi:type="xsd:double"&gt;10.6948600292592&lt;/D&gt;&lt;D xsi:type="xsd:double"&gt;11.0741170999425&lt;/D&gt;&lt;D xsi:type="xsd:double"&gt;10.9607873664966&lt;/D&gt;&lt;D xsi:type="xsd:double"&gt;11.3518384046307&lt;/D&gt;&lt;D xsi:type="xsd:double"&gt;11.4618393318804&lt;/D&gt;&lt;D xsi:type="xsd:double"&gt;11.5352348100506&lt;/D&gt;&lt;/FQL&gt;&lt;FQL&gt;&lt;Q&gt;WL-FDS^MAX(FG_PRICE(0,-5AY))&lt;/Q&gt;&lt;R&gt;1&lt;/R&gt;&lt;C&gt;1&lt;/C&gt;&lt;D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xsi:type="xsd:double"&gt;219.77&lt;/D&gt;&lt;/FQL&gt;&lt;FQL&gt;&lt;Q&gt;FC0000US^FG_PRICE(0)&lt;/Q&gt;&lt;R&gt;1&lt;/R&gt;&lt;C&gt;1&lt;/C&gt;&lt;D xsi:type="xsd:double"&gt;375.7351&lt;/D&gt;&lt;/FQL&gt;&lt;FQL&gt;&lt;Q&gt;FC0000GB^FG_PRICE(0)&lt;/Q&gt;&lt;R&gt;1&lt;/R&gt;&lt;C&gt;1&lt;/C&gt;&lt;D xsi:type="xsd:double"&gt;119.72415&lt;/D&gt;&lt;/FQL&gt;&lt;FQL&gt;&lt;Q&gt;FC0000CA^FG_PRICE(0)&lt;/Q&gt;&lt;R&gt;1&lt;/R&gt;&lt;C&gt;1&lt;/C&gt;&lt;D xsi:type="xsd:double"&gt;283.33072&lt;/D&gt;&lt;/FQL&gt;&lt;FQL&gt;&lt;Q&gt;EWD^FG_PRICE_MAVG(0,,,,200)&lt;/Q&gt;&lt;R&gt;1&lt;/R&gt;&lt;C&gt;1&lt;/C&gt;&lt;D xsi:type="xsd:double"&gt;36.12855&lt;/D&gt;&lt;/FQL&gt;&lt;FQL&gt;&lt;Q&gt;QQQ^FG_PRICE_MAVG(0,,,,200)&lt;/Q&gt;&lt;R&gt;1&lt;/R&gt;&lt;C&gt;1&lt;/C&gt;&lt;D xsi:type="xsd:double"&gt;395.9102&lt;/D&gt;&lt;/FQL&gt;&lt;FQL&gt;&lt;Q&gt;DUMMY^ECON_EXPR_DATA('FDS_ECON[PMIDMMANHE]',,,M)&lt;/Q&gt;&lt;R&gt;1&lt;/R&gt;&lt;C&gt;1&lt;/C&gt;&lt;D xsi:type="xsd:double"&gt;49.28643&lt;/D&gt;&lt;/FQL&gt;&lt;FQL&gt;&lt;Q&gt;EWN^FMA_ROE(NTMA,-20AY,NOW,FY,"PORTAGG","MEANR")&lt;/Q&gt;&lt;R&gt;20&lt;/R&gt;&lt;C&gt;1&lt;/C&gt;&lt;D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xsi:type="xsd:double"&gt;12.7459856688058&lt;/D&gt;&lt;/FQL&gt;&lt;FQL&gt;&lt;Q&gt;TRYSA10Y-FDS^FG_YIELD(-10AY,0,Y,,"YTM")&lt;/Q&gt;&lt;R&gt;10&lt;/R&gt;&lt;C&gt;1&lt;/C&gt;&lt;D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xsi:type="xsd:double"&gt;3.1928&lt;/D&gt;&lt;/FQL&gt;&lt;FQL&gt;&lt;Q&gt;CAGDPY@US^EE_ACTUAL_ANNUAL(MED,+1)&lt;/Q&gt;&lt;R&gt;1&lt;/R&gt;&lt;C&gt;1&lt;/C&gt;&lt;D xsi:type="xsd:double"&gt;-3.05&lt;/D&gt;&lt;/FQL&gt;&lt;FQL&gt;&lt;Q&gt;CAGDPY@NZ^EE_ACTUAL_ANNUAL(MED,+1)&lt;/Q&gt;&lt;R&gt;1&lt;/R&gt;&lt;C&gt;1&lt;/C&gt;&lt;D xsi:type="xsd:double"&gt;-6.35&lt;/D&gt;&lt;/FQL&gt;&lt;FQL&gt;&lt;Q&gt;USDITL^FG_PRICE_CHANGE(0,-1AY)&lt;/Q&gt;&lt;R&gt;1&lt;/R&gt;&lt;C&gt;1&lt;/C&gt;&lt;D xsi:type="xsd:double"&gt;2.8811336&lt;/D&gt;&lt;/FQL&gt;&lt;FQL&gt;&lt;Q&gt;USDANG^FG_PRICE_CHANGE(0,-1AY)&lt;/Q&gt;&lt;R&gt;1&lt;/R&gt;&lt;C&gt;1&lt;/C&gt;&lt;D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xsi:type="xsd:double"&gt;-0.14463067&lt;/D&gt;&lt;/FQL&gt;&lt;FQL&gt;&lt;Q&gt;USDJPY^FG_PRICE_CHANGE(0,-1AY)&lt;/Q&gt;&lt;R&gt;1&lt;/R&gt;&lt;C&gt;1&lt;/C&gt;&lt;D xsi:type="xsd:double"&gt;15.426243&lt;/D&gt;&lt;/FQL&gt;&lt;FQL&gt;&lt;Q&gt;USDCAD^FG_PRICE_CHANGE(0,-1AY)&lt;/Q&gt;&lt;R&gt;1&lt;/R&gt;&lt;C&gt;1&lt;/C&gt;&lt;D xsi:type="xsd:double"&gt;2.7565122&lt;/D&gt;&lt;/FQL&gt;&lt;FQL&gt;&lt;Q&gt;USDNZD^FG_PRICE_CHANGE(0,-1AY)&lt;/Q&gt;&lt;R&gt;1&lt;/R&gt;&lt;C&gt;1&lt;/C&gt;&lt;D xsi:type="xsd:double"&gt;5.055797&lt;/D&gt;&lt;/FQL&gt;&lt;FQL&gt;&lt;Q&gt;EWA^JULIAN(FMA_EPS(NTMA,-20AY,0,CY,,"PORTAGG","MEANR").DATES)&lt;/Q&gt;&lt;R&gt;20&lt;/R&gt;&lt;C&gt;1&lt;/C&gt;&lt;D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xsi:type="xsd:double"&gt;-2.4972916&lt;/D&gt;&lt;D xsi:type="xsd:double"&gt;3.674841&lt;/D&gt;&lt;D xsi:type="xsd:double"&gt;-1.1278272&lt;/D&gt;&lt;D xsi:type="xsd:double"&gt;-2.640313&lt;/D&gt;&lt;D xsi:type="xsd:double"&gt;-1.664269&lt;/D&gt;&lt;D xsi:type="xsd:double"&gt;-0.29180646&lt;/D&gt;&lt;D xsi:type="xsd:double"&gt;-9.130812&lt;/D&gt;&lt;D xsi:type="xsd:double"&gt;7.4396133&lt;/D&gt;&lt;D xsi:type="xsd:double"&gt;-3.2213748&lt;/D&gt;&lt;D xsi:type="xsd:double"&gt;-3.3697367&lt;/D&gt;&lt;D xsi:type="xsd:double"&gt;9.396195&lt;/D&gt;&lt;D xsi:type="xsd:double"&gt;-0.05903244&lt;/D&gt;&lt;D xsi:type="xsd:double"&gt;-0.9450674&lt;/D&gt;&lt;D xsi:type="xsd:double"&gt;3.0709505&lt;/D&gt;&lt;D xsi:type="xsd:double"&gt;-1.0124326&lt;/D&gt;&lt;D xsi:type="xsd:double"&gt;-2.0779788&lt;/D&gt;&lt;D xsi:type="xsd:double"&gt;-2.2551715&lt;/D&gt;&lt;D xsi:type="xsd:double"&gt;-4.898858&lt;/D&gt;&lt;D xsi:type="xsd:double"&gt;0.7976055&lt;/D&gt;&lt;D xsi:type="xsd:double"&gt;-1.1539757&lt;/D&gt;&lt;D xsi:type="xsd:double"&gt;-5.0366936&lt;/D&gt;&lt;D xsi:type="xsd:double"&gt;-8.067417&lt;/D&gt;&lt;D xsi:type="xsd:double"&gt;6.3097477&lt;/D&gt;&lt;D xsi:type="xsd:double"&gt;5.8273435&lt;/D&gt;&lt;D xsi:type="xsd:double"&gt;3.0591369&lt;/D&gt;&lt;D xsi:type="xsd:double"&gt;-5.1780996&lt;/D&gt;&lt;D xsi:type="xsd:double"&gt;-1.6347826&lt;/D&gt;&lt;D xsi:type="xsd:double"&gt;1.6063809&lt;/D&gt;&lt;D xsi:type="xsd:double"&gt;5.1374793&lt;/D&gt;&lt;D xsi:type="xsd:double"&gt;-2.1335125&lt;/D&gt;&lt;D xsi:type="xsd:double"&gt;0.14064312&lt;/D&gt;&lt;D xsi:type="xsd:double"&gt;-4.1081486&lt;/D&gt;&lt;D xsi:type="xsd:double"&gt;4.174304&lt;/D&gt;&lt;D xsi:type="xsd:double"&gt;3.1107068&lt;/D&gt;&lt;D xsi:type="xsd:double"&gt;5.1824093&lt;/D&gt;&lt;D xsi:type="xsd:double"&gt;2.3014545&lt;/D&gt;&lt;D xsi:type="xsd:double"&gt;-1.4258504&lt;/D&gt;&lt;D xsi:type="xsd:double"&gt;6.9752455&lt;/D&gt;&lt;D xsi:type="xsd:double"&gt;2.7644277&lt;/D&gt;&lt;D xsi:type="xsd:double"&gt;2.6599288&lt;/D&gt;&lt;D xsi:type="xsd:double"&gt;-1.9807756&lt;/D&gt;&lt;D xsi:type="xsd:double"&gt;5.349183&lt;/D&gt;&lt;D xsi:type="xsd:double"&gt;1.2694001&lt;/D&gt;&lt;D xsi:type="xsd:double"&gt;-4.45683&lt;/D&gt;&lt;D xsi:type="xsd:double"&gt;-0.4081607&lt;/D&gt;&lt;D xsi:type="xsd:double"&gt;6.5891504&lt;/D&gt;&lt;D xsi:type="xsd:double"&gt;-3.1900048&lt;/D&gt;&lt;D xsi:type="xsd:double"&gt;-1.2320936&lt;/D&gt;&lt;D xsi:type="xsd:double"&gt;-2.030754&lt;/D&gt;&lt;D xsi:type="xsd:double"&gt;0.7995248&lt;/D&gt;&lt;D xsi:type="xsd:double"&gt;-4.200941&lt;/D&gt;&lt;D xsi:type="xsd:double"&gt;0.006043911&lt;/D&gt;&lt;D xsi:type="xsd:double"&gt;-0.12836456&lt;/D&gt;&lt;D xsi:type="xsd:double"&gt;3.181231&lt;/D&gt;&lt;D xsi:type="xsd:double"&gt;-6.5711617&lt;/D&gt;&lt;D xsi:type="xsd:double"&gt;-2.2333324&lt;/D&gt;&lt;D xsi:type="xsd:double"&gt;-4.136425&lt;/D&gt;&lt;D xsi:type="xsd:double"&gt;5.231309&lt;/D&gt;&lt;D xsi:type="xsd:double"&gt;2.5363564&lt;/D&gt;&lt;D xsi:type="xsd:double"&gt;1.9459128&lt;/D&gt;&lt;D xsi:type="xsd:double"&gt;5.758655&lt;/D&gt;&lt;D xsi:type="xsd:double"&gt;-7.066381&lt;/D&gt;&lt;D xsi:type="xsd:double"&gt;1.5030503&lt;/D&gt;&lt;D xsi:type="xsd:double"&gt;1.0709524&lt;/D&gt;&lt;D xsi:type="xsd:double"&gt;-8.245039&lt;/D&gt;&lt;D xsi:type="xsd:double"&gt;8.444607&lt;/D&gt;&lt;D xsi:type="xsd:double"&gt;2.6955128&lt;/D&gt;&lt;D xsi:type="xsd:double"&gt;3.2080412&lt;/D&gt;&lt;D xsi:type="xsd:double"&gt;5.449891&lt;/D&gt;&lt;D xsi:type="xsd:double"&gt;1.1456132&lt;/D&gt;&lt;D xsi:type="xsd:double"&gt;0.059616566&lt;/D&gt;&lt;D xsi:type="xsd:double"&gt;-33.958893&lt;/D&gt;&lt;D xsi:type="xsd:double"&gt;20.117271&lt;/D&gt;&lt;D xsi:type="xsd:double"&gt;4.881716&lt;/D&gt;&lt;D xsi:type="xsd:double"&gt;10.227335&lt;/D&gt;&lt;D xsi:type="xsd:double"&gt;11.40436&lt;/D&gt;&lt;D xsi:type="xsd:double"&gt;4.2117596&lt;/D&gt;&lt;D xsi:type="xsd:double"&gt;1.908505&lt;/D&gt;&lt;D xsi:type="xsd:double"&gt;-0.3855765&lt;/D&gt;&lt;D xsi:type="xsd:double"&gt;7.4094534&lt;/D&gt;&lt;D xsi:type="xsd:double"&gt;3.8862705&lt;/D&gt;&lt;D xsi:type="xsd:double"&gt;2.1467686&lt;/D&gt;&lt;D xsi:type="xsd:double"&gt;4.521024&lt;/D&gt;&lt;D xsi:type="xsd:double"&gt;4.3020844&lt;/D&gt;&lt;D xsi:type="xsd:double"&gt;8.33894&lt;/D&gt;&lt;D xsi:type="xsd:double"&gt;-0.20691752&lt;/D&gt;&lt;D xsi:type="xsd:double"&gt;-3.1240165&lt;/D&gt;&lt;D xsi:type="xsd:double"&gt;2.6719213&lt;/D&gt;&lt;D xsi:type="xsd:double"&gt;1.0238886&lt;/D&gt;&lt;D xsi:type="xsd:double"&gt;-0.71790814&lt;/D&gt;&lt;D xsi:type="xsd:double"&gt;0.12761354&lt;/D&gt;&lt;D xsi:type="xsd:double"&gt;2.803743&lt;/D&gt;&lt;D xsi:type="xsd:double"&gt;-6.6415367&lt;/D&gt;&lt;D xsi:type="xsd:double"&gt;-0.9544313&lt;/D&gt;&lt;D xsi:type="xsd:double"&gt;-8.780819&lt;/D&gt;&lt;D xsi:type="xsd:double"&gt;1.1874676&lt;/D&gt;&lt;D xsi:type="xsd:double"&gt;-5.368286&lt;/D&gt;&lt;D xsi:type="xsd:double"&gt;-9.498686&lt;/D&gt;&lt;D xsi:type="xsd:double"&gt;-6.9749236&lt;/D&gt;&lt;D xsi:type="xsd:double"&gt;-0.8061886&lt;/D&gt;&lt;D xsi:type="xsd:double"&gt;7.15214&lt;/D&gt;&lt;D xsi:type="xsd:double"&gt;-10.406548&lt;/D&gt;&lt;D xsi:type="xsd:double"&gt;-1.5238762&lt;/D&gt;&lt;D xsi:type="xsd:double"&gt;12.24209&lt;/D&gt;&lt;D xsi:type="xsd:double"&gt;0.26358366&lt;/D&gt;&lt;D xsi:type="xsd:double"&gt;8.48186&lt;/D&gt;&lt;D xsi:type="xsd:double"&gt;1.4164329&lt;/D&gt;&lt;D xsi:type="xsd:double"&gt;-8.603346&lt;/D&gt;&lt;D xsi:type="xsd:double"&gt;12.102688&lt;/D&gt;&lt;D xsi:type="xsd:double"&gt;-2.0992398&lt;/D&gt;&lt;D xsi:type="xsd:double"&gt;0.05569458&lt;/D&gt;&lt;D xsi:type="xsd:double"&gt;2.699697&lt;/D&gt;&lt;D xsi:type="xsd:double"&gt;-11.30082&lt;/D&gt;&lt;D xsi:type="xsd:double"&gt;0.56523085&lt;/D&gt;&lt;D xsi:type="xsd:double"&gt;-1.1696875&lt;/D&gt;&lt;D xsi:type="xsd:double"&gt;8.853364&lt;/D&gt;&lt;D xsi:type="xsd:double"&gt;11.522174&lt;/D&gt;&lt;D xsi:type="xsd:double"&gt;-5.3409815&lt;/D&gt;&lt;D xsi:type="xsd:double"&gt;5.126095&lt;/D&gt;&lt;D xsi:type="xsd:double"&gt;4.6936154&lt;/D&gt;&lt;D xsi:type="xsd:double"&gt;-4.383564&lt;/D&gt;&lt;/FQL&gt;&lt;FQL&gt;&lt;Q&gt;EWQ^FMA_DIV_YLD(NTMA,-10AY,0,AM,"PORTAGG","MEANR")&lt;/Q&gt;&lt;R&gt;121&lt;/R&gt;&lt;C&gt;1&lt;/C&gt;&lt;D xsi:type="xsd:double"&gt;3.49627884909893&lt;/D&gt;&lt;D xsi:type="xsd:double"&gt;3.43694173022317&lt;/D&gt;&lt;D xsi:type="xsd:double"&gt;3.39034112805689&lt;/D&gt;&lt;D xsi:type="xsd:double"&gt;3.52354481605033&lt;/D&gt;&lt;D xsi:type="xsd:double"&gt;3.63593253214733&lt;/D&gt;&lt;D xsi:type="xsd:double"&gt;3.49974171746325&lt;/D&gt;&lt;D xsi:type="xsd:double"&gt;3.87472559405058&lt;/D&gt;&lt;D xsi:type="xsd:double"&gt;3.66289379238836&lt;/D&gt;&lt;D xsi:type="xsd:double"&gt;3.66344136667918&lt;/D&gt;&lt;D xsi:type="xsd:double"&gt;3.5576478375526&lt;/D&gt;&lt;D xsi:type="xsd:double"&gt;3.20915434214895&lt;/D&gt;&lt;D xsi:type="xsd:double"&gt;3.19216760110569&lt;/D&gt;&lt;D xsi:type="xsd:double"&gt;3.14031168721663&lt;/D&gt;&lt;D xsi:type="xsd:double"&gt;3.26910958493134&lt;/D&gt;&lt;D xsi:type="xsd:double"&gt;3.42643716095486&lt;/D&gt;&lt;D xsi:type="xsd:double"&gt;3.25096374377281&lt;/D&gt;&lt;D xsi:type="xsd:double"&gt;3.3795361040612&lt;/D&gt;&lt;D xsi:type="xsd:double"&gt;3.70337981965658&lt;/D&gt;&lt;D xsi:type="xsd:double"&gt;3.55328513884346&lt;/D&gt;&lt;D xsi:type="xsd:double"&gt;3.43700518954896&lt;/D&gt;&lt;D xsi:type="xsd:double"&gt;3.61696756965443&lt;/D&gt;&lt;D xsi:type="xsd:double"&gt;3.97060678912394&lt;/D&gt;&lt;D xsi:type="xsd:double"&gt;3.9065091765626&lt;/D&gt;&lt;D xsi:type="xsd:double"&gt;3.71027810918527&lt;/D&gt;&lt;D xsi:type="xsd:double"&gt;3.68329925890064&lt;/D&gt;&lt;D xsi:type="xsd:double"&gt;3.81837487469196&lt;/D&gt;&lt;D xsi:type="xsd:double"&gt;3.95602012329049&lt;/D&gt;&lt;D xsi:type="xsd:double"&gt;3.80301999935607&lt;/D&gt;&lt;D xsi:type="xsd:double"&gt;3.72896871189953&lt;/D&gt;&lt;D xsi:type="xsd:double"&gt;3.8135661315122&lt;/D&gt;&lt;D xsi:type="xsd:double"&gt;3.70952777022391&lt;/D&gt;&lt;D xsi:type="xsd:double"&gt;3.73156646713705&lt;/D&gt;&lt;D xsi:type="xsd:double"&gt;3.50085564196863&lt;/D&gt;&lt;D xsi:type="xsd:double"&gt;3.46411799465155&lt;/D&gt;&lt;D xsi:type="xsd:double"&gt;3.49149768559694&lt;/D&gt;&lt;D xsi:type="xsd:double"&gt;3.40389905856789&lt;/D&gt;&lt;D xsi:type="xsd:double"&gt;3.44040193220652&lt;/D&gt;&lt;D xsi:type="xsd:double"&gt;3.26119720288567&lt;/D&gt;&lt;D xsi:type="xsd:double"&gt;3.28652961139152&lt;/D&gt;&lt;D xsi:type="xsd:double"&gt;3.35506506266417&lt;/D&gt;&lt;D xsi:type="xsd:double"&gt;3.41113704907119&lt;/D&gt;&lt;D xsi:type="xsd:double"&gt;3.34248411890569&lt;/D&gt;&lt;D xsi:type="xsd:double"&gt;3.2756793287759&lt;/D&gt;&lt;D xsi:type="xsd:double"&gt;3.34166826220579&lt;/D&gt;&lt;D xsi:type="xsd:double"&gt;3.25571036096467&lt;/D&gt;&lt;D xsi:type="xsd:double"&gt;3.21944918481315&lt;/D&gt;&lt;D xsi:type="xsd:double"&gt;3.37624098390326&lt;/D&gt;&lt;D xsi:type="xsd:double"&gt;3.38458889508576&lt;/D&gt;&lt;D xsi:type="xsd:double"&gt;3.34567367045535&lt;/D&gt;&lt;D xsi:type="xsd:double"&gt;3.26335878984565&lt;/D&gt;&lt;D xsi:type="xsd:double"&gt;3.38032141544916&lt;/D&gt;&lt;D xsi:type="xsd:double"&gt;3.38830018381175&lt;/D&gt;&lt;D xsi:type="xsd:double"&gt;3.49083191098522&lt;/D&gt;&lt;D xsi:type="xsd:double"&gt;3.48602466620543&lt;/D&gt;&lt;D xsi:type="xsd:double"</t>
        </r>
      </text>
    </comment>
    <comment ref="A3" authorId="0" shapeId="0" xr:uid="{E10E2B66-161A-46E0-8515-DC8614C31E6C}">
      <text>
        <r>
          <rPr>
            <b/>
            <sz val="9"/>
            <color indexed="81"/>
            <rFont val="Tahoma"/>
            <charset val="1"/>
          </rPr>
          <t>&gt;3.68481745150944&lt;/D&gt;&lt;D xsi:type="xsd:double"&gt;3.76640097552337&lt;/D&gt;&lt;D xsi:type="xsd:double"&gt;3.98212777530591&lt;/D&gt;&lt;D xsi:type="xsd:double"&gt;3.87909385699134&lt;/D&gt;&lt;D xsi:type="xsd:double"&gt;3.70692515352674&lt;/D&gt;&lt;D xsi:type="xsd:double"&gt;3.54654274911155&lt;/D&gt;&lt;D xsi:type="xsd:double"&gt;3.47231922740722&lt;/D&gt;&lt;D xsi:type="xsd:double"&gt;3.56739706908919&lt;/D&gt;&lt;D xsi:type="xsd:double"&gt;3.53952939008413&lt;/D&gt;&lt;D xsi:type="xsd:double"&gt;3.53363978602767&lt;/D&gt;&lt;D xsi:type="xsd:double"&gt;3.71485513933603&lt;/D&gt;&lt;D xsi:type="xsd:double"&gt;3.51472954004687&lt;/D&gt;&lt;D xsi:type="xsd:double"&gt;3.51209770241445&lt;/D&gt;&lt;D xsi:type="xsd:double"&gt;3.35951102675947&lt;/D&gt;&lt;D xsi:type="xsd:double"&gt;3.36131462877275&lt;/D&gt;&lt;D xsi:type="xsd:double"&gt;3.28710637434256&lt;/D&gt;&lt;D xsi:type="xsd:double"&gt;3.28936618383499&lt;/D&gt;&lt;D xsi:type="xsd:double"&gt;5.24815543406154&lt;/D&gt;&lt;D xsi:type="xsd:double"&gt;3.78783673307291&lt;/D&gt;&lt;D xsi:type="xsd:double"&gt;3.51075306035733&lt;/D&gt;&lt;D xsi:type="xsd:double"&gt;3.14575109801497&lt;/D&gt;&lt;D xsi:type="xsd:double"&gt;3.05748104904083&lt;/D&gt;&lt;D xsi:type="xsd:double"&gt;3.14461979416368&lt;/D&gt;&lt;D xsi:type="xsd:double"&gt;3.16536702053682&lt;/D&gt;&lt;D xsi:type="xsd:double"&gt;3.20641427174464&lt;/D&gt;&lt;D xsi:type="xsd:double"&gt;2.90262679581318&lt;/D&gt;&lt;D xsi:type="xsd:double"&gt;2.93234896282176&lt;/D&gt;&lt;D xsi:type="xsd:double"&gt;2.92806263235391&lt;/D&gt;&lt;D xsi:type="xsd:double"&gt;2.86161230846823&lt;/D&gt;&lt;D xsi:type="xsd:double"&gt;2.73680176511333&lt;/D&gt;&lt;D xsi:type="xsd:double"&gt;2.67926623873348&lt;/D&gt;&lt;D xsi:type="xsd:double"&gt;2.71734390046248&lt;/D&gt;&lt;D xsi:type="xsd:double"&gt;2.66893634259228&lt;/D&gt;&lt;D xsi:type="xsd:double"&gt;2.7357767299175&lt;/D&gt;&lt;D xsi:type="xsd:double"&gt;2.71622685142542&lt;/D&gt;&lt;D xsi:type="xsd:double"&gt;2.82229423453081&lt;/D&gt;&lt;D xsi:type="xsd:double"&gt;2.8417962652422&lt;/D&gt;&lt;D xsi:type="xsd:double"&gt;2.7174661217629&lt;/D&gt;&lt;D xsi:type="xsd:double"&gt;2.82357296380611&lt;/D&gt;&lt;D xsi:type="xsd:double"&gt;2.78495833078127&lt;/D&gt;&lt;D xsi:type="xsd:double"&gt;2.95085878851957&lt;/D&gt;&lt;D xsi:type="xsd:double"&gt;3.10859367709543&lt;/D&gt;&lt;D xsi:type="xsd:double"&gt;3.13141071487991&lt;/D&gt;&lt;D xsi:type="xsd:double"&gt;3.26980877930824&lt;/D&gt;&lt;D xsi:type="xsd:double"&gt;3.55522423703797&lt;/D&gt;&lt;D xsi:type="xsd:double"&gt;3.45085978904391&lt;/D&gt;&lt;D xsi:type="xsd:double"&gt;3.26508338796164&lt;/D&gt;&lt;D xsi:type="xsd:double"&gt;3.55246259837005&lt;/D&gt;&lt;D xsi:type="xsd:double"&gt;3.59435896846251&lt;/D&gt;&lt;D xsi:type="xsd:double"&gt;3.29722788852483&lt;/D&gt;&lt;D xsi:type="xsd:double"&gt;3.39138624452294&lt;/D&gt;&lt;D xsi:type="xsd:double"&gt;3.09927026778988&lt;/D&gt;&lt;D xsi:type="xsd:double"&gt;3.10125040084973&lt;/D&gt;&lt;D xsi:type="xsd:double"&gt;3.33443507050359&lt;/D&gt;&lt;D xsi:type="xsd:double"&gt;3.09492110001252&lt;/D&gt;&lt;D xsi:type="xsd:double"&gt;3.18378489617661&lt;/D&gt;&lt;D xsi:type="xsd:double"&gt;3.21327309523536&lt;/D&gt;&lt;D xsi:type="xsd:double"&gt;3.27007447563943&lt;/D&gt;&lt;D xsi:type="xsd:double"&gt;3.39426445063261&lt;/D&gt;&lt;D xsi:type="xsd:double"&gt;3.34870793968551&lt;/D&gt;&lt;D xsi:type="xsd:double"&gt;3.51544400506534&lt;/D&gt;&lt;D xsi:type="xsd:double"&gt;3.36454932746458&lt;/D&gt;&lt;D xsi:type="xsd:double"&gt;3.22770125275538&lt;/D&gt;&lt;D xsi:type="xsd:double"&gt;3.29025753141109&lt;/D&gt;&lt;D xsi:type="xsd:double"&gt;3.1675845457079&lt;/D&gt;&lt;D xsi:type="xsd:double"&gt;3.06441021829017&lt;/D&gt;&lt;D xsi:type="xsd:double"&gt;3.13307174610877&lt;/D&gt;&lt;/FQL&gt;&lt;FQL&gt;&lt;Q&gt;QQQ^FMA_PE(NTMA,-10AY,0,AM,"PORTAGG","MEANR")&lt;/Q&gt;&lt;R&gt;121&lt;/R&gt;&lt;C&gt;1&lt;/C&gt;&lt;D xsi:type="xsd:double"&gt;16.7658884624112&lt;/D&gt;&lt;D xsi:type="xsd:double"&gt;16.598622804596&lt;/D&gt;&lt;D xsi:type="xsd:double"&gt;17.3149205860625&lt;/D&gt;&lt;D xsi:type="xsd:double"&gt;17.6821952184668&lt;/D&gt;&lt;D xsi:type="xsd:double"&gt;17.6803485341112&lt;/D&gt;&lt;D xsi:type="xsd:double"&gt;17.7723845777522&lt;/D&gt;&lt;D xsi:type="xsd:double"&gt;16.3570414656842&lt;/D&gt;&lt;D xsi:type="xsd:double"&gt;17.9998480651238&lt;/D&gt;&lt;D xsi:type="xsd:double"&gt;17.8516742420452&lt;/D&gt;&lt;D xsi:type="xsd:double"&gt;16.9330232799213&lt;/D&gt;&lt;D xsi:type="xsd:double"&gt;17.9255563498927&lt;/D&gt;&lt;D xsi:type="xsd:double"&gt;17.9886510030795&lt;/D&gt;&lt;D xsi:type="xsd:double"&gt;17.6946380889642&lt;/D&gt;&lt;D xsi:type="xsd:double"&gt;18.089710941413&lt;/D&gt;&lt;D xsi:type="xsd:double"&gt;18.0420002990791&lt;/D&gt;&lt;D xsi:type="xsd:double"&gt;18.6502740976733&lt;/D&gt;&lt;D xsi:type="xsd:double"&gt;18.3906016216898&lt;/D&gt;&lt;D xsi:type="xsd:double"&gt;17.3818247581529&lt;/D&gt;&lt;D xsi:type="xsd:double"&gt;17.7982614318244&lt;/D&gt;&lt;D xsi:type="xsd:double"&gt;18.6424247427647&lt;/D&gt;&lt;D xsi:type="xsd:double"&gt;18.014363407706&lt;/D&gt;&lt;D xsi:type="xsd:double"&gt;16.6737264004486&lt;/D&gt;&lt;D xsi:type="xsd:double"&gt;16.7348765981438&lt;/D&gt;&lt;D xsi:type="xsd:double"&gt;17.5937306385027&lt;/D&gt;&lt;D xsi:type="xsd:double"&gt;18.1216326157745&lt;/D&gt;&lt;D xsi:type="xsd:double"&gt;17.3863203094486&lt;/D&gt;&lt;D xsi:type="xsd:double"&gt;17.3392188765082&lt;/D&gt;&lt;D xsi:type="xsd:double"&gt;18.4324648296094&lt;/D&gt;&lt;D xsi:type="xsd:double"&gt;18.7680377592317&lt;/D&gt;&lt;D xsi:type="xsd:double"&gt;18.5111857492327&lt;/D&gt;&lt;D xsi:type="xsd:double"&gt;18.4127598414023&lt;/D&gt;&lt;D xsi:type="xsd:double"&gt;18.1118326256507&lt;/D&gt;&lt;D xsi:type="xsd:double"&gt;18.3237547324015&lt;/D&gt;&lt;D xsi:type="xsd:double"&gt;18.6737020095543&lt;/D&gt;&lt;D xsi:type="xsd:double"&gt;20.083947065919&lt;/D&gt;&lt;D xsi:type="xsd:double"&gt;20.1588511394013&lt;/D&gt;&lt;D xsi:type="xsd:double"&gt;19.8634730377054&lt;/D&gt;&lt;D xsi:type="xsd:double"&gt;20.4327921918516&lt;/D&gt;&lt;D xsi:type="xsd:double"&gt;20.3634873398926&lt;/D&gt;&lt;D xsi:type="xsd:double"&gt;20.8223797075666&lt;/D&gt;&lt;D xsi:type="xsd:double"&gt;20.1422685649617&lt;/D&gt;&lt;D xsi:type="xsd:double"&gt;20.5598566840973&lt;/D&gt;&lt;D xsi:type="xsd:double"&gt;20.6582006968146&lt;/D&gt;&lt;D xsi:type="xsd:double"&gt;20.8327306115383&lt;/D&gt;&lt;D xsi:type="xsd:double"&gt;21.3885348638468&lt;/D&gt;&lt;D xsi:type="xsd:double"&gt;21.8296535212286&lt;/D&gt;&lt;D xsi:type="xsd:double"&gt;20.6398029045591&lt;/D&gt;&lt;D xsi:type="xsd:double"&gt;21.1703525274099&lt;/D&gt;&lt;D xsi:type="xsd:double"&gt;20.3977017127256&lt;/D&gt;&lt;D xsi:type="xsd:double"&gt;19.8861687002021&lt;/D&gt;&lt;D xsi:type="xsd:double"&gt;20.8117317496319&lt;/D&gt;&lt;D xsi:type="xsd:double"&gt;20.9694290438767&lt;/D&gt;&lt;D xsi:type="xsd:double"&gt;20.4708595873138&lt;/D&gt;&lt;D xsi:type="xsd:double"&gt;20.5453473068121&lt;/D&gt;&lt;D xsi:type="xsd:double"&gt;19.384432874829&lt;/D&gt;&lt;D xsi:type="xsd:double"&gt;18.624333458586&lt;/D&gt;&lt;D xsi:type="xsd:double"&gt;17.5541969815317&lt;/D&gt;&lt;D xsi:type="xsd:double"&gt;18.6123192003185&lt;/D&gt;&lt;D xsi:type="xsd:double"&gt;19.5287904397589&lt;/D&gt;&lt;D xsi:type="xsd:double"&gt;20.2578514145155&lt;/D&gt;&lt;D xsi:type="xsd:double"&gt;21.0711143290508&lt;/D&gt;&lt;D xsi:type="xsd:double"&gt;20.449279332865&lt;/D&gt;&lt;D xsi:type="xsd:double"&gt;20.6931475038134&lt;/D&gt;&lt;D xsi:type="xsd:double"&gt;21.3022885225746&lt;/D&gt;&lt;D xsi:type="xsd:double"&gt;20.3281675363018&lt;/D&gt;&lt;D xsi:type="xsd:double"&gt;20.8495821302527&lt;/D&gt;&lt;D xsi:type="xsd:double"&gt;20.6184008507762&lt;/D&gt;&lt;D xsi:type="xsd:double"&gt;21.6564779909399&lt;/D&gt;&lt;D xsi:type="xsd:double"&gt;22.3323879332996&lt;/D&gt;&lt;D xsi:type="xsd:double"&gt;23.7403873830029&lt;/D&gt;&lt;D xsi:type="xsd:double"&gt;24.3505758535507&lt;/D&gt;&lt;D xsi:type="xsd:double"&gt;18.3100215180604&lt;/D&gt;&lt;D xsi:type="xsd:double"&gt;24.3781998474104&lt;/D&gt;&lt;D xsi:type="xsd:double"&gt;26.684065420129&lt;/D&gt;&lt;D xsi:type="xsd:double"&gt;28.3191491522651&lt;/D&gt;&lt;D xsi:type="xsd:double"&gt;29.3211787246078&lt;/D&gt;&lt;D xsi:type="xsd:double"&gt;29.8295504693453&lt;/D&gt;&lt;D xsi:type="xsd:double"&gt;28.1272411996303&lt;/D&gt;&lt;D xsi:type="xsd:double"&gt;30.015374388316&lt;/D&gt;&lt;D xsi:type="xsd:double"&gt;28.9788370144719&lt;/D&gt;&lt;D xsi:type="xsd:double"&gt;30.2277698846768&lt;/D&gt;&lt;D xsi:type="xsd:double"&gt;29.6062108107944&lt;/D&gt;&lt;D xsi:type="xsd:double"&gt;29.8621499357363&lt;/D&gt;&lt;D xsi:type="xsd:double"&gt;27.3799150682457&lt;/D&gt;&lt;D xsi:type="xsd:double"&gt;29.7510795212621&lt;/D&gt;&lt;D xsi:type="xsd:double"&gt;26.2479538959157&lt;/D&gt;&lt;D xsi:type="xsd:double"&gt;27.4331398492484&lt;/D&gt;&lt;D xsi:type="xsd:double"&gt;28.3574742264274&lt;/D&gt;&lt;D xsi:type="xsd:double"&gt;27.4332258820599&lt;/D&gt;&lt;D xsi:type="xsd:double"&gt;27.9876324155041&lt;/D&gt;&lt;D xsi:type="xsd:double"&gt;27.8488154828504&lt;/D&gt;&lt;D xsi:type="xsd:double"&gt;29.7941049751832&lt;/D&gt;&lt;D xsi:type="xsd:double"&gt;28.2106866849329&lt;/D&gt;&lt;D xsi:type="xsd:double"&gt;26.999364977579&lt;/D&gt;&lt;D xsi:type="xsd:double"&gt;24.4590805053909&lt;/D&gt;&lt;D xsi:type="xsd:double"&gt;24.9321291726947&lt;/D&gt;&lt;D xsi:type="xsd:double"&gt;23.9033207676227&lt;/D&gt;&lt;D xsi:type="xsd:double"&gt;20.6538905309826&lt;/D&gt;&lt;D xsi:type="xsd:double"&gt;19.3627282583577&lt;/D&gt;&lt;D xsi:type="xsd:double"&gt;20.632950416474&lt;/D&gt;&lt;D xsi:type="xsd:double"&gt;24.0472879340172&lt;/D&gt;&lt;D xsi:type="xsd:double"&gt;20.9876374057465&lt;/D&gt;&lt;D xsi:type="xsd:double"&gt;19.9648961509394&lt;/D&gt;&lt;D xsi:type="xsd:double"&gt;21.7048818923376&lt;/D&gt;&lt;D xsi:type="xsd:double"&gt;20.8801568576861&lt;/D&gt;&lt;D xsi:type="xsd:double"&gt;21.8052537641695&lt;/D&gt;&lt;D xsi:type="xsd:double"&gt;23.7858269611691&lt;/D&gt;&lt;D xsi:type="xsd:double"&gt;23.8382467108487&lt;/D&gt;&lt;D xsi:type="xsd:double"&gt;24.7477366053342&lt;/D&gt;&lt;D xsi:type="xsd:double"&gt;25.4351256261744&lt;/D&gt;&lt;D xsi:type="xsd:double"&gt;26.9904359614378&lt;/D&gt;&lt;D xsi:type="xsd:double"&gt;27.7145307555795&lt;/D&gt;&lt;D xsi:type="xsd:double"&gt;23.7801090433183&lt;/D&gt;&lt;D xsi:type="xsd:double"&gt;24.0566496439689&lt;/D&gt;&lt;D xsi:type="xsd:double"&gt;23.3064535215606&lt;/D&gt;&lt;D xsi:type="xsd:double"&gt;24.4016172575708&lt;/D&gt;&lt;D xsi:type="xsd:double"&gt;25.1249437506356&lt;/D&gt;&lt;D xsi:type="xsd:double"&gt;25.1375489648275&lt;/D&gt;&lt;D xsi:type="xsd:double"&gt;25.9042023481055&lt;/D&gt;&lt;D xsi:type="xsd:double"&gt;25.980679464786&lt;/D&gt;&lt;D xsi:type="xsd:double"&gt;24.9067985720621&lt;/D&gt;&lt;/FQL&gt;&lt;FQL&gt;&lt;Q&gt;EWL^FMA_PE(LTMA,-10AY,0,AM,"PORTAGG","MEANR")&lt;/Q&gt;&lt;R&gt;121&lt;/R&gt;&lt;C&gt;1&lt;/C&gt;&lt;D xsi:type="xsd:double"&gt;17.0799956913747&lt;/D&gt;&lt;D xsi:type="xsd:double"&gt;17.2027851521752&lt;/D&gt;&lt;D xsi:type="xsd:double"&gt;17.2002979834569&lt;/D&gt;&lt;D xsi:type="xsd:double"&gt;17.0933454039665&lt;/D&gt;&lt;D xsi:type="xsd:double"&gt;17.185856804859&lt;/D&gt;&lt;D xsi:type="xsd:double"&gt;17.4615478991135&lt;/D&gt;&lt;D xsi:type="xsd:double"&gt;16.4940178057016&lt;/D&gt;&lt;D xsi:type="xsd:double"&gt;17.5777052678182&lt;/D&gt;&lt;D xsi:type="xsd:double"&gt;17.3121792783355&lt;/D&gt;&lt;D xsi:type="xsd:double"&gt;16.0147467139515&lt;/D&gt;&lt;D xsi:type="xsd:double"&gt;17.5894556211817&lt;/D&gt;&lt;D xsi:type="xsd:double"&gt;18.0260149057825&lt;/D&gt;&lt;D xsi:type="xsd:double"&gt;18.1470940788579&lt;/D&gt;&lt;D xsi:type="xsd:double"&gt;18.1129756429318&lt;/D&gt;&lt;D xsi:type="xsd:double"&gt;17.8432491946054&lt;/D&gt;&lt;D xsi:type="xsd:double"&gt;18.2476272129439&lt;/D&gt;&lt;D xsi:type="xsd:double"&gt;18.0232214393374&lt;/D&gt;&lt;D xsi:type="xsd:double"&gt;17.2947333358471&lt;/D&gt;&lt;D xsi:type="xsd:double"&gt;17.527806045658&lt;/D&gt;&lt;D xsi:type="xsd:double"&gt;17.604302317232&lt;/D&gt;&lt;D xsi:type="xsd:double"&gt;17.1161449303724&lt;/D&gt;&lt;D xsi:type="xsd:double"&gt;16.0796320553105&lt;/D&gt;&lt;D xsi:type="xsd:double"&gt;16.6610559266944&lt;/D&gt;&lt;D xsi:type="xsd:double"&gt;16.6321153341155&lt;/D&gt;&lt;D xsi:type="xsd:double"&gt;16.8373934662109&lt;/D&gt;&lt;D xsi:type="xsd:double"&gt;16.8810693887252&lt;/D&gt;&lt;D xsi:type="xsd:double"&gt;16.7788647120966&lt;/D&gt;&lt;D xsi:type="xsd:double"&gt;17.3512372529637&lt;/D&gt;&lt;D xsi:type="xsd:double"&gt;17.8764328842955&lt;/D&gt;&lt;D xsi:type="xsd:double"&gt;17.834477350752&lt;/D&gt;&lt;D xsi:type="xsd:double"&gt;17.8816384589694&lt;/D&gt;&lt;D xsi:type="xsd:double"&gt;17.5888175585835&lt;/D&gt;&lt;D xsi:type="xsd:double"&gt;18.0667534293573&lt;/D&gt;&lt;D xsi:type="xsd:double"&gt;18.4825961914988&lt;/D&gt;&lt;D xsi:type="xsd:double"&gt;19.6449691518581&lt;/D&gt;&lt;D xsi:type="xsd:double"&gt;19.6392922106911&lt;/D&gt;&lt;D xsi:type="xsd:double"&gt;19.3377426788187&lt;/D&gt;&lt;D xsi:type="xsd:double"&gt;19.4603138540057&lt;/D&gt;&lt;D xsi:type="xsd:double"&gt;19.5015116689712&lt;/D&gt;&lt;D xsi:type="xsd:double"&gt;19.4141778212737&lt;/D&gt;&lt;D xsi:type="xsd:double"&gt;19.1062351214455&lt;/D&gt;&lt;D xsi:type="xsd:double"&gt;19.3333008242813&lt;/D&gt;&lt;D xsi:type="xsd:double"&gt;19.803239384735&lt;/D&gt;&lt;D xsi:type="xsd:double"&gt;20.2034023693973&lt;/D&gt;&lt;D xsi:type="xsd:double"&gt;20.757961930396&lt;/D&gt;&lt;D xsi:type="xsd:double"&gt;20.995998176573&lt;/D&gt;&lt;D xsi:type="xsd:double"&gt;21.802982471816&lt;/D&gt;&lt;D xsi:type="xsd:double"&gt;20.9690547696546&lt;/D&gt;&lt;D xsi:type="xsd:double"&gt;20.45979073565&lt;/D&gt;&lt;D xsi:type="xsd:double"&gt;20.1199021906379&lt;/D&gt;&lt;D xsi:type="xsd:double"&gt;19.3633570075244&lt;/D&gt;&lt;D xsi:type="xsd:double"&gt;19.3201524565921&lt;/D&gt;&lt;D xsi:type="xsd:double"&gt;18.8620215004848&lt;/D&gt;&lt;D xsi:type="xsd:double"&gt;18.5369148771029&lt;/D&gt;&lt;D xsi:type="xsd:double"&gt;17.7342230373897&lt;/D&gt;&lt;D xsi:type="xsd:double"&gt;17.6385673064002&lt;/D&gt;&lt;D xsi:type="xsd:double"&gt;16.5707885392989&lt;/D&gt;&lt;D xsi:type="xsd:double"&gt;17.4263598849173&lt;/D&gt;&lt;D xsi:type="xsd:double"&gt;17.9059655420583&lt;/D&gt;&lt;D xsi:type="xsd:double"&gt;18.3116884181736&lt;/D&gt;&lt;D xsi:type="xsd:double"&gt;18.2983741790456&lt;/D&gt;&lt;D xsi:type="xsd:double"&gt;18.1834695847756&lt;/D&gt;&lt;D xsi:type="xsd:double"&gt;18.3624483527361&lt;/D&gt;&lt;D xsi:type="xsd:double"&gt;18.4372366382442&lt;/D&gt;&lt;D xsi:type="xsd:double"&gt;18.1158404315763&lt;/D&gt;&lt;D xsi:type="xsd:double"&gt;18.3709861921922&lt;/D&gt;&lt;D xsi:type="xsd:double"&gt;18.3507862610808&lt;/D&gt;&lt;D xsi:type="xsd:double"&gt;18.943605900806&lt;/D&gt;&lt;D xsi:type="xsd:double"&gt;19.4120702786806&lt;/D&gt;&lt;D xsi:type="xsd:double"&gt;19.993372715883&lt;/D&gt;&lt;D xsi:type="xsd:double"&gt;20.1392776341087&lt;/D&gt;&lt;D xsi:type="xsd:double"&gt;17.4031057345383&lt;/D&gt;&lt;D xsi:type="xsd:double"&gt;18.3343209655167&lt;/D&gt;&lt;D xsi:type="xsd:double"&gt;18.9348394808949&lt;/D&gt;&lt;D xsi:type="xsd:double"&gt;19.4931312983646&lt;/D&gt;&lt;D xsi:type="xsd:double"&gt;20.1681831161812&lt;/D&gt;&lt;D xsi:type="xsd:double"&gt;20.4387780509377&lt;/D&gt;&lt;D xsi:type="xsd:double"&gt;21.0549448262468&lt;/D&gt;&lt;D xsi:type="xsd:double"&gt;20.9094031595049&lt;/D&gt;&lt;D xsi:type="xsd:double"&gt;21.3967619777134&lt;/D&gt;&lt;D xsi:type="xsd:double"&gt;21.5053456525426&lt;/D&gt;&lt;D xsi:type="xsd:double"&gt;21.9739840292278&lt;/D&gt;&lt;D xsi:type="xsd:double"&gt;20.9304374800129&lt;/D&gt;&lt;D xsi:type="xsd:double"&gt;20.4751999219453&lt;/D&gt;&lt;D xsi:type="xsd:double"&gt;20.6496100222041&lt;/D&gt;&lt;D xsi:type="xsd:double"&gt;20.4798508861101&lt;/D&gt;&lt;D xsi:type="xsd:double"&gt;20.8663274700423&lt;/D&gt;&lt;D xsi:type="xsd:double"&gt;20.9527683199598&lt;/D&gt;&lt;D xsi:type="xsd:double"&gt;21.290966476008&lt;/D&gt;&lt;D xsi:type="xsd:double"&gt;20.5528427778215&lt;/D&gt;&lt;D xsi:type="xsd:double"&gt;20.4960940311522&lt;/D&gt;&lt;D xsi:type="xsd:double"&gt;21.0154436308988&lt;/D&gt;&lt;D xsi:type="xsd:double"&gt;21.234487271638&lt;/D&gt;&lt;D xsi:type="xsd:double"&gt;20.7849712145836&lt;/D&gt;&lt;D xsi:type="xsd:double"&gt;18.3973275737439&lt;/D&gt;&lt;D xsi:type="xsd:double"&gt;18.557000925214&lt;/D&gt;&lt;D xsi:type="xsd:double"&gt;18.6846854739522&lt;/D&gt;&lt;D xsi:type="xsd:double"&gt;18.1106747968798&lt;/D&gt;&lt;D xsi:type="xsd:double"&gt;17.3556958663355&lt;/D&gt;&lt;D xsi:type="xsd:double"&gt;17.7684094661169&lt;/D&gt;&lt;D xsi:type="xsd:double"&gt;18.3059658836801&lt;/D&gt;&lt;D xsi:type="xsd:double"&gt;17.5624428838475&lt;/D&gt;&lt;D xsi:type="xsd:double"&gt;17.4885458383242&lt;/D&gt;&lt;D xsi:type="xsd:double"&gt;19.5508362469905&lt;/D&gt;&lt;D xsi:type="xsd:double"&gt;20.0034162241073&lt;/D&gt;&lt;D xsi:type="xsd:double"&gt;21.4288027807276&lt;/D&gt;&lt;D xsi:type="xsd:double"&gt;21.3325768589696&lt;/D&gt;&lt;D xsi:type="xsd:double"&gt;20.3872833750517&lt;/D&gt;&lt;D xsi:type="xsd:double"&gt;20.38379322278&lt;/D&gt;&lt;D xsi:type="xsd:double"&gt;20.0343155275886&lt;/D&gt;&lt;D xsi:type="xsd:double"&gt;19.5036825296999&lt;/D&gt;&lt;D xsi:type="xsd:double"&gt;19.2155938227319&lt;/D&gt;&lt;D xsi:type="xsd:double"&gt;18.6384229769193&lt;/D&gt;&lt;D xsi:type="xsd:double"&gt;18.7193508324973&lt;/D&gt;&lt;D xsi:type="xsd:double"&gt;18.0553863332263&lt;/D&gt;&lt;D xsi:type="xsd:double"&gt;17.8846575293913&lt;/D&gt;&lt;D xsi:type="xsd:double"&gt;18.3596394143087&lt;/D&gt;&lt;D xsi:type="xsd:double"&gt;18.2128212970266&lt;/D&gt;&lt;D xsi:type="xsd:double"&gt;19.0017802714621&lt;/D&gt;&lt;D xsi:type="xsd:double"&gt;19.1784917428992&lt;/D&gt;&lt;D xsi:type="xsd:double"&gt;18.9194869412522&lt;/D&gt;&lt;/FQL&gt;&lt;FQL&gt;&lt;Q&gt;WL-FDS^FG_PRICE(0)/MAX(FG_PRICE(0,-1AY))&lt;/Q&gt;&lt;R&gt;1&lt;/R&gt;&lt;C&gt;1&lt;/C&gt;&lt;D xsi:type="xsd:double"&gt;0.745218758187058&lt;/D&gt;&lt;/FQL&gt;&lt;FQL&gt;&lt;Q&gt;NI-FDS^FG_PRICE(0)/MAX(FG_PRICE(0,-1AY))&lt;/Q&gt;&lt;R&gt;1&lt;/R&gt;&lt;C&gt;1&lt;/C&gt;&lt;D xsi:type="xsd:double"&gt;0.712999216914644&lt;/D&gt;&lt;/FQL&gt;&lt;FQL&gt;&lt;Q&gt;CPALM-FDS^FG_PRICE(0)/MAX(FG_PRICE(0,-1AY))&lt;/Q&gt;&lt;R&gt;1&lt;/R&gt;&lt;C&gt;1&lt;/C&gt;&lt;D xsi:type="xsd:double"&gt;0.900851714348111&lt;/D&gt;&lt;/FQL&gt;&lt;FQL&gt;&lt;Q&gt;BRENT-FDS^FG_PRICE(0)/MAX(FG_PRICE(0,-1AY))&lt;/Q&gt;&lt;R&gt;1&lt;/R&gt;&lt;C&gt;1&lt;/C&gt;&lt;D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xsi:type="xsd:double"&gt;0.748820754716981&lt;/D&gt;&lt;/FQL&gt;&lt;FQL&gt;&lt;Q&gt;EWQ^FMA_ROE(NTMA,-20AY,NOW,FY,"PORTAGG","MEANR")&lt;/Q&gt;&lt;R&gt;20&lt;/R&gt;&lt;C&gt;1&lt;/C&gt;&lt;D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xsi:type="xsd:double"&gt;8.94242101235722&lt;/D&gt;&lt;D xsi:type="xsd:double"&gt;12.2539581193409&lt;/D&gt;&lt;D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xsi:type="xsd:double"&gt;1817.1554&lt;/D&gt;&lt;/FQL&gt;&lt;FQL&gt;&lt;Q&gt;USDANG^FG_PRICE(0)&lt;/Q&gt;&lt;R&gt;1&lt;/R&gt;&lt;C&gt;1&lt;/C&gt;&lt;D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xsi:type="xsd:double"&gt;0.8035033&lt;/D&gt;&lt;/FQL&gt;&lt;FQL&gt;&lt;Q&gt;USDJPY^FG_PRICE(0)&lt;/Q&gt;&lt;R&gt;1&lt;/R&gt;&lt;C&gt;1&lt;/C&gt;&lt;D xsi:type="xsd:double"&gt;154.625&lt;/D&gt;&lt;/FQL&gt;&lt;FQL&gt;&lt;Q&gt;USDCAD^FG_PRICE(0)&lt;/Q&gt;&lt;R&gt;1&lt;/R&gt;&lt;C&gt;1&lt;/C&gt;&lt;D xsi:type="xsd:double"&gt;1.37555&lt;/D&gt;&lt;/FQL&gt;&lt;FQL&gt;&lt;Q&gt;USDNZD^FG_PRICE(0)&lt;/Q&gt;&lt;R&gt;1&lt;/R&gt;&lt;C&gt;1&lt;/C&gt;&lt;D xsi:type="xsd:double"&gt;1.690903&lt;/D&gt;&lt;/FQL&gt;&lt;FQL&gt;&lt;Q&gt;EWI^P_PRICE_RETURNS_PR('52W',2,-10AY,0,AM)&lt;/Q&gt;&lt;R&gt;121&lt;/R&gt;&lt;C&gt;1&lt;/C&gt;&lt;D xsi:type="xsd:double"&gt;52.48313&lt;/D&gt;&lt;D xsi:type="xsd:double"&gt;28.849852&lt;/D&gt;&lt;D xsi:type="xsd:double"&gt;42.681683&lt;/D&gt;&lt;D xsi:type="xsd:double"&gt;37.084793&lt;/D&gt;&lt;D xsi:type="xsd:double"&gt;14.103878&lt;/D&gt;&lt;D xsi:type="xsd:double"&gt;13.82078&lt;/D&gt;&lt;D xsi:type="xsd:double"&gt;-7.6397896&lt;/D&gt;&lt;D xsi:type="xsd:double"&gt;-2.6109755&lt;/D&gt;&lt;D xsi:type="xsd:double"&gt;-4.0139856&lt;/D&gt;&lt;D xsi:type="xsd:double"&gt;-15.6409855&lt;/D&gt;&lt;D xsi:type="xsd:double"&gt;-9.831339&lt;/D&gt;&lt;D xsi:type="xsd:double"&gt;-14.528698&lt;/D&gt;&lt;D xsi:type="xsd:double"&gt;-14.8165045&lt;/D&gt;&lt;D xsi:type="xsd:double"&gt;-3.4826994&lt;/D&gt;&lt;D xsi:type="xsd:double"&gt;-13.067066&lt;/D&gt;&lt;D xsi:type="xsd:double"&gt;-4.063618&lt;/D&gt;&lt;D xsi:type="xsd:double"&gt;1.2889385&lt;/D&gt;&lt;D xsi:type="xsd:double"&gt;-7.6764345&lt;/D&gt;&lt;D xsi:type="xsd:double"&gt;13.138235&lt;/D&gt;&lt;D xsi:type="xsd:double"&gt;-0.54891706&lt;/D&gt;&lt;D xsi:type="xsd:double"&gt;-0.060611963&lt;/D&gt;&lt;D xsi:type="xsd:double"&gt;-2.026105&lt;/D&gt;&lt;D xsi:type="xsd:double"&gt;-21.97556&lt;/D&gt;&lt;D xsi:type="xsd:double"&gt;-12.230289&lt;/D&gt;&lt;D xsi:type="xsd:double"&gt;-15.045381&lt;/D&gt;&lt;D xsi:type="xsd:double"&gt;-24.331284&lt;/D&gt;&lt;D xsi:type="xsd:double"&gt;-21.443718&lt;/D&gt;&lt;D xsi:type="xsd:double"&gt;-26.209194&lt;/D&gt;&lt;D xsi:type="xsd:double"&gt;-24.616444&lt;/D&gt;&lt;D xsi:type="xsd:double"&gt;-25.625664&lt;/D&gt;&lt;D xsi:type="xsd:double"&gt;-24.741203&lt;/D&gt;&lt;D xsi:type="xsd:double"&gt;-24.03146&lt;/D&gt;&lt;D xsi:type="xsd:double"&gt;-12.321388&lt;/D&gt;&lt;D xsi:type="xsd:double"&gt;2.1294117&lt;/D&gt;&lt;D xsi:type="xsd:double"&gt;6.9940567&lt;/D&gt;&lt;D xsi:type="xsd:double"&gt;5.2064657&lt;/D&gt;&lt;D xsi:type="xsd:double"&gt;3.5462499&lt;/D&gt;&lt;D xsi:type="xsd:double"&gt;23.623812&lt;/D&gt;&lt;D xsi:type="xsd:double"&gt;29.839754&lt;/D&gt;&lt;D xsi:type="xsd:double"&gt;35.133995&lt;/D&gt;&lt;D xsi:type="xsd:double"&gt;36.208797&lt;/D&gt;&lt;D xsi:type="xsd:double"&gt;48.715973&lt;/D&gt;&lt;D xsi:type="xsd:double"&gt;42.23994&lt;/D&gt;&lt;D xsi:type="xsd:double"&gt;45.736156&lt;/D&gt;&lt;D xsi:type="xsd:double"&gt;32.598568&lt;/D&gt;&lt;D xsi:type="xsd:double"&gt;40.022217&lt;/D&gt;&lt;D xsi:type="xsd:double"&gt;40.240894&lt;/D&gt;&lt;D xsi:type="xsd:double"&gt;30.625105&lt;/D&gt;&lt;D xsi:type="xsd:double"&gt;41.78182&lt;/D&gt;&lt;D xsi:type="xsd:double"&gt;16.684639&lt;/D&gt;&lt;D xsi:type="xsd:double"&gt;9.528971&lt;/D&gt;&lt;D xsi:type="xsd:double"&gt;4.224527&lt;/D&gt;&lt;D xsi:type="xsd:double"&gt;-6.414014&lt;/D&gt;&lt;D xsi:type="xsd:double"&gt;-5.7903824&lt;/D&gt;&lt;D xsi:type="xsd:double"&gt;-15.702367&lt;/D&gt;&lt;D xsi:type="xsd:double"&gt;-14.491522&lt;/D&gt;&lt;D xsi:type="xsd:double"&gt;-16.220648&lt;/D&gt;&lt;D xsi:type="xsd:double"&gt;-19.67408&lt;/D&gt;&lt;D xsi:type="xsd:double"&gt;-15.668732&lt;/D&gt;&lt;D xsi:type="xsd:double"&gt;-10.817247&lt;/D&gt;&lt;D xsi:type="xsd:double"&gt;-13.536608&lt;/D&gt;&lt;D xsi:type="xsd:double"&gt;-12.9154625&lt;/D&gt;&lt;D xsi:type="xsd:double"&gt;-3.7522435&lt;/D&gt;&lt;D xsi:type="xsd:double"&gt;1.9358277&lt;/D&gt;&lt;D xsi:type="xsd:double"&gt;-0.1401782&lt;/D&gt;&lt;D xsi:type="xsd:double"&gt;1.9697189&lt;/D&gt;&lt;D xsi:type="xsd:double"&gt;18.34525&lt;/D&gt;&lt;D xsi:type="xsd:double"&gt;22.29004&lt;/D&gt;&lt;D xsi:type="xsd:double"&gt;24.381805&lt;/D&gt;&lt;D xsi:type="xsd:double"&gt;21.176386&lt;/D&gt;&lt;D xsi:type="xsd:double"&gt;19.19862&lt;/D&gt;&lt;D xsi:type="xsd:double"&gt;-31.255405&lt;/D&gt;&lt;D xsi:type="xsd:double"&gt;-25.14928&lt;/D&gt;&lt;D xsi:type="xsd:double"&gt;-19.21587&lt;/D&gt;&lt;D xsi:type="xsd:double"&gt;-9.606105&lt;/D&gt;&lt;D xsi:type="xsd:double"&gt;-6.768531&lt;/D&gt;&lt;D xsi:type="xsd:double"&gt;3.0582666&lt;/D&gt;&lt;D xsi:type="xsd:double"&gt;-7.2433114&lt;/D&gt;&lt;D xsi:type="xsd:double"&gt;-10.75725&lt;/D&gt;&lt;D xsi:type="xsd:double"&gt;-3.8838446&lt;/D&gt;&lt;D xsi:type="xsd:double"&gt;1.2582898&lt;/D&gt;&lt;D xsi:type="xsd:double"&gt;1.4656425&lt;/D&gt;&lt;D xsi:type="xsd:double"&gt;1.5443206&lt;/D&gt;&lt;D xsi:type="xsd:double"&gt;73.308075&lt;/D&gt;&lt;D xsi:type="xsd:double"&gt;64.71742&lt;/D&gt;&lt;D xsi:type="xsd:double"&gt;59.73121&lt;/D&gt;&lt;D xsi:type="xsd:double"&gt;37.834274&lt;/D&gt;&lt;D xsi:type="xsd:double"&gt;25.71392&lt;/D&gt;&lt;D xsi:type="xsd:double"&gt;30.170572&lt;/D&gt;&lt;D xsi:type="xsd:double"&gt;28.577673&lt;/D&gt;&lt;D xsi:type="xsd:double"&gt;35.318066&lt;/D&gt;&lt;D xsi:type="xsd:double"&gt;23.266352&lt;/D&gt;&lt;D xsi:type="xsd:double"&gt;10.115361&lt;/D&gt;&lt;D xsi:type="xsd:double"&gt;15.891242&lt;/D&gt;&lt;D xsi:type="xsd:double"&gt;9.293663&lt;/D&gt;&lt;D xsi:type="xsd:double"&gt;-5.6703863&lt;/D&gt;&lt;D xsi:type="xsd:double"&gt;-7.954061&lt;/D&gt;&lt;D xsi:type="xsd:double"&gt;-15.727353&lt;/D&gt;&lt;D xsi:type="xsd:double"&gt;-22.954416&lt;/D&gt;&lt;D xsi:type="xsd:double"&gt;-24.22639&lt;/D&gt;&lt;D xsi:type="xsd:double"&gt;-21.57355&lt;/D&gt;&lt;D xsi:type="xsd:double"&gt;-23.981773&lt;/D&gt;&lt;D xsi:type="xsd:double"&gt;-27.050144&lt;/D&gt;&lt;D xsi:type="xsd:double"&gt;-15.100598&lt;/D&gt;&lt;D xsi:type="xsd:double"&gt;-13.165337&lt;/D&gt;&lt;D xsi:type="xsd:double"&gt;-6.8821964&lt;/D&gt;&lt;D xsi:type="xsd:double"&gt;0.22763014&lt;/D&gt;&lt;D xsi:type="xsd:double"&gt;2.360022&lt;/D&gt;&lt;D xsi:type="xsd:double"&gt;14.126873&lt;/D&gt;&lt;D xsi:type="xsd:double"&gt;19.592535&lt;/D&gt;&lt;D xsi:type="xsd:double"&gt;33.944332&lt;/D&gt;&lt;D xsi:type="xsd:double"&gt;50.755333&lt;/D&gt;&lt;D xsi:type="xsd:double"&gt;29.961527&lt;/D&gt;&lt;D xsi:type="xsd:double"&gt;37.316288&lt;/D&gt;&lt;D xsi:type="xsd:double"&gt;36.40461&lt;/D&gt;&lt;D xsi:type="xsd:double"&gt;24.770176&lt;/D&gt;&lt;D xsi:type="xsd:double"&gt;29.828632&lt;/D&gt;&lt;D xsi:type="xsd:double"&gt;17.616676&lt;/D&gt;&lt;D xsi:type="xsd:double"&gt;16.098642&lt;/D&gt;&lt;D xsi:type="xsd:double"&gt;37.023376&lt;/D&gt;&lt;D xsi:type="xsd:double"&gt;18.183672&lt;/D&gt;&lt;/FQL&gt;&lt;FQL&gt;&lt;Q&gt;EWN^FG_TOTAL_RETURNC(-10AY,0,AM)&lt;/Q&gt;&lt;R&gt;121&lt;/R&gt;&lt;C&gt;1&lt;/C&gt;&lt;D xsi:type="xsd:double"&gt;0.039184093&lt;/D&gt;&lt;D xsi:type="xsd:double"&gt;-0.43047667&lt;/D&gt;&lt;D xsi:type="xsd:double"&gt;3.6581278&lt;/D&gt;&lt;D xsi:type="xsd:double"&gt;-4.8482895&lt;/D&gt;&lt;D xsi:type="xsd:double"&gt;-1.9902587&lt;/D&gt;&lt;D xsi:type="xsd:double"&gt;2.6937485&lt;/D&gt;&lt;D xsi:type="xsd:double"&gt;-8.837771&lt;/D&gt;&lt;D xsi:type="xsd:double"&gt;7.7025175&lt;/D&gt;&lt;D xsi:type="xsd:double"&gt;-0.2971828&lt;/D&gt;&lt;D xsi:type="xsd:double"&gt;-2.5025845&lt;/D&gt;&lt;D xsi:type="xsd:double"&gt;6.109464&lt;/D&gt;&lt;D xsi:type="xsd:double"&gt;3.5185933&lt;/D&gt;&lt;D xsi:type="xsd:double"&gt;-0.88837147&lt;/D&gt;&lt;D xsi:type="xsd:double"&gt;5.1831603&lt;/D&gt;&lt;D xsi:type="xsd:double"&gt;-1.9636929&lt;/D&gt;&lt;D xsi:type="xsd:double"&gt;1.3309002&lt;/D&gt;&lt;D xsi:type="xsd:double"&gt;-2.8301895&lt;/D&gt;&lt;D xsi:type="xsd:double"&gt;-7.417476&lt;/D&gt;&lt;D xsi:type="xsd:double"&gt;4.3624163&lt;/D&gt;&lt;D xsi:type="xsd:double"&gt;-0.40192604&lt;/D&gt;&lt;D xsi:type="xsd:double"&gt;-4.963684&lt;/D&gt;&lt;D xsi:type="xsd:double"&gt;-6.0072184&lt;/D&gt;&lt;D xsi:type="xsd:double"&gt;2.454555&lt;/D&gt;&lt;D xsi:type="xsd:double"&gt;9.272396&lt;/D&gt;&lt;D xsi:type="xsd:double"&gt;1.2180328&lt;/D&gt;&lt;D xsi:type="xsd:double"&gt;-3.4496605&lt;/D&gt;&lt;D xsi:type="xsd:double"&gt;-2.5758147&lt;/D&gt;&lt;D xsi:type="xsd:double"&gt;1.9217491&lt;/D&gt;&lt;D xsi:type="xsd:double"&gt;5.4329395&lt;/D&gt;&lt;D xsi:type="xsd:double"&gt;-2.777779&lt;/D&gt;&lt;D xsi:type="xsd:double"&gt;1.4906883&lt;/D&gt;&lt;D xsi:type="xsd:double"&gt;-4.3655634&lt;/D&gt;&lt;D xsi:type="xsd:double"&gt;2.3037553&lt;/D&gt;&lt;D xsi:type="xsd:double"&gt;3.822887&lt;/D&gt;&lt;D xsi:type="xsd:double"&gt;4.7599673&lt;/D&gt;&lt;D xsi:type="xsd:double"&gt;4.4271827&lt;/D&gt;&lt;D xsi:type="xsd:double"&gt;-0.278908&lt;/D&gt;&lt;D xsi:type="xsd:double"&gt;8.223009&lt;/D&gt;&lt;D xsi:type="xsd:double"&gt;1.1026859&lt;/D&gt;&lt;D xsi:type="xsd:double"&gt;2.8820276&lt;/D&gt;&lt;D xsi:type="xsd:double"&gt;2.0456076&lt;/D&gt;&lt;D xsi:type="xsd:double"&gt;3.1547785&lt;/D&gt;&lt;D xsi:type="xsd:double"&gt;1.5928626&lt;/D&gt;&lt;D xsi:type="xsd:double"&gt;-2.3518324&lt;/D&gt;&lt;D xsi:type="xsd:double"&gt;2.5690436&lt;/D&gt;&lt;D xsi:type="xsd:double"&gt;5.194366&lt;/D&gt;&lt;D xsi:type="xsd:double"&gt;-3.3522844&lt;/D&gt;&lt;D xsi:type="xsd:double"&gt;0.3406644&lt;/D&gt;&lt;D xsi:type="xsd:double"&gt;1.9753098&lt;/D&gt;&lt;D xsi:type="xsd:double"&gt;-3.2990336&lt;/D&gt;&lt;D xsi:type="xsd:double"&gt;-0.8137703&lt;/D&gt;&lt;D xsi:type="xsd:double"&gt;1.3376951&lt;/D&gt;&lt;D xsi:type="xsd:double"&gt;-4.1139307&lt;/D&gt;&lt;D xsi:type="xsd:double"&gt;0.16502142&lt;/D&gt;&lt;D xsi:type="xsd:double"&gt;-6.8204284&lt;/D&gt;&lt;D xsi:type="xsd:double"&gt;1.1315465&lt;/D&gt;&lt;D xsi:type="xsd:double"&gt;-5.7370243&lt;/D&gt;&lt;D xsi:type="xsd:double"&gt;2.348113&lt;/D&gt;&lt;D xsi:type="xsd:double"&gt;7.028401&lt;/D&gt;&lt;D xsi:type="xsd:double"&gt;3.164339&lt;/D&gt;&lt;D xsi:type="xsd:double"&gt;3.232193&lt;/D&gt;&lt;D xsi:type="xsd:double"&gt;-2.3642182&lt;/D&gt;&lt;D xsi:type="xsd:double"&gt;1.3545394&lt;/D&gt;&lt;D xsi:type="xsd:double"&gt;3.6056876&lt;/D&gt;&lt;D xsi:type="xsd:double"&gt;-4.533845&lt;/D&gt;&lt;D xsi:type="xsd:double"&gt;5.9197307&lt;/D&gt;&lt;D xsi:type="xsd:double"&gt;1.294601&lt;/D&gt;&lt;D xsi:type="xsd:double"&gt;2.4314165&lt;/D&gt;&lt;D xsi:type="xsd:double"&gt;2.1831393&lt;/D&gt;&lt;D xsi:type="xsd:double"&gt;2.0933032&lt;/D&gt;&lt;D xsi:type="xsd:double"&gt;0.14644861&lt;/D&gt;&lt;D xsi:type="xsd:double"&gt;-34.396015&lt;/D&gt;&lt;D xsi:type="xsd:double"&gt;23.718239&lt;/D&gt;&lt;D xsi:type="xsd:double"&gt;4.7927976&lt;/D&gt;&lt;D xsi:type="xsd:double"&gt;12.085926&lt;/D&gt;&lt;D xsi:type="xsd:double"&gt;6.0493827&lt;/D&gt;&lt;D xsi:type="xsd:double"&gt;3.317809&lt;/D&gt;&lt;D xsi:type="xsd:double"&gt;-0.8732438&lt;/D&gt;&lt;D xsi:type="xsd:double"&gt;3.4668922&lt;/D&gt;&lt;D xsi:type="xsd:double"&gt;5.026102&lt;/D&gt;&lt;D xsi:type="xsd:double"&gt;8.066583&lt;/D&gt;&lt;D xsi:type="xsd:double"&gt;3.8601637&lt;/D&gt;&lt;D xsi:type="xsd:double"&gt;6.381488&lt;/D&gt;&lt;D xsi:type="xsd:double"&gt;-2.1533728&lt;/D&gt;&lt;D xsi:type="xsd:double"&gt;9.027624&lt;/D&gt;&lt;D xsi:type="xsd:double"&gt;-0.5767226&lt;/D&gt;&lt;D xsi:type="xsd:double"&gt;-0.5264282&lt;/D&gt;&lt;D xsi:type="xsd:double"&gt;0.3354311&lt;/D&gt;&lt;D xsi:type="xsd:double"&gt;5.6414604&lt;/D&gt;&lt;D xsi:type="xsd:double"&gt;4.1337013&lt;/D&gt;&lt;D xsi:type="xsd:double"&gt;-2.7920246&lt;/D&gt;&lt;D xsi:type="xsd:double"&gt;3.4974575&lt;/D&gt;&lt;D xsi:type="xsd:double"&gt;-9.803277&lt;/D&gt;&lt;D xsi:type="xsd:double"&gt;1.1764765&lt;/D&gt;&lt;D xsi:type="xsd:double"&gt;-6.5822244&lt;/D&gt;&lt;D xsi:type="xsd:double"&gt;-4.4898868&lt;/D&gt;&lt;D xsi:type="xsd:double"&gt;-6.074005&lt;/D&gt;&lt;D xsi:type="xsd:double"&gt;-8.8701725&lt;/D&gt;&lt;D xsi:type="xsd:double"&gt;-5.935085&lt;/D&gt;&lt;D xsi:type="xsd:double"&gt;1.6105413&lt;/D&gt;&lt;D xsi:type="xsd:double"&gt;7.838607&lt;/D&gt;&lt;D xsi:type="xsd:double"&gt;-10.502398&lt;/D&gt;&lt;D xsi:type="xsd:double"&gt;-6.3601074&lt;/D&gt;&lt;D xsi:type="xsd:double"&gt;20.72704&lt;/D&gt;&lt;D xsi:type="xsd:double"&gt;0.24892092&lt;/D&gt;&lt;D xsi:type="xsd:double"&gt;10.259808&lt;/D&gt;&lt;D xsi:type="xsd:double"&gt;1.5628815&lt;/D&gt;&lt;D xsi:type="xsd:double"&gt;-6.486744&lt;/D&gt;&lt;D xsi:type="xsd:double"&gt;7.4430346&lt;/D&gt;&lt;D xsi:type="xsd:double"&gt;0.68331957&lt;/D&gt;&lt;D xsi:type="xsd:double"&gt;1.9249678&lt;/D&gt;&lt;D xsi:type="xsd:double"&gt;5.084741&lt;/D&gt;&lt;D xsi:type="xsd:double"&gt;-9.456473&lt;/D&gt;&lt;D xsi:type="xsd:double"&gt;-4.7096133&lt;/D&gt;&lt;D xsi:type="xsd:double"&gt;-5.23687&lt;/D&gt;&lt;D xsi:type="xsd:double"&gt;13.552225&lt;/D&gt;&lt;D xsi:type="xsd:double"&gt;5.830562&lt;/D&gt;&lt;D xsi:type="xsd:double"&gt;-1.3526142&lt;/D&gt;&lt;D xsi:type="xsd:double"&gt;8.566833&lt;/D&gt;&lt;D xsi:type="xsd:double"&gt;1.650095&lt;/D&gt;&lt;D xsi:type="xsd:double"&gt;-1.7481804&lt;/D&gt;&lt;/FQL&gt;&lt;FQL&gt;&lt;Q&gt;SPY^FMA_DIV_YLD(NTMA,-10AY,0,AM,"PORTAGG","MEANR")&lt;/Q&gt;&lt;R&gt;121&lt;/R&gt;&lt;C&gt;1&lt;/C&gt;&lt;D xsi:type="xsd:double"&gt;2.1822895838876&lt;/D&gt;&lt;D xsi:type="xsd:double"&gt;2.16876791286314&lt;/D&gt;&lt;D xsi:type="xsd:double"&gt;2.09662659628692&lt;/D&gt;&lt;D xsi:type="xsd:double"&gt;2.09220855101544&lt;/D&gt;&lt;D xsi:type="xsd:double"&gt;2.11421554243299&lt;/D&gt;&lt;D xsi:type="xsd:double"&gt;2.08881831252617&lt;/D&gt;&lt;D xsi:type="xsd:double"&gt;2.23666301759582&lt;/D&gt;&lt;D xsi:type="xsd:double"&gt;2.07928408186141&lt;/D&gt;&lt;D xsi:type="xsd:double"&gt;2.09189909267638&lt;/D&gt;&lt;D xsi:type="xsd:double"&gt;2.15191508541109&lt;/D&gt;&lt;D xsi:type="xsd:double"&gt;2.10566773466853&lt;/D&gt;&lt;D xsi:type="xsd:double"&gt;2.15652720835578&lt;/D&gt;&lt;D xsi:type="xsd:double"&gt;2.17146331957043&lt;/D&gt;&lt;D xsi:type="xsd:double"&gt;2.13587628031195&lt;/D&gt;&lt;D xsi:type="xsd:double"&gt;2.15055758360269&lt;/D&gt;&lt;D xsi:type="xsd:double"&gt;2.14742936463874&lt;/D&gt;&lt;D xsi:type="xsd:double"&gt;2.2054966951715&lt;/D&gt;&lt;D xsi:type="xsd:double"&gt;2.37530461338098&lt;/D&gt;&lt;D xsi:type="xsd:double"&gt;2.29143583581959&lt;/D&gt;&lt;D xsi:type="xsd:double"&gt;2.26980457390121&lt;/D&gt;&lt;D xsi:type="xsd:double"&gt;2.35456300707597&lt;/D&gt;&lt;D xsi:type="xsd:double"&gt;2.52577322652888&lt;/D&gt;&lt;D xsi:type="xsd:double"&gt;2.45182025901469&lt;/D&gt;&lt;D xsi:type="xsd:double"&gt;2.47519773454617&lt;/D&gt;&lt;D xsi:type="xsd:double"&gt;2.29179874134034&lt;/D&gt;&lt;D xsi:type="xsd:double"&gt;2.29270141173246&lt;/D&gt;&lt;D xsi:type="xsd:double"&gt;2.30651609115288&lt;/D&gt;&lt;D xsi:type="xsd:double"&gt;2.21527882536496&lt;/D&gt;&lt;D xsi:type="xsd:double"&gt;2.20145066959804&lt;/D&gt;&lt;D xsi:type="xsd:double"&gt;2.25397209924511&lt;/D&gt;&lt;D xsi:type="xsd:double"&gt;2.25495504580337&lt;/D&gt;&lt;D xsi:type="xsd:double"&gt;2.22829621377905&lt;/D&gt;&lt;D xsi:type="xsd:double"&gt;2.16622740508032&lt;/D&gt;&lt;D xsi:type="xsd:double"&gt;2.1673892635977&lt;/D&gt;&lt;D xsi:type="xsd:double"&gt;2.11331848463476&lt;/D&gt;&lt;D xsi:type="xsd:double"&gt;2.09887528084817&lt;/D&gt;&lt;D xsi:type="xsd:double"&gt;2.1422831361168&lt;/D&gt;&lt;D xsi:type="xsd:double"&gt;2.13513498799556&lt;/D&gt;&lt;D xsi:type="xsd:double"&gt;2.08657704583377&lt;/D&gt;&lt;D xsi:type="xsd:double"&gt;2.08932907731983&lt;/D&gt;&lt;D xsi:type="xsd:double"&gt;2.13162864726519&lt;/D&gt;&lt;D xsi:type="xsd:double"&gt;2.07112237171038&lt;/D&gt;&lt;D xsi:type="xsd:double"&gt;2.03491244531615&lt;/D&gt;&lt;D xsi:type="xsd:double"&gt;2.01951765321519&lt;/D&gt;&lt;D xsi:type="xsd:double"&gt;1.94610147555024&lt;/D&gt;&lt;D xsi:type="xsd:double"&gt;1.88657141702778&lt;/D&gt;&lt;D xsi:type="xsd:double"&gt;1.96390334886112&lt;/D&gt;&lt;D xsi:type="xsd:double"&gt;1.96977148500469&lt;/D&gt;&lt;D xsi:type="xsd:double"&gt;2.01843802190974&lt;/D&gt;&lt;D xsi:type="xsd:double"&gt;2.03545198735894&lt;/D&gt;&lt;D xsi:type="xsd:double"&gt;2.00876549917431&lt;/D&gt;&lt;D xsi:type="xsd:double"&gt;1.9975387581491&lt;/D&gt;&lt;D xsi:type="xsd:double"&gt;1.98834390657188&lt;/D&gt;&lt;D xsi:type="xsd:double"&gt;1.95974024764434&lt;/D&gt;&lt;D xsi:type="xsd:double"&gt;2.06891448110474&lt;/D&gt;&lt;D xsi:type="xsd:double"&gt;2.09826917852094&lt;/D&gt;&lt;D xsi:type="xsd:double"&gt;2.27471056696999&lt;/D&gt;&lt;D xsi:type="xsd:double"&gt;2.18027973387759&lt;/D&gt;&lt;D xsi:type="xsd:double"&gt;2.10816995418462&lt;/D&gt;&lt;D xsi:type="xsd:double"&gt;2.07964775504558&lt;/D&gt;&lt;D xsi:type="xsd:double"&gt;2.04865490057151&lt;/D&gt;&lt;D xsi:type="xsd:double"&gt;2.09084825743899&lt;/D&gt;&lt;D xsi:type="xsd:double"&gt;2.06222669088818&lt;/D&gt;&lt;D xsi:type="xsd:double"&gt;2.01945631864582&lt;/D&gt;&lt;D xsi:type="xsd:double"&gt;2.10223589074751&lt;/D&gt;&lt;D xsi:type="xsd:double"&gt;2.03135158350234&lt;/D&gt;&lt;D xsi:type="xsd:double"&gt;2.05449803870185&lt;/D&gt;&lt;D xsi:type="xsd:double"&gt;1.98008937503882&lt;/D&gt;&lt;D xsi:type="xsd:double"&gt;1.95555959017429&lt;/D&gt;&lt;D xsi:type="xsd:double"&gt;1.88474252253525&lt;/D&gt;&lt;D xsi:type="xsd:double"&gt;1.87547686452081&lt;/D&gt;&lt;D xsi:type="xsd:double"&gt;2.63953254932545&lt;/D&gt;&lt;D xsi:type="xsd:double"&gt;2.14012061352184&lt;/D&gt;&lt;D xsi:type="xsd:double"&gt;2.05276936939784&lt;/D&gt;&lt;D xsi:type="xsd:double"&gt;1.93286886651364&lt;/D&gt;&lt;D xsi:type="xsd:double"&gt;1.84429243146746&lt;/D&gt;&lt;D xsi:type="xsd:double"&gt;1.75817417164925&lt;/D&gt;&lt;D xsi:type="xsd:double"&gt;1.80022443760721&lt;/D&gt;&lt;D xsi:type="xsd:double"&gt;1.71781403298747&lt;/D&gt;&lt;D xsi:type="xsd:double"&gt;1.67933463337181&lt;/D&gt;&lt;D xsi:type="xsd:double"&gt;1.62184245895009&lt;/D&gt;&lt;D xsi:type="xsd:double"&gt;1.57750184465775&lt;/D&gt;&lt;D xsi:type="xsd:double"&gt;1.53431157401028&lt;/D&gt;&lt;D xsi:type="xsd:double"&gt;1.5443149626513&lt;/D&gt;&lt;D xsi:type="xsd:double"&gt;1.4540453797793&lt;/D&gt;&lt;D xsi:type="xsd:double"&gt;1.48163758649989&lt;/D&gt;&lt;D xsi:type="xsd:double"&gt;1.48156129309368&lt;/D&gt;&lt;D xsi:type="xsd:double"&gt;1.44720079783146&lt;/D&gt;&lt;D xsi:type="xsd:double"&gt;1.43475050010321&lt;/D&gt;&lt;D xsi:type="xsd:double"&gt;1.43173901762723&lt;/D&gt;&lt;D xsi:type="xsd:double"&gt;1.42424953435735&lt;/D&gt;&lt;D xsi:type="xsd:double"&gt;1.36648307613404&lt;/D&gt;&lt;D xsi:type="xsd:double"&gt;1.39732266311598&lt;/D&gt;&lt;D xsi:type="xsd:double"&gt;1.41608197691966&lt;/D&gt;&lt;D xsi:type="xsd:double"&gt;1.51283470727679&lt;/D&gt;&lt;D xsi:type="xsd:double"&gt;1.47767482621203&lt;/D&gt;&lt;D xsi:type="xsd:double"&gt;1.50212580752915&lt;/D&gt;&lt;D xsi:type="xsd:double"&gt;1.69191963675555&lt;/D&gt;&lt;D xsi:type="xsd:double"&gt;1.81982012931444&lt;/D&gt;&lt;D xsi:type="xsd:double"&gt;1.75813064061019&lt;/D&gt;&lt;D xsi:type="xsd:double"&gt;1.58779513128753&lt;/D&gt;&lt;D xsi:type="xsd:double"&gt;1.76800327044546&lt;/D&gt;&lt;D xsi:type="xsd:double"&gt;1.84858826080843&lt;/D&gt;&lt;D xsi:type="xsd:double"&gt;1.74709298452346&lt;/D&gt;&lt;D xsi:type="xsd:double"&gt;1.80075888719772&lt;/D&gt;&lt;D xsi:type="xsd:double"&gt;1.77261010700683&lt;/D&gt;&lt;D xsi:type="xsd:double"&gt;1.71910330425446&lt;/D&gt;&lt;D xsi:type="xsd:double"&gt;1.79417115463616&lt;/D&gt;&lt;D xsi:type="xsd:double"&gt;1.70272034914865&lt;/D&gt;&lt;D xsi:type="xsd:double"&gt;1.68118463017085&lt;/D&gt;&lt;D xsi:type="xsd:double"&gt;1.6115774763234&lt;/D&gt;&lt;D xsi:type="xsd:double"&gt;1.56372610873179&lt;/D&gt;&lt;D xsi:type="xsd:double"&gt;1.64277244160174&lt;/D&gt;&lt;D xsi:type="xsd:double"&gt;1.61916617783919&lt;/D&gt;&lt;D xsi:type="xsd:double"&gt;1.68184175979761&lt;/D&gt;&lt;D xsi:type="xsd:double"&gt;1.61436840190243&lt;/D&gt;&lt;D xsi:type="xsd:double"&gt;1.54932279374079&lt;/D&gt;&lt;D xsi:type="xsd:double"&gt;1.54473618204826&lt;/D&gt;&lt;D xsi:type="xsd:double"&gt;1.49616369245192&lt;/D&gt;&lt;D xsi:type="xsd:double"&gt;1.45730620887522&lt;/D&gt;&lt;D xsi:type="xsd:double"&gt;1.49379854275783&lt;/D&gt;&lt;/FQL&gt;&lt;FQL&gt;&lt;Q&gt;EWU^FMA_PE(NTMA,-10AY,0,AM,"PORTAGG","MEANR")&lt;/Q&gt;&lt;R&gt;121&lt;/R&gt;&lt;C&gt;1&lt;/C&gt;&lt;D xsi:type="xsd:double"&gt;13.2439282665258&lt;/D&gt;&lt;D xsi:type="xsd:double"&gt;13.7145585489</t>
        </r>
      </text>
    </comment>
    <comment ref="A4" authorId="0" shapeId="0" xr:uid="{C091D74A-AC8F-491E-A9E7-145D94E4D315}">
      <text>
        <r>
          <rPr>
            <b/>
            <sz val="9"/>
            <color indexed="81"/>
            <rFont val="Tahoma"/>
            <charset val="1"/>
          </rPr>
          <t>155&lt;/D&gt;&lt;D xsi:type="xsd:double"&gt;13.5981888171849&lt;/D&gt;&lt;D xsi:type="xsd:double"&gt;13.5845892674017&lt;/D&gt;&lt;D xsi:type="xsd:double"&gt;13.4584368299812&lt;/D&gt;&lt;D xsi:type="xsd:double"&gt;13.4595589320957&lt;/D&gt;&lt;D xsi:type="xsd:double"&gt;12.5181958946333&lt;/D&gt;&lt;D xsi:type="xsd:double"&gt;13.4950082559736&lt;/D&gt;&lt;D xsi:type="xsd:double"&gt;13.5767759255815&lt;/D&gt;&lt;D xsi:type="xsd:double"&gt;14.2009914453255&lt;/D&gt;&lt;D xsi:type="xsd:double"&gt;15.5251456423834&lt;/D&gt;&lt;D xsi:type="xsd:double"&gt;15.6114978126605&lt;/D&gt;&lt;D xsi:type="xsd:double"&gt;16.0350693373536&lt;/D&gt;&lt;D xsi:type="xsd:double"&gt;16.120855033741&lt;/D&gt;&lt;D xsi:type="xsd:double"&gt;15.485614844093&lt;/D&gt;&lt;D xsi:type="xsd:double"&gt;15.6018789049891&lt;/D&gt;&lt;D xsi:type="xsd:double"&gt;15.0615006661324&lt;/D&gt;&lt;D xsi:type="xsd:double"&gt;14.4146526173206&lt;/D&gt;&lt;D xsi:type="xsd:double"&gt;15.2865242054251&lt;/D&gt;&lt;D xsi:type="xsd:double"&gt;15.2681498794073&lt;/D&gt;&lt;D xsi:type="xsd:double"&gt;14.7860308826089&lt;/D&gt;&lt;D xsi:type="xsd:double"&gt;14.588535689747&lt;/D&gt;&lt;D xsi:type="xsd:double"&gt;15.296167772572&lt;/D&gt;&lt;D xsi:type="xsd:double"&gt;16.3107524957874&lt;/D&gt;&lt;D xsi:type="xsd:double"&gt;16.4880839124014&lt;/D&gt;&lt;D xsi:type="xsd:double"&gt;15.8302422277685&lt;/D&gt;&lt;D xsi:type="xsd:double"&gt;15.1801328652566&lt;/D&gt;&lt;D xsi:type="xsd:double"&gt;16.1010128421809&lt;/D&gt;&lt;D xsi:type="xsd:double"&gt;16.2557035013487&lt;/D&gt;&lt;D xsi:type="xsd:double"&gt;15.4392493465808&lt;/D&gt;&lt;D xsi:type="xsd:double"&gt;15.2698049617466&lt;/D&gt;&lt;D xsi:type="xsd:double"&gt;14.2591252250582&lt;/D&gt;&lt;D xsi:type="xsd:double"&gt;14.3474304248576&lt;/D&gt;&lt;D xsi:type="xsd:double"&gt;14.3832072354935&lt;/D&gt;&lt;D xsi:type="xsd:double"&gt;14.5152731486049&lt;/D&gt;&lt;D xsi:type="xsd:double"&gt;14.5510663947547&lt;/D&gt;&lt;D xsi:type="xsd:double"&gt;14.1733147972066&lt;/D&gt;&lt;D xsi:type="xsd:double"&gt;14.7263241411216&lt;/D&gt;&lt;D xsi:type="xsd:double"&gt;14.6005985663932&lt;/D&gt;&lt;D xsi:type="xsd:double"&gt;14.6584263863953&lt;/D&gt;&lt;D xsi:type="xsd:double"&gt;14.3598511633145&lt;/D&gt;&lt;D xsi:type="xsd:double"&gt;14.467843416486&lt;/D&gt;&lt;D xsi:type="xsd:double"&gt;14.6082165982934&lt;/D&gt;&lt;D xsi:type="xsd:double"&gt;14.2150545605185&lt;/D&gt;&lt;D xsi:type="xsd:double"&gt;14.527737246319&lt;/D&gt;&lt;D xsi:type="xsd:double"&gt;14.6716770372416&lt;/D&gt;&lt;D xsi:type="xsd:double"&gt;13.7878042820511&lt;/D&gt;&lt;D xsi:type="xsd:double"&gt;13.3941611708345&lt;/D&gt;&lt;D xsi:type="xsd:double"&gt;13.6632943242707&lt;/D&gt;&lt;D xsi:type="xsd:double"&gt;13.9865764791781&lt;/D&gt;&lt;D xsi:type="xsd:double"&gt;13.3701948499989&lt;/D&gt;&lt;D xsi:type="xsd:double"&gt;13.1272608755121&lt;/D&gt;&lt;D xsi:type="xsd:double"&gt;12.7957001057414&lt;/D&gt;&lt;D xsi:type="xsd:double"&gt;12.4769854863975&lt;/D&gt;&lt;D xsi:type="xsd:double"&gt;11.8392145283333&lt;/D&gt;&lt;D xsi:type="xsd:double"&gt;11.7389457056459&lt;/D&gt;&lt;D xsi:type="xsd:double"&gt;11.3304307907696&lt;/D&gt;&lt;D xsi:type="xsd:double"&gt;12.0274366857112&lt;/D&gt;&lt;D xsi:type="xsd:double"&gt;12.4858689884881&lt;/D&gt;&lt;D xsi:type="xsd:double"&gt;12.6996651726729&lt;/D&gt;&lt;D xsi:type="xsd:double"&gt;12.7565639625631&lt;/D&gt;&lt;D xsi:type="xsd:double"&gt;12.3779271375409&lt;/D&gt;&lt;D xsi:type="xsd:double"&gt;12.537680642321&lt;/D&gt;&lt;D xsi:type="xsd:double"&gt;12.6089352688572&lt;/D&gt;&lt;D xsi:type="xsd:double"&gt;11.8195668557379&lt;/D&gt;&lt;D xsi:type="xsd:double"&gt;12.3618267368214&lt;/D&gt;&lt;D xsi:type="xsd:double"&gt;12.3987223349943&lt;/D&gt;&lt;D xsi:type="xsd:double"&gt;12.8260097664957&lt;/D&gt;&lt;D xsi:type="xsd:double"&gt;13.4183540195382&lt;/D&gt;&lt;D xsi:type="xsd:double"&gt;13.6208464082618&lt;/D&gt;&lt;D xsi:type="xsd:double"&gt;13.3003766558535&lt;/D&gt;&lt;D xsi:type="xsd:double"&gt;9.72645211271596&lt;/D&gt;&lt;D xsi:type="xsd:double"&gt;13.7102406772503&lt;/D&gt;&lt;D xsi:type="xsd:double"&gt;15.5141163064369&lt;/D&gt;&lt;D xsi:type="xsd:double"&gt;16.0902154888453&lt;/D&gt;&lt;D xsi:type="xsd:double"&gt;16.0126684692458&lt;/D&gt;&lt;D xsi:type="xsd:double"&gt;15.5929563069901&lt;/D&gt;&lt;D xsi:type="xsd:double"&gt;14.9387612209464&lt;/D&gt;&lt;D xsi:type="xsd:double"&gt;14.1626001314181&lt;/D&gt;&lt;D xsi:type="xsd:double"&gt;14.8410237652317&lt;/D&gt;&lt;D xsi:type="xsd:double"&gt;14.6754010275218&lt;/D&gt;&lt;D xsi:type="xsd:double"&gt;14.4658409862861&lt;/D&gt;&lt;D xsi:type="xsd:double"&gt;14.1896033178269&lt;/D&gt;&lt;D xsi:type="xsd:double"&gt;14.0393992610782&lt;/D&gt;&lt;D xsi:type="xsd:double"&gt;13.623990812398&lt;/D&gt;&lt;D xsi:type="xsd:double"&gt;13.3149024160161&lt;/D&gt;&lt;D xsi:type="xsd:double"&gt;12.886113293343&lt;/D&gt;&lt;D xsi:type="xsd:double"&gt;12.3717236276984&lt;/D&gt;&lt;D xsi:type="xsd:double"&gt;12.3059634754658&lt;/D&gt;&lt;D xsi:type="xsd:double"&gt;11.7878293750808&lt;/D&gt;&lt;D xsi:type="xsd:double"&gt;12.2548253232911&lt;/D&gt;&lt;D xsi:type="xsd:double"&gt;12.0341600731379&lt;/D&gt;&lt;D xsi:type="xsd:double"&gt;11.927028143704&lt;/D&gt;&lt;D xsi:type="xsd:double"&gt;12.4442864929523&lt;/D&gt;&lt;D xsi:type="xsd:double"&gt;12.1458130526728&lt;/D&gt;&lt;D xsi:type="xsd:double"&gt;11.6153706642803&lt;/D&gt;&lt;D xsi:type="xsd:double"&gt;11.1584871010013&lt;/D&gt;&lt;D xsi:type="xsd:double"&gt;10.2835006575418&lt;/D&gt;&lt;D xsi:type="xsd:double"&gt;9.51373182929366&lt;/D&gt;&lt;D xsi:type="xsd:double"&gt;9.64235830118793&lt;/D&gt;&lt;D xsi:type="xsd:double"&gt;9.81638974291895&lt;/D&gt;&lt;D xsi:type="xsd:double"&gt;9.0916498729571&lt;/D&gt;&lt;D xsi:type="xsd:double"&gt;8.69707609983172&lt;/D&gt;&lt;D xsi:type="xsd:double"&gt;9.55979276136485&lt;/D&gt;&lt;D xsi:type="xsd:double"&gt;9.65535589266653&lt;/D&gt;&lt;D xsi:type="xsd:double"&gt;10.6007896962877&lt;/D&gt;&lt;D xsi:type="xsd:double"&gt;10.6982000658722&lt;/D&gt;&lt;D xsi:type="xsd:double"&gt;9.78301734008226&lt;/D&gt;&lt;D xsi:type="xsd:double"&gt;10.8482112101689&lt;/D&gt;&lt;D xsi:type="xsd:double"&gt;10.4337071833589&lt;/D&gt;&lt;D xsi:type="xsd:double"&gt;10.5011317447909&lt;/D&gt;&lt;D xsi:type="xsd:double"&gt;10.470591716244&lt;/D&gt;&lt;D xsi:type="xsd:double"&gt;10.1468403173376&lt;/D&gt;&lt;D xsi:type="xsd:double"&gt;10.5582242634827&lt;/D&gt;&lt;D xsi:type="xsd:double"&gt;10.3319688329702&lt;/D&gt;&lt;D xsi:type="xsd:double"&gt;10.3738385743067&lt;/D&gt;&lt;D xsi:type="xsd:double"&gt;10.7595687428811&lt;/D&gt;&lt;D xsi:type="xsd:double"&gt;10.6978514296419&lt;/D&gt;&lt;D xsi:type="xsd:double"&gt;11.2020330485963&lt;/D&gt;&lt;D xsi:type="xsd:double"&gt;11.2773261026721&lt;/D&gt;&lt;D xsi:type="xsd:double"&gt;11.4417257444358&lt;/D&gt;&lt;/FQL&gt;&lt;FQL&gt;&lt;Q&gt;EWJ^FMA_PE(LTMA,-10AY,0,AM,"PORTAGG","MEANR")&lt;/Q&gt;&lt;R&gt;121&lt;/R&gt;&lt;C&gt;1&lt;/C&gt;&lt;D xsi:type="xsd:double"&gt;15.3340278304418&lt;/D&gt;&lt;D xsi:type="xsd:double"&gt;15.0839231576337&lt;/D&gt;&lt;D xsi:type="xsd:double"&gt;15.2991731999135&lt;/D&gt;&lt;D xsi:type="xsd:double"&gt;15.2157735605023&lt;/D&gt;&lt;D xsi:type="xsd:double"&gt;15.0453332996219&lt;/D&gt;&lt;D xsi:type="xsd:double"&gt;15.3544393013139&lt;/D&gt;&lt;D xsi:type="xsd:double"&gt;14.0298153948272&lt;/D&gt;&lt;D xsi:type="xsd:double"&gt;15.9060560208414&lt;/D&gt;&lt;D xsi:type="xsd:double"&gt;15.491978084427&lt;/D&gt;&lt;D xsi:type="xsd:double"&gt;15.3457663960416&lt;/D&gt;&lt;D xsi:type="xsd:double"&gt;16.4694759908414&lt;/D&gt;&lt;D xsi:type="xsd:double"&gt;16.9642141888611&lt;/D&gt;&lt;D xsi:type="xsd:double"&gt;16.8985551028021&lt;/D&gt;&lt;D xsi:type="xsd:double"&gt;17.0404127211624&lt;/D&gt;&lt;D xsi:type="xsd:double"&gt;16.7615353277859&lt;/D&gt;&lt;D xsi:type="xsd:double"&gt;16.8815462465843&lt;/D&gt;&lt;D xsi:type="xsd:double"&gt;16.8296048670738&lt;/D&gt;&lt;D xsi:type="xsd:double"&gt;15.2866446796941&lt;/D&gt;&lt;D xsi:type="xsd:double"&gt;15.4915291469703&lt;/D&gt;&lt;D xsi:type="xsd:double"&gt;16.157097154581&lt;/D&gt;&lt;D xsi:type="xsd:double"&gt;15.5532237789682&lt;/D&gt;&lt;D xsi:type="xsd:double"&gt;14.3185797866969&lt;/D&gt;&lt;D xsi:type="xsd:double"&gt;13.794974379889&lt;/D&gt;&lt;D xsi:type="xsd:double"&gt;13.8494618941017&lt;/D&gt;&lt;D xsi:type="xsd:double"&gt;13.7351374768231&lt;/D&gt;&lt;D xsi:type="xsd:double"&gt;13.9164624109396&lt;/D&gt;&lt;D xsi:type="xsd:double"&gt;13.6701820351596&lt;/D&gt;&lt;D xsi:type="xsd:double"&gt;14.1688760852166&lt;/D&gt;&lt;D xsi:type="xsd:double"&gt;13.9593034903647&lt;/D&gt;&lt;D xsi:type="xsd:double"&gt;14.1347798618028&lt;/D&gt;&lt;D xsi:type="xsd:double"&gt;14.4505868129787&lt;/D&gt;&lt;D xsi:type="xsd:double"&gt;15.1451267043615&lt;/D&gt;&lt;D xsi:type="xsd:double"&gt;16.6375511216123&lt;/D&gt;&lt;D xsi:type="xsd:double"&gt;16.2930422446136&lt;/D&gt;&lt;D xsi:type="xsd:double"&gt;16.1937095795299&lt;/D&gt;&lt;D xsi:type="xsd:double"&gt;15.9012283865276&lt;/D&gt;&lt;D xsi:type="xsd:double"&gt;15.492556307362&lt;/D&gt;&lt;D xsi:type="xsd:double"&gt;15.6158235232923&lt;/D&gt;&lt;D xsi:type="xsd:double"&gt;15.6225392401355&lt;/D&gt;&lt;D xsi:type="xsd:double"&gt;15.4552293586817&lt;/D&gt;&lt;D xsi:type="xsd:double"&gt;14.9971727437384&lt;/D&gt;&lt;D xsi:type="xsd:double"&gt;14.8217229504204&lt;/D&gt;&lt;D xsi:type="xsd:double"&gt;15.2416312125801&lt;/D&gt;&lt;D xsi:type="xsd:double"&gt;15.6017854248111&lt;/D&gt;&lt;D xsi:type="xsd:double"&gt;16.2590068511594&lt;/D&gt;&lt;D xsi:type="xsd:double"&gt;16.8505866258692&lt;/D&gt;&lt;D xsi:type="xsd:double"&gt;15.0221899402473&lt;/D&gt;&lt;D xsi:type="xsd:double"&gt;14.3822592309669&lt;/D&gt;&lt;D xsi:type="xsd:double"&gt;14.2612596740935&lt;/D&gt;&lt;D xsi:type="xsd:double"&gt;14.3317959024751&lt;/D&gt;&lt;D xsi:type="xsd:double"&gt;14.094598105101&lt;/D&gt;&lt;D xsi:type="xsd:double"&gt;13.9337998357974&lt;/D&gt;&lt;D xsi:type="xsd:double"&gt;13.5574427994852&lt;/D&gt;&lt;D xsi:type="xsd:double"&gt;13.6988984578619&lt;/D&gt;&lt;D xsi:type="xsd:double"&gt;13.2382035140746&lt;/D&gt;&lt;D xsi:type="xsd:double"&gt;12.6288741947664&lt;/D&gt;&lt;D xsi:type="xsd:double"&gt;12.0735978036362&lt;/D&gt;&lt;D xsi:type="xsd:double"&gt;11.9929564206288&lt;/D&gt;&lt;D xsi:type="xsd:double"&gt;12.4088731088842&lt;/D&gt;&lt;D xsi:type="xsd:double"&gt;12.7206546004767&lt;/D&gt;&lt;D xsi:type="xsd:double"&gt;12.7587795397055&lt;/D&gt;&lt;D xsi:type="xsd:double"&gt;12.6663197368101&lt;/D&gt;&lt;D xsi:type="xsd:double"&gt;12.7325647979852&lt;/D&gt;&lt;D xsi:type="xsd:double"&gt;12.8179090619702&lt;/D&gt;&lt;D xsi:type="xsd:double"&gt;12.6469793055275&lt;/D&gt;&lt;D xsi:type="xsd:double"&gt;13.4958402679729&lt;/D&gt;&lt;D xsi:type="xsd:double"&gt;13.7414676357525&lt;/D&gt;&lt;D xsi:type="xsd:double"&gt;14.4855837084263&lt;/D&gt;&lt;D xsi:type="xsd:double"&gt;15.3166294041676&lt;/D&gt;&lt;D xsi:type="xsd:double"&gt;15.4731264552842&lt;/D&gt;&lt;D xsi:type="xsd:double"&gt;15.1050371556725&lt;/D&gt;&lt;D xsi:type="xsd:double"&gt;13.5047075309832&lt;/D&gt;&lt;D xsi:type="xsd:double"&gt;14.0759240918118&lt;/D&gt;&lt;D xsi:type="xsd:double"&gt;14.5909590172255&lt;/D&gt;&lt;D xsi:type="xsd:double"&gt;16.7687615071478&lt;/D&gt;&lt;D xsi:type="xsd:double"&gt;17.5290641513725&lt;/D&gt;&lt;D xsi:type="xsd:double"&gt;18.2019503112811&lt;/D&gt;&lt;D xsi:type="xsd:double"&gt;19.9030882665456&lt;/D&gt;&lt;D xsi:type="xsd:double"&gt;20.3616855847246&lt;/D&gt;&lt;D xsi:type="xsd:double"&gt;22.0646431749298&lt;/D&gt;&lt;D xsi:type="xsd:double"&gt;23.0413604844244&lt;/D&gt;&lt;D xsi:type="xsd:double"&gt;23.9745366842032&lt;/D&gt;&lt;D xsi:type="xsd:double"&gt;23.1145133329686&lt;/D&gt;&lt;D xsi:type="xsd:double"&gt;21.5796268976195&lt;/D&gt;&lt;D xsi:type="xsd:double"&gt;21.1151101589515&lt;/D&gt;&lt;D xsi:type="xsd:double"&gt;20.3572501548075&lt;/D&gt;&lt;D xsi:type="xsd:double"&gt;19.9747312106253&lt;/D&gt;&lt;D xsi:type="xsd:double"&gt;19.4278846101706&lt;/D&gt;&lt;D xsi:type="xsd:double"&gt;18.5700271527248&lt;/D&gt;&lt;D xsi:type="xsd:double"&gt;18.754623795686&lt;/D&gt;&lt;D xsi:type="xsd:double"&gt;17.8085276646233&lt;/D&gt;&lt;D xsi:type="xsd:double"&gt;17.4538922755505&lt;/D&gt;&lt;D xsi:type="xsd:double"&gt;16.3099404039419&lt;/D&gt;&lt;D xsi:type="xsd:double"&gt;15.8761933730252&lt;/D&gt;&lt;D xsi:type="xsd:double"&gt;15.0187532477433&lt;/D&gt;&lt;D xsi:type="xsd:double"&gt;14.6198208641766&lt;/D&gt;&lt;D xsi:type="xsd:double"&gt;14.4111523812916&lt;/D&gt;&lt;D xsi:type="xsd:double"&gt;14.2320015392008&lt;/D&gt;&lt;D xsi:type="xsd:double"&gt;13.8379451183977&lt;/D&gt;&lt;D xsi:type="xsd:double"&gt;13.8145502930045&lt;/D&gt;&lt;D xsi:type="xsd:double"&gt;14.0566924158642&lt;/D&gt;&lt;D xsi:type="xsd:double"&gt;13.5805908469356&lt;/D&gt;&lt;D xsi:type="xsd:double"&gt;13.1829696144806&lt;/D&gt;&lt;D xsi:type="xsd:double"&gt;13.5168099355542&lt;/D&gt;&lt;D xsi:type="xsd:double"&gt;13.2700366334496&lt;/D&gt;&lt;D xsi:type="xsd:double"&gt;13.1336528179075&lt;/D&gt;&lt;D xsi:type="xsd:double"&gt;13.5613231436606&lt;/D&gt;&lt;D xsi:type="xsd:double"&gt;13.5882860319578&lt;/D&gt;&lt;D xsi:type="xsd:double"&gt;13.7393702870398&lt;/D&gt;&lt;D xsi:type="xsd:double"&gt;14.0713571947887&lt;/D&gt;&lt;D xsi:type="xsd:double"&gt;14.5603610467756&lt;/D&gt;&lt;D xsi:type="xsd:double"&gt;14.509068725505&lt;/D&gt;&lt;D xsi:type="xsd:double"&gt;14.3650320477976&lt;/D&gt;&lt;D xsi:type="xsd:double"&gt;15.2878936088774&lt;/D&gt;&lt;D xsi:type="xsd:double"&gt;14.7383049344814&lt;/D&gt;&lt;D xsi:type="xsd:double"&gt;15.3470127989309&lt;/D&gt;&lt;D xsi:type="xsd:double"&gt;14.9588748143105&lt;/D&gt;&lt;D xsi:type="xsd:double"&gt;16.1943807084692&lt;/D&gt;&lt;D xsi:type="xsd:double"&gt;16.8018835504419&lt;/D&gt;&lt;D xsi:type="xsd:double"&gt;17.0026720637064&lt;/D&gt;&lt;D xsi:type="xsd:double"&gt;16.9229752669108&lt;/D&gt;&lt;/FQL&gt;&lt;FQL&gt;&lt;Q&gt;WL-FDS^FG_PRICE_CHANGE(0,-1AY)&lt;/Q&gt;&lt;R&gt;1&lt;/R&gt;&lt;C&gt;1&lt;/C&gt;&lt;D xsi:type="xsd:double"&gt;-15.8556426564118&lt;/D&gt;&lt;/FQL&gt;&lt;FQL&gt;&lt;Q&gt;NI-FDS^FG_PRICE_CHANGE(0,-1AY)&lt;/Q&gt;&lt;R&gt;1&lt;/R&gt;&lt;C&gt;1&lt;/C&gt;&lt;D xsi:type="xsd:double"&gt;-27.0432692307692&lt;/D&gt;&lt;/FQL&gt;&lt;FQL&gt;&lt;Q&gt;CPALM-FDS^FG_PRICE_CHANGE(0,-1AY)&lt;/Q&gt;&lt;R&gt;1&lt;/R&gt;&lt;C&gt;1&lt;/C&gt;&lt;D xsi:type="xsd:double"&gt;-0.362318840579712&lt;/D&gt;&lt;/FQL&gt;&lt;FQL&gt;&lt;Q&gt;BRENT-FDS^FG_PRICE_CHANGE(0,-1AY)&lt;/Q&gt;&lt;R&gt;1&lt;/R&gt;&lt;C&gt;1&lt;/C&gt;&lt;D xsi:type="xsd:double"&gt;-2.56468452110759&lt;/D&gt;&lt;/FQL&gt;&lt;FQL&gt;&lt;Q&gt;TIOS-FDS^FG_PRICE_CHANGE(0,-1AY)&lt;/Q&gt;&lt;R&gt;1&lt;/R&gt;&lt;C&gt;1&lt;/C&gt;&lt;D xsi:type="xsd:double"&gt;-10.2958284859565&lt;/D&gt;&lt;/FQL&gt;&lt;FQL&gt;&lt;Q&gt;EWD^FG_PRICE_MAVG(0,,,,30)&lt;/Q&gt;&lt;R&gt;1&lt;/R&gt;&lt;C&gt;1&lt;/C&gt;&lt;D xsi:type="xsd:double"&gt;40.12&lt;/D&gt;&lt;/FQL&gt;&lt;FQL&gt;&lt;Q&gt;QQQ^FG_PRICE_MAVG(0,,,,30)&lt;/Q&gt;&lt;R&gt;1&lt;/R&gt;&lt;C&gt;1&lt;/C&gt;&lt;D xsi:type="xsd:double"&gt;439.60132&lt;/D&gt;&lt;/FQL&gt;&lt;FQL&gt;&lt;Q&gt;EWG^FG_PRICE_MAVG(0,,,,30)&lt;/Q&gt;&lt;R&gt;1&lt;/R&gt;&lt;C&gt;1&lt;/C&gt;&lt;D xsi:type="xsd:double"&gt;31.136667&lt;/D&gt;&lt;/FQL&gt;&lt;FQL&gt;&lt;Q&gt;EWN^FG_COMPANY_NAME&lt;/Q&gt;&lt;R&gt;1&lt;/R&gt;&lt;C&gt;1&lt;/C&gt;&lt;D xsi:type="xsd:string"&gt;iShares MSCI Netherlands ETF&lt;/D&gt;&lt;/FQL&gt;&lt;FQL&gt;&lt;Q&gt;EWD^FG_COMPANY_NAME&lt;/Q&gt;&lt;R&gt;1&lt;/R&gt;&lt;C&gt;1&lt;/C&gt;&lt;D xsi:type="xsd:string"&gt;iShares MSCI Sweden ETF&lt;/D&gt;&lt;/FQL&gt;&lt;FQL&gt;&lt;Q&gt;FXI^FG_TOTAL_RETURNC(0,-3AM)&lt;/Q&gt;&lt;R&gt;1&lt;/R&gt;&lt;C&gt;1&lt;/C&gt;&lt;D xsi:type="xsd:double"&gt;11.843931&lt;/D&gt;&lt;/FQL&gt;&lt;FQL&gt;&lt;Q&gt;EWJ^P_PRICE(0)/P_PRICE_HIGH_PR(0,,,,,,"PRICE","INTRA","52W")&lt;/Q&gt;&lt;R&gt;1&lt;/R&gt;&lt;C&gt;1&lt;/C&gt;&lt;D xsi:type="xsd:double"&gt;0.9281898&lt;/D&gt;&lt;/FQL&gt;&lt;FQL&gt;&lt;Q&gt;VWO^FG_TOTAL_RETURNC(0,-12AM)&lt;/Q&gt;&lt;R&gt;1&lt;/R&gt;&lt;C&gt;1&lt;/C&gt;&lt;D xsi:type="xsd:double"&gt;4.1839004&lt;/D&gt;&lt;/FQL&gt;&lt;FQL&gt;&lt;Q&gt;VGK^PERCENT_CHANGE(FMA_EPS(+1,0,,,,"PORTAGG","MEAN"),FMA_EPS(+1,-1AM,,,,"PORTAGG","MEAN"))&lt;/Q&gt;&lt;R&gt;1&lt;/R&gt;&lt;C&gt;1&lt;/C&gt;&lt;D xsi:type="xsd:double"&gt;-5.01320984237334&lt;/D&gt;&lt;/FQL&gt;&lt;FQL&gt;&lt;Q&gt;EWD^FG_TOTAL_RETURNC(0,-1AM)&lt;/Q&gt;&lt;R&gt;1&lt;/R&gt;&lt;C&gt;1&lt;/C&gt;&lt;D xsi:type="xsd:double"&gt;-4.383564&lt;/D&gt;&lt;/FQL&gt;&lt;FQL&gt;&lt;Q&gt;EWQ^FG_TOTAL_RETURNC(0,-6AM)&lt;/Q&gt;&lt;R&gt;1&lt;/R&gt;&lt;C&gt;1&lt;/C&gt;&lt;D xsi:type="xsd:double"&gt;16.17651&lt;/D&gt;&lt;/FQL&gt;&lt;FQL&gt;&lt;Q&gt;QQQ^P_PRICE(0)/P_PRICE_LOW_PR(0,,,,,,"PRICE","INTRA","52W")-1&lt;/Q&gt;&lt;R&gt;1&lt;/R&gt;&lt;C&gt;1&lt;/C&gt;&lt;D xsi:type="xsd:double"&gt;0.36632347&lt;/D&gt;&lt;/FQL&gt;&lt;FQL&gt;&lt;Q&gt;EWU^FMA_PCT_ABOVE_MAVG(200,0,,,,"PORTAGG")&lt;/Q&gt;&lt;R&gt;1&lt;/R&gt;&lt;C&gt;1&lt;/C&gt;&lt;D xsi:type="xsd:double"&gt;60.7142857142857&lt;/D&gt;&lt;/FQL&gt;&lt;FQL&gt;&lt;Q&gt;EWJ^PERCENT_CHANGE(FMA_EPS(+1,0,,,,"PORTAGG","MEAN"),FMA_EPS(+1,-3AM,,,,"PORTAGG","MEAN"))&lt;/Q&gt;&lt;R&gt;1&lt;/R&gt;&lt;C&gt;1&lt;/C&gt;&lt;D xsi:type="xsd:double"&gt;-2.91053547423555&lt;/D&gt;&lt;/FQL&gt;&lt;FQL&gt;&lt;Q&gt;EWC^FG_TOTAL_RETURNC(0,-3AM)&lt;/Q&gt;&lt;R&gt;1&lt;/R&gt;&lt;C&gt;1&lt;/C&gt;&lt;D xsi:type="xsd:double"&gt;3.3081055&lt;/D&gt;&lt;/FQL&gt;&lt;FQL&gt;&lt;Q&gt;ENZL^P_PRICE(0)/P_PRICE_HIGH_PR(0,,,,,,"PRICE","INTRA","52W")&lt;/Q&gt;&lt;R&gt;1&lt;/R&gt;&lt;C&gt;1&lt;/C&gt;&lt;D xsi:type="xsd:double"&gt;0.8576998&lt;/D&gt;&lt;/FQL&gt;&lt;FQL&gt;&lt;Q&gt;URTH^SIZE(FG_CONSTITUENTS)&lt;/Q&gt;&lt;R&gt;1&lt;/R&gt;&lt;C&gt;1&lt;/C&gt;&lt;D xsi:type="xsd:long"&gt;1469&lt;/D&gt;&lt;/FQL&gt;&lt;FQL&gt;&lt;Q&gt;EWN^FMA_COS_DOWN("EPS","1M",+1,0,,,"PORTAGG","MEANR")&lt;/Q&gt;&lt;R&gt;1&lt;/R&gt;&lt;C&gt;1&lt;/C&gt;&lt;D xsi:type="xsd:double"&gt;14&lt;/D&gt;&lt;/FQL&gt;&lt;FQL&gt;&lt;Q&gt;EWL^FMA_COS_UP("EPS","1M",+1,0,,,"PORTAGG","MEANR")&lt;/Q&gt;&lt;R&gt;1&lt;/R&gt;&lt;C&gt;1&lt;/C&gt;&lt;D xsi:type="xsd:double"&gt;24&lt;/D&gt;&lt;/FQL&gt;&lt;FQL&gt;&lt;Q&gt;SPY^FMA_ROE(NTMA,-20AY,NOW,FY,"PORTAGG","MEANR")&lt;/Q&gt;&lt;R&gt;20&lt;/R&gt;&lt;C&gt;1&lt;/C&gt;&lt;D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xsi:type="xsd:double"&gt;20.5984367906473&lt;/D&gt;&lt;D xsi:type="xsd:double"&gt;20.3410497668105&lt;/D&gt;&lt;/FQL&gt;&lt;FQL&gt;&lt;Q&gt;TRYAE10Y-FDS^FG_YIELD(-10AY,0,Y,,"YTM")&lt;/Q&gt;&lt;R&gt;10&lt;/R&gt;&lt;C&gt;1&lt;/C&gt;&lt;D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xsi:type="xsd:double"&gt;11.358896&lt;/D&gt;&lt;/FQL&gt;&lt;FQL&gt;&lt;Q&gt;USDGBP^FG_COMPANY_NAME&lt;/Q&gt;&lt;R&gt;1&lt;/R&gt;&lt;C&gt;1&lt;/C&gt;&lt;D xsi:type="xsd:string"&gt;British Pounds per U.S. Dollar&lt;/D&gt;&lt;/FQL&gt;&lt;FQL&gt;&lt;Q&gt;EWQ^FG_TOTAL_RETURNC(-10AY,0,AM)&lt;/Q&gt;&lt;R&gt;121&lt;/R&gt;&lt;C&gt;1&lt;/C&gt;&lt;D xsi:type="xsd:double"&gt;2.1258235&lt;/D&gt;&lt;D xsi:type="xsd:double"&gt;0.6261587&lt;/D&gt;&lt;D xsi:type="xsd:double"&gt;1.9845247&lt;/D&gt;&lt;D xsi:type="xsd:double"&gt;-4.8766494&lt;/D&gt;&lt;D xsi:type="xsd:double"&gt;-3.9469004&lt;/D&gt;&lt;D xsi:type="xsd:double"&gt;1.4925361&lt;/D&gt;&lt;D xsi:type="xsd:double"&gt;-10.675383&lt;/D&gt;&lt;D xsi:type="xsd:double"&gt;4.9186945&lt;/D&gt;&lt;D xsi:type="xsd:double"&gt;-1.5742898&lt;/D&gt;&lt;D xsi:type="xsd:double"&gt;-2.6211262&lt;/D&gt;&lt;D xsi:type="xsd:double"&gt;7.340944&lt;/D&gt;&lt;D xsi:type="xsd:double"&gt;-0.49391985&lt;/D&gt;&lt;D xsi:type="xsd:double"&gt;1.8327594&lt;/D&gt;&lt;D xsi:type="xsd:double"&gt;3.4870625&lt;/D&gt;&lt;D xsi:type="xsd:double"&gt;-3.115946&lt;/D&gt;&lt;D xsi:type="xsd:double"&gt;1.3875961&lt;/D&gt;&lt;D xsi:type="xsd:double"&gt;-1.1627913&lt;/D&gt;&lt;D xsi:type="xsd:double"&gt;-6.4895687&lt;/D&gt;&lt;D xsi:type="xsd:double"&gt;4.6672106&lt;/D&gt;&lt;D xsi:type="xsd:double"&gt;-1.822418&lt;/D&gt;&lt;D xsi:type="xsd:double"&gt;-4.976302&lt;/D&gt;&lt;D xsi:type="xsd:double"&gt;-7.770938&lt;/D&gt;&lt;D xsi:type="xsd:double"&gt;3.0303001&lt;/D&gt;&lt;D xsi:type="xsd:double"&gt;7.287097&lt;/D&gt;&lt;D xsi:type="xsd:double"&gt;0.9410739&lt;/D&gt;&lt;D xsi:type="xsd:double"&gt;-3.2428026&lt;/D&gt;&lt;D xsi:type="xsd:double"&gt;-0.96355677&lt;/D&gt;&lt;D xsi:type="xsd:double"&gt;0.88602304&lt;/D&gt;&lt;D xsi:type="xsd:double"&gt;4.5591354&lt;/D&gt;&lt;D xsi:type="xsd:double"&gt;-3.5787702&lt;/D&gt;&lt;D xsi:type="xsd:double"&gt;2.2184253&lt;/D&gt;&lt;D xsi:type="xsd:double"&gt;-3.3806324&lt;/D&gt;&lt;D xsi:type="xsd:double"&gt;5.226791&lt;/D&gt;&lt;D xsi:type="xsd:double"&gt;3.1609058&lt;/D&gt;&lt;D xsi:type="xsd:double"&gt;-0.079876184&lt;/D&gt;&lt;D xsi:type="xsd:double"&gt;4.3565154&lt;/D&gt;&lt;D xsi:type="xsd:double"&gt;-0.49789548&lt;/D&gt;&lt;D xsi:type="xsd:double"&gt;11.5473385&lt;/D&gt;&lt;D xsi:type="xsd:double"&gt;1.3112545&lt;/D&gt;&lt;D xsi:type="xsd:double"&gt;1.7289162&lt;/D&gt;&lt;D xsi:type="xsd:double"&gt;0.13623238&lt;/D&gt;&lt;D xsi:type="xsd:double"&gt;4.0476203&lt;/D&gt;&lt;D xsi:type="xsd:double"&gt;1.8633485&lt;/D&gt;&lt;D xsi:type="xsd:double"&gt;-1.4120698&lt;/D&gt;&lt;D xsi:type="xsd:double"&gt;1.985681&lt;/D&gt;&lt;D xsi:type="xsd:double"&gt;5.490458&lt;/D&gt;&lt;D xsi:type="xsd:double"&gt;-2.4279177&lt;/D&gt;&lt;D xsi:type="xsd:double"&gt;-0.8398235&lt;/D&gt;&lt;D xsi:type="xsd:double"&gt;3.0426621&lt;/D&gt;&lt;D xsi:type="xsd:double"&gt;-0.4566133&lt;/D&gt;&lt;D xsi:type="xsd:double"&gt;-2.3853242&lt;/D&gt;&lt;D xsi:type="xsd:double"&gt;0.29798746&lt;/D&gt;&lt;D xsi:type="xsd:double"&gt;-3.4757674&lt;/D&gt;&lt;D xsi:type="xsd:double"&gt;2.3785949&lt;/D&gt;&lt;D xsi:type="xsd:double"&gt;-6.7763805&lt;/D&gt;&lt;D xsi:type="xsd:double"&gt;-1.5576303&lt;/D&gt;&lt;D xsi:type="xsd:double"&gt;-5.863011&lt;/D&gt;&lt;D xsi:type="xsd:double"&gt;2.401507&lt;/D&gt;&lt;D xsi:type="xsd:double"&gt;4.9835086&lt;/D&gt;&lt;D xsi:type="xsd:double"&gt;5.130899&lt;/D&gt;&lt;D xsi:type="xsd:double"&gt;2.1912336&lt;/D&gt;&lt;D xsi:type="xsd:double"&gt;-2.8265119&lt;/D&gt;&lt;D xsi:type="xsd:double"&gt;2.9592395&lt;/D&gt;&lt;D xsi:type="xsd:double"&gt;1.6971707&lt;/D&gt;&lt;D xsi:type="xsd:double"&gt;-5.988222&lt;/D&gt;&lt;D xsi:type="xsd:double"&gt;5.499482&lt;/D&gt;&lt;D xsi:type="xsd:double"&gt;1.220727&lt;/D&gt;&lt;D xsi:type="xsd:double"&gt;4.2372823&lt;/D&gt;&lt;D xsi:type="xsd:double"&gt;0.93369484&lt;/D&gt;&lt;D xsi:type="xsd:double"&gt;2.3284674&lt;/D&gt;&lt;D xsi:type="xsd:double"&gt;-2.3361683&lt;/D&gt;&lt;D xsi:type="xsd:double"&gt;-37.7757&lt;/D&gt;&lt;D xsi:type="xsd:double"&gt;20.41937&lt;/D&gt;&lt;D xsi:type="xsd:double"&gt;1.036489&lt;/D&gt;&lt;D xsi:type="xsd:double"&gt;12.424469&lt;/D&gt;&lt;D xsi:type="xsd:double"&gt;5.8045506&lt;/D&gt;&lt;D xsi:type="xsd:double"&gt;1.5277743&lt;/D&gt;&lt;D xsi:type="xsd:double"&gt;-0.37620068&lt;/D&gt;&lt;D xsi:type="xsd:double"&gt;-1.3044953&lt;/D&gt;&lt;D xsi:type="xsd:double"&gt;11.72173&lt;/D&gt;&lt;D xsi:type="xsd:double"&gt;4.218209&lt;/D&gt;&lt;D xsi:type="xsd:double"&gt;0.48033&lt;/D&gt;&lt;D xsi:type="xsd:double"&gt;2.210927&lt;/D&gt;&lt;D xsi:type="xsd:double"&gt;2.3384929&lt;/D&gt;&lt;D xsi:type="xsd:double"&gt;5.855477&lt;/D&gt;&lt;D xsi:type="xsd:double"&gt;2.8332472&lt;/D&gt;&lt;D xsi:type="xsd:double"&gt;0.95784664&lt;/D&gt;&lt;D xsi:type="xsd:double"&gt;-2.2338986&lt;/D&gt;&lt;D xsi:type="xsd:double"&gt;3.4139752&lt;/D&gt;&lt;D xsi:type="xsd:double"&gt;-1.2477219&lt;/D&gt;&lt;D xsi:type="xsd:double"&gt;1.1318684&lt;/D&gt;&lt;D xsi:type="xsd:double"&gt;4.4247866&lt;/D&gt;&lt;D xsi:type="xsd:double"&gt;-4.8668265&lt;/D&gt;&lt;D xsi:type="xsd:double"&gt;4.2811036&lt;/D&gt;&lt;D xsi:type="xsd:double"&gt;-3.150016&lt;/D&gt;&lt;D xsi:type="xsd:double"&gt;-6.158352&lt;/D&gt;&lt;D xsi:type="xsd:double"&gt;-2.5284052&lt;/D&gt;&lt;D xsi:type="xsd:double"&gt;-5.625182&lt;/D&gt;&lt;D xsi:type="xsd:double"&gt;-5.571204&lt;/D&gt;&lt;D xsi:type="xsd:double"&gt;-0.404042&lt;/D&gt;&lt;D xsi:type="xsd:double"&gt;7.978368&lt;/D&gt;&lt;D xsi:type="xsd:double"&gt;-8.046335&lt;/D&gt;&lt;D xsi:type="xsd:double"&gt;-1.9748032&lt;/D&gt;&lt;D xsi:type="xsd:double"&gt;14.102114&lt;/D&gt;&lt;D xsi:type="xsd:double"&gt;0.26904345&lt;/D&gt;&lt;D xsi:type="xsd:double"&gt;10.877514&lt;/D&gt;&lt;D xsi:type="xsd:double"&gt;3.1876922&lt;/D&gt;&lt;D xsi:type="xsd:double"&gt;-6.391472&lt;/D&gt;&lt;D xsi:type="xsd:double"&gt;12.062586&lt;/D&gt;&lt;D xsi:type="xsd:double"&gt;-1.6247749&lt;/D&gt;&lt;D xsi:type="xsd:double"&gt;1.0220051&lt;/D&gt;&lt;D xsi:type="xsd:double"&gt;2.5594115&lt;/D&gt;&lt;D xsi:type="xsd:double"&gt;-5.6786356&lt;/D&gt;&lt;D xsi:type="xsd:double"&gt;-0.72894096&lt;/D&gt;&lt;D xsi:type="xsd:double"&gt;-6.2007008&lt;/D&gt;&lt;D xsi:type="xsd:double"&gt;8.176279&lt;/D&gt;&lt;D xsi:type="xsd:double"&gt;4.5832157&lt;/D&gt;&lt;D xsi:type="xsd:double"&gt;-2.2119224&lt;/D&gt;&lt;D xsi:type="xsd:double"&gt;3.112638&lt;/D&gt;&lt;D xsi:type="xsd:double"&gt;5.525708&lt;/D&gt;&lt;D xsi:type="xsd:double"&gt;-3.490907&lt;/D&gt;&lt;/FQL&gt;&lt;FQL&gt;&lt;Q&gt;QQQ^FMA_DIV_YLD(NTMA,-10AY,0,AM,"PORTAGG","MEANR")&lt;/Q&gt;&lt;R&gt;121&lt;/R&gt;&lt;C&gt;1&lt;/C&gt;&lt;D xsi:type="xsd:double"&gt;1.42599569709091&lt;/D&gt;&lt;D xsi:type="xsd:double"&gt;1.36108411118471&lt;/D&gt;&lt;D xsi:type="xsd:double"&gt;1.29271230164068&lt;/D&gt;&lt;D xsi:type="xsd:double"&gt;1.24390524008023&lt;/D&gt;&lt;D xsi:type="xsd:double"&gt;1.22691945960181&lt;/D&gt;&lt;D xsi:type="xsd:double"&gt;1.2237062574339&lt;/D&gt;&lt;D xsi:type="xsd:double"&gt;1.32273539493375&lt;/D&gt;&lt;D xsi:type="xsd:double"&gt;1.20771292580135&lt;/D&gt;&lt;D xsi:type="xsd:double"&gt;1.21614396894182&lt;/D&gt;&lt;D xsi:type="xsd:double"&gt;1.2356419380417&lt;/D&gt;&lt;D xsi:type="xsd:double"&gt;1.22694432320452&lt;/D&gt;&lt;D xsi:type="xsd:double"&gt;1.24719601365242&lt;/D&gt;&lt;D xsi:type="xsd:double"&gt;1.27587998522588&lt;/D&gt;&lt;D xsi:type="xsd:double"&gt;1.23385687586566&lt;/D&gt;&lt;D xsi:type="xsd:double"&gt;1.23619548283646&lt;/D&gt;&lt;D xsi:type="xsd:double"&gt;1.20494627732835&lt;/D&gt;&lt;D xsi:type="xsd:double"&gt;1.27896330519033&lt;/D&gt;&lt;D xsi:type="xsd:double"&gt;1.35073501088718&lt;/D&gt;&lt;D xsi:type="xsd:double"&gt;1.31890351116958&lt;/D&gt;&lt;D xsi:type="xsd:double"&gt;1.27537320258251&lt;/D&gt;&lt;D xsi:type="xsd:double"&gt;1.31749459218029&lt;/D&gt;&lt;D xsi:type="xsd:double"&gt;1.39902408568162&lt;/D&gt;&lt;D xsi:type="xsd:double"&gt;1.42378277712552&lt;/D&gt;&lt;D xsi:type="xsd:double"&gt;1.35619406980042&lt;/D&gt;&lt;D xsi:type="xsd:double"&gt;1.31698923386867&lt;/D&gt;&lt;D xsi:type="xsd:double"&gt;1.39635147287947&lt;/D&gt;&lt;D xsi:type="xsd:double"&gt;1.39085088142677&lt;/D&gt;&lt;D xsi:type="xsd:double"&gt;1.31731096725354&lt;/D&gt;&lt;D xsi:type="xsd:double"&gt;1.27597037574183&lt;/D&gt;&lt;D xsi:type="xsd:double"&gt;1.2805825751655&lt;/D&gt;&lt;D xsi:type="xsd:double"&gt;1.27263016391919&lt;/D&gt;&lt;D xsi:type="xsd:double"&gt;1.29414316509085&lt;/D&gt;&lt;D xsi:type="xsd:double"&gt;1.28330983663402&lt;/D&gt;&lt;D xsi:type="xsd:double"&gt;1.25611945277724&lt;/D&gt;&lt;D xsi:type="xsd:double"&gt;1.22228062311592&lt;/D&gt;&lt;D xsi:type="xsd:double"&gt;1.21153958318729&lt;/D&gt;&lt;D xsi:type="xsd:double"&gt;1.22407711765224&lt;/D&gt;&lt;D xsi:type="xsd:double"&gt;1.18816597570602&lt;/D&gt;&lt;D xsi:type="xsd:double"&gt;1.18417111945239&lt;/D&gt;&lt;D xsi:type="xsd:double"&gt;1.1705016148493&lt;/D&gt;&lt;D xsi:type="xsd:double"&gt;1.19792496937399&lt;/D&gt;&lt;D xsi:type="xsd:double"&gt;1.16243030629624&lt;/D&gt;&lt;D xsi:type="xsd:double"&gt;1.1406913341471&lt;/D&gt;&lt;D xsi:type="xsd:double"&gt;1.11039407428718&lt;/D&gt;&lt;D xsi:type="xsd:double"&gt;1.07906830380132&lt;/D&gt;&lt;D xsi:type="xsd:double"&gt;1.03928408122566&lt;/D&gt;&lt;D xsi:type="xsd:double"&gt;1.07551022921951&lt;/D&gt;&lt;D xsi:type="xsd:double"&gt;1.04764985965845&lt;/D&gt;&lt;D xsi:type="xsd:double"&gt;1.08673525098396&lt;/D&gt;&lt;D xsi:type="xsd:double"&gt;1.09757583560406&lt;/D&gt;&lt;D xsi:type="xsd:double"&gt;1.04018742267516&lt;/D&gt;&lt;D xsi:type="xsd:double"&gt;1.03121051046054&lt;/D&gt;&lt;D xsi:type="xsd:double"&gt;1.08343174443854&lt;/D&gt;&lt;D xsi:type="xsd:double"&gt;1.0784307480994&lt;/D&gt;&lt;D xsi:type="xsd:double"&gt;1.14540180133634&lt;/D&gt;&lt;D xsi:type="xsd:double"&gt;1.19460079800683&lt;/D&gt;&lt;D xsi:type="xsd:double"&gt;1.29028669272295&lt;/D&gt;&lt;D xsi:type="xsd:double"&gt;1.23608899103476&lt;/D&gt;&lt;D xsi:type="xsd:double"&gt;1.19597581977355&lt;/D&gt;&lt;D xsi:type="xsd:double"&gt;1.14126971613215&lt;/D&gt;&lt;D xsi:type="xsd:double"&gt;1.10041734651795&lt;/D&gt;&lt;D xsi:type="xsd:double"&gt;1.13461876556907&lt;/D&gt;&lt;D xsi:type="xsd:double"&gt;1.12257706257656&lt;/D&gt;&lt;D xsi:type="xsd:double"&gt;1.08562036995824&lt;/D&gt;&lt;D xsi:type="xsd:double"&gt;1.12853164840437&lt;/D&gt;&lt;D xsi:type="xsd:double"&gt;1.0938485468261&lt;/D&gt;&lt;D xsi:type="xsd:double"&gt;1.10380445681907&lt;/D&gt;&lt;D xsi:type="xsd:double"&gt;1.05706118030084&lt;/D&gt;&lt;D xsi:type="xsd:double"&gt;1.05979996496252&lt;/D&gt;&lt;D xsi:type="xsd:double"&gt;1.00119265494381&lt;/D&gt;&lt;D xsi:type="xsd:double"&gt;0.958579842458063&lt;/D&gt;&lt;D xsi:type="xsd:double"&gt;1.29438310372456&lt;/D&gt;&lt;D xsi:type="xsd:double"&gt;1.04959925817893&lt;/D&gt;&lt;D xsi:type="xsd:double"&gt;0.979145799096155&lt;/D&gt;&lt;D xsi:type="xsd:double"&gt;0.90803791188323&lt;/D&gt;&lt;D xsi:type="xsd:double"&gt;0.857788049578648&lt;/D&gt;&lt;D xsi:type="xsd:double"&gt;0.80207205029495&lt;/D&gt;&lt;D xsi:type="xsd:double"&gt;0.836947939371678&lt;/D&gt;&lt;D xsi:type="xsd:double"&gt;0.776618250044382&lt;/D&gt;&lt;D xsi:type="xsd:double"&gt;0.778944484879098&lt;/D&gt;&lt;D xsi:type="xsd:double"&gt;0.732490447495095&lt;/D&gt;&lt;D xsi:type="xsd:double"&gt;0.771151761506993&lt;/D&gt;&lt;D xsi:type="xsd:double"&gt;0.731494847930652&lt;/D&gt;&lt;D xsi:type="xsd:double"&gt;0.784879341226898&lt;/D&gt;&lt;D xsi:type="xsd:double"&gt;0.717547949769634&lt;/D&gt;&lt;D xsi:type="xsd:double"&gt;0.765263259528729&lt;/D&gt;&lt;D xsi:type="xsd:double"&gt;0.727450257687787&lt;/D&gt;&lt;D xsi:type="xsd:double"&gt;0.699884284129202&lt;/D&gt;&lt;D xsi:type="xsd:double"&gt;0.712179254300133&lt;/D&gt;&lt;D xsi:type="xsd:double"&gt;0.693417694016207&lt;/D&gt;&lt;D xsi:type="xsd:double"&gt;0.701090333561151&lt;/D&gt;&lt;D xsi:type="xsd:double"&gt;0.655356766542031&lt;/D&gt;&lt;D xsi:type="xsd:double"&gt;0.689016138008582&lt;/D&gt;&lt;D xsi:type="xsd:double"&gt;0.719023657364178&lt;/D&gt;&lt;D xsi:type="xsd:double"&gt;0.793258306693379&lt;/D&gt;&lt;D xsi:type="xsd:double"&gt;0.780664273159444&lt;/D&gt;&lt;D xsi:type="xsd:double"&gt;0.812192984142196&lt;/D&gt;&lt;D xsi:type="xsd:double"&gt;0.952252865600143&lt;/D&gt;&lt;D xsi:type="xsd:double"&gt;1.01538265977627&lt;/D&gt;&lt;D xsi:type="xsd:double"&gt;0.971428378964494&lt;/D&gt;&lt;D xsi:type="xsd:double"&gt;0.857918526068155&lt;/D&gt;&lt;D xsi:type="xsd:double"&gt;0.983945430739714&lt;/D&gt;&lt;D xsi:type="xsd:double"&gt;1.05760651361785&lt;/D&gt;&lt;D xsi:type="xsd:double"&gt;1.01802802442144&lt;/D&gt;&lt;D xsi:type="xsd:double"&gt;1.0521387759936&lt;/D&gt;&lt;D xsi:type="xsd:double"&gt;0.999873491518873&lt;/D&gt;&lt;D xsi:type="xsd:double"&gt;0.935291053156139&lt;/D&gt;&lt;D xsi:type="xsd:double"&gt;0.927523294807492&lt;/D&gt;&lt;D xsi:type="xsd:double"&gt;0.891029663967927&lt;/D&gt;&lt;D xsi:type="xsd:double"&gt;0.828371416854025&lt;/D&gt;&lt;D xsi:type="xsd:double"&gt;0.767372576678838&lt;/D&gt;&lt;D xsi:type="xsd:double"&gt;0.734041602802477&lt;/D&gt;&lt;D xsi:type="xsd:double"&gt;0.919640556155668&lt;/D&gt;&lt;D xsi:type="xsd:double"&gt;0.891068497973639&lt;/D&gt;&lt;D xsi:type="xsd:double"&gt;0.937996029094813&lt;/D&gt;&lt;D xsi:type="xsd:double"&gt;0.893474772870885&lt;/D&gt;&lt;D xsi:type="xsd:double"&gt;0.921159518688335&lt;/D&gt;&lt;D xsi:type="xsd:double"&gt;0.907819890510191&lt;/D&gt;&lt;D xsi:type="xsd:double"&gt;0.89427526948029&lt;/D&gt;&lt;D xsi:type="xsd:double"&gt;0.896431581093821&lt;/D&gt;&lt;D xsi:type="xsd:double"&gt;0.926191339666435&lt;/D&gt;&lt;/FQL&gt;&lt;FQL&gt;&lt;Q&gt;WL-FDS^FG_PRICE_CHANGE(0,-6AM)&lt;/Q&gt;&lt;R&gt;1&lt;/R&gt;&lt;C&gt;1&lt;/C&gt;&lt;D xsi:type="xsd:double"&gt;-23.3081693178754&lt;/D&gt;&lt;/FQL&gt;&lt;FQL&gt;&lt;Q&gt;NI-FDS^FG_PRICE_CHANGE(0,-6AM)&lt;/Q&gt;&lt;R&gt;1&lt;/R&gt;&lt;C&gt;1&lt;/C&gt;&lt;D xsi:type="xsd:double"&gt;-1.40768814293449&lt;/D&gt;&lt;/FQL&gt;&lt;FQL&gt;&lt;Q&gt;CPALM-FDS^FG_PRICE_CHANGE(0,-6AM)&lt;/Q&gt;&lt;R&gt;1&lt;/R&gt;&lt;C&gt;1&lt;/C&gt;&lt;D xsi:type="xsd:double"&gt;9.44547625364818&lt;/D&gt;&lt;/FQL&gt;&lt;FQL&gt;&lt;Q&gt;BRENT-FDS^FG_PRICE_CHANGE(0,-6AM)&lt;/Q&gt;&lt;R&gt;1&lt;/R&gt;&lt;C&gt;1&lt;/C&gt;&lt;D xsi:type="xsd:double"&gt;-9.55440851153482&lt;/D&gt;&lt;/FQL&gt;&lt;FQL&gt;&lt;Q&gt;TIOS-FDS^FG_PRICE_CHANGE(0,-6AM)&lt;/Q&gt;&lt;R&gt;1&lt;/R&gt;&lt;C&gt;1&lt;/C&gt;&lt;D xsi:type="xsd:double"&gt;-9.29333669439543&lt;/D&gt;&lt;/FQL&gt;&lt;FQL&gt;&lt;Q&gt;EWD^FG_PRICE(0)&lt;/Q&gt;&lt;R&gt;1&lt;/R&gt;&lt;C&gt;1&lt;/C&gt;&lt;D xsi:type="xsd:double"&gt;38.39&lt;/D&gt;&lt;/FQL&gt;&lt;FQL&gt;&lt;Q&gt;QQQ^FG_PRICE(0)&lt;/Q&gt;&lt;R&gt;1&lt;/R&gt;&lt;C&gt;1&lt;/C&gt;&lt;D xsi:type="xsd:double"&gt;423.41&lt;/D&gt;&lt;/FQL&gt;&lt;FQL&gt;&lt;Q&gt;EWG^FG_PRICE(0)&lt;/Q&gt;&lt;R&gt;1&lt;/R&gt;&lt;C&gt;1&lt;/C&gt;&lt;D xsi:type="xsd:double"&gt;30.04&lt;/D&gt;&lt;/FQL&gt;&lt;FQL&gt;&lt;Q&gt;CC_US^FG_COMPANY_NAME&lt;/Q&gt;&lt;R&gt;1&lt;/R&gt;&lt;C&gt;1&lt;/C&gt;&lt;D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xsi:type="xsd:double"&gt;19.022537&lt;/D&gt;&lt;D xsi:type="xsd:double"&gt;16.322994&lt;/D&gt;&lt;D xsi:type="xsd:double"&gt;14.701247&lt;/D&gt;&lt;D xsi:type="xsd:double"&gt;11.504269&lt;/D&gt;&lt;D xsi:type="xsd:double"&gt;5.1326394&lt;/D&gt;&lt;D xsi:type="xsd:double"&gt;-0.7330954&lt;/D&gt;&lt;D xsi:type="xsd:double"&gt;-6.463897&lt;/D&gt;&lt;D xsi:type="xsd:double"&gt;1.9783735&lt;/D&gt;&lt;D xsi:type="xsd:double"&gt;-1.8914223&lt;/D&gt;&lt;D xsi:type="xsd:double"&gt;-10.660702&lt;/D&gt;&lt;D xsi:type="xsd:double"&gt;-0.2387762&lt;/D&gt;&lt;D xsi:type="xsd:double"&gt;-4.763162&lt;/D&gt;&lt;D xsi:type="xsd:double"&gt;-3.2470107&lt;/D&gt;&lt;D xsi:type="xsd:double"&gt;-3.8105726&lt;/D&gt;&lt;D xsi:type="xsd:double"&gt;-3.6983192&lt;/D&gt;&lt;D xsi:type="xsd:double"&gt;-1.6176641&lt;/D&gt;&lt;D xsi:type="xsd:double"&gt;-3.7241101&lt;/D&gt;&lt;D xsi:type="xsd:double"&gt;-8.172571&lt;/D&gt;&lt;D xsi:type="xsd:double"&gt;4.554367&lt;/D&gt;&lt;D xsi:type="xsd:double"&gt;-6.2868&lt;/D&gt;&lt;D xsi:type="xsd:double"&gt;-8.044624&lt;/D&gt;&lt;D xsi:type="xsd:double"&gt;-11.108625&lt;/D&gt;&lt;D xsi:type="xsd:double"&gt;-14.983291&lt;/D&gt;&lt;D xsi:type="xsd:double"&gt;-9.975934&lt;/D&gt;&lt;D xsi:type="xsd:double"&gt;-6.33679&lt;/D&gt;&lt;D xsi:type="xsd:double"&gt;-13.832914&lt;/D&gt;&lt;D xsi:type="xsd:double"&gt;-13.97242&lt;/D&gt;&lt;D xsi:type="xsd:double"&gt;-11.152959&lt;/D&gt;&lt;D xsi:type="xsd:double"&gt;-4.433256&lt;/D&gt;&lt;D xsi:type="xsd:double"&gt;-4.077154&lt;/D&gt;&lt;D xsi:type="xsd:double"&gt;-2.295357&lt;/D&gt;&lt;D xsi:type="xsd:double"&gt;-5.215412&lt;/D&gt;&lt;D xsi:type="xsd:double"&gt;0.7576823&lt;/D&gt;&lt;D xsi:type="xsd:double"&gt;16.621017&lt;/D&gt;&lt;D xsi:type="xsd:double"&gt;15.342844&lt;/D&gt;&lt;D xsi:type="xsd:double"&gt;11.540043&lt;/D&gt;&lt;D xsi:type="xsd:double"&gt;6.6859603&lt;/D&gt;&lt;D xsi:type="xsd:double"&gt;20.359934&lt;/D&gt;&lt;D xsi:type="xsd:double"&gt;27.272964&lt;/D&gt;&lt;D xsi:type="xsd:double"&gt;27.046597&lt;/D&gt;&lt;D xsi:type="xsd:double"&gt;18.445004&lt;/D&gt;&lt;D xsi:type="xsd:double"&gt;27.501095&lt;/D&gt;&lt;D xsi:type="xsd:double"&gt;28.938246&lt;/D&gt;&lt;D xsi:type="xsd:double"&gt;28.140938&lt;/D&gt;&lt;D xsi:type="xsd:double"&gt;22.818232&lt;/D&gt;&lt;D xsi:type="xsd:double"&gt;26.961494&lt;/D&gt;&lt;D xsi:type="xsd:double"&gt;16.028059&lt;/D&gt;&lt;D xsi:type="xsd:double"&gt;12.890768&lt;/D&gt;&lt;D xsi:type="xsd:double"&gt;12.126923&lt;/D&gt;&lt;D xsi:type="xsd:double"&gt;5.6537867&lt;/D&gt;&lt;D xsi:type="xsd:double"&gt;-1.5074134&lt;/D&gt;&lt;D xsi:type="xsd:double"&gt;-4.053569&lt;/D&gt;&lt;D xsi:type="xsd:double"&gt;-1.9781649&lt;/D&gt;&lt;D xsi:type="xsd:double"&gt;-4.2521057&lt;/D&gt;&lt;D xsi:type="xsd:double"&gt;-11.665165&lt;/D&gt;&lt;D xsi:type="xsd:double"&gt;-10.933739&lt;/D&gt;&lt;D xsi:type="xsd:double"&gt;-12.993235&lt;/D&gt;&lt;D xsi:type="xsd:double"&gt;-14.101612&lt;/D&gt;&lt;D xsi:type="xsd:double"&gt;-8.968502&lt;/D&gt;&lt;D xsi:type="xsd:double"&gt;-6.0932755&lt;/D&gt;&lt;D xsi:type="xsd:double"&gt;1.3731122&lt;/D&gt;&lt;D xsi:type="xsd:double"&gt;-6.3725176&lt;/D&gt;&lt;D xsi:type="xsd:double"&gt;-0.97269416&lt;/D&gt;&lt;D xsi:type="xsd:double"&gt;0.081801414&lt;/D&gt;&lt;D xsi:type="xsd:double"&gt;-6.611514&lt;/D&gt;&lt;D xsi:type="xsd:double"&gt;-3.3616006&lt;/D&gt;&lt;D xsi:type="xsd:double"&gt;6.2234044&lt;/D&gt;&lt;D xsi:type="xsd:double"&gt;12.135458&lt;/D&gt;&lt;D xsi:type="xsd:double"&gt;23.348951&lt;/D&gt;&lt;D xsi:type="xsd:double"&gt;20.021034&lt;/D&gt;&lt;D xsi:type="xsd:double"&gt;15.696037&lt;/D&gt;&lt;D xsi:type="xsd:double"&gt;-25.051481&lt;/D&gt;&lt;D xsi:type="xsd:double"&gt;-14.797693&lt;/D&gt;&lt;D xsi:type="xsd:double"&gt;-3.9318204&lt;/D&gt;&lt;D xsi:type="xsd:double"&gt;4.3253303&lt;/D&gt;&lt;D xsi:type="xsd:double"&gt;14.498579&lt;/D&gt;&lt;D xsi:type="xsd:double"&gt;30.602896&lt;/D&gt;&lt;D xsi:type="xsd:double"&gt;22.731281&lt;/D&gt;&lt;D xsi:type="xsd:double"&gt;22.095537&lt;/D&gt;&lt;D xsi:type="xsd:double"&gt;23.895359&lt;/D&gt;&lt;D xsi:type="xsd:double"&gt;22.058224&lt;/D&gt;&lt;D xsi:type="xsd:double"&gt;25.66353&lt;/D&gt;&lt;D xsi:type="xsd:double"&gt;28.76252&lt;/D&gt;&lt;D xsi:type="xsd:double"&gt;103.361176&lt;/D&gt;&lt;D xsi:type="xsd:double"&gt;91.84918&lt;/D&gt;&lt;D xsi:type="xsd:double"&gt;74.52108&lt;/D&gt;&lt;D xsi:type="xsd:double"&gt;53.3821&lt;/D&gt;&lt;D xsi:type="xsd:double"&gt;43.627693&lt;/D&gt;&lt;D xsi:type="xsd:double"&gt;37.03501&lt;/D&gt;&lt;D xsi:type="xsd:double"&gt;33.79811&lt;/D&gt;&lt;D xsi:type="xsd:double"&gt;34.191086&lt;/D&gt;&lt;D xsi:type="xsd:double"&gt;28.436958&lt;/D&gt;&lt;D xsi:type="xsd:double"&gt;15.623236&lt;/D&gt;&lt;D xsi:type="xsd:double"&gt;11.916995&lt;/D&gt;&lt;D xsi:type="xsd:double"&gt;-2.326101&lt;/D&gt;&lt;D xsi:type="xsd:double"&gt;-5.242795&lt;/D&gt;&lt;D xsi:type="xsd:double"&gt;-17.231632&lt;/D&gt;&lt;D xsi:type="xsd:double"&gt;-24.938225&lt;/D&gt;&lt;D xsi:type="xsd:double"&gt;-29.330439&lt;/D&gt;&lt;D xsi:type="xsd:double"&gt;-30.36372&lt;/D&gt;&lt;D xsi:type="xsd:double"&gt;-26.139486&lt;/D&gt;&lt;D xsi:type="xsd:double"&gt;-34.721733&lt;/D&gt;&lt;D xsi:type="xsd:double"&gt;-34.44667&lt;/D&gt;&lt;D xsi:type="xsd:double"&gt;-28.428251&lt;/D&gt;&lt;D xsi:type="xsd:double"&gt;-24.389011&lt;/D&gt;&lt;D xsi:type="xsd:double"&gt;-15.811414&lt;/D&gt;&lt;D xsi:type="xsd:double"&gt;-7.7748537&lt;/D&gt;&lt;D xsi:type="xsd:double"&gt;-14.603853&lt;/D&gt;&lt;D xsi:type="xsd:double"&gt;0.1516819&lt;/D&gt;&lt;D xsi:type="xsd:double"&gt;8.340157&lt;/D&gt;&lt;D xsi:type="xsd:double"&gt;16.528261&lt;/D&gt;&lt;D xsi:type="xsd:double"&gt;20.64681&lt;/D&gt;&lt;D xsi:type="xsd:double"&gt;-0.13011098&lt;/D&gt;&lt;D xsi:type="xsd:double"&gt;12.100148&lt;/D&gt;&lt;D xsi:type="xsd:double"&gt;12.503349&lt;/D&gt;&lt;D xsi:type="xsd:double"&gt;9.610451&lt;/D&gt;&lt;D xsi:type="xsd:double"&gt;21.358335&lt;/D&gt;&lt;D xsi:type="xsd:double"&gt;5.8947563&lt;/D&gt;&lt;D xsi:type="xsd:double"&gt;9.983277&lt;/D&gt;&lt;D xsi:type="xsd:double"&gt;25.738&lt;/D&gt;&lt;D xsi:type="xsd:double"&gt;7.2464943&lt;/D&gt;&lt;/FQL&gt;&lt;FQL&gt;&lt;Q&gt;EWL^FMA_PE(NTMA,-10AY,0,AM,"PORTAGG","MEANR")&lt;/Q&gt;&lt;R&gt;121&lt;/R&gt;&lt;C&gt;1&lt;/C&gt;&lt;D xsi:type="xsd:double"&gt;16.023420409519&lt;/D&gt;&lt;D xsi:type="xsd:double"&gt;16.3823125354432&lt;/D&gt;&lt;D xsi:type="xsd:double"&gt;16.2597292303357&lt;/D&gt;&lt;D xsi:type="x</t>
        </r>
      </text>
    </comment>
    <comment ref="A5" authorId="0" shapeId="0" xr:uid="{D461A3E9-4C02-4DC0-8825-D862597857C2}">
      <text>
        <r>
          <rPr>
            <b/>
            <sz val="9"/>
            <color indexed="81"/>
            <rFont val="Tahoma"/>
            <charset val="1"/>
          </rPr>
          <t>sd:double"&gt;15.9216256522021&lt;/D&gt;&lt;D xsi:type="xsd:double"&gt;15.9032261977891&lt;/D&gt;&lt;D xsi:type="xsd:double"&gt;16.2078991942214&lt;/D&gt;&lt;D xsi:type="xsd:double"&gt;14.9560518475671&lt;/D&gt;&lt;D xsi:type="xsd:double"&gt;16.1131739742&lt;/D&gt;&lt;D xsi:type="xsd:double"&gt;15.8170251034404&lt;/D&gt;&lt;D xsi:type="xsd:double"&gt;15.0684969938974&lt;/D&gt;&lt;D xsi:type="xsd:double"&gt;17.2324734944352&lt;/D&gt;&lt;D xsi:type="xsd:double"&gt;17.7511728847068&lt;/D&gt;&lt;D xsi:type="xsd:double"&gt;18.0300186729242&lt;/D&gt;&lt;D xsi:type="xsd:double"&gt;17.7896528954111&lt;/D&gt;&lt;D xsi:type="xsd:double"&gt;17.079843833113&lt;/D&gt;&lt;D xsi:type="xsd:double"&gt;17.7916840278546&lt;/D&gt;&lt;D xsi:type="xsd:double"&gt;17.4422754016202&lt;/D&gt;&lt;D xsi:type="xsd:double"&gt;16.4272544897483&lt;/D&gt;&lt;D xsi:type="xsd:double"&gt;16.6347215803529&lt;/D&gt;&lt;D xsi:type="xsd:double"&gt;16.9942165715685&lt;/D&gt;&lt;D xsi:type="xsd:double"&gt;16.5793536674705&lt;/D&gt;&lt;D xsi:type="xsd:double"&gt;15.6865596623357&lt;/D&gt;&lt;D xsi:type="xsd:double"&gt;16.2875773825402&lt;/D&gt;&lt;D xsi:type="xsd:double"&gt;16.4649299305242&lt;/D&gt;&lt;D xsi:type="xsd:double"&gt;16.9046857241127&lt;/D&gt;&lt;D xsi:type="xsd:double"&gt;16.6839023987451&lt;/D&gt;&lt;D xsi:type="xsd:double"&gt;16.2081043403575&lt;/D&gt;&lt;D xsi:type="xsd:double"&gt;16.9922760736844&lt;/D&gt;&lt;D xsi:type="xsd:double"&gt;17.4437443943942&lt;/D&gt;&lt;D xsi:type="xsd:double"&gt;17.0451400333788&lt;/D&gt;&lt;D xsi:type="xsd:double"&gt;16.81994511989&lt;/D&gt;&lt;D xsi:type="xsd:double"&gt;16.4152512498233&lt;/D&gt;&lt;D xsi:type="xsd:double"&gt;16.7363261949343&lt;/D&gt;&lt;D xsi:type="xsd:double"&gt;17.0428851924238&lt;/D&gt;&lt;D xsi:type="xsd:double"&gt;17.5057578485245&lt;/D&gt;&lt;D xsi:type="xsd:double"&gt;17.78664483832&lt;/D&gt;&lt;D xsi:type="xsd:double"&gt;17.1959098640233&lt;/D&gt;&lt;D xsi:type="xsd:double"&gt;17.8483372203613&lt;/D&gt;&lt;D xsi:type="xsd:double"&gt;18.0083303832634&lt;/D&gt;&lt;D xsi:type="xsd:double"&gt;17.901140782051&lt;/D&gt;&lt;D xsi:type="xsd:double"&gt;17.4238704641024&lt;/D&gt;&lt;D xsi:type="xsd:double"&gt;17.682909559415&lt;/D&gt;&lt;D xsi:type="xsd:double"&gt;17.9393732060245&lt;/D&gt;&lt;D xsi:type="xsd:double"&gt;17.6075578838931&lt;/D&gt;&lt;D xsi:type="xsd:double"&gt;17.8266139712804&lt;/D&gt;&lt;D xsi:type="xsd:double"&gt;17.8307879096938&lt;/D&gt;&lt;D xsi:type="xsd:double"&gt;16.906642917335&lt;/D&gt;&lt;D xsi:type="xsd:double"&gt;16.3443899736394&lt;/D&gt;&lt;D xsi:type="xsd:double"&gt;16.1500442553059&lt;/D&gt;&lt;D xsi:type="xsd:double"&gt;16.2786801961972&lt;/D&gt;&lt;D xsi:type="xsd:double"&gt;15.4693394129048&lt;/D&gt;&lt;D xsi:type="xsd:double"&gt;16.060394139477&lt;/D&gt;&lt;D xsi:type="xsd:double"&gt;15.9429735073554&lt;/D&gt;&lt;D xsi:type="xsd:double"&gt;15.9046489984745&lt;/D&gt;&lt;D xsi:type="xsd:double"&gt;15.271439293844&lt;/D&gt;&lt;D xsi:type="xsd:double"&gt;15.4614244484418&lt;/D&gt;&lt;D xsi:type="xsd:double"&gt;14.6842077272576&lt;/D&gt;&lt;D xsi:type="xsd:double"&gt;15.5836518380407&lt;/D&gt;&lt;D xsi:type="xsd:double"&gt;15.8878373452864&lt;/D&gt;&lt;D xsi:type="xsd:double"&gt;16.5566940354911&lt;/D&gt;&lt;D xsi:type="xsd:double"&gt;16.8729257710156&lt;/D&gt;&lt;D xsi:type="xsd:double"&gt;16.7232838614962&lt;/D&gt;&lt;D xsi:type="xsd:double"&gt;17.1760346126428&lt;/D&gt;&lt;D xsi:type="xsd:double"&gt;17.2425924101895&lt;/D&gt;&lt;D xsi:type="xsd:double"&gt;16.7193476877597&lt;/D&gt;&lt;D xsi:type="xsd:double"&gt;17.0462458125477&lt;/D&gt;&lt;D xsi:type="xsd:double"&gt;16.9761737979326&lt;/D&gt;&lt;D xsi:type="xsd:double"&gt;17.4310149737698&lt;/D&gt;&lt;D xsi:type="xsd:double"&gt;17.6976437301445&lt;/D&gt;&lt;D xsi:type="xsd:double"&gt;18.2229273399078&lt;/D&gt;&lt;D xsi:type="xsd:double"&gt;18.4785927254434&lt;/D&gt;&lt;D xsi:type="xsd:double"&gt;13.9790874264111&lt;/D&gt;&lt;D xsi:type="xsd:double"&gt;17.8451703911572&lt;/D&gt;&lt;D xsi:type="xsd:double"&gt;18.8150490075751&lt;/D&gt;&lt;D xsi:type="xsd:double"&gt;19.4679109999673&lt;/D&gt;&lt;D xsi:type="xsd:double"&gt;19.9635500399866&lt;/D&gt;&lt;D xsi:type="xsd:double"&gt;19.5324478393176&lt;/D&gt;&lt;D xsi:type="xsd:double"&gt;19.6375739151113&lt;/D&gt;&lt;D xsi:type="xsd:double"&gt;18.8835549784241&lt;/D&gt;&lt;D xsi:type="xsd:double"&gt;19.0863968406121&lt;/D&gt;&lt;D xsi:type="xsd:double"&gt;18.6406614987365&lt;/D&gt;&lt;D xsi:type="xsd:double"&gt;18.9722161674259&lt;/D&gt;&lt;D xsi:type="xsd:double"&gt;18.730246308261&lt;/D&gt;&lt;D xsi:type="xsd:double"&gt;18.713393784016&lt;/D&gt;&lt;D xsi:type="xsd:double"&gt;19.5032024652773&lt;/D&gt;&lt;D xsi:type="xsd:double"&gt;19.0370029978502&lt;/D&gt;&lt;D xsi:type="xsd:double"&gt;19.8191424590105&lt;/D&gt;&lt;D xsi:type="xsd:double"&gt;19.7852021517226&lt;/D&gt;&lt;D xsi:type="xsd:double"&gt;20.1285646599771&lt;/D&gt;&lt;D xsi:type="xsd:double"&gt;18.9321525249499&lt;/D&gt;&lt;D xsi:type="xsd:double"&gt;18.778482694756&lt;/D&gt;&lt;D xsi:type="xsd:double"&gt;19.3723139646363&lt;/D&gt;&lt;D xsi:type="xsd:double"&gt;19.4865517128557&lt;/D&gt;&lt;D xsi:type="xsd:double"&gt;18.8402516412754&lt;/D&gt;&lt;D xsi:type="xsd:double"&gt;18.0838679852456&lt;/D&gt;&lt;D xsi:type="xsd:double"&gt;18.3097336506443&lt;/D&gt;&lt;D xsi:type="xsd:double"&gt;18.5222604368916&lt;/D&gt;&lt;D xsi:type="xsd:double"&gt;16.772701621848&lt;/D&gt;&lt;D xsi:type="xsd:double"&gt;15.1852769528944&lt;/D&gt;&lt;D xsi:type="xsd:double"&gt;16.1589367933536&lt;/D&gt;&lt;D xsi:type="xsd:double"&gt;16.7739438563327&lt;/D&gt;&lt;D xsi:type="xsd:double"&gt;15.6646012653244&lt;/D&gt;&lt;D xsi:type="xsd:double"&gt;15.4544358304208&lt;/D&gt;&lt;D xsi:type="xsd:double"&gt;16.7596316419502&lt;/D&gt;&lt;D xsi:type="xsd:double"&gt;16.3163836625688&lt;/D&gt;&lt;D xsi:type="xsd:double"&gt;17.4287427966833&lt;/D&gt;&lt;D xsi:type="xsd:double"&gt;17.3205236707445&lt;/D&gt;&lt;D xsi:type="xsd:double"&gt;16.3645322204117&lt;/D&gt;&lt;D xsi:type="xsd:double"&gt;17.4958535770358&lt;/D&gt;&lt;D xsi:type="xsd:double"&gt;17.2214308842303&lt;/D&gt;&lt;D xsi:type="xsd:double"&gt;16.6682321101236&lt;/D&gt;&lt;D xsi:type="xsd:double"&gt;16.6274645193074&lt;/D&gt;&lt;D xsi:type="xsd:double"&gt;16.2027918837834&lt;/D&gt;&lt;D xsi:type="xsd:double"&gt;16.5169557855159&lt;/D&gt;&lt;D xsi:type="xsd:double"&gt;15.8649081105619&lt;/D&gt;&lt;D xsi:type="xsd:double"&gt;16.1020436197373&lt;/D&gt;&lt;D xsi:type="xsd:double"&gt;16.768776123489&lt;/D&gt;&lt;D xsi:type="xsd:double"&gt;16.8369418871169&lt;/D&gt;&lt;D xsi:type="xsd:double"&gt;17.3858455905395&lt;/D&gt;&lt;D xsi:type="xsd:double"&gt;17.6596696503941&lt;/D&gt;&lt;D xsi:type="xsd:double"&gt;16.9985445497671&lt;/D&gt;&lt;/FQL&gt;&lt;FQL&gt;&lt;Q&gt;EWG^FMA_PE(LTMA,-10AY,0,AM,"PORTAGG","MEANR")&lt;/Q&gt;&lt;R&gt;121&lt;/R&gt;&lt;C&gt;1&lt;/C&gt;&lt;D xsi:type="xsd:double"&gt;14.6233542625645&lt;/D&gt;&lt;D xsi:type="xsd:double"&gt;14.5665490654276&lt;/D&gt;&lt;D xsi:type="xsd:double"&gt;14.6874103988357&lt;/D&gt;&lt;D xsi:type="xsd:double"&gt;14.4438861548581&lt;/D&gt;&lt;D xsi:type="xsd:double"&gt;14.0100350115775&lt;/D&gt;&lt;D xsi:type="xsd:double"&gt;14.3884302804703&lt;/D&gt;&lt;D xsi:type="xsd:double"&gt;13.3133070801076&lt;/D&gt;&lt;D xsi:type="xsd:double"&gt;13.8680020639399&lt;/D&gt;&lt;D xsi:type="xsd:double"&gt;14.3274752016473&lt;/D&gt;&lt;D xsi:type="xsd:double"&gt;14.8055038851887&lt;/D&gt;&lt;D xsi:type="xsd:double"&gt;15.8423132580922&lt;/D&gt;&lt;D xsi:type="xsd:double"&gt;16.5473614564742&lt;/D&gt;&lt;D xsi:type="xsd:double"&gt;16.3747459124872&lt;/D&gt;&lt;D xsi:type="xsd:double"&gt;16.1087832820778&lt;/D&gt;&lt;D xsi:type="xsd:double"&gt;15.5763272857302&lt;/D&gt;&lt;D xsi:type="xsd:double"&gt;15.7472214466477&lt;/D&gt;&lt;D xsi:type="xsd:double"&gt;14.956244257343&lt;/D&gt;&lt;D xsi:type="xsd:double"&gt;13.9542066140966&lt;/D&gt;&lt;D xsi:type="xsd:double"&gt;13.9467038416892&lt;/D&gt;&lt;D xsi:type="xsd:double"&gt;14.6122966100539&lt;/D&gt;&lt;D xsi:type="xsd:double"&gt;13.9837175566688&lt;/D&gt;&lt;D xsi:type="xsd:double"&gt;12.434742956048&lt;/D&gt;&lt;D xsi:type="xsd:double"&gt;12.567689872712&lt;/D&gt;&lt;D xsi:type="xsd:double"&gt;12.7545748693998&lt;/D&gt;&lt;D xsi:type="xsd:double"&gt;12.8685244955177&lt;/D&gt;&lt;D xsi:type="xsd:double"&gt;12.7863591338572&lt;/D&gt;&lt;D xsi:type="xsd:double"&gt;12.5866842655909&lt;/D&gt;&lt;D xsi:type="xsd:double"&gt;12.9253578752688&lt;/D&gt;&lt;D xsi:type="xsd:double"&gt;13.3878520722999&lt;/D&gt;&lt;D xsi:type="xsd:double"&gt;13.3211554879037&lt;/D&gt;&lt;D xsi:type="xsd:double"&gt;13.7562155141064&lt;/D&gt;&lt;D xsi:type="xsd:double"&gt;13.6579019858082&lt;/D&gt;&lt;D xsi:type="xsd:double"&gt;14.6056325425582&lt;/D&gt;&lt;D xsi:type="xsd:double"&gt;14.884557675974&lt;/D&gt;&lt;D xsi:type="xsd:double"&gt;14.6594529214376&lt;/D&gt;&lt;D xsi:type="xsd:double"&gt;14.973715831195&lt;/D&gt;&lt;D xsi:type="xsd:double"&gt;14.821316955789&lt;/D&gt;&lt;D xsi:type="xsd:double"&gt;14.7963761191792&lt;/D&gt;&lt;D xsi:type="xsd:double"&gt;14.7663496423781&lt;/D&gt;&lt;D xsi:type="xsd:double"&gt;14.5080249377468&lt;/D&gt;&lt;D xsi:type="xsd:double"&gt;14.2001079247127&lt;/D&gt;&lt;D xsi:type="xsd:double"&gt;14.3941402941889&lt;/D&gt;&lt;D xsi:type="xsd:double"&gt;14.855786893467&lt;/D&gt;&lt;D xsi:type="xsd:double"&gt;15.1453090005387&lt;/D&gt;&lt;D xsi:type="xsd:double"&gt;15.6932122745511&lt;/D&gt;&lt;D xsi:type="xsd:double"&gt;15.6167403998867&lt;/D&gt;&lt;D xsi:type="xsd:double"&gt;14.5329369343567&lt;/D&gt;&lt;D xsi:type="xsd:double"&gt;14.2028946496887&lt;/D&gt;&lt;D xsi:type="xsd:double"&gt;14.1798430341659&lt;/D&gt;&lt;D xsi:type="xsd:double"&gt;14.2225371908143&lt;/D&gt;&lt;D xsi:type="xsd:double"&gt;14.1483895297955&lt;/D&gt;&lt;D xsi:type="xsd:double"&gt;14.1544143569915&lt;/D&gt;&lt;D xsi:type="xsd:double"&gt;13.8665895518683&lt;/D&gt;&lt;D xsi:type="xsd:double"&gt;13.8608589509326&lt;/D&gt;&lt;D xsi:type="xsd:double"&gt;13.3297546101246&lt;/D&gt;&lt;D xsi:type="xsd:double"&gt;12.9794593873438&lt;/D&gt;&lt;D xsi:type="xsd:double"&gt;12.3118236845051&lt;/D&gt;&lt;D xsi:type="xsd:double"&gt;12.8123103489956&lt;/D&gt;&lt;D xsi:type="xsd:double"&gt;13.0500552139688&lt;/D&gt;&lt;D xsi:type="xsd:double"&gt;13.2248956997988&lt;/D&gt;&lt;D xsi:type="xsd:double"&gt;13.3621427418646&lt;/D&gt;&lt;D xsi:type="xsd:double"&gt;13.3042134624328&lt;/D&gt;&lt;D xsi:type="xsd:double"&gt;13.3120369989129&lt;/D&gt;&lt;D xsi:type="xsd:double"&gt;13.4554467928473&lt;/D&gt;&lt;D xsi:type="xsd:double"&gt;13.2410566979382&lt;/D&gt;&lt;D xsi:type="xsd:double"&gt;14.018352951129&lt;/D&gt;&lt;D xsi:type="xsd:double"&gt;14.4062145851497&lt;/D&gt;&lt;D xsi:type="xsd:double"&gt;15.0988201552567&lt;/D&gt;&lt;D xsi:type="xsd:double"&gt;15.4211954136116&lt;/D&gt;&lt;D xsi:type="xsd:double"&gt;15.8273695274935&lt;/D&gt;&lt;D xsi:type="xsd:double"&gt;16.148624768739&lt;/D&gt;&lt;D xsi:type="xsd:double"&gt;13.2211588678997&lt;/D&gt;&lt;D xsi:type="xsd:double"&gt;14.448599350415&lt;/D&gt;&lt;D xsi:type="xsd:double"&gt;15.5824533625246&lt;/D&gt;&lt;D xsi:type="xsd:double"&gt;17.3428629469201&lt;/D&gt;&lt;D xsi:type="xsd:double"&gt;18.8263474246094&lt;/D&gt;&lt;D xsi:type="xsd:double"&gt;19.6017271405522&lt;/D&gt;&lt;D xsi:type="xsd:double"&gt;20.5105014681865&lt;/D&gt;&lt;D xsi:type="xsd:double"&gt;20.6237862887744&lt;/D&gt;&lt;D xsi:type="xsd:double"&gt;20.8807451871694&lt;/D&gt;&lt;D xsi:type="xsd:double"&gt;21.6726215308347&lt;/D&gt;&lt;D xsi:type="xsd:double"&gt;21.8646207378829&lt;/D&gt;&lt;D xsi:type="xsd:double"&gt;21.103602488492&lt;/D&gt;&lt;D xsi:type="xsd:double"&gt;20.2033614833857&lt;/D&gt;&lt;D xsi:type="xsd:double"&gt;19.9075968386646&lt;/D&gt;&lt;D xsi:type="xsd:double"&gt;18.9895362067528&lt;/D&gt;&lt;D xsi:type="xsd:double"&gt;18.5296143221683&lt;/D&gt;&lt;D xsi:type="xsd:double"&gt;17.9623258094467&lt;/D&gt;&lt;D xsi:type="xsd:double"&gt;17.2280373892149&lt;/D&gt;&lt;D xsi:type="xsd:double"&gt;16.3894506684212&lt;/D&gt;&lt;D xsi:type="xsd:double"&gt;15.8886369937802&lt;/D&gt;&lt;D xsi:type="xsd:double"&gt;15.2910513111937&lt;/D&gt;&lt;D xsi:type="xsd:double"&gt;14.1632159674693&lt;/D&gt;&lt;D xsi:type="xsd:double"&gt;13.9706662551497&lt;/D&gt;&lt;D xsi:type="xsd:double"&gt;13.2241279233914&lt;/D&gt;&lt;D xsi:type="xsd:double"&gt;12.4841029120829&lt;/D&gt;&lt;D xsi:type="xsd:double"&gt;12.3337967390474&lt;/D&gt;&lt;D xsi:type="xsd:double"&gt;12.0523523755959&lt;/D&gt;&lt;D xsi:type="xsd:double"&gt;11.6165782648762&lt;/D&gt;&lt;D xsi:type="xsd:double"&gt;11.319700841888&lt;/D&gt;&lt;D xsi:type="xsd:double"&gt;11.2142682192046&lt;/D&gt;&lt;D xsi:type="xsd:double"&gt;10.6291460806169&lt;/D&gt;&lt;D xsi:type="xsd:double"&gt;10.3153727671204&lt;/D&gt;&lt;D xsi:type="xsd:double"&gt;11.1552795333709&lt;/D&gt;&lt;D xsi:type="xsd:double"&gt;10.4493353441296&lt;/D&gt;&lt;D xsi:type="xsd:double"&gt;11.47266212383&lt;/D&gt;&lt;D xsi:type="xsd:double"&gt;11.6298002850926&lt;/D&gt;&lt;D xsi:type="xsd:double"&gt;11.2444823659702&lt;/D&gt;&lt;D xsi:type="xsd:double"&gt;11.4404062344787&lt;/D&gt;&lt;D xsi:type="xsd:double"&gt;11.3563400293255&lt;/D&gt;&lt;D xsi:type="xsd:double"&gt;11.3561381569219&lt;/D&gt;&lt;D xsi:type="xsd:double"&gt;11.2943453048599&lt;/D&gt;&lt;D xsi:type="xsd:double"&gt;11.096525596856&lt;/D&gt;&lt;D xsi:type="xsd:double"&gt;11.2082606509971&lt;/D&gt;&lt;D xsi:type="xsd:double"&gt;10.8525905853509&lt;/D&gt;&lt;D xsi:type="xsd:double"&gt;11.3990990376267&lt;/D&gt;&lt;D xsi:type="xsd:double"&gt;11.8733317187035&lt;/D&gt;&lt;D xsi:type="xsd:double"&gt;11.74515384274&lt;/D&gt;&lt;D xsi:type="xsd:double"&gt;12.1845330062555&lt;/D&gt;&lt;D xsi:type="xsd:double"&gt;12.5215917798778&lt;/D&gt;&lt;D xsi:type="xsd:double"&gt;12.5213554238975&lt;/D&gt;&lt;/FQL&gt;&lt;FQL&gt;&lt;Q&gt;QQQ^FMA_ROE(NTMA,-20AY,NOW,FY,"PORTAGG","MEANR")&lt;/Q&gt;&lt;R&gt;20&lt;/R&gt;&lt;C&gt;1&lt;/C&gt;&lt;D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xsi:type="xsd:double"&gt;25.3011144027006&lt;/D&gt;&lt;/FQL&gt;&lt;FQL&gt;&lt;Q&gt;TRYMY10Y-FDS^FG_YIELD(-10AY,0,Y,,"YTM")&lt;/Q&gt;&lt;R&gt;10&lt;/R&gt;&lt;C&gt;1&lt;/C&gt;&lt;D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xsi:type="xsd:double"&gt;3.955&lt;/D&gt;&lt;/FQL&gt;&lt;FQL&gt;&lt;Q&gt;SPY^FG_TOTAL_RETURNC(-10AY,0,AM)&lt;/Q&gt;&lt;R&gt;121&lt;/R&gt;&lt;C&gt;1&lt;/C&gt;&lt;D xsi:type="xsd:double"&gt;-0.2368927&lt;/D&gt;&lt;D xsi:type="xsd:double"&gt;0.8906126&lt;/D&gt;&lt;D xsi:type="xsd:double"&gt;4.363203&lt;/D&gt;&lt;D xsi:type="xsd:double"&gt;1.2229204&lt;/D&gt;&lt;D xsi:type="xsd:double"&gt;-0.17697811&lt;/D&gt;&lt;D xsi:type="xsd:double"&gt;2.2598386&lt;/D&gt;&lt;D xsi:type="xsd:double"&gt;-6.177807&lt;/D&gt;&lt;D xsi:type="xsd:double"&gt;9.062457&lt;/D&gt;&lt;D xsi:type="xsd:double"&gt;0.5983949&lt;/D&gt;&lt;D xsi:type="xsd:double"&gt;-1.9547045&lt;/D&gt;&lt;D xsi:type="xsd:double"&gt;4.215646&lt;/D&gt;&lt;D xsi:type="xsd:double"&gt;0.15704632&lt;/D&gt;&lt;D xsi:type="xsd:double"&gt;-0.7555306&lt;/D&gt;&lt;D xsi:type="xsd:double"&gt;2.476561&lt;/D&gt;&lt;D xsi:type="xsd:double"&gt;-0.15016794&lt;/D&gt;&lt;D xsi:type="xsd:double"&gt;0.34694672&lt;/D&gt;&lt;D xsi:type="xsd:double"&gt;-1.1765838&lt;/D&gt;&lt;D xsi:type="xsd:double"&gt;-6.4275503&lt;/D&gt;&lt;D xsi:type="xsd:double"&gt;4.0010214&lt;/D&gt;&lt;D xsi:type="xsd:double"&gt;2.6860833&lt;/D&gt;&lt;D xsi:type="xsd:double"&gt;-3.5920322&lt;/D&gt;&lt;D xsi:type="xsd:double"&gt;-6.1047673&lt;/D&gt;&lt;D xsi:type="xsd:double"&gt;2.2789001&lt;/D&gt;&lt;D xsi:type="xsd:double"&gt;6.9444537&lt;/D&gt;&lt;D xsi:type="xsd:double"&gt;2.377534&lt;/D&gt;&lt;D xsi:type="xsd:double"&gt;-2.0690143&lt;/D&gt;&lt;D xsi:type="xsd:double"&gt;1.3120055&lt;/D&gt;&lt;D xsi:type="xsd:double"&gt;4.788494&lt;/D&gt;&lt;D xsi:type="xsd:double"&gt;1.1324883&lt;/D&gt;&lt;D xsi:type="xsd:double"&gt;-2.014047&lt;/D&gt;&lt;D xsi:type="xsd:double"&gt;0.15935898&lt;/D&gt;&lt;D xsi:type="xsd:double"&gt;2.2413492&lt;/D&gt;&lt;D xsi:type="xsd:double"&gt;3.6013365&lt;/D&gt;&lt;D xsi:type="xsd:double"&gt;0.75986385&lt;/D&gt;&lt;D xsi:type="xsd:double"&gt;3.6780596&lt;/D&gt;&lt;D xsi:type="xsd:double"&gt;1.2646675&lt;/D&gt;&lt;D xsi:type="xsd:double"&gt;-1.3331652&lt;/D&gt;&lt;D xsi:type="xsd:double"&gt;1.240015&lt;/D&gt;&lt;D xsi:type="xsd:double"&gt;2.9788852&lt;/D&gt;&lt;D xsi:type="xsd:double"&gt;1.2446404&lt;/D&gt;&lt;D xsi:type="xsd:double"&gt;-1.2008429&lt;/D&gt;&lt;D xsi:type="xsd:double"&gt;3.3979654&lt;/D&gt;&lt;D xsi:type="xsd:double"&gt;2.402687&lt;/D&gt;&lt;D xsi:type="xsd:double"&gt;0.8368492&lt;/D&gt;&lt;D xsi:type="xsd:double"&gt;4.537308&lt;/D&gt;&lt;D xsi:type="xsd:double"&gt;4.079044&lt;/D&gt;&lt;D xsi:type="xsd:double"&gt;-2.1602154&lt;/D&gt;&lt;D xsi:type="xsd:double"&gt;0.80070496&lt;/D&gt;&lt;D xsi:type="xsd:double"&gt;-1.3894975&lt;/D&gt;&lt;D xsi:type="xsd:double"&gt;0.34763813&lt;/D&gt;&lt;D xsi:type="xsd:double"&gt;2.385664&lt;/D&gt;&lt;D xsi:type="xsd:double"&gt;1.6271353&lt;/D&gt;&lt;D xsi:type="xsd:double"&gt;1.4231801&lt;/D&gt;&lt;D xsi:type="xsd:double"&gt;2.0521998&lt;/D&gt;&lt;D xsi:type="xsd:double"&gt;-4.5574307&lt;/D&gt;&lt;D xsi:type="xsd:double"&gt;-0.9659827&lt;/D&gt;&lt;D xsi:type="xsd:double"&gt;-6.8132877&lt;/D&gt;&lt;D xsi:type="xsd:double"&gt;5.084312&lt;/D&gt;&lt;D xsi:type="xsd:double"&gt;4.094422&lt;/D&gt;&lt;D xsi:type="xsd:double"&gt;2.2344112&lt;/D&gt;&lt;D xsi:type="xsd:double"&gt;2.7237654&lt;/D&gt;&lt;D xsi:type="xsd:double"&gt;-1.4412761&lt;/D&gt;&lt;D xsi:type="xsd:double"&gt;2.2949934&lt;/D&gt;&lt;D xsi:type="xsd:double"&gt;2.696693&lt;/D&gt;&lt;D xsi:type="xsd:double"&gt;-3.339684&lt;/D&gt;&lt;D xsi:type="xsd:double"&gt;4.240954&lt;/D&gt;&lt;D xsi:type="xsd:double"&gt;-0.5804777&lt;/D&gt;&lt;D xsi:type="xsd:double"&gt;4.71524&lt;/D&gt;&lt;D xsi:type="xsd:double"&gt;2.4261236&lt;/D&gt;&lt;D xsi:type="xsd:double"&gt;4.375899&lt;/D&gt;&lt;D xsi:type="xsd:double"&gt;1.4399767&lt;/D&gt;&lt;D xsi:type="xsd:double"&gt;-28.72628&lt;/D&gt;&lt;D xsi:type="xsd:double"&gt;20.167042&lt;/D&gt;&lt;D xsi:type="xsd:double"&gt;2.9165506&lt;/D&gt;&lt;D xsi:type="xsd:double"&gt;5.688131&lt;/D&gt;&lt;D xsi:type="xsd:double"&gt;3.6449194&lt;/D&gt;&lt;D xsi:type="xsd:double"&gt;5.2592397&lt;/D&gt;&lt;D xsi:type="xsd:double"&gt;-1.963973&lt;/D&gt;&lt;D xsi:type="xsd:double"&gt;5.0325155&lt;/D&gt;&lt;D xsi:type="xsd:double"&gt;2.5886059&lt;/D&gt;&lt;D xsi:type="xsd:double"&gt;4.064214&lt;/D&gt;&lt;D xsi:type="xsd:double"&gt;1.7660856&lt;/D&gt;&lt;D xsi:type="xsd:double"&gt;3.9978623&lt;/D&gt;&lt;D xsi:type="xsd:double"&gt;0.1945138&lt;/D&gt;&lt;D xsi:type="xsd:double"&gt;6.9349527&lt;/D&gt;&lt;D xsi:type="xsd:double"&gt;-1.2749851&lt;/D&gt;&lt;D xsi:type="xsd:double"&gt;1.0574102&lt;/D&gt;&lt;D xsi:type="xsd:double"&gt;3.9573908&lt;/D&gt;&lt;D xsi:type="xsd:double"&gt;1.817596&lt;/D&gt;&lt;D xsi:type="xsd:double"&gt;0.83066225&lt;/D&gt;&lt;D xsi:type="xsd:double"&gt;1.3117433&lt;/D&gt;&lt;D xsi:type="xsd:double"&gt;5.0403595&lt;/D&gt;&lt;D xsi:type="xsd:double"&gt;-1.7507017&lt;/D&gt;&lt;D xsi:type="xsd:double"&gt;-0.73499084&lt;/D&gt;&lt;D xsi:type="xsd:double"&gt;-4.876333&lt;/D&gt;&lt;D xsi:type="xsd:double"&gt;2.6842833&lt;/D&gt;&lt;D xsi:type="xsd:double"&gt;-1.4734983&lt;/D&gt;&lt;D xsi:type="xsd:double"&gt;-10.528124&lt;/D&gt;&lt;D xsi:type="xsd:double"&gt;-6.2326136&lt;/D&gt;&lt;D xsi:type="xsd:double"&gt;4.397869&lt;/D&gt;&lt;D xsi:type="xsd:double"&gt;12.027752&lt;/D&gt;&lt;D xsi:type="xsd:double"&gt;-9.519649&lt;/D&gt;&lt;D xsi:type="xsd:double"&gt;-3.7426054&lt;/D&gt;&lt;D xsi:type="xsd:double"&gt;6.709242&lt;/D&gt;&lt;D xsi:type="xsd:double"&gt;-2.7721703&lt;/D&gt;&lt;D xsi:type="xsd:double"&gt;2.1447062&lt;/D&gt;&lt;D xsi:type="xsd:double"&gt;4.028201&lt;/D&gt;&lt;D xsi:type="xsd:double"&gt;-3.8706958&lt;/D&gt;&lt;D xsi:type="xsd:double"&gt;6.2104106&lt;/D&gt;&lt;D xsi:type="xsd:double"&gt;1.2119532&lt;/D&gt;&lt;D xsi:type="xsd:double"&gt;5.2163124&lt;/D&gt;&lt;D xsi:type="xsd:double"&gt;3.3518434&lt;/D&gt;&lt;D xsi:type="xsd:double"&gt;-3.8948476&lt;/D&gt;&lt;D xsi:type="xsd:double"&gt;1.9963503&lt;/D&gt;&lt;D xsi:type="xsd:double"&gt;-3.025049&lt;/D&gt;&lt;D xsi:type="xsd:double"&gt;4.783714&lt;/D&gt;&lt;D xsi:type="xsd:double"&gt;5.123639&lt;/D&gt;&lt;D xsi:type="xsd:double"&gt;0.95767975&lt;/D&gt;&lt;D xsi:type="xsd:double"&gt;4.831171&lt;/D&gt;&lt;D xsi:type="xsd:double"&gt;2.9938102&lt;/D&gt;&lt;D xsi:type="xsd:double"&gt;-2.601099&lt;/D&gt;&lt;/FQL&gt;&lt;FQL&gt;&lt;Q&gt;WL-FDS^FG_PRICE_CHANGE(0,-3AM)&lt;/Q&gt;&lt;R&gt;1&lt;/R&gt;&lt;C&gt;1&lt;/C&gt;&lt;D xsi:type="xsd:double"&gt;-12.6516198372486&lt;/D&gt;&lt;/FQL&gt;&lt;FQL&gt;&lt;Q&gt;NI-FDS^FG_PRICE_CHANGE(0,-3AM)&lt;/Q&gt;&lt;R&gt;1&lt;/R&gt;&lt;C&gt;1&lt;/C&gt;&lt;D xsi:type="xsd:double"&gt;14.7448015122873&lt;/D&gt;&lt;/FQL&gt;&lt;FQL&gt;&lt;Q&gt;CPALM-FDS^FG_PRICE_CHANGE(0,-3AM)&lt;/Q&gt;&lt;R&gt;1&lt;/R&gt;&lt;C&gt;1&lt;/C&gt;&lt;D xsi:type="xsd:double"&gt;4.98854670399593&lt;/D&gt;&lt;/FQL&gt;&lt;FQL&gt;&lt;Q&gt;BRENT-FDS^FG_PRICE_CHANGE(0,-3AM)&lt;/Q&gt;&lt;R&gt;1&lt;/R&gt;&lt;C&gt;1&lt;/C&gt;&lt;D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xsi:type="xsd:double"&gt;-20.6716637272193&lt;/D&gt;&lt;/FQL&gt;&lt;FQL&gt;&lt;Q&gt;USDSEK^STD(FG_PRICE_CHANGE(0,-3AY,M))&lt;/Q&gt;&lt;R&gt;1&lt;/R&gt;&lt;C&gt;1&lt;/C&gt;&lt;D xsi:type="xsd:double"&gt;2.96220072588676&lt;/D&gt;&lt;/FQL&gt;&lt;FQL&gt;&lt;Q&gt;USDCHF^STD(FG_PRICE_CHANGE(0,-3AY,M))&lt;/Q&gt;&lt;R&gt;1&lt;/R&gt;&lt;C&gt;1&lt;/C&gt;&lt;D xsi:type="xsd:double"&gt;2.49013642394232&lt;/D&gt;&lt;/FQL&gt;&lt;FQL&gt;&lt;Q&gt;USDUSD^STD(FG_PRICE_CHANGE(0,-3AY,M))&lt;/Q&gt;&lt;R&gt;1&lt;/R&gt;&lt;C&gt;1&lt;/C&gt;&lt;D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xsi:type="xsd:double"&gt;2.22272008231571&lt;/D&gt;&lt;/FQL&gt;&lt;FQL&gt;&lt;Q&gt;USDAUD^STD(FG_PRICE_CHANGE(0,-3AY,M))&lt;/Q&gt;&lt;R&gt;1&lt;/R&gt;&lt;C&gt;1&lt;/C&gt;&lt;D xsi:type="xsd:double"&gt;3.07262529565013&lt;/D&gt;&lt;/FQL&gt;&lt;FQL&gt;&lt;Q&gt;EWI^FMA_EPS(NTMA,-20AY,0,CY,,"PORTAGG","MEANR")&lt;/Q&gt;&lt;R&gt;20&lt;/R&gt;&lt;C&gt;1&lt;/C&gt;&lt;D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xsi:type="xsd:double"&gt;26.357162&lt;/D&gt;&lt;D xsi:type="xsd:double"&gt;18.8236&lt;/D&gt;&lt;D xsi:type="xsd:double"&gt;20.949041&lt;/D&gt;&lt;D xsi:type="xsd:double"&gt;12.406052&lt;/D&gt;&lt;D xsi:type="xsd:double"&gt;4.74&lt;/D&gt;&lt;D xsi:type="xsd:double"&gt;3.2203794&lt;/D&gt;&lt;D xsi:type="xsd:double"&gt;-5.97865&lt;/D&gt;&lt;D xsi:type="xsd:double"&gt;-0.6388724&lt;/D&gt;&lt;D xsi:type="xsd:double"&gt;0.17645359&lt;/D&gt;&lt;D xsi:type="xsd:double"&gt;-7.3286295&lt;/D&gt;&lt;D xsi:type="xsd:double"&gt;-1.1152208&lt;/D&gt;&lt;D xsi:type="xsd:double"&gt;3.667736&lt;/D&gt;&lt;D xsi:type="xsd:double"&gt;2.7065396&lt;/D&gt;&lt;D xsi:type="xsd:double"&gt;8.497047&lt;/D&gt;&lt;D xsi:type="xsd:double"&gt;2.6127815&lt;/D&gt;&lt;D xsi:type="xsd:double"&gt;10.036289&lt;/D&gt;&lt;D xsi:type="xsd:double"&gt;8.340001&lt;/D&gt;&lt;D xsi:type="xsd:double"&gt;-2.3271441&lt;/D&gt;&lt;D xsi:type="xsd:double"&gt;14.191604&lt;/D&gt;&lt;D xsi:type="xsd:double"&gt;3.401804&lt;/D&gt;&lt;D xsi:type="xsd:double"&gt;-1.437825&lt;/D&gt;&lt;D xsi:type="xsd:double"&gt;-3.3403575&lt;/D&gt;&lt;D xsi:type="xsd:double"&gt;-8.253652&lt;/D&gt;&lt;D xsi:type="xsd:double"&gt;-3.1541765&lt;/D&gt;&lt;D xsi:type="xsd:double"&gt;-1.0959327&lt;/D&gt;&lt;D xsi:type="xsd:double"&gt;-9.213406&lt;/D&gt;&lt;D xsi:type="xsd:double"&gt;-8.535862&lt;/D&gt;&lt;D xsi:type="xsd:double"&gt;-9.254206&lt;/D&gt;&lt;D xsi:type="xsd:double"&gt;-1.5373588&lt;/D&gt;&lt;D xsi:type="xsd:double"&gt;0.98258257&lt;/D&gt;&lt;D xsi:type="xsd:double"&gt;0.55185556&lt;/D&gt;&lt;D xsi:type="xsd:double"&gt;-3.449744&lt;/D&gt;&lt;D xsi:type="xsd:double"&gt;0.9749651&lt;/D&gt;&lt;D xsi:type="xsd:double"&gt;14.803219&lt;/D&gt;&lt;D xsi:type="xsd:double"&gt;16.661894&lt;/D&gt;&lt;D xsi:type="xsd:double"&gt;12.363982&lt;/D&gt;&lt;D xsi:type="xsd:double"&gt;10.522413&lt;/D&gt;&lt;D xsi:type="xsd:double"&gt;23.884285&lt;/D&gt;&lt;D xsi:type="xsd:double"&gt;28.891636&lt;/D&gt;&lt;D xsi:type="xsd:double"&gt;29.773129&lt;/D&gt;&lt;D xsi:type="xsd:double"&gt;25.603794&lt;/D&gt;&lt;D xsi:type="xsd:double"&gt;33.26821&lt;/D&gt;&lt;D xsi:type="xsd:double"&gt;33.40238&lt;/D&gt;&lt;D xsi:type="xsd:double"&gt;35.230614&lt;/D&gt;&lt;D xsi:type="xsd:double"&gt;36.5646&lt;/D&gt;&lt;D xsi:type="xsd:double"&gt;38.368584&lt;/D&gt;&lt;D xsi:type="xsd:double"&gt;29.565834&lt;/D&gt;&lt;D xsi:type="xsd:double"&gt;22.749638&lt;/D&gt;&lt;D xsi:type="xsd:double"&gt;25.43106&lt;/D&gt;&lt;D xsi:type="xsd:double"&gt;12.0769615&lt;/D&gt;&lt;D xsi:type="xsd:double"&gt;9.952486&lt;/D&gt;&lt;D xsi:type="xsd:double"&gt;8.302021&lt;/D&gt;&lt;D xsi:type="xsd:double"&gt;1.798296&lt;/D&gt;&lt;D xsi:type="xsd:double"&gt;-1.1846304&lt;/D&gt;&lt;D xsi:type="xsd:double"&gt;-9.367907&lt;/D&gt;&lt;D xsi:type="xsd:double"&gt;-6.7040563&lt;/D&gt;&lt;D xsi:type="xsd:double"&gt;-13.736052&lt;/D&gt;&lt;D xsi:type="xsd:double"&gt;-16.070097&lt;/D&gt;&lt;D xsi:type="xsd:double"&gt;-7.1129265&lt;/D&gt;&lt;D xsi:type="xsd:double"&gt;-4.4398427&lt;/D&gt;&lt;D xsi:type="xsd:double"&gt;-3.262037&lt;/D&gt;&lt;D xsi:type="xsd:double"&gt;-2.4794817&lt;/D&gt;&lt;D xsi:type="xsd:double"&gt;-0.19162893&lt;/D&gt;&lt;D xsi:type="xsd:double"&gt;2.0421386&lt;/D&gt;&lt;D xsi:type="xsd:double"&gt;1.6623616&lt;/D&gt;&lt;D xsi:type="xsd:double"&gt;7.432139&lt;/D&gt;&lt;D xsi:type="xsd:double"&gt;16.788435&lt;/D&gt;&lt;D xsi:type="xsd:double"&gt;18.289555&lt;/D&gt;&lt;D xsi:type="xsd:double"&gt;28.228485&lt;/D&gt;&lt;D xsi:type="xsd:double"&gt;29.560577&lt;/D&gt;&lt;D xsi:type="xsd:double"&gt;19.684649&lt;/D&gt;&lt;D xsi:type="xsd:double"&gt;-23.890465&lt;/D&gt;&lt;D xsi:type="xsd:double"&gt;-8.611637&lt;/D&gt;&lt;D xsi:type="xsd:double"&gt;-2.1006048&lt;/D&gt;&lt;D xsi:type="xsd:double"&gt;8.264959&lt;/D&gt;&lt;D xsi:type="xsd:double"&gt;11.530745&lt;/D&gt;&lt;D xsi:type="xsd:double"&gt;19.932854&lt;/D&gt;&lt;D xsi:type="xsd:double"&gt;12.241173&lt;/D&gt;&lt;D xsi:type="xsd:double"&gt;15.657722&lt;/D&gt;&lt;D xsi:type="xsd:double"&gt;17.552364&lt;/D&gt;&lt;D xsi:type="xsd:double"&gt;24.32072&lt;/D&gt;&lt;D xsi:type="xsd:double"&gt;27.292538&lt;/D&gt;&lt;D xsi:type="xsd:double"&gt;34.346306&lt;/D&gt;&lt;D xsi:type="xsd:double"&gt;100.37401&lt;/D&gt;&lt;D xsi:type="xsd:double"&gt;80.35062&lt;/D&gt;&lt;D xsi:type="xsd:double"&gt;67.5332&lt;/D&gt;&lt;D xsi:type="xsd:double"&gt;48.681713&lt;/D&gt;&lt;D xsi:type="xsd:double"&gt;41.246235&lt;/D&gt;&lt;D xsi:type="xsd:double"&gt;43.83445&lt;/D&gt;&lt;D xsi:type="xsd:double"&gt;50.076057&lt;/D&gt;&lt;D xsi:type="xsd:double"&gt;41.959274&lt;/D&gt;&lt;D xsi:type="xsd:double"&gt;39.89309&lt;/D&gt;&lt;D xsi:type="xsd:double"&gt;16.732048&lt;/D&gt;&lt;D xsi:type="xsd:double"&gt;13.743389&lt;/D&gt;&lt;D xsi:type="xsd:double"&gt;-0.11744499&lt;/D&gt;&lt;D xsi:type="xsd:double"&gt;-2.5025785&lt;/D&gt;&lt;D xsi:type="xsd:double"&gt;-16.007137&lt;/D&gt;&lt;D xsi:type="xsd:double"&gt;-23.013454&lt;/D&gt;&lt;D xsi:type="xsd:double"&gt;-28.855001&lt;/D&gt;&lt;D xsi:type="xsd:double"&gt;-26.274246&lt;/D&gt;&lt;D xsi:type="xsd:double"&gt;-24.740881&lt;/D&gt;&lt;D xsi:type="xsd:double"&gt;-36.393833&lt;/D&gt;&lt;D xsi:type="xsd:double"&gt;-37.692802&lt;/D&gt;&lt;D xsi:type="xsd:double"&gt;-27.320307&lt;/D&gt;&lt;D xsi:type="xsd:double"&gt;-20.539124&lt;/D&gt;&lt;D xsi:type="xsd:double"&gt;-11.968172&lt;/D&gt;&lt;D xsi:type="xsd:double"&gt;-4.926634&lt;/D&gt;&lt;D xsi:type="xsd:double"&gt;-4.4253054&lt;/D&gt;&lt;D xsi:type="xsd:double"&gt;7.191777&lt;/D&gt;&lt;D xsi:type="xsd:double"&gt;18.429111&lt;/D&gt;&lt;D xsi:type="xsd:double"&gt;29.884398&lt;/D&gt;&lt;D xsi:type="xsd:double"&gt;32.71264&lt;/D&gt;&lt;D xsi:type="xsd:double"&gt;11.428272&lt;/D&gt;&lt;D xsi:type="xsd:double"&gt;18.640541&lt;/D&gt;&lt;D xsi:type="xsd:double"&gt;20.063663&lt;/D&gt;&lt;D xsi:type="xsd:double"&gt;13.017821&lt;/D&gt;&lt;D xsi:type="xsd:double"&gt;19.215858&lt;/D&gt;&lt;D xsi:type="xsd:double"&gt;6.660211&lt;/D&gt;&lt;D xsi:type="xsd:double"&gt;13.934767&lt;/D&gt;&lt;D xsi:type="xsd:double"&gt;23.936499&lt;/D&gt;&lt;D xsi:type="xsd:double"&gt;13.334346&lt;/D&gt;&lt;/FQL&gt;&lt;FQL&gt;&lt;Q&gt;EWU^FMA_DIV_YLD(NTMA,-10AY,0,AM,"PORTAGG","MEANR")&lt;/Q&gt;&lt;R&gt;121&lt;/R&gt;&lt;C&gt;1&lt;/C&gt;&lt;D xsi:type="xsd:double"&gt;3.92347278569818&lt;/D&gt;&lt;D xsi:type="xsd:double"&gt;3.81462633313556&lt;/D&gt;&lt;D xsi:type="xsd:double"&gt;3.86762515863267&lt;/D&gt;&lt;D xsi:type="xsd:double"&gt;3.88260896596497&lt;/D&gt;&lt;D xsi:type="xsd:double"&gt;3.93507195401051&lt;/D&gt;&lt;D xsi:type="xsd:double"&gt;3.90545421881157&lt;/D&gt;&lt;D xsi:type="xsd:double"&gt;4.26193567242097&lt;/D&gt;&lt;D xsi:type="xsd:double"&gt;4.03557012702647&lt;/D&gt;&lt;D xsi:type="xsd:double"&gt;4.19085047379103&lt;/D&gt;&lt;D xsi:type="xsd:double"&gt;4.18156400273836&lt;/D&gt;&lt;D xsi:type="xsd:double"&gt;3.95102975231395&lt;/D&gt;&lt;D xsi:type="xsd:double"&gt;3.96108646061519&lt;/D&gt;&lt;D xsi:type="xsd:double"&gt;3.91161015513181&lt;/D&gt;&lt;D xsi:type="xsd:double"&gt;3.87814626370242&lt;/D&gt;&lt;D xsi:type="xsd:double"&gt;4.04268934715745&lt;/D&gt;&lt;D xsi:type="xsd:double"&gt;4.0630025934882&lt;/D&gt;&lt;D xsi:type="xsd:double"&gt;4.16909694767623&lt;/D&gt;&lt;D xsi:type="xsd:double"&gt;4.47555504630834&lt;/D&gt;&lt;D xsi:type="xsd:double"&gt;4.23594083779223&lt;/D&gt;&lt;D xsi:type="xsd:double"&gt;4.26510763919327&lt;/D&gt;&lt;D xsi:type="xsd:double"&gt;4.42822526048652&lt;/D&gt;&lt;D xsi:type="xsd:double"&gt;4.64280909726162&lt;/D&gt;&lt;D xsi:type="xsd:double"&gt;4.58508902454713&lt;/D&gt;&lt;D xsi:type="xsd:double"&gt;4.32588781983853&lt;/D&gt;&lt;D xsi:type="xsd:double"&gt;4.23696459969919&lt;/D&gt;&lt;D xsi:type="xsd:double"&gt;4.33347016560145&lt;/D&gt;&lt;D xsi:type="xsd:double"&gt;4.45903070632523&lt;/D&gt;&lt;D xsi:type="xsd:double"&gt;4.13233840695445&lt;/D&gt;&lt;D xsi:type="xsd:double"&gt;4.06404423146575&lt;/D&gt;&lt;D xsi:type="xsd:double"&gt;4.23036913893178&lt;/D&gt;&lt;D xsi:type="xsd:double"&gt;4.2629385153749&lt;/D&gt;&lt;D xsi:type="xsd:double"&gt;4.4472982744486&lt;/D&gt;&lt;D xsi:type="xsd:double"&gt;4.33122110045207&lt;/D&gt;&lt;D xsi:type="xsd:double"&gt;4.26341448919816&lt;/D&gt;&lt;D xsi:type="xsd:double"&gt;4.25662329518705&lt;/D&gt;&lt;D xsi:type="xsd:double"&gt;4.28516865662913&lt;/D&gt;&lt;D xsi:type="xsd:double"&gt;4.42515049196186&lt;/D&gt;&lt;D xsi:type="xsd:double"&gt;4.25061814088564&lt;/D&gt;&lt;D xsi:type="xsd:double"&gt;4.28056827801387&lt;/D&gt;&lt;D xsi:type="xsd:double"&gt;4.29745908717115&lt;/D&gt;&lt;D xsi:type="xsd:double"&gt;4.38942884212895&lt;/D&gt;&lt;D xsi:type="xsd:double"&gt;4.35154331254714&lt;/D&gt;&lt;D xsi:type="xsd:double"&gt;4.26817368488196&lt;/D&gt;&lt;D xsi:type="xsd:double"&gt;4.39059439903521&lt;/D&gt;&lt;D xsi:type="xsd:double"&gt;4.2855083461834&lt;/D&gt;&lt;D xsi:type="xsd:double"&gt;4.1824043665724&lt;/D&gt;&lt;D xsi:type="xsd:double"&gt;4.38697091576425&lt;/D&gt;&lt;D xsi:type="xsd:double"&gt;4.50795766771815&lt;/D&gt;&lt;D xsi:type="xsd:double"&gt;4.39452797446348&lt;/D&gt;&lt;D xsi:type="xsd:double"&gt;4.24892891335673&lt;/D&gt;&lt;D xsi:type="xsd:double"&gt;4.39098696544452&lt;/D&gt;&lt;D xsi:type="xsd:double"&gt;4.41646454454032&lt;/D&gt;&lt;D xsi:type="xsd:double"&gt;4.52744387050127&lt;/D&gt;&lt;D xsi:type="xsd:double"&gt;4.62479921225299&lt;/D&gt;&lt;D xsi:type="xsd:double"&gt;4.84337983689624&lt;/D&gt;&lt;D xsi:type="xsd:double"&gt;4.92840173717671&lt;/D&gt;&lt;D xsi:type="xsd:double"&gt;5.23428391027443&lt;/D&gt;&lt;D xsi:type="xsd:double"&gt;5.11487313328544&lt;/D&gt;&lt;D xsi:type="xsd:double"&gt;4.94298950696693&lt;/D&gt;&lt;D xsi:type="xsd:double"&gt;4.8577437808465&lt;/D&gt;&lt;D xsi:type="xsd:double"&gt;4.82207689741669&lt;/D&gt;&lt;D xsi:type="xsd:double"&gt;4.93330965937235&lt;/D&gt;&lt;D xsi:type="xsd:double"&gt;4.79352982000381&lt;/D&gt;&lt;D xsi:type="xsd:double"&gt;4.8249968549895&lt;/D&gt;&lt;D xsi:type="xsd:double"&gt;5.154273864531&lt;/D&gt;&lt;D xsi:type="xsd:double"&gt;4.93558578111851&lt;/D&gt;&lt;D xsi:type="xsd:double"&gt;4.92864428892184&lt;/D&gt;&lt;D xsi:type="xsd:double"&gt;4.80329992707922&lt;/D&gt;&lt;D xsi:type="xsd:double"&gt;4.59969138504729&lt;/D&gt;&lt;D xsi:type="xsd:double"&gt;4.52679493648737&lt;/D&gt;&lt;D xsi:type="xsd:double"&gt;4.70951922122603&lt;/D&gt;&lt;D xsi:type="xsd:double"&gt;7.12976214666539&lt;/D&gt;&lt;D xsi:type="xsd:double"&gt;5.69010277774933&lt;/D&gt;&lt;D xsi:type="xsd:double"&gt;4.39455611865629&lt;/D&gt;&lt;D xsi:type="xsd:double"&gt;4.10222697431462&lt;/D&gt;&lt;D xsi:type="xsd:double"&gt;3.97825903614762&lt;/D&gt;&lt;D xsi:type="xsd:double"&gt;3.97789135870459&lt;/D&gt;&lt;D xsi:type="xsd:double"&gt;4.10195048578734&lt;/D&gt;&lt;D xsi:type="xsd:double"&gt;4.2950204318513&lt;/D&gt;&lt;D xsi:type="xsd:double"&gt;3.98682590349303&lt;/D&gt;&lt;D xsi:type="xsd:double"&gt;3.90441376222887&lt;/D&gt;&lt;D xsi:type="xsd:double"&gt;3.89198157155813&lt;/D&gt;&lt;D xsi:type="xsd:double"&gt;4.00535659314292&lt;/D&gt;&lt;D xsi:type="xsd:double"&gt;3.95332689283572&lt;/D&gt;&lt;D xsi:type="xsd:double"&gt;3.92799163757249&lt;/D&gt;&lt;D xsi:type="xsd:double"&gt;3.89653890694036&lt;/D&gt;&lt;D xsi:type="xsd:double"&gt;3.97748476042855&lt;/D&gt;&lt;D xsi:type="xsd:double"&gt;4.08296883083518&lt;/D&gt;&lt;D xsi:type="xsd:double"&gt;4.16006073292551&lt;/D&gt;&lt;D xsi:type="xsd:double"&gt;4.28533185486775&lt;/D&gt;&lt;D xsi:type="xsd:double"&gt;4.06285941459191&lt;/D&gt;&lt;D xsi:type="xsd:double"&gt;4.05069617960119&lt;/D&gt;&lt;D xsi:type="xsd:double"&gt;4.01747250688556&lt;/D&gt;&lt;D xsi:type="xsd:double"&gt;3.83617157847843&lt;/D&gt;&lt;D xsi:type="xsd:double"&gt;3.83923939821999&lt;/D&gt;&lt;D xsi:type="xsd:double"&gt;3.99011415402909&lt;/D&gt;&lt;D xsi:type="xsd:double"&gt;3.94118289224408&lt;/D&gt;&lt;D xsi:type="xsd:double"&gt;4.12858804710629&lt;/D&gt;&lt;D xsi:type="xsd:double"&gt;4.42962622739149&lt;/D&gt;&lt;D xsi:type="xsd:double"&gt;4.30247362992703&lt;/D&gt;&lt;D xsi:type="xsd:double"&gt;4.18237992209466&lt;/D&gt;&lt;D xsi:type="xsd:double"&gt;4.49657460456604&lt;/D&gt;&lt;D xsi:type="xsd:double"&gt;4.62613240133548&lt;/D&gt;&lt;D xsi:type="xsd:double"&gt;4.29023973431304&lt;/D&gt;&lt;D xsi:type="xsd:double"&gt;4.34259529529776&lt;/D&gt;&lt;D xsi:type="xsd:double"&gt;4.0350339777276&lt;/D&gt;&lt;D xsi:type="xsd:double"&gt;4.05750645684777&lt;/D&gt;&lt;D xsi:type="xsd:double"&gt;4.44024378096336&lt;/D&gt;&lt;D xsi:type="xsd:double"&gt;4.13252919789953&lt;/D&gt;&lt;D xsi:type="xsd:double"&gt;4.29816076272902&lt;/D&gt;&lt;D xsi:type="xsd:double"&gt;4.3085062960466&lt;/D&gt;&lt;D xsi:type="xsd:double"&gt;4.37156099657917&lt;/D&gt;&lt;D xsi:type="xsd:double"&gt;4.58117703758629&lt;/D&gt;&lt;D xsi:type="xsd:double"&gt;4.38937097206253&lt;/D&gt;&lt;D xsi:type="xsd:double"&gt;4.47814365041052&lt;/D&gt;&lt;D xsi:type="xsd:double"&gt;4.49231529840904&lt;/D&gt;&lt;D xsi:type="xsd:double"&gt;4.34184632590998&lt;/D&gt;&lt;D xsi:type="xsd:double"&gt;4.45150057697653&lt;/D&gt;&lt;D xsi:type="xsd:double"&gt;4.2259861261447&lt;/D&gt;&lt;D xsi:type="xsd:double"&gt;4.12980026753793&lt;/D&gt;&lt;D xsi:type="xsd:double"&gt;4.03280014434351&lt;/D&gt;&lt;/FQL&gt;&lt;FQL&gt;&lt;Q&gt;EWJ^FMA_PE(NTMA,-10AY,0,AM,"PORTAGG","MEANR")&lt;/Q&gt;&lt;R&gt;121&lt;/R&gt;&lt;C&gt;1&lt;/C&gt;&lt;D xsi:type="xsd:double"&gt;12.8746489271522&lt;/D&gt;&lt;D xsi:type="xsd:double"&gt;12.7665449359567&lt;/D&gt;&lt;D xsi:type="xsd:double"&gt;13.6673159974805&lt;/D&gt;&lt;D xsi:type="xsd:double"&gt;13.714407524435&lt;/D&gt;&lt;D xsi:type="xsd:double"&gt;13.5895461154204&lt;/D&gt;&lt;D xsi:type="xsd:double"&gt;14.0211544583587&lt;/D&gt;&lt;D xsi:type="xsd:double"&gt;12.415970232638&lt;/D&gt;&lt;D xsi:type="xsd:double"&gt;14.534203679458&lt;/D&gt;&lt;D xsi:type="xsd:double"&gt;14.0048116716979&lt;/D&gt;&lt;D xsi:type="xsd:double"&gt;13.7228271357823&lt;/D&gt;&lt;D xsi:type="xsd:double"&gt;14.7298146451068&lt;/D&gt;&lt;D xsi:type="xsd:double"&gt;15.6356368792858&lt;/D&gt;&lt;D xsi:type="xsd:double"&gt;15.6274564646433&lt;/D&gt;&lt;D xsi:type="xsd:double"&gt;16.0534259287465&lt;/D&gt;&lt;D xsi:type="xsd:double"&gt;15.4071663000587&lt;/D&gt;&lt;D xsi:type="xsd:double"&gt;15.6311543919345&lt;/D&gt;&lt;D xsi:type="xsd:double"&gt;15.4942678622726&lt;/D&gt;&lt;D xsi:type="xsd:double"&gt;13.4773772927952&lt;/D&gt;&lt;D xsi:type="xsd:double"&gt;13.9017858807677&lt;/D&gt;&lt;D xsi:type="xsd:double"&gt;14.6534958032028&lt;/D&gt;&lt;D xsi:type="xsd:double"&gt;13.9932071677903&lt;/D&gt;&lt;D xsi:type="xsd:double"&gt;12.7150164356575&lt;/D&gt;&lt;D xsi:type="xsd:double"&gt;12.198210280114&lt;/D&gt;&lt;D xsi:type="xsd:double"&gt;12.7838977739362&lt;/D&gt;&lt;D xsi:type="xsd:double"&gt;12.6247797216697&lt;/D&gt;&lt;D xsi:type="xsd:double"&gt;13.1511075772018&lt;/D&gt;&lt;D xsi:type="xsd:double"&gt;12.5994391161941&lt;/D&gt;&lt;D xsi:type="xsd:double"&gt;13.5069637056813&lt;/D&gt;&lt;D xsi:type="xsd:double"&gt;13.1311557725659&lt;/D&gt;&lt;D xsi:type="xsd:double"&gt;13.2545299732359&lt;/D&gt;&lt;D xsi:type="xsd:double"&gt;13.5178351099685&lt;/D&gt;&lt;D xsi:type="xsd:double"&gt;14.1084546273783&lt;/D&gt;&lt;D xsi:type="xsd:double"&gt;15.0974042728696&lt;/D&gt;&lt;D xsi:type="xsd:double"&gt;14.4778085306256&lt;/D&gt;&lt;D xsi:type="xsd:double"&gt;14.3461138025709&lt;/D&gt;&lt;D xsi:type="xsd:double"&gt;14.2762787931405&lt;/D&gt;&lt;D xsi:type="xsd:double"&gt;13.337454298054&lt;/D&gt;&lt;D xsi:type="xsd:double"&gt;14.1286566817634&lt;/D&gt;&lt;D xsi:type="xsd:double"&gt;14.3406458346215&lt;/D&gt;&lt;D xsi:type="xsd:double"&gt;14.2350139342393&lt;/D&gt;&lt;D xsi:type="xsd:double"&gt;13.6964738944036&lt;/D&gt;&lt;D xsi:type="xsd:double"&gt;13.7327866859996&lt;/D&gt;&lt;D xsi:type="xsd:double"&gt;14.3276021594744&lt;/D&gt;&lt;D xsi:type="xsd:double"&gt;14.5129847382699&lt;/D&gt;&lt;D xsi:type="xsd:double"&gt;14.7074384220746&lt;/D&gt;&lt;D xsi:type="xsd:double"&gt;15.1755292760283&lt;/D&gt;&lt;D xsi:type="xsd:double"&gt;13.6765004916888&lt;/D&gt;&lt;D xsi:type="xsd:double"&gt;12.9926588377316&lt;/D&gt;&lt;D xsi:type="xsd:double"&gt;13.0219445908398&lt;/D&gt;&lt;D xsi:type="xsd:double"&gt;13.4718910986803&lt;/D&gt;&lt;D xsi:type="xsd:double"&gt;13.0825361938963&lt;/D&gt;&lt;D xsi:type="xsd:double"&gt;12.9326249071949&lt;/D&gt;&lt;D xsi:type="xsd:double"&gt;12.4859410522818&lt;/D&gt;&lt;D xsi:type="xsd:double"&gt;12.8647940652856&lt;/D&gt;&lt;D xsi:type="xsd:double"&gt;12.4187274315551&lt;/D&gt;&lt;D xsi:type="xsd:double"&gt;11.9547377548086&lt;/D&gt;&lt;D xsi:type="xsd:double"&gt;11.5811881456893&lt;/D&gt;&lt;D xsi:type="xsd:double"&gt;11.7525552123163&lt;/D&gt;&lt;D xsi:type="xsd:double"&gt;12.1300495250649&lt;/D&gt;&lt;D xsi:type="xsd:double"&gt;12.6317480098837&lt;/D&gt;&lt;D xsi:type="xsd:double"&gt;12.7032387453532&lt;/D&gt;&lt;D xsi:type="xsd:double"&gt;12.3512842926522&lt;/D&gt;&lt;D xsi:type="xsd:double"&gt;12.4890227854977&lt;/D&gt;&lt;D xsi:type="xsd:double"&gt;12.600571946655&lt;/D&gt;&lt;D xsi:type="xsd:double"&gt;12.2720165776983&lt;/D&gt;&lt;D xsi:type="xsd:double"&gt;13.4081519710665&lt;/D&gt;&lt;D xsi:type="xsd:double"&gt;13.5034079744861&lt;/D&gt;&lt;D xsi:type="xsd:double"&gt;14.1396350786853&lt;/D&gt;&lt;D xsi:type="xsd:double"&gt;14.6746641968203&lt;/D&gt;&lt;D</t>
        </r>
      </text>
    </comment>
    <comment ref="A6" authorId="0" shapeId="0" xr:uid="{BB9321A0-A406-4EC4-9B4E-A2341AD6C9D9}">
      <text>
        <r>
          <rPr>
            <b/>
            <sz val="9"/>
            <color indexed="81"/>
            <rFont val="Tahoma"/>
            <charset val="1"/>
          </rPr>
          <t xml:space="preserve"> xsi:type="xsd:double"&gt;14.6604382858203&lt;/D&gt;&lt;D xsi:type="xsd:double"&gt;14.1115209892802&lt;/D&gt;&lt;D xsi:type="xsd:double"&gt;10.97963488028&lt;/D&gt;&lt;D xsi:type="xsd:double"&gt;13.464317008568&lt;/D&gt;&lt;D xsi:type="xsd:double"&gt;14.4570823566954&lt;/D&gt;&lt;D xsi:type="xsd:double"&gt;17.8337741496191&lt;/D&gt;&lt;D xsi:type="xsd:double"&gt;17.9124252128172&lt;/D&gt;&lt;D xsi:type="xsd:double"&gt;17.8742778633706&lt;/D&gt;&lt;D xsi:type="xsd:double"&gt;18.4542867671151&lt;/D&gt;&lt;D xsi:type="xsd:double"&gt;17.7788735998984&lt;/D&gt;&lt;D xsi:type="xsd:double"&gt;18.3886446144015&lt;/D&gt;&lt;D xsi:type="xsd:double"&gt;18.4267804706743&lt;/D&gt;&lt;D xsi:type="xsd:double"&gt;18.7269324859366&lt;/D&gt;&lt;D xsi:type="xsd:double"&gt;18.7296292114474&lt;/D&gt;&lt;D xsi:type="xsd:double"&gt;18.1634297631627&lt;/D&gt;&lt;D xsi:type="xsd:double"&gt;17.3945121707792&lt;/D&gt;&lt;D xsi:type="xsd:double"&gt;16.3887864041555&lt;/D&gt;&lt;D xsi:type="xsd:double"&gt;16.3647660660573&lt;/D&gt;&lt;D xsi:type="xsd:double"&gt;15.9731755396833&lt;/D&gt;&lt;D xsi:type="xsd:double"&gt;15.3132399312347&lt;/D&gt;&lt;D xsi:type="xsd:double"&gt;16.1151159959429&lt;/D&gt;&lt;D xsi:type="xsd:double"&gt;15.3664164771168&lt;/D&gt;&lt;D xsi:type="xsd:double"&gt;15.2551222539881&lt;/D&gt;&lt;D xsi:type="xsd:double"&gt;14.5190076060498&lt;/D&gt;&lt;D xsi:type="xsd:double"&gt;14.3414915204107&lt;/D&gt;&lt;D xsi:type="xsd:double"&gt;13.55126061967&lt;/D&gt;&lt;D xsi:type="xsd:double"&gt;13.0381582568464&lt;/D&gt;&lt;D xsi:type="xsd:double"&gt;12.8112951830855&lt;/D&gt;&lt;D xsi:type="xsd:double"&gt;12.7143204189428&lt;/D&gt;&lt;D xsi:type="xsd:double"&gt;12.1528993150522&lt;/D&gt;&lt;D xsi:type="xsd:double"&gt;12.4549221442869&lt;/D&gt;&lt;D xsi:type="xsd:double"&gt;13.0377555390862&lt;/D&gt;&lt;D xsi:type="xsd:double"&gt;12.6306770709491&lt;/D&gt;&lt;D xsi:type="xsd:double"&gt;12.3094755925624&lt;/D&gt;&lt;D xsi:type="xsd:double"&gt;12.8079442841141&lt;/D&gt;&lt;D xsi:type="xsd:double"&gt;12.6370085948442&lt;/D&gt;&lt;D xsi:type="xsd:double"&gt;12.6125451088336&lt;/D&gt;&lt;D xsi:type="xsd:double"&gt;13.0598879474144&lt;/D&gt;&lt;D xsi:type="xsd:double"&gt;12.8373398712694&lt;/D&gt;&lt;D xsi:type="xsd:double"&gt;13.4394882459737&lt;/D&gt;&lt;D xsi:type="xsd:double"&gt;14.2109982629287&lt;/D&gt;&lt;D xsi:type="xsd:double"&gt;15.0266236258275&lt;/D&gt;&lt;D xsi:type="xsd:double"&gt;14.5323710228204&lt;/D&gt;&lt;D xsi:type="xsd:double"&gt;14.0429292709362&lt;/D&gt;&lt;D xsi:type="xsd:double"&gt;15.0905403686392&lt;/D&gt;&lt;D xsi:type="xsd:double"&gt;14.1588536016608&lt;/D&gt;&lt;D xsi:type="xsd:double"&gt;14.5351435542131&lt;/D&gt;&lt;D xsi:type="xsd:double"&gt;13.8247453309381&lt;/D&gt;&lt;D xsi:type="xsd:double"&gt;14.7855536021004&lt;/D&gt;&lt;D xsi:type="xsd:double"&gt;15.3692308187787&lt;/D&gt;&lt;D xsi:type="xsd:double"&gt;15.6399156247324&lt;/D&gt;&lt;D xsi:type="xsd:double"&gt;15.6457867150851&lt;/D&gt;&lt;/FQL&gt;&lt;FQL&gt;&lt;Q&gt;EWC^FMA_PE(LTMA,-10AY,0,AM,"PORTAGG","MEANR")&lt;/Q&gt;&lt;R&gt;121&lt;/R&gt;&lt;C&gt;1&lt;/C&gt;&lt;D xsi:type="xsd:double"&gt;16.3684943031916&lt;/D&gt;&lt;D xsi:type="xsd:double"&gt;16.2013578221586&lt;/D&gt;&lt;D xsi:type="xsd:double"&gt;16.2921228503998&lt;/D&gt;&lt;D xsi:type="xsd:double"&gt;16.3286385608787&lt;/D&gt;&lt;D xsi:type="xsd:double"&gt;16.3327536406308&lt;/D&gt;&lt;D xsi:type="xsd:double"&gt;16.3823884917395&lt;/D&gt;&lt;D xsi:type="xsd:double"&gt;15.3434476033209&lt;/D&gt;&lt;D xsi:type="xsd:double"&gt;15.9113920305673&lt;/D&gt;&lt;D xsi:type="xsd:double"&gt;15.3612247784413&lt;/D&gt;&lt;D xsi:type="xsd:double"&gt;15.2893769634409&lt;/D&gt;&lt;D xsi:type="xsd:double"&gt;16.7892022417055&lt;/D&gt;&lt;D xsi:type="xsd:double"&gt;17.0476362608566&lt;/D&gt;&lt;D xsi:type="xsd:double"&gt;17.2681170025104&lt;/D&gt;&lt;D xsi:type="xsd:double"&gt;17.2406990362182&lt;/D&gt;&lt;D xsi:type="xsd:double"&gt;17.1390756015911&lt;/D&gt;&lt;D xsi:type="xsd:double"&gt;17.08570769628&lt;/D&gt;&lt;D xsi:type="xsd:double"&gt;16.8923966688621&lt;/D&gt;&lt;D xsi:type="xsd:double"&gt;16.6173622574832&lt;/D&gt;&lt;D xsi:type="xsd:double"&gt;16.9531012943588&lt;/D&gt;&lt;D xsi:type="xsd:double"&gt;16.6879593417685&lt;/D&gt;&lt;D xsi:type="xsd:double"&gt;16.2044338192525&lt;/D&gt;&lt;D xsi:type="xsd:double"&gt;14.614080256697&lt;/D&gt;&lt;D xsi:type="xsd:double"&gt;15.6388653543668&lt;/D&gt;&lt;D xsi:type="xsd:double"&gt;16.0012491738604&lt;/D&gt;&lt;D xsi:type="xsd:double"&gt;16.2006798763332&lt;/D&gt;&lt;D xsi:type="xsd:double"&gt;16.5337793838338&lt;/D&gt;&lt;D xsi:type="xsd:double"&gt;16.6565012785106&lt;/D&gt;&lt;D xsi:type="xsd:double"&gt;17.184045732163&lt;/D&gt;&lt;D xsi:type="xsd:double"&gt;17.4855816249878&lt;/D&gt;&lt;D xsi:type="xsd:double"&gt;17.5038836609723&lt;/D&gt;&lt;D xsi:type="xsd:double"&gt;18.07747098397&lt;/D&gt;&lt;D xsi:type="xsd:double"&gt;18.5159929741304&lt;/D&gt;&lt;D xsi:type="xsd:double"&gt;19.1963482221362&lt;/D&gt;&lt;D xsi:type="xsd:double"&gt;19.7909489421815&lt;/D&gt;&lt;D xsi:type="xsd:double"&gt;19.8608379956003&lt;/D&gt;&lt;D xsi:type="xsd:double"&gt;19.2297529044701&lt;/D&gt;&lt;D xsi:type="xsd:double"&gt;18.9303958355358&lt;/D&gt;&lt;D xsi:type="xsd:double"&gt;18.4865622642239&lt;/D&gt;&lt;D xsi:type="xsd:double"&gt;18.1752045616531&lt;/D&gt;&lt;D xsi:type="xsd:double"&gt;18.0320609114729&lt;/D&gt;&lt;D xsi:type="xsd:double"&gt;17.6269060632948&lt;/D&gt;&lt;D xsi:type="xsd:double"&gt;17.417461824874&lt;/D&gt;&lt;D xsi:type="xsd:double"&gt;17.4859201343507&lt;/D&gt;&lt;D xsi:type="xsd:double"&gt;17.3186437375246&lt;/D&gt;&lt;D xsi:type="xsd:double"&gt;17.2354339845038&lt;/D&gt;&lt;D xsi:type="xsd:double"&gt;17.224491051902&lt;/D&gt;&lt;D xsi:type="xsd:double"&gt;15.9096190829983&lt;/D&gt;&lt;D xsi:type="xsd:double"&gt;15.8167066919703&lt;/D&gt;&lt;D xsi:type="xsd:double"&gt;15.6317740158481&lt;/D&gt;&lt;D xsi:type="xsd:double"&gt;15.6373216145773&lt;/D&gt;&lt;D xsi:type="xsd:double"&gt;15.6201138107115&lt;/D&gt;&lt;D xsi:type="xsd:double"&gt;15.5279466095925&lt;/D&gt;&lt;D xsi:type="xsd:double"&gt;15.3785952002805&lt;/D&gt;&lt;D xsi:type="xsd:double"&gt;15.1360683952759&lt;/D&gt;&lt;D xsi:type="xsd:double"&gt;14.4738224061903&lt;/D&gt;&lt;D xsi:type="xsd:double"&gt;14.107601794778&lt;/D&gt;&lt;D xsi:type="xsd:double"&gt;13.3010409253466&lt;/D&gt;&lt;D xsi:type="xsd:double"&gt;14.1209983742583&lt;/D&gt;&lt;D xsi:type="xsd:double"&gt;14.6942866053121&lt;/D&gt;&lt;D xsi:type="xsd:double"&gt;14.756350245786&lt;/D&gt;&lt;D xsi:type="xsd:double"&gt;14.6669825600435&lt;/D&gt;&lt;D xsi:type="xsd:double"&gt;14.5237470741693&lt;/D&gt;&lt;D xsi:type="xsd:double"&gt;14.5346775643384&lt;/D&gt;&lt;D xsi:type="xsd:double"&gt;14.4856636991819&lt;/D&gt;&lt;D xsi:type="xsd:double"&gt;14.3046126127651&lt;/D&gt;&lt;D xsi:type="xsd:double"&gt;14.7173057990537&lt;/D&gt;&lt;D xsi:type="xsd:double"&gt;14.5654071017016&lt;/D&gt;&lt;D xsi:type="xsd:double"&gt;15.1378855220068&lt;/D&gt;&lt;D xsi:type="xsd:double"&gt;15.2513986727924&lt;/D&gt;&lt;D xsi:type="xsd:double"&gt;15.6737986203494&lt;/D&gt;&lt;D xsi:type="xsd:double"&gt;15.7080862908693&lt;/D&gt;&lt;D xsi:type="xsd:double"&gt;13.7026365594955&lt;/D&gt;&lt;D xsi:type="xsd:double"&gt;15.0115118554391&lt;/D&gt;&lt;D xsi:type="xsd:double"&gt;16.4179598635759&lt;/D&gt;&lt;D xsi:type="xsd:double"&gt;17.2559692737617&lt;/D&gt;&lt;D xsi:type="xsd:double"&gt;17.8239400121601&lt;/D&gt;&lt;D xsi:type="xsd:double"&gt;18.3297358386339&lt;/D&gt;&lt;D xsi:type="xsd:double"&gt;18.211803469834&lt;/D&gt;&lt;D xsi:type="xsd:double"&gt;18.8197290100056&lt;/D&gt;&lt;D xsi:type="xsd:double"&gt;19.4516027267894&lt;/D&gt;&lt;D xsi:type="xsd:double"&gt;20.294150571774&lt;/D&gt;&lt;D xsi:type="xsd:double"&gt;21.0804397584269&lt;/D&gt;&lt;D xsi:type="xsd:double"&gt;20.5855249480204&lt;/D&gt;&lt;D xsi:type="xsd:double"&gt;19.7857865819093&lt;/D&gt;&lt;D xsi:type="xsd:double"&gt;19.4727011263889&lt;/D&gt;&lt;D xsi:type="xsd:double"&gt;18.9539780674306&lt;/D&gt;&lt;D xsi:type="xsd:double"&gt;18.5807216181812&lt;/D&gt;&lt;D xsi:type="xsd:double"&gt;18.0152862342452&lt;/D&gt;&lt;D xsi:type="xsd:double"&gt;17.371605991758&lt;/D&gt;&lt;D xsi:type="xsd:double"&gt;16.8042239062857&lt;/D&gt;&lt;D xsi:type="xsd:double"&gt;16.7514374478344&lt;/D&gt;&lt;D xsi:type="xsd:double"&gt;16.4261460657804&lt;/D&gt;&lt;D xsi:type="xsd:double"&gt;15.3815597773545&lt;/D&gt;&lt;D xsi:type="xsd:double"&gt;15.5051527343084&lt;/D&gt;&lt;D xsi:type="xsd:double"&gt;15.191773736243&lt;/D&gt;&lt;D xsi:type="xsd:double"&gt;15.1387927741206&lt;/D&gt;&lt;D xsi:type="xsd:double"&gt;14.9115146681745&lt;/D&gt;&lt;D xsi:type="xsd:double"&gt;14.2737254922784&lt;/D&gt;&lt;D xsi:type="xsd:double"&gt;13.6027472027309&lt;/D&gt;&lt;D xsi:type="xsd:double"&gt;13.0830661738096&lt;/D&gt;&lt;D xsi:type="xsd:double"&gt;13.3350381192083&lt;/D&gt;&lt;D xsi:type="xsd:double"&gt;12.7123297460866&lt;/D&gt;&lt;D xsi:type="xsd:double"&gt;12.221776586219&lt;/D&gt;&lt;D xsi:type="xsd:double"&gt;12.6114971062815&lt;/D&gt;&lt;D xsi:type="xsd:double"&gt;12.194192129104&lt;/D&gt;&lt;D xsi:type="xsd:double"&gt;12.65305649842&lt;/D&gt;&lt;D xsi:type="xsd:double"&gt;12.7472612003568&lt;/D&gt;&lt;D xsi:type="xsd:double"&gt;12.4963225690679&lt;/D&gt;&lt;D xsi:type="xsd:double"&gt;12.805989495767&lt;/D&gt;&lt;D xsi:type="xsd:double"&gt;12.8394785939714&lt;/D&gt;&lt;D xsi:type="xsd:double"&gt;12.9388463303694&lt;/D&gt;&lt;D xsi:type="xsd:double"&gt;13.366688761427&lt;/D&gt;&lt;D xsi:type="xsd:double"&gt;13.2622543901493&lt;/D&gt;&lt;D xsi:type="xsd:double"&gt;13.7368787716096&lt;/D&gt;&lt;D xsi:type="xsd:double"&gt;13.2746329522368&lt;/D&gt;&lt;D xsi:type="xsd:double"&gt;13.7244481989154&lt;/D&gt;&lt;D xsi:type="xsd:double"&gt;14.2771676069173&lt;/D&gt;&lt;D xsi:type="xsd:double"&gt;14.4502739941942&lt;/D&gt;&lt;D xsi:type="xsd:double"&gt;14.7497323454767&lt;/D&gt;&lt;D xsi:type="xsd:double"&gt;14.9172563857227&lt;/D&gt;&lt;D xsi:type="xsd:double"&gt;14.8419284361729&lt;/D&gt;&lt;/FQL&gt;&lt;FQL&gt;&lt;Q&gt;FC0000CH^FG_PRICE(0)&lt;/Q&gt;&lt;R&gt;1&lt;/R&gt;&lt;C&gt;1&lt;/C&gt;&lt;D xsi:type="xsd:double"&gt;308.49005&lt;/D&gt;&lt;/FQL&gt;&lt;FQL&gt;&lt;Q&gt;FC0000AU^FG_PRICE(0)&lt;/Q&gt;&lt;R&gt;1&lt;/R&gt;&lt;C&gt;1&lt;/C&gt;&lt;D xsi:type="xsd:double"&gt;344.21948&lt;/D&gt;&lt;/FQL&gt;&lt;FQL&gt;&lt;Q&gt;EWN^FG_PRICE_MAVG(0,,,,200)&lt;/Q&gt;&lt;R&gt;1&lt;/R&gt;&lt;C&gt;1&lt;/C&gt;&lt;D xsi:type="xsd:double"&gt;43.36448&lt;/D&gt;&lt;/FQL&gt;&lt;FQL&gt;&lt;Q&gt;EWU^FG_PRICE_MAVG(0,,,,200)&lt;/Q&gt;&lt;R&gt;1&lt;/R&gt;&lt;C&gt;1&lt;/C&gt;&lt;D xsi:type="xsd:double"&gt;32.42295&lt;/D&gt;&lt;/FQL&gt;&lt;FQL&gt;&lt;Q&gt;EWC^FG_PRICE_MAVG(0,,,,200)&lt;/Q&gt;&lt;R&gt;1&lt;/R&gt;&lt;C&gt;1&lt;/C&gt;&lt;D xsi:type="xsd:double"&gt;35.3398&lt;/D&gt;&lt;/FQL&gt;&lt;FQL&gt;&lt;Q&gt;EWQ^FG_COMPANY_NAME&lt;/Q&gt;&lt;R&gt;1&lt;/R&gt;&lt;C&gt;1&lt;/C&gt;&lt;D xsi:type="xsd:string"&gt;iShares MSCI France ETF&lt;/D&gt;&lt;/FQL&gt;&lt;FQL&gt;&lt;Q&gt;FXI^PERCENT_CHANGE(FMA_EPS(+1,0,,,,"PORTAGG","MEAN"),FMA_EPS(+1,-3AM,,,,"PORTAGG","MEAN"))&lt;/Q&gt;&lt;R&gt;1&lt;/R&gt;&lt;C&gt;1&lt;/C&gt;&lt;D xsi:type="xsd:double"&gt;-2.39162752326484&lt;/D&gt;&lt;/FQL&gt;&lt;FQL&gt;&lt;Q&gt;EWJ^FG_TOTAL_RETURNC(0,-3AM)&lt;/Q&gt;&lt;R&gt;1&lt;/R&gt;&lt;C&gt;1&lt;/C&gt;&lt;D xsi:type="xsd:double"&gt;1.7647862&lt;/D&gt;&lt;/FQL&gt;&lt;FQL&gt;&lt;Q&gt;VWO^P_PRICE(0)/P_PRICE_HIGH_PR(0,,,,,,"PRICE","INTRA","52W")&lt;/Q&gt;&lt;R&gt;1&lt;/R&gt;&lt;C&gt;1&lt;/C&gt;&lt;D xsi:type="xsd:double"&gt;0.9515081&lt;/D&gt;&lt;/FQL&gt;&lt;FQL&gt;&lt;Q&gt;EWI^FG_TOTAL_RETURNC(0,-12AM)&lt;/Q&gt;&lt;R&gt;1&lt;/R&gt;&lt;C&gt;1&lt;/C&gt;&lt;D xsi:type="xsd:double"&gt;18.183672&lt;/D&gt;&lt;/FQL&gt;&lt;FQL&gt;&lt;Q&gt;EWD^PERCENT_CHANGE(FMA_EPS(+1,0,,,,"PORTAGG","MEAN"),FMA_EPS(+1,-1AM,,,,"PORTAGG","MEAN"))&lt;/Q&gt;&lt;R&gt;1&lt;/R&gt;&lt;C&gt;1&lt;/C&gt;&lt;D xsi:type="xsd:double"&gt;-1.80502932937869&lt;/D&gt;&lt;/FQL&gt;&lt;FQL&gt;&lt;Q&gt;EWQ^FG_TOTAL_RETURNC(0,-1AM)&lt;/Q&gt;&lt;R&gt;1&lt;/R&gt;&lt;C&gt;1&lt;/C&gt;&lt;D xsi:type="xsd:double"&gt;-3.490907&lt;/D&gt;&lt;/FQL&gt;&lt;FQL&gt;&lt;Q&gt;QQQ^FG_TOTAL_RETURNC(0,-6AM)&lt;/Q&gt;&lt;R&gt;1&lt;/R&gt;&lt;C&gt;1&lt;/C&gt;&lt;D xsi:type="xsd:double"&gt;16.968834&lt;/D&gt;&lt;/FQL&gt;&lt;FQL&gt;&lt;Q&gt;EWL^P_PRICE(0)/P_PRICE_LOW_PR(0,,,,,,"PRICE","INTRA","52W")-1&lt;/Q&gt;&lt;R&gt;1&lt;/R&gt;&lt;C&gt;1&lt;/C&gt;&lt;D xsi:type="xsd:double"&gt;0.08736467&lt;/D&gt;&lt;/FQL&gt;&lt;FQL&gt;&lt;Q&gt;EWJ^FMA_PCT_ABOVE_MAVG(200,0,,,,"PORTAGG")&lt;/Q&gt;&lt;R&gt;1&lt;/R&gt;&lt;C&gt;1&lt;/C&gt;&lt;D xsi:type="xsd:double"&gt;69.4063926940639&lt;/D&gt;&lt;/FQL&gt;&lt;FQL&gt;&lt;Q&gt;EWC^PERCENT_CHANGE(FMA_EPS(+1,0,,,,"PORTAGG","MEAN"),FMA_EPS(+1,-3AM,,,,"PORTAGG","MEAN"))&lt;/Q&gt;&lt;R&gt;1&lt;/R&gt;&lt;C&gt;1&lt;/C&gt;&lt;D xsi:type="xsd:double"&gt;-4.39375216655112&lt;/D&gt;&lt;/FQL&gt;&lt;FQL&gt;&lt;Q&gt;ENZL^FG_TOTAL_RETURNC(0,-3AM)&lt;/Q&gt;&lt;R&gt;1&lt;/R&gt;&lt;C&gt;1&lt;/C&gt;&lt;D xsi:type="xsd:double"&gt;-5.2336874&lt;/D&gt;&lt;/FQL&gt;&lt;FQL&gt;&lt;Q&gt;URTH^FMA_COS_UP("EPS","1M",+1,0,,,"PORTAGG","MEANR")&lt;/Q&gt;&lt;R&gt;1&lt;/R&gt;&lt;C&gt;1&lt;/C&gt;&lt;D xsi:type="xsd:double"&gt;577&lt;/D&gt;&lt;/FQL&gt;&lt;FQL&gt;&lt;Q&gt;EWQ^SIZE(FG_CONSTITUENTS)&lt;/Q&gt;&lt;R&gt;1&lt;/R&gt;&lt;C&gt;1&lt;/C&gt;&lt;D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xsi:type="xsd:double"&gt;88&lt;/D&gt;&lt;/FQL&gt;&lt;FQL&gt;&lt;Q&gt;QQQ^FMA_RBICS_REV_CURRENT(30, LOC, "PORTAGG")&lt;/Q&gt;&lt;R&gt;1&lt;/R&gt;&lt;C&gt;1&lt;/C&gt;&lt;D xsi:type="xsd:double"&gt;0.861039068445163&lt;/D&gt;&lt;/FQL&gt;&lt;FQL&gt;&lt;Q&gt;EWJ^FG_ROE(0)&lt;/Q&gt;&lt;R&gt;1&lt;/R&gt;&lt;C&gt;1&lt;/C&gt;&lt;D xsi:type="xsd:double"&gt;9.81676239745047&lt;/D&gt;&lt;/FQL&gt;&lt;FQL&gt;&lt;Q&gt;TRYAU10Y-FDS^FG_YIELD_NAME&lt;/Q&gt;&lt;R&gt;1&lt;/R&gt;&lt;C&gt;1&lt;/C&gt;&lt;D xsi:type="xsd:string"&gt;Australia Benchmark Bond - 10 Year&lt;/D&gt;&lt;/FQL&gt;&lt;FQL&gt;&lt;Q&gt;REFEUREFI-FDS^FG_YIELD(NOW,,,0)&lt;/Q&gt;&lt;R&gt;1&lt;/R&gt;&lt;C&gt;1&lt;/C&gt;&lt;D xsi:type="xsd:double"&gt;4.5&lt;/D&gt;&lt;/FQL&gt;&lt;FQL&gt;&lt;Q&gt;REFFFUND-FDS^PROPER_NAME(0,,,"SECURITY","NAME")&lt;/Q&gt;&lt;R&gt;1&lt;/R&gt;&lt;C&gt;1&lt;/C&gt;&lt;D xsi:type="xsd:string"&gt;US Federal Funds Target Rate&lt;/D&gt;&lt;/FQL&gt;&lt;FQL&gt;&lt;Q&gt;EWU^FMA_ROE(NTMA,-20AY,NOW,FY,"PORTAGG","MEANR")&lt;/Q&gt;&lt;R&gt;20&lt;/R&gt;&lt;C&gt;1&lt;/C&gt;&lt;D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xsi:type="xsd:double"&gt;14.7207289073093&lt;/D&gt;&lt;/FQL&gt;&lt;FQL&gt;&lt;Q&gt;TRYMX10Y-FDS^FG_YIELD(-10AY,0,Y,,"YTM")&lt;/Q&gt;&lt;R&gt;10&lt;/R&gt;&lt;C&gt;1&lt;/C&gt;&lt;D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xsi:type="xsd:double"&gt;6.6087&lt;/D&gt;&lt;/FQL&gt;&lt;FQL&gt;&lt;Q&gt;USDSEK^STD(FG_PRICE_CHANGE(0,-1AY,AM))&lt;/Q&gt;&lt;R&gt;1&lt;/R&gt;&lt;C&gt;1&lt;/C&gt;&lt;D xsi:type="xsd:double"&gt;3.55365386687613&lt;/D&gt;&lt;/FQL&gt;&lt;FQL&gt;&lt;Q&gt;USDCHF^STD(FG_PRICE_CHANGE(0,-1AY,AM))&lt;/Q&gt;&lt;R&gt;1&lt;/R&gt;&lt;C&gt;1&lt;/C&gt;&lt;D xsi:type="xsd:double"&gt;2.19355344794119&lt;/D&gt;&lt;/FQL&gt;&lt;FQL&gt;&lt;Q&gt;USDUSD^STD(FG_PRICE_CHANGE(0,-1AY,AM))&lt;/Q&gt;&lt;R&gt;1&lt;/R&gt;&lt;C&gt;1&lt;/C&gt;&lt;D xsi:type="xsd:double"&gt;0&lt;/D&gt;&lt;/FQL&gt;&lt;FQL&gt;&lt;Q&gt;QQQ^FG_TOTAL_RETURNC(-10AY,0,AM)&lt;/Q&gt;&lt;R&gt;121&lt;/R&gt;&lt;C&gt;1&lt;/C&gt;&lt;D xsi:type="xsd:double"&gt;-4.5624914&lt;/D&gt;&lt;D xsi:type="xsd:double"&gt;1.7517447&lt;/D&gt;&lt;D xsi:type="xsd:double"&gt;5.997038&lt;/D&gt;&lt;D xsi:type="xsd:double"&gt;3.6658049&lt;/D&gt;&lt;D xsi:type="xsd:double"&gt;2.1119475&lt;/D&gt;&lt;D xsi:type="xsd:double"&gt;2.1701455&lt;/D&gt;&lt;D xsi:type="xsd:double"&gt;-7.0390882&lt;/D&gt;&lt;D xsi:type="xsd:double"&gt;11.483871&lt;/D&gt;&lt;D xsi:type="xsd:double"&gt;0.5497694&lt;/D&gt;&lt;D xsi:type="xsd:double"&gt;-2.931571&lt;/D&gt;&lt;D xsi:type="xsd:double"&gt;6.288433&lt;/D&gt;&lt;D xsi:type="xsd:double"&gt;0.7092118&lt;/D&gt;&lt;D xsi:type="xsd:double"&gt;-1.54531&lt;/D&gt;&lt;D xsi:type="xsd:double"&gt;3.8203955&lt;/D&gt;&lt;D xsi:type="xsd:double"&gt;0.57241917&lt;/D&gt;&lt;D xsi:type="xsd:double"&gt;2.8572679&lt;/D&gt;&lt;D xsi:type="xsd:double"&gt;-2.4033785&lt;/D&gt;&lt;D xsi:type="xsd:double"&gt;-4.7356844&lt;/D&gt;&lt;D xsi:type="xsd:double"&gt;2.6293397&lt;/D&gt;&lt;D xsi:type="xsd:double"&gt;5.096185&lt;/D&gt;&lt;D xsi:type="xsd:double"&gt;-3.0429184&lt;/D&gt;&lt;D xsi:type="xsd:double"&gt;-8.185381&lt;/D&gt;&lt;D xsi:type="xsd:double"&gt;0.4859209&lt;/D&gt;&lt;D xsi:type="xsd:double"&gt;6.2743545&lt;/D&gt;&lt;D xsi:type="xsd:double"&gt;3.5950422&lt;/D&gt;&lt;D xsi:type="xsd:double"&gt;-4.827839&lt;/D&gt;&lt;D xsi:type="xsd:double"&gt;0.86591244&lt;/D&gt;&lt;D xsi:type="xsd:double"&gt;5.6812882&lt;/D&gt;&lt;D xsi:type="xsd:double"&gt;4.220724&lt;/D&gt;&lt;D xsi:type="xsd:double"&gt;0.25055408&lt;/D&gt;&lt;D xsi:type="xsd:double"&gt;0.4859805&lt;/D&gt;&lt;D xsi:type="xsd:double"&gt;-0.45816898&lt;/D&gt;&lt;D xsi:type="xsd:double"&gt;2.2459388&lt;/D&gt;&lt;D xsi:type="xsd:double"&gt;2.876258&lt;/D&gt;&lt;D xsi:type="xsd:double"&gt;5.5022717&lt;/D&gt;&lt;D xsi:type="xsd:double"&gt;1.6594648&lt;/D&gt;&lt;D xsi:type="xsd:double"&gt;-0.3113389&lt;/D&gt;&lt;D xsi:type="xsd:double"&gt;4.555142&lt;/D&gt;&lt;D xsi:type="xsd:double"&gt;0.9240985&lt;/D&gt;&lt;D xsi:type="xsd:double"&gt;3.6120176&lt;/D&gt;&lt;D xsi:type="xsd:double"&gt;-1.3343632&lt;/D&gt;&lt;D xsi:type="xsd:double"&gt;3.2849908&lt;/D&gt;&lt;D xsi:type="xsd:double"&gt;2.2741318&lt;/D&gt;&lt;D xsi:type="xsd:double"&gt;3.4193158&lt;/D&gt;&lt;D xsi:type="xsd:double"&gt;3.2604098&lt;/D&gt;&lt;D xsi:type="xsd:double"&gt;4.5259714&lt;/D&gt;&lt;D xsi:type="xsd:double"&gt;-0.5186379&lt;/D&gt;&lt;D xsi:type="xsd:double"&gt;3.673613&lt;/D&gt;&lt;D xsi:type="xsd:double"&gt;-2.516979&lt;/D&gt;&lt;D xsi:type="xsd:double"&gt;0.6128311&lt;/D&gt;&lt;D xsi:type="xsd:double"&gt;5.6242466&lt;/D&gt;&lt;D xsi:type="xsd:double"&gt;1.9433379&lt;/D&gt;&lt;D xsi:type="xsd:double"&gt;-0.03889799&lt;/D&gt;&lt;D xsi:type="xsd:double"&gt;1.6568422&lt;/D&gt;&lt;D xsi:type="xsd:double"&gt;-5.1134586&lt;/D&gt;&lt;D xsi:type="xsd:double"&gt;-3.279823&lt;/D&gt;&lt;D xsi:type="xsd:double"&gt;-5.4208994&lt;/D&gt;&lt;D xsi:type="xsd:double"&gt;4.617071&lt;/D&gt;&lt;D xsi:type="xsd:double"&gt;4.048407&lt;/D&gt;&lt;D xsi:type="xsd:double"&gt;3.9747715&lt;/D&gt;&lt;D xsi:type="xsd:double"&gt;5.009806&lt;/D&gt;&lt;D xsi:type="xsd:double"&gt;-2.3213625&lt;/D&gt;&lt;D xsi:type="xsd:double"&gt;1.8411279&lt;/D&gt;&lt;D xsi:type="xsd:double"&gt;3.4520507&lt;/D&gt;&lt;D xsi:type="xsd:double"&gt;-3.606695&lt;/D&gt;&lt;D xsi:type="xsd:double"&gt;3.7955642&lt;/D&gt;&lt;D xsi:type="xsd:double"&gt;-0.23034811&lt;/D&gt;&lt;D xsi:type="xsd:double"&gt;5.9366703&lt;/D&gt;&lt;D xsi:type="xsd:double"&gt;3.191018&lt;/D&gt;&lt;D xsi:type="xsd:double"&gt;6.8301797&lt;/D&gt;&lt;D xsi:type="xsd:double"&gt;5.081022&lt;/D&gt;&lt;D xsi:type="xsd:double"&gt;-24.764622&lt;/D&gt;&lt;D xsi:type="xsd:double"&gt;22.167646&lt;/D&gt;&lt;D xsi:type="xsd:double"&gt;5.6389093&lt;/D&gt;&lt;D xsi:type="xsd:double"&gt;7.408881&lt;/D&gt;&lt;D xsi:type="xsd:double"&gt;6.380415&lt;/D&gt;&lt;D xsi:type="xsd:double"&gt;7.1505666&lt;/D&gt;&lt;D xsi:type="xsd:double"&gt;-3.993237&lt;/D&gt;&lt;D xsi:type="xsd:double"&gt;8.265722&lt;/D&gt;&lt;D xsi:type="xsd:double"&gt;0.5545616&lt;/D&gt;&lt;D xsi:type="xsd:double"&gt;6.876707&lt;/D&gt;&lt;D xsi:type="xsd:double"&gt;0.7632971&lt;/D&gt;&lt;D xsi:type="xsd:double"&gt;6.6087365&lt;/D&gt;&lt;D xsi:type="xsd:double"&gt;-6.144911&lt;/D&gt;&lt;D xsi:type="xsd:double"&gt;9.740305&lt;/D&gt;&lt;D xsi:type="xsd:double"&gt;-5.786383&lt;/D&gt;&lt;D xsi:type="xsd:double"&gt;6.3341856&lt;/D&gt;&lt;D xsi:type="xsd:double"&gt;4.48941&lt;/D&gt;&lt;D xsi:type="xsd:double"&gt;1.2891412&lt;/D&gt;&lt;D xsi:type="xsd:double"&gt;3.208077&lt;/D&gt;&lt;D xsi:type="xsd:double"&gt;-0.20282269&lt;/D&gt;&lt;D xsi:type="xsd:double"&gt;7.8089356&lt;/D&gt;&lt;D xsi:type="xsd:double"&gt;-4.191661&lt;/D&gt;&lt;D xsi:type="xsd:double"&gt;-3.6064804&lt;/D&gt;&lt;D xsi:type="xsd:double"&gt;-7.8369913&lt;/D&gt;&lt;D xsi:type="xsd:double"&gt;2.9223084&lt;/D&gt;&lt;D xsi:type="xsd:double"&gt;-3.522265&lt;/D&gt;&lt;D xsi:type="xsd:double"&gt;-14.039385&lt;/D&gt;&lt;D xsi:type="xsd:double"&gt;-5.6502047&lt;/D&gt;&lt;D xsi:type="xsd:double"&gt;5.5528045&lt;/D&gt;&lt;D xsi:type="xsd:double"&gt;13.780236&lt;/D&gt;&lt;D xsi:type="xsd:double"&gt;-12.135565&lt;/D&gt;&lt;D xsi:type="xsd:double"&gt;-5.999005&lt;/D&gt;&lt;D xsi:type="xsd:double"&gt;4.913807&lt;/D&gt;&lt;D xsi:type="xsd:double"&gt;-3.7111163&lt;/D&gt;&lt;D xsi:type="xsd:double"&gt;1.5698075&lt;/D&gt;&lt;D xsi:type="xsd:double"&gt;8.377719&lt;/D&gt;&lt;D xsi:type="xsd:double"&gt;1.3946056&lt;/D&gt;&lt;D xsi:type="xsd:double"&gt;4.5821667&lt;/D&gt;&lt;D xsi:type="xsd:double"&gt;5.7736993&lt;/D&gt;&lt;D xsi:type="xsd:double"&gt;9.090638&lt;/D&gt;&lt;D xsi:type="xsd:double"&gt;4.9845934&lt;/D&gt;&lt;D xsi:type="xsd:double"&gt;-7.1576653&lt;/D&gt;&lt;D xsi:type="xsd:double"&gt;3.6482692&lt;/D&gt;&lt;D xsi:type="xsd:double"&gt;-1.9667625&lt;/D&gt;&lt;D xsi:type="xsd:double"&gt;6.238818&lt;/D&gt;&lt;D xsi:type="xsd:double"&gt;5.6595683&lt;/D&gt;&lt;D xsi:type="xsd:double"&gt;1.5050173&lt;/D&gt;&lt;D xsi:type="xsd:double"&gt;4.256761&lt;/D&gt;&lt;D xsi:type="xsd:double"&gt;1.7380357&lt;/D&gt;&lt;D xsi:type="xsd:double"&gt;-3.2161474&lt;/D&gt;&lt;/FQL&gt;&lt;FQL&gt;&lt;Q&gt;WL-FDS^FG_PRICE_CHANGE(0,-1AM)&lt;/Q&gt;&lt;R&gt;1&lt;/R&gt;&lt;C&gt;1&lt;/C&gt;&lt;D xsi:type="xsd:double"&gt;-9.41082802547771&lt;/D&gt;&lt;/FQL&gt;&lt;FQL&gt;&lt;Q&gt;NI-FDS^FG_PRICE_CHANGE(0,-1AM)&lt;/Q&gt;&lt;R&gt;1&lt;/R&gt;&lt;C&gt;1&lt;/C&gt;&lt;D xsi:type="xsd:double"&gt;2.99773755656108&lt;/D&gt;&lt;/FQL&gt;&lt;FQL&gt;&lt;Q&gt;CPALM-FDS^FG_PRICE_CHANGE(0,-1AM)&lt;/Q&gt;&lt;R&gt;1&lt;/R&gt;&lt;C&gt;1&lt;/C&gt;&lt;D xsi:type="xsd:double"&gt;-4.64632454923717&lt;/D&gt;&lt;/FQL&gt;&lt;FQL&gt;&lt;Q&gt;BRENT-FDS^FG_PRICE_CHANGE(0,-1AM)&lt;/Q&gt;&lt;R&gt;1&lt;/R&gt;&lt;C&gt;1&lt;/C&gt;&lt;D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xsi:type="xsd:double"&gt;-2.28116230650856&lt;/D&gt;&lt;/FQL&gt;&lt;FQL&gt;&lt;Q&gt;EWU^FG_PRICE_MAVG(0,,,,60)&lt;/Q&gt;&lt;R&gt;1&lt;/R&gt;&lt;C&gt;1&lt;/C&gt;&lt;D xsi:type="xsd:double"&gt;33.174835&lt;/D&gt;&lt;/FQL&gt;&lt;FQL&gt;&lt;Q&gt;EWC^FG_PRICE_MAVG(0,,,,60)&lt;/Q&gt;&lt;R&gt;1&lt;/R&gt;&lt;C&gt;1&lt;/C&gt;&lt;D xsi:type="xsd:double"&gt;37.1575&lt;/D&gt;&lt;/FQL&gt;&lt;FQL&gt;&lt;Q&gt;SPY^FG_COMPANY_NAME&lt;/Q&gt;&lt;R&gt;1&lt;/R&gt;&lt;C&gt;1&lt;/C&gt;&lt;D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xsi:type="xsd:double"&gt;-5.3220153&lt;/D&gt;&lt;/FQL&gt;&lt;FQL&gt;&lt;Q&gt;EWI^P_PRICE(0)/P_PRICE_LOW_PR(0,,,,,,"PRICE","INTRA","52W")-1&lt;/Q&gt;&lt;R&gt;1&lt;/R&gt;&lt;C&gt;1&lt;/C&gt;&lt;D xsi:type="xsd:double"&gt;0.24418402&lt;/D&gt;&lt;/FQL&gt;&lt;FQL&gt;&lt;Q&gt;EWQ^PERCENT_CHANGE(FMA_EPS(+1,0,,,,"PORTAGG","MEAN"),FMA_EPS(+1,-3AM,,,,"PORTAGG","MEAN"))&lt;/Q&gt;&lt;R&gt;1&lt;/R&gt;&lt;C&gt;1&lt;/C&gt;&lt;D xsi:type="xsd:double"&gt;-6.17445942400646&lt;/D&gt;&lt;/FQL&gt;&lt;FQL&gt;&lt;Q&gt;QQQ^FG_TOTAL_RETURNC(0,-3AM)&lt;/Q&gt;&lt;R&gt;1&lt;/R&gt;&lt;C&gt;1&lt;/C&gt;&lt;D xsi:type="xsd:double"&gt;2.6574612&lt;/D&gt;&lt;/FQL&gt;&lt;FQL&gt;&lt;Q&gt;EWG^FG_TOTAL_RETURNC(0,-12AM)&lt;/Q&gt;&lt;R&gt;1&lt;/R&gt;&lt;C&gt;1&lt;/C&gt;&lt;D xsi:type="xsd:double"&gt;5.707109&lt;/D&gt;&lt;/FQL&gt;&lt;FQL&gt;&lt;Q&gt;EWC^PERCENT_CHANGE(FMA_EPS(+1,0,,,,"PORTAGG","MEAN"),FMA_EPS(+1,-1AM,,,,"PORTAGG","MEAN"))&lt;/Q&gt;&lt;R&gt;1&lt;/R&gt;&lt;C&gt;1&lt;/C&gt;&lt;D xsi:type="xsd:double"&gt;-1.47209946751157&lt;/D&gt;&lt;/FQL&gt;&lt;FQL&gt;&lt;Q&gt;VWO^SIZE(FG_CONSTITUENTS)&lt;/Q&gt;&lt;R&gt;1&lt;/R&gt;&lt;C&gt;1&lt;/C&gt;&lt;D xsi:type="xsd:long"&gt;4786&lt;/D&gt;&lt;/FQL&gt;&lt;FQL&gt;&lt;Q&gt;EWQ^FMA_COS_DOWN("EPS","1M",+1,0,,,"PORTAGG","MEANR")&lt;/Q&gt;&lt;R&gt;1&lt;/R&gt;&lt;C&gt;1&lt;/C&gt;&lt;D xsi:type="xsd:double"&gt;41&lt;/D&gt;&lt;/FQL&gt;&lt;FQL&gt;&lt;Q&gt;EWU^FMA_RBICS_REV_CURRENT(30, LOC, "PORTAGG")&lt;/Q&gt;&lt;R&gt;1&lt;/R&gt;&lt;C&gt;1&lt;/C&gt;&lt;D xsi:type="xsd:double"&gt;17.7139371648032&lt;/D&gt;&lt;/FQL&gt;&lt;FQL&gt;&lt;Q&gt;CAGDPY@GB^EE_ACTUAL_ANNUAL(MED,+1)&lt;/Q&gt;&lt;R&gt;1&lt;/R&gt;&lt;C&gt;1&lt;/C&gt;&lt;D xsi:type="xsd:double"&gt;-2.9&lt;/D&gt;&lt;/FQL&gt;&lt;FQL&gt;&lt;Q&gt;CC_GB^FG_COMPANY_NAME&lt;/Q&gt;&lt;R&gt;1&lt;/R&gt;&lt;C&gt;1&lt;/C&gt;&lt;D xsi:type="xsd:string"&gt;United Kingdom&lt;/D&gt;&lt;/FQL&gt;&lt;FQL&gt;&lt;Q&gt;USDEUR^STD(FG_PRICE_CHANGE(0,-1AY,AM))&lt;/Q&gt;&lt;R&gt;1&lt;/R&gt;&lt;C&gt;1&lt;/C&gt;&lt;D xsi:type="xsd:double"&gt;2.13177762255548&lt;/D&gt;&lt;/FQL&gt;&lt;FQL&gt;&lt;Q&gt;USDAUD^STD(FG_PRICE_CHANGE(0,-1AY,AM))&lt;/Q&gt;&lt;R&gt;1&lt;/R&gt;&lt;C&gt;1&lt;/C&gt;&lt;D xsi:type="xsd:double"&gt;2.64623354845713&lt;/D&gt;&lt;/FQL&gt;&lt;FQL&gt;&lt;Q&gt;EWD^FMA_EPS(NTMA,-20AY,0,CY,,"PORTAGG","MEANR")&lt;/Q&gt;&lt;R&gt;20&lt;/R&gt;&lt;C&gt;1&lt;/C&gt;&lt;D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xsi:type="xsd:double"&gt;2.51009258677616&lt;/D&gt;&lt;/FQL&gt;&lt;FQL&gt;&lt;Q&gt;EWQ^P_PRICE_RETURNS_PR('52W',2,-10AY,0,AM)&lt;/Q&gt;&lt;R&gt;121&lt;/R&gt;&lt;C&gt;1&lt;/C&gt;&lt;D xsi:type="xsd:double"&gt;33.2538&lt;/D&gt;&lt;D xsi:type="xsd:double"&gt;22.73481&lt;/D&gt;&lt;D xsi:type="xsd:double"&gt;22.467566&lt;/D&gt;&lt;D xsi:type="xsd:double"&gt;17.288029&lt;/D&gt;&lt;D xsi:type="xsd:double"&gt;5.764818&lt;/D&gt;&lt;D xsi:type="xsd:double"&gt;3.2238483&lt;/D&gt;&lt;D xsi:type="xsd:double"&gt;-9.189707&lt;/D&gt;&lt;D xsi:type="xsd:double"&gt;-4.894197&lt;/D&gt;&lt;D xsi:type="xsd:double"&gt;-5.0677595&lt;/D&gt;&lt;D xsi:type="xsd:double"&gt;-10.725755&lt;/D&gt;&lt;D xsi:type="xsd:double"&gt;-5.04486&lt;/D&gt;&lt;D xsi:type="xsd:double"&gt;-6.7549524&lt;/D&gt;&lt;D xsi:type="xsd:double"&gt;-7.022524&lt;/D&gt;&lt;D xsi:type="xsd:double"&gt;-4.3790936&lt;/D&gt;&lt;D xsi:type="xsd:double"&gt;-9.1613&lt;/D&gt;&lt;D xsi:type="xsd:double"&gt;-1.9997418&lt;/D&gt;&lt;D xsi:type="xsd:double"&gt;-0.3728509&lt;/D&gt;&lt;D xsi:type="xsd:double"&gt;-8.208251&lt;/D&gt;&lt;D xsi:type="xsd:double"&gt;10.109425&lt;/D&gt;&lt;D xsi:type="xsd:double"&gt;0.64741373&lt;/D&gt;&lt;D xsi:type="xsd:double"&gt;-2.8313994&lt;/D&gt;&lt;D xsi:type="xsd:double"&gt;-6.1715784&lt;/D&gt;&lt;D xsi:type="xsd:double"&gt;-11.665857&lt;/D&gt;&lt;D xsi:type="xsd:double"&gt;-4.758459&lt;/D&gt;&lt;D xsi:type="xsd:double"&gt;-5.5924177&lt;/D&gt;&lt;D xsi:type="xsd:double"&gt;-11.731839&lt;/D&gt;&lt;D xsi:type="xsd:double"&gt;-8.816057&lt;/D&gt;&lt;D xsi:type="xsd:double"&gt;-10.217237&lt;/D&gt;&lt;D xsi:type="xsd:double"&gt;-5.019486&lt;/D&gt;&lt;D xsi:type="xsd:double"&gt;-4.1632595&lt;/D&gt;&lt;D xsi:type="xsd:double"&gt;-4.3542624&lt;/D&gt;&lt;D xsi:type="xsd:double"&gt;-5.8722973&lt;/D&gt;&lt;D xsi:type="xsd:double"&gt;1.2059689&lt;/D&gt;&lt;D xsi:type="xsd:double"&gt;16.589428&lt;/D&gt;&lt;D xsi:type="xsd:double"&gt;12.379289&lt;/D&gt;&lt;D xsi:type="xsd:double"&gt;10.342598&lt;/D&gt;&lt;D xsi:type="xsd:double"&gt;8.413565&lt;/D&gt;&lt;D xsi:type="xsd:double"&gt;24.985481&lt;/D&gt;&lt;D xsi:type="xsd:double"&gt;29.555225&lt;/D&gt;&lt;D xsi:type="xsd:double"&gt;28.924538&lt;/D&gt;&lt;D xsi:type="xsd:double"&gt;23.470974&lt;/D&gt;&lt;D xsi:type="xsd:double"&gt;33.236862&lt;/D&gt;&lt;D xsi:type="xsd:double"&gt;32.774044&lt;/D&gt;&lt;D xsi:type="xsd:double"&gt;34.146477&lt;/D&gt;&lt;D xsi:type="xsd:double"&gt;31.306314&lt;/D&gt;&lt;D xsi:type="xsd:double"&gt;34.271442&lt;/D&gt;&lt;D xsi:type="xsd:double"&gt;29.562653&lt;/D&gt;&lt;D xsi:type="xsd:double"&gt;24.492&lt;/D&gt;&lt;D xsi:type="xsd:double"&gt;29.0205&lt;/D&gt;&lt;D xsi:type="xsd:double"&gt;15.136218&lt;/D&gt;&lt;D xsi:type="xsd:double"&gt;10.935211&lt;/D&gt;&lt;D xsi:type="xsd:double"&gt;9.374785&lt;/D&gt;&lt;D xsi:type="xsd:double"&gt;5.681145&lt;/D&gt;&lt;D xsi:type="xsd:double"&gt;3.7383318&lt;/D&gt;&lt;D xsi:type="xsd:double"&gt;-5.0604286&lt;/D&gt;&lt;D xsi:type="xsd:double"&gt;-5.600089&lt;/D&gt;&lt;D xsi:type="xsd:double"&gt;-12.496257&lt;/D&gt;&lt;D xsi:type="xsd:double"&gt;-15.058523&lt;/D&gt;&lt;D xsi:type="xsd:double"&gt;-8.435613&lt;/D&gt;&lt;D xsi:type="xsd:double"&gt;-3.103435&lt;/D&gt;&lt;D xsi:type="xsd:double"&gt;-3.9040685&lt;/D&gt;&lt;D xsi:type="xsd:double"&gt;-6.363696&lt;/D&gt;&lt;D xsi:type="xsd:double"&gt;-1.0557532&lt;/D&gt;&lt;D xsi:type="xsd:double"&gt;0.3245473&lt;/D&gt;&lt;D xsi:type="xsd:double"&gt;-1.4402509&lt;/D&gt;&lt;D xsi:type="xsd:double"&gt;0.69185495&lt;/D&gt;&lt;D xsi:type="xsd:double"&gt;9.329605&lt;/D&gt;&lt;D xsi:type="xsd:double"&gt;15.765405&lt;/D&gt;&lt;D xsi:type="xsd:double"&gt;24.12368&lt;/D&gt;&lt;D xsi:type="xsd:double"&gt;25.320984&lt;/D&gt;&lt;D xsi:type="xsd:double"&gt;15.387165&lt;/D&gt;&lt;D xsi:type="xsd:double"&gt;-31.705278&lt;/D&gt;&lt;D xsi:type="xsd:double"&gt;-19.731976&lt;/D&gt;&lt;D xsi:type="xsd:double"&gt;-16.324116&lt;/D&gt;&lt;D xsi:type="xsd:double"&gt;-8.631647&lt;/D&gt;&lt;D xsi:type="xsd:double"&gt;-4.6919227&lt;/D&gt;&lt;D xsi:type="xsd:double"&gt;2.6582599&lt;/D&gt;&lt;D xsi:type="xsd:double"&gt;-3.0591726&lt;/D&gt;&lt;D xsi:type="xsd:double"&gt;-5.4467974&lt;/D&gt;&lt;D xsi:type="xsd:double"&gt;1.3092875&lt;/D&gt;&lt;D xsi:type="xsd:double"&gt;4.6060205&lt;/D&gt;&lt;D xsi:type="xsd:double"&gt;3.5334587&lt;/D&gt;&lt;D xsi:type="xsd:double"&gt;7.499099&lt;/D&gt;&lt;D xsi:type="xsd:double"&gt;76.80067&lt;/D&gt;&lt;D xsi:type="xsd:double"&gt;62.14005&lt;/D&gt;&lt;D xsi:type="xsd:double"&gt;58.181656&lt;/D&gt;&lt;D xsi:type="xsd:double"&gt;42.04806&lt;/D&gt;&lt;D xsi:type="xsd:double"&gt;31.805206&lt;/D&gt;&lt;D xsi:type="xsd:double"&gt;33.69452&lt;/D&gt;&lt;D xsi:type="xsd:double"&gt;30.685556&lt;/D&gt;&lt;D xsi:type="xsd:double"&gt;35.79639&lt;/D&gt;&lt;D xsi:type="xsd:double"&gt;26.927053&lt;/D&gt;&lt;D xsi:type="xsd:double"&gt;15.239679&lt;/D&gt;&lt;D xsi:type="xsd:double"&gt;20.245016&lt;/D&gt;&lt;D xsi:type="xsd:double"&gt;13.938189&lt;/D&gt;&lt;D xsi:type="xsd:double"&gt;4.478252&lt;/D&gt;&lt;D xsi:type="xsd:double"&gt;-3.7965477&lt;/D&gt;&lt;D xsi:type="xsd:double"&gt;-11.709648&lt;/D&gt;&lt;D xsi:type="xsd:double"&gt;-18.84843&lt;/D&gt;&lt;D xsi:type="xsd:double"&gt;-15.873843&lt;/D&gt;&lt;D xsi:type="xsd:double"&gt;-12.16076&lt;/D&gt;&lt;D xsi:type="xsd:double"&gt;-19.333447&lt;/D&gt;&lt;D xsi:type="xsd:double"&gt;-20.720636&lt;/D&gt;&lt;D xsi:type="xsd:double"&gt;-13.373595&lt;/D&gt;&lt;D xsi:type="xsd:double"&gt;-10.338593&lt;/D&gt;&lt;D xsi:type="xsd:double"&gt;-2.9215038&lt;/D&gt;&lt;D xsi:type="xsd:double"&gt;3.265965&lt;/D&gt;&lt;D xsi:type="xsd:double"&gt;3.0863643&lt;/D&gt;&lt;D xsi:type="xsd:double"&gt;18.618858&lt;/D&gt;&lt;D xsi:type="xsd:double"&gt;23.646938&lt;/D&gt;&lt;D xsi:type="xsd:double"&gt;32.05789&lt;/D&gt;&lt;D xsi:type="xsd:double"&gt;36.216187&lt;/D&gt;&lt;D xsi:type="xsd:double"&gt;18.987692&lt;/D&gt;&lt;D xsi:type="xsd:double"&gt;28.456366&lt;/D&gt;&lt;D xsi:type="xsd:double"&gt;22.918583&lt;/D&gt;&lt;D xsi:type="xsd:double"&gt;16.748095&lt;/D&gt;&lt;D xsi:type="xsd:double"&gt;21.548891&lt;/D&gt;&lt;D xsi:type="xsd:double"&gt;7.199681&lt;/D&gt;&lt;D xsi:type="xsd:double"&gt;7.6664805&lt;/D&gt;&lt;D xsi:type="xsd:double"&gt;20.759224&lt;/D&gt;&lt;D xsi:type="xsd:double"&gt;3.9987087&lt;/D&gt;&lt;/FQL&gt;&lt;FQL&gt;&lt;Q&gt;EWL^FMA_DIV_YLD(NTMA,-10AY,0,AM,"PORTAGG","MEANR")&lt;/Q&gt;&lt;R&gt;121&lt;/R&gt;&lt;C&gt;1&lt;/C&gt;&lt;D xsi:type="xsd:double"&gt;3.22303581302972&lt;/D&gt;&lt;D xsi:type="xsd:double"&gt;3.19114666665821&lt;/D&gt;&lt;D xsi:type="xsd:double"&gt;3.22856707559903&lt;/D&gt;&lt;D xsi:type="xsd:double"&gt;3.33887104729427&lt;/D&gt;&lt;D xsi:type="xsd:double"&gt;3.37478634658589&lt;/D&gt;&lt;D xsi:type="xsd:double"&gt;3.28223309374304&lt;/D&gt;&lt;D xsi:type="xsd:double"&gt;3.54645452129457&lt;/D&gt;&lt;D xsi:type="xsd:double"&gt;3.25719147172654&lt;/D&gt;&lt;D xsi:type="xsd:double"&gt;3.28629028709389&lt;/D&gt;&lt;D xsi:type="xsd:double"&gt;3.5452035248247&lt;/D&gt;&lt;D xsi:type="xsd:double"&gt;3.23678233314757&lt;/D&gt;&lt;D xsi:type="xsd:double"&gt;3.12283106663936&lt;/D&gt;&lt;D xsi:type="xsd:double"&gt;3.07147860181488&lt;/D&gt;&lt;D xsi:type="xsd:double"&gt;3.08975605373956&lt;/D&gt;&lt;D xsi:type="xsd:double"&gt;3.22876970439316&lt;/D&gt;&lt;D xsi:type="xsd:double"&gt;3.1078588723757&lt;/D&gt;&lt;D xsi:type="xsd:double"&gt;3.13948453863329&lt;/D&gt;&lt;D xsi:type="xsd:double"&gt;3.34838821557798&lt;/D&gt;&lt;D xsi:type="xsd:double"&gt;3.33290528003426&lt;/D&gt;&lt;D xsi:type="xsd:double"&gt;3.24209646510552&lt;/D&gt;&lt;D xsi:type="xsd:double"&gt;3.34250773285587&lt;/D&gt;&lt;D xsi:type="xsd:double"&gt;3.55952169820058&lt;/D&gt;&lt;D xsi:type="xsd:double"&gt;3.52536211616592&lt;/D&gt;&lt;D xsi:type="xsd:double"&gt;3.51909946379534&lt;/D&gt;&lt;D xsi:type="xsd:double"&gt;3.46789405056409&lt;/D&gt;&lt;D xsi:type="xsd:double"&gt;3.54445566580022&lt;/D&gt;&lt;D xsi:type="xsd:double"&gt;3.6457634453746&lt;/D&gt;&lt;D xsi:type="xsd:double"&gt;3.50120242717039&lt;/D&gt;&lt;D xsi:type="xsd:double"&gt;3.44054388613625&lt;/D&gt;&lt;D xsi:type="xsd:double"&gt;3.51145934261591&lt;/D&gt;&lt;D xsi:type="xsd:double"&gt;3.55264314414984&lt;/D&gt;&lt;D xsi:type="xsd:double"&gt;3.63805827482229&lt;/D&gt;&lt;D xsi:type="xsd:double"&gt;3.57244797468013&lt;/D&gt;&lt;D xsi:type="xsd:double"&gt;3.50070965308228&lt;/D&gt;&lt;D xsi:type="xsd:double"&gt;3.37887043631587&lt;/D&gt;&lt;D xsi:type="xsd:double"&gt;3.323669932443&lt;/D&gt;&lt;D xsi:type="xsd:double"&gt;3.46438664289369&lt;/D&gt;&lt;D xsi:type="xsd:double"&gt;3.33151073296673&lt;/D&gt;&lt;D xsi:type="xsd:double"&gt;3.27060393818847&lt;/D&gt;&lt;D xsi:type="xsd:double"&gt;3.26621746699063&lt;/D&gt;&lt;D xsi:type="xsd:double"&gt;3.33854731677605&lt;/D&gt;&lt;D xsi:type="xsd:double"&gt;3.28118621975913&lt;/D&gt;&lt;D xsi:type="xsd:double"&gt;3.23773228237997&lt;/D&gt;&lt;D xsi:type="xsd:double"&gt;3.27458560052576&lt;/D&gt;&lt;D xsi:type="xsd:double"&gt;3.19530609284126&lt;/D&gt;&lt;D xsi:type="xsd:double"&gt;3.18152425609597&lt;/D&gt;&lt;D xsi:type="xsd:double"&gt;3.32727490180322&lt;/D&gt;&lt;D xsi:type="xsd:double"&gt;3.44272333089131&lt;/D&gt;&lt;D xsi:type="xsd:double"&gt;3.4239825596324&lt;/D&gt;&lt;D xsi:type="xsd:double"&gt;3.43705209392803&lt;/D&gt;&lt;D xsi:type="xsd:double"&gt;3.5972210675629&lt;/D&gt;&lt;D xsi:type="xsd:double"&gt;3.44786313898022&lt;/D&gt;&lt;D xsi:type="xsd:double"&gt;3.44436241737707&lt;/D&gt;&lt;D xsi:type="xsd:double"&gt;3.43006110629678&lt;/D&gt;&lt;D xsi:type="xsd:double"&gt;3.5851459567318&lt;/D&gt;&lt;D xsi:type="xsd:double"&gt;3.56578872563424&lt;/D&gt;&lt;D xsi:type="xsd:double"&gt;3.69058736012018&lt;/D&gt;&lt;D xsi:type="xsd:double"&gt;3.46354294014338&lt;/D&gt;&lt;D xsi:type="xsd:double"&gt;3.37669559867037&lt;/D&gt;&lt;D xsi:type="xsd:double"&gt;3.3116531475673&lt;/D&gt;&lt;D xsi:type="xsd:double"&gt;3.28800706694223&lt;/D&gt;&lt;D xsi:type="xsd:double"&gt;3.2914434844968&lt;/D&gt;&lt;D xsi:type="xsd:double"&gt;3.21003685849989&lt;/D&gt;&lt;D xsi:type="xsd:double"&gt;3.19870640978022&lt;/D&gt;&lt;D xsi:type="xsd:double"&gt;3.29323438479681&lt;/D&gt;&lt;D xsi:type="xsd:double"&gt;3.21831526598451&lt;/D&gt;&lt;D xsi:type="xsd:double"&gt;3.22751445493823&lt;/D&gt;&lt;D xsi:type="xsd:double"&gt;3.12120591475967&lt;/D&gt;&lt;D xsi:type="xsd:double"&gt;3.07009863648479&lt;/D&gt;&lt;D xsi:type="xsd:double"&gt;2.9842273900564&lt;/D&gt;&lt;D xsi:type="xsd:double"&gt;2.93216835831735&lt;/D&gt;&lt;D xsi:type="xsd:double"&gt;3.93093542649074&lt;/D&gt;&lt;D xsi:type="xsd:double"&gt;3.33388939220045&lt;/D&gt;&lt;D xsi:type="xsd:double"&gt;3.21577102108364&lt;/D&gt;&lt;D xsi:type="xsd:double"&gt;3.05901856704735&lt;/D&gt;&lt;D xsi:type="xsd:double"&gt;2.99382199932835&lt;/D&gt;&lt;D xsi:type="xsd:double"&gt;2.94914005292073&lt;/D&gt;&lt;D xsi:type="xsd:double"&gt;2.87875824593571&lt;/D&gt;&lt;D xsi:type="xsd:double"&gt;2.9640610031655&lt;/D&gt;&lt;D xsi:type="xsd:double"&gt;2.86715145208183&lt;/D&gt;&lt;D xsi:type="xsd:double"&gt;2.86796468733837&lt;/D&gt;&lt;D xsi:type="xsd:double"&gt;2.80366229424796&lt;/D&gt;&lt;D xsi:type="xsd:double"&gt;2.84539367350898&lt;/D&gt;&lt;D xsi:type="xsd:double"&gt;2.82070277503424&lt;/D&gt;&lt;D xsi:type="xsd:double"&gt;2.71758254894283&lt;/D&gt;&lt;D xsi:type="xsd:double"&gt;2.75339638650085&lt;/D&gt;&lt;D xsi:type="xsd:double"&gt;2.63491211312143&lt;/D&gt;&lt;D xsi:type="xsd:double"&gt;2.62195490064624&lt;/D&gt;&lt;D xsi:type="xsd:double"&gt;2.53677680783492&lt;/D&gt;&lt;D xsi:type="xsd:double"&gt;2.67484877095208&lt;/D&gt;&lt;D xsi:type="xsd:double"&gt;2.692769378087&lt;/D&gt;&lt;D xsi:type="xsd:double"&gt;2.57859577129611&lt;/D&gt;&lt;D xsi:type="xsd:double"&gt;2.56679183582594&lt;/D&gt;&lt;D xsi:type="xsd:double"&gt;2.6374684291173&lt;/D&gt;&lt;D xsi:type="xsd:double"&gt;2.79053229627966&lt;/D&gt;&lt;D xsi:type="xsd:double"&gt;2.77198717068382&lt;/D&gt;&lt;D xsi:type="xsd:double"&gt;2.752664311459&lt;/D&gt;&lt;D xsi:type="xsd:double"&gt;2.99036375157844&lt;/D&gt;&lt;D xsi:type="xsd:double"&gt;3.30026022203637&lt;/D&gt;&lt;D xsi:type="xsd:double"&gt;3.13674010254617&lt;/D&gt;&lt;D xsi:type="xsd:double"&gt;3.08401111235923&lt;/D&gt;&lt;D xsi:type="xsd:double"&gt;3.2865422619023&lt;/D&gt;&lt;D xsi:type="xsd:double"&gt;3.3314124220092&lt;/D&gt;&lt;D xsi:type="xsd:double"&gt;3.13582975044623&lt;/D&gt;&lt;D xsi:type="xsd:double"&gt;3.22598460731683&lt;/D&gt;&lt;D xsi:type="xsd:double"&gt;3.03228918937856&lt;/D&gt;&lt;D xsi:type="xsd:double"&gt;3.0775083928221&lt;/D&gt;&lt;D xsi:type="xsd:double"&gt;3.29865056066862&lt;/D&gt;&lt;D xsi:type="xsd:double"&gt;3.09175296002169&lt;/D&gt;&lt;D xsi:type="xsd:double"&gt;3.11834434164922&lt;/D&gt;&lt;D xsi:type="xsd:double"&gt;3.13594939452627&lt;/D&gt;&lt;D xsi:type="xsd:double"&gt;3.16836354380106&lt;/D&gt;&lt;D xsi:type="xsd:double"&gt;3.29864954331485&lt;/D&gt;&lt;D xsi:type="xsd:double"&gt;3.28555651218695&lt;/D&gt;&lt;D xsi:type="xsd:double"&gt;3.43402049935975&lt;/D&gt;&lt;D xsi:type="xsd:double"&gt;3.41026481144872&lt;/D&gt;&lt;D xsi:type="xsd:double"&gt;3.2955286416916&lt;/D&gt;&lt;D xsi:type="xsd:double"&gt;3.33208513681197&lt;/D&gt;&lt;D xsi:type="xsd:double"&gt;3.32742837720955&lt;/D&gt;&lt;D xsi:type="xsd:double"&gt;3.27099845662559&lt;/D&gt;&lt;D xsi:type="xsd:double"&gt;3.36114924901481&lt;/D&gt;&lt;/FQL&gt;&lt;FQL&gt;&lt;Q&gt;EWG^FMA_PE(NTMA,-10AY,0,AM,"PORTAGG","MEANR")&lt;/Q&gt;&lt;R&gt;121&lt;/R&gt;&lt;C&gt;1&lt;/C&gt;&lt;D xsi:type="xsd:double"&gt;12.8439718244504&lt;/D&gt;&lt;D xsi:type="xsd:double"&gt;12.9439513438682&lt;/D&gt;&lt;D xsi:type="xsd:double"&gt;13.3126859469281&lt;/D&gt;&lt;D xsi:type="xsd:double"&gt;12.9180011281095&lt;/D&gt;&lt;D xsi:type="xsd:double"&gt;12.3293775317951&lt;/D&gt;&lt;D xsi:type="xsd:double"&gt;12.9349618077146&lt;/D&gt;&lt;D xsi:type="xsd:double"&gt;11.6960462198589&lt;/D&gt;&lt;D xsi:type="xsd:double"&gt;12.4550576049887&lt;/D&gt;&lt;D xsi:type="xsd:double"&gt;12.8745425977393&lt;/D&gt;&lt;D xsi:type="xsd:double"&gt;13.3310697659629&lt;/D&gt;&lt;D xsi:type="xsd:double"&gt;14.2566776141772&lt;/D&gt;&lt;D xsi:type="xsd:double"&gt;15.4347565705434&lt;/D&gt;&lt;D xsi:type="xsd:double"&gt;15.0004046304314&lt;/D&gt;&lt;D xsi:type="xsd:double"&gt;14.449482267157&lt;/D&gt;&lt;D xsi:type="xsd:double"&gt;13.5606436749507&lt;/D&gt;&lt;D xsi:type="xsd:double"&gt;14.150343345255&lt;/D&gt;&lt;D xsi:type="xsd:double"&gt;13.1872358951879&lt;/D&gt;&lt;D xsi:type="xsd:double"&gt;12.0281615264763&lt;/D&gt;&lt;D xsi:type="xsd:double"&gt;12.4512656761967&lt;/D&gt;&lt;D xsi:type="xsd:double"&gt;13.6542118398273&lt;/D&gt;&lt;D xsi:type="xsd:double"&gt;13.1989785674518&lt;/D&gt;&lt;D xsi:type="xsd:double"&gt;11.9224051099086&lt;/D&gt;&lt;D xsi:type="xsd:double"&gt;12.035881812425&lt;/D&gt;&lt;D xsi:type="xsd:double"&gt;12.6772453328285&lt;/D&gt;&lt;D xsi:type="xsd:double"&gt;12.8818394614971&lt;/D&gt;&lt;D xsi:type="xsd:double"&gt;12.4135694872223&lt;/D&gt;&lt;D xsi:type="xsd:double"&gt;11.8602820036598&lt;/D&gt;&lt;D xsi:type="xsd:double"&gt;12.4171198016082&lt;/D&gt;&lt;D xsi:type="xsd:double"&gt;13.0157574238191&lt;/D&gt;&lt;D xsi:type="xsd:double"&gt;12.6510087153016&lt;/D&gt;&lt;D xsi:type="xsd:double"&gt;12.9804191076117&lt;/D&gt;&lt;D xsi:type="xsd:double"&gt;12.7710283801612&lt;/D&gt;&lt;D xsi:type="xsd:double"&gt;13.582688290161&lt;/D&gt;&lt;D xsi:type="xsd:double"&gt;13.7187646423552&lt;/D&gt;&lt;D xsi:type="xsd:double"&gt;13</t>
        </r>
      </text>
    </comment>
    <comment ref="A7" authorId="0" shapeId="0" xr:uid="{A1FDEEDA-5925-44BE-9A19-F2B1FFC25F46}">
      <text>
        <r>
          <rPr>
            <b/>
            <sz val="9"/>
            <color indexed="81"/>
            <rFont val="Tahoma"/>
            <charset val="1"/>
          </rPr>
          <t>.3332944813125&lt;/D&gt;&lt;D xsi:type="xsd:double"&gt;13.9558543848311&lt;/D&gt;&lt;D xsi:type="xsd:double"&gt;13.6417405631765&lt;/D&gt;&lt;D xsi:type="xsd:double"&gt;13.7577457192801&lt;/D&gt;&lt;D xsi:type="xsd:double"&gt;13.7864069181796&lt;/D&gt;&lt;D xsi:type="xsd:double"&gt;13.3777553708844&lt;/D&gt;&lt;D xsi:type="xsd:double"&gt;13.0382852891774&lt;/D&gt;&lt;D xsi:type="xsd:double"&gt;13.415274456916&lt;/D&gt;&lt;D xsi:type="xsd:double"&gt;13.8827283504737&lt;/D&gt;&lt;D xsi:type="xsd:double"&gt;13.8003083422623&lt;/D&gt;&lt;D xsi:type="xsd:double"&gt;14.1818869564723&lt;/D&gt;&lt;D xsi:type="xsd:double"&gt;14.0806015880163&lt;/D&gt;&lt;D xsi:type="xsd:double"&gt;13.1979830615009&lt;/D&gt;&lt;D xsi:type="xsd:double"&gt;13.0514223679959&lt;/D&gt;&lt;D xsi:type="xsd:double"&gt;13.2169129223246&lt;/D&gt;&lt;D xsi:type="xsd:double"&gt;13.451970542583&lt;/D&gt;&lt;D xsi:type="xsd:double"&gt;13.2645802346851&lt;/D&gt;&lt;D xsi:type="xsd:double"&gt;13.1892300630685&lt;/D&gt;&lt;D xsi:type="xsd:double"&gt;12.66424486454&lt;/D&gt;&lt;D xsi:type="xsd:double"&gt;12.60955818196&lt;/D&gt;&lt;D xsi:type="xsd:double"&gt;11.995739449476&lt;/D&gt;&lt;D xsi:type="xsd:double"&gt;11.6359773118956&lt;/D&gt;&lt;D xsi:type="xsd:double"&gt;11.134280981007&lt;/D&gt;&lt;D xsi:type="xsd:double"&gt;11.7177722778855&lt;/D&gt;&lt;D xsi:type="xsd:double"&gt;11.9185768447603&lt;/D&gt;&lt;D xsi:type="xsd:double"&gt;12.3339784944811&lt;/D&gt;&lt;D xsi:type="xsd:double"&gt;12.8911577902584&lt;/D&gt;&lt;D xsi:type="xsd:double"&gt;12.6271601906133&lt;/D&gt;&lt;D xsi:type="xsd:double"&gt;12.5796601411307&lt;/D&gt;&lt;D xsi:type="xsd:double"&gt;12.7145316061491&lt;/D&gt;&lt;D xsi:type="xsd:double"&gt;12.2222510663755&lt;/D&gt;&lt;D xsi:type="xsd:double"&gt;13.0441752305882&lt;/D&gt;&lt;D xsi:type="xsd:double"&gt;13.2868953541734&lt;/D&gt;&lt;D xsi:type="xsd:double"&gt;13.9988849745769&lt;/D&gt;&lt;D xsi:type="xsd:double"&gt;14.1454819323748&lt;/D&gt;&lt;D xsi:type="xsd:double"&gt;14.3807475088946&lt;/D&gt;&lt;D xsi:type="xsd:double"&gt;14.4426943395099&lt;/D&gt;&lt;D xsi:type="xsd:double"&gt;9.16728358255597&lt;/D&gt;&lt;D xsi:type="xsd:double"&gt;13.9304384358285&lt;/D&gt;&lt;D xsi:type="xsd:double"&gt;15.758069359091&lt;/D&gt;&lt;D xsi:type="xsd:double"&gt;17.8276210030733&lt;/D&gt;&lt;D xsi:type="xsd:double"&gt;18.5492634897501&lt;/D&gt;&lt;D xsi:type="xsd:double"&gt;17.9309612119506&lt;/D&gt;&lt;D xsi:type="xsd:double"&gt;17.5275538516916&lt;/D&gt;&lt;D xsi:type="xsd:double"&gt;16.6818198419327&lt;/D&gt;&lt;D xsi:type="xsd:double"&gt;16.163230146622&lt;/D&gt;&lt;D xsi:type="xsd:double"&gt;16.1873672215304&lt;/D&gt;&lt;D xsi:type="xsd:double"&gt;15.9914970747524&lt;/D&gt;&lt;D xsi:type="xsd:double"&gt;15.57955780193&lt;/D&gt;&lt;D xsi:type="xsd:double"&gt;16.1479198955107&lt;/D&gt;&lt;D xsi:type="xsd:double"&gt;16.1949373789364&lt;/D&gt;&lt;D xsi:type="xsd:double"&gt;14.8216472765462&lt;/D&gt;&lt;D xsi:type="xsd:double"&gt;14.7594169335065&lt;/D&gt;&lt;D xsi:type="xsd:double"&gt;14.4733237748711&lt;/D&gt;&lt;D xsi:type="xsd:double"&gt;14.3768946054381&lt;/D&gt;&lt;D xsi:type="xsd:double"&gt;13.8572574287072&lt;/D&gt;&lt;D xsi:type="xsd:double"&gt;13.6962651712117&lt;/D&gt;&lt;D xsi:type="xsd:double"&gt;13.867441827172&lt;/D&gt;&lt;D xsi:type="xsd:double"&gt;13.1672388085472&lt;/D&gt;&lt;D xsi:type="xsd:double"&gt;13.2382370125489&lt;/D&gt;&lt;D xsi:type="xsd:double"&gt;12.3538309085282&lt;/D&gt;&lt;D xsi:type="xsd:double"&gt;11.7112988104842&lt;/D&gt;&lt;D xsi:type="xsd:double"&gt;11.3092849066282&lt;/D&gt;&lt;D xsi:type="xsd:double"&gt;10.7318271762364&lt;/D&gt;&lt;D xsi:type="xsd:double"&gt;10.015099799724&lt;/D&gt;&lt;D xsi:type="xsd:double"&gt;9.87506426672573&lt;/D&gt;&lt;D xsi:type="xsd:double"&gt;10.2077562663966&lt;/D&gt;&lt;D xsi:type="xsd:double"&gt;9.51144661636089&lt;/D&gt;&lt;D xsi:type="xsd:double"&gt;9.50554869741407&lt;/D&gt;&lt;D xsi:type="xsd:double"&gt;10.7668453823927&lt;/D&gt;&lt;D xsi:type="xsd:double"&gt;10.3648731723719&lt;/D&gt;&lt;D xsi:type="xsd:double"&gt;11.4931371517047&lt;/D&gt;&lt;D xsi:type="xsd:double"&gt;11.6785249298047&lt;/D&gt;&lt;D xsi:type="xsd:double"&gt;10.8973533860669&lt;/D&gt;&lt;D xsi:type="xsd:double"&gt;11.4757779543588&lt;/D&gt;&lt;D xsi:type="xsd:double"&gt;11.100848148258&lt;/D&gt;&lt;D xsi:type="xsd:double"&gt;11.0083895991457&lt;/D&gt;&lt;D xsi:type="xsd:double"&gt;10.7949865392439&lt;/D&gt;&lt;D xsi:type="xsd:double"&gt;10.4530474992212&lt;/D&gt;&lt;D xsi:type="xsd:double"&gt;10.5527831481924&lt;/D&gt;&lt;D xsi:type="xsd:double"&gt;10.0605637707823&lt;/D&gt;&lt;D xsi:type="xsd:double"&gt;10.7759796969047&lt;/D&gt;&lt;D xsi:type="xsd:double"&gt;11.1526362626729&lt;/D&gt;&lt;D xsi:type="xsd:double"&gt;11.0119922360363&lt;/D&gt;&lt;D xsi:type="xsd:double"&gt;11.6571679506181&lt;/D&gt;&lt;D xsi:type="xsd:double"&gt;12.0690918528831&lt;/D&gt;&lt;D xsi:type="xsd:double"&gt;12.0194879084315&lt;/D&gt;&lt;/FQL&gt;&lt;FQL&gt;&lt;Q&gt;EWA^FMA_PE(LTMA,-10AY,0,AM,"PORTAGG","MEANR")&lt;/Q&gt;&lt;R&gt;121&lt;/R&gt;&lt;C&gt;1&lt;/C&gt;&lt;D xsi:type="xsd:double"&gt;15.2863221210471&lt;/D&gt;&lt;D xsi:type="xsd:double"&gt;15.2273361141073&lt;/D&gt;&lt;D xsi:type="xsd:double"&gt;15.0713656896524&lt;/D&gt;&lt;D xsi:type="xsd:double"&gt;15.3694639032187&lt;/D&gt;&lt;D xsi:type="xsd:double"&gt;15.4293910414643&lt;/D&gt;&lt;D xsi:type="xsd:double"&gt;15.0026347858311&lt;/D&gt;&lt;D xsi:type="xsd:double"&gt;14.770733588586&lt;/D&gt;&lt;D xsi:type="xsd:double"&gt;14.950062880727&lt;/D&gt;&lt;D xsi:type="xsd:double"&gt;14.1050361869075&lt;/D&gt;&lt;D xsi:type="xsd:double"&gt;14.4967175436913&lt;/D&gt;&lt;D xsi:type="xsd:double"&gt;16.13460799206&lt;/D&gt;&lt;D xsi:type="xsd:double"&gt;16.1929545740673&lt;/D&gt;&lt;D xsi:type="xsd:double"&gt;16.3460728609376&lt;/D&gt;&lt;D xsi:type="xsd:double"&gt;16.2110579217244&lt;/D&gt;&lt;D xsi:type="xsd:double"&gt;15.9890016028357&lt;/D&gt;&lt;D xsi:type="xsd:double"&gt;16.1138307346702&lt;/D&gt;&lt;D xsi:type="xsd:double"&gt;15.6343801905984&lt;/D&gt;&lt;D xsi:type="xsd:double"&gt;15.4908590452119&lt;/D&gt;&lt;D xsi:type="xsd:double"&gt;15.673842823259&lt;/D&gt;&lt;D xsi:type="xsd:double"&gt;15.2758238244005&lt;/D&gt;&lt;D xsi:type="xsd:double"&gt;15.3771286118973&lt;/D&gt;&lt;D xsi:type="xsd:double"&gt;14.6889113285286&lt;/D&gt;&lt;D xsi:type="xsd:double"&gt;15.3010371665802&lt;/D&gt;&lt;D xsi:type="xsd:double"&gt;15.1977188308522&lt;/D&gt;&lt;D xsi:type="xsd:double"&gt;15.2719363884714&lt;/D&gt;&lt;D xsi:type="xsd:double"&gt;15.6940497593603&lt;/D&gt;&lt;D xsi:type="xsd:double"&gt;15.5692454246995&lt;/D&gt;&lt;D xsi:type="xsd:double"&gt;16.1987888402927&lt;/D&gt;&lt;D xsi:type="xsd:double"&gt;16.6270963462566&lt;/D&gt;&lt;D xsi:type="xsd:double"&gt;16.2787634815342&lt;/D&gt;&lt;D xsi:type="xsd:double"&gt;16.7795898506328&lt;/D&gt;&lt;D xsi:type="xsd:double"&gt;16.9238085569079&lt;/D&gt;&lt;D xsi:type="xsd:double"&gt;17.2656872029063&lt;/D&gt;&lt;D xsi:type="xsd:double"&gt;17.7397495473702&lt;/D&gt;&lt;D xsi:type="xsd:double"&gt;17.9848459005171&lt;/D&gt;&lt;D xsi:type="xsd:double"&gt;17.4331567442892&lt;/D&gt;&lt;D xsi:type="xsd:double"&gt;17.2753173865868&lt;/D&gt;&lt;D xsi:type="xsd:double"&gt;16.9969307979923&lt;/D&gt;&lt;D xsi:type="xsd:double"&gt;16.881450139886&lt;/D&gt;&lt;D xsi:type="xsd:double"&gt;16.7637901132942&lt;/D&gt;&lt;D xsi:type="xsd:double"&gt;16.7369887310334&lt;/D&gt;&lt;D xsi:type="xsd:double"&gt;16.5250188545042&lt;/D&gt;&lt;D xsi:type="xsd:double"&gt;16.6965155733437&lt;/D&gt;&lt;D xsi:type="xsd:double"&gt;16.6239095729351&lt;/D&gt;&lt;D xsi:type="xsd:double"&gt;16.705963547109&lt;/D&gt;&lt;D xsi:type="xsd:double"&gt;16.5858066313716&lt;/D&gt;&lt;D xsi:type="xsd:double"&gt;16.348062710048&lt;/D&gt;&lt;D xsi:type="xsd:double"&gt;16.4564602181154&lt;/D&gt;&lt;D xsi:type="xsd:double"&gt;16.2770754805869&lt;/D&gt;&lt;D xsi:type="xsd:double"&gt;16.3362761995317&lt;/D&gt;&lt;D xsi:type="xsd:double"&gt;16.1499585347885&lt;/D&gt;&lt;D xsi:type="xsd:double"&gt;16.2857000437326&lt;/D&gt;&lt;D xsi:type="xsd:double"&gt;16.4391420629147&lt;/D&gt;&lt;D xsi:type="xsd:double"&gt;15.9966462411476&lt;/D&gt;&lt;D xsi:type="xsd:double"&gt;15.5210668312867&lt;/D&gt;&lt;D xsi:type="xsd:double"&gt;15.0557026032624&lt;/D&gt;&lt;D xsi:type="xsd:double"&gt;14.5352094066554&lt;/D&gt;&lt;D xsi:type="xsd:double"&gt;15.2609966992131&lt;/D&gt;&lt;D xsi:type="xsd:double"&gt;15.6489885190806&lt;/D&gt;&lt;D xsi:type="xsd:double"&gt;15.8758635735665&lt;/D&gt;&lt;D xsi:type="xsd:double"&gt;15.8513450872888&lt;/D&gt;&lt;D xsi:type="xsd:double"&gt;15.8752874777956&lt;/D&gt;&lt;D xsi:type="xsd:double"&gt;16.1347521770382&lt;/D&gt;&lt;D xsi:type="xsd:double"&gt;16.3125382393314&lt;/D&gt;&lt;D xsi:type="xsd:double"&gt;16.0557846265606&lt;/D&gt;&lt;D xsi:type="xsd:double"&gt;16.753542872633&lt;/D&gt;&lt;D xsi:type="xsd:double"&gt;17.0351838023523&lt;/D&gt;&lt;D xsi:type="xsd:double"&gt;17.5579423236004&lt;/D&gt;&lt;D xsi:type="xsd:double"&gt;18.0415781682897&lt;/D&gt;&lt;D xsi:type="xsd:double"&gt;18.6674392411147&lt;/D&gt;&lt;D xsi:type="xsd:double"&gt;18.9124797625197&lt;/D&gt;&lt;D xsi:type="xsd:double"&gt;16.149243194673&lt;/D&gt;&lt;D xsi:type="xsd:double"&gt;17.0030600708912&lt;/D&gt;&lt;D xsi:type="xsd:double"&gt;17.479787785265&lt;/D&gt;&lt;D xsi:type="xsd:double"&gt;18.4560751941949&lt;/D&gt;&lt;D xsi:type="xsd:double"&gt;18.8459457604042&lt;/D&gt;&lt;D xsi:type="xsd:double"&gt;19.7146172133249&lt;/D&gt;&lt;D xsi:type="xsd:double"&gt;19.2718131776132&lt;/D&gt;&lt;D xsi:type="xsd:double"&gt;19.8796482913867&lt;/D&gt;&lt;D xsi:type="xsd:double"&gt;21.7266148156378&lt;/D&gt;&lt;D xsi:type="xsd:double"&gt;22.9942018822509&lt;/D&gt;&lt;D xsi:type="xsd:double"&gt;23.2571726967689&lt;/D&gt;&lt;D xsi:type="xsd:double"&gt;22.7186531810587&lt;/D&gt;&lt;D xsi:type="xsd:double"&gt;21.5732771290751&lt;/D&gt;&lt;D xsi:type="xsd:double"&gt;21.272406053702&lt;/D&gt;&lt;D xsi:type="xsd:double"&gt;20.7769225485195&lt;/D&gt;&lt;D xsi:type="xsd:double"&gt;20.4486110144366&lt;/D&gt;&lt;D xsi:type="xsd:double"&gt;19.4227864908401&lt;/D&gt;&lt;D xsi:type="xsd:double"&gt;19.145406563815&lt;/D&gt;&lt;D xsi:type="xsd:double"&gt;18.7168136681148&lt;/D&gt;&lt;D xsi:type="xsd:double"&gt;18.7102685079624&lt;/D&gt;&lt;D xsi:type="xsd:double"&gt;18.0373488151884&lt;/D&gt;&lt;D xsi:type="xsd:double"&gt;17.5953739913474&lt;/D&gt;&lt;D xsi:type="xsd:double"&gt;17.6818066896991&lt;/D&gt;&lt;D xsi:type="xsd:double"&gt;15.9806795378185&lt;/D&gt;&lt;D xsi:type="xsd:double"&gt;15.7582392979741&lt;/D&gt;&lt;D xsi:type="xsd:double"&gt;15.6331614101943&lt;/D&gt;&lt;D xsi:type="xsd:double"&gt;15.1564948624322&lt;/D&gt;&lt;D xsi:type="xsd:double"&gt;14.1163854541898&lt;/D&gt;&lt;D xsi:type="xsd:double"&gt;14.0899543334939&lt;/D&gt;&lt;D xsi:type="xsd:double"&gt;14.60772514938&lt;/D&gt;&lt;D xsi:type="xsd:double"&gt;13.7976637541728&lt;/D&gt;&lt;D xsi:type="xsd:double"&gt;13.4069575628318&lt;/D&gt;&lt;D xsi:type="xsd:double"&gt;14.2023106706655&lt;/D&gt;&lt;D xsi:type="xsd:double"&gt;13.982139251916&lt;/D&gt;&lt;D xsi:type="xsd:double"&gt;14.6980295413287&lt;/D&gt;&lt;D xsi:type="xsd:double"&gt;14.4395982576794&lt;/D&gt;&lt;D xsi:type="xsd:double"&gt;14.1599251896837&lt;/D&gt;&lt;D xsi:type="xsd:double"&gt;14.3585728439577&lt;/D&gt;&lt;D xsi:type="xsd:double"&gt;14.3322485316534&lt;/D&gt;&lt;D xsi:type="xsd:double"&gt;14.6091501741021&lt;/D&gt;&lt;D xsi:type="xsd:double"&gt;14.8519232569286&lt;/D&gt;&lt;D xsi:type="xsd:double"&gt;14.7166403173059&lt;/D&gt;&lt;D xsi:type="xsd:double"&gt;15.1413073156496&lt;/D&gt;&lt;D xsi:type="xsd:double"&gt;14.8332820273902&lt;/D&gt;&lt;D xsi:type="xsd:double"&gt;15.0207756834432&lt;/D&gt;&lt;D xsi:type="xsd:double"&gt;16.0213643163516&lt;/D&gt;&lt;D xsi:type="xsd:double"&gt;15.8045661371999&lt;/D&gt;&lt;D xsi:type="xsd:double"&gt;16.5336526059979&lt;/D&gt;&lt;D xsi:type="xsd:double"&gt;16.5817645837701&lt;/D&gt;&lt;D xsi:type="xsd:double"&gt;16.6063057149379&lt;/D&gt;&lt;/FQL&gt;&lt;FQL&gt;&lt;Q&gt;EWN^FG_PRICE_MAVG(0,,,,60)&lt;/Q&gt;&lt;R&gt;1&lt;/R&gt;&lt;C&gt;1&lt;/C&gt;&lt;D xsi:type="xsd:double"&gt;47.928417&lt;/D&gt;&lt;/FQL&gt;&lt;FQL&gt;&lt;Q&gt;FXI^PERCENT_CHANGE(FMA_EPS(+1,0,,,,"PORTAGG","MEAN"),FMA_EPS(+1,-1AM,,,,"PORTAGG","MEAN"))&lt;/Q&gt;&lt;R&gt;1&lt;/R&gt;&lt;C&gt;1&lt;/C&gt;&lt;D xsi:type="xsd:double"&gt;-1.52455911184445&lt;/D&gt;&lt;/FQL&gt;&lt;FQL&gt;&lt;Q&gt;VWO^FG_TOTAL_RETURNC(0,-6AM)&lt;/Q&gt;&lt;R&gt;1&lt;/R&gt;&lt;C&gt;1&lt;/C&gt;&lt;D xsi:type="xsd:double"&gt;8.911932&lt;/D&gt;&lt;/FQL&gt;&lt;FQL&gt;&lt;Q&gt;EWD^FMA_PCT_ABOVE_MAVG(200,0,,,,"PORTAGG")&lt;/Q&gt;&lt;R&gt;1&lt;/R&gt;&lt;C&gt;1&lt;/C&gt;&lt;D xsi:type="xsd:double"&gt;88.3720930232558&lt;/D&gt;&lt;/FQL&gt;&lt;FQL&gt;&lt;Q&gt;EWL^P_PRICE(0)/P_PRICE_HIGH_PR(0,,,,,,"PRICE","INTRA","52W")&lt;/Q&gt;&lt;R&gt;1&lt;/R&gt;&lt;C&gt;1&lt;/C&gt;&lt;D xsi:type="xsd:double"&gt;0.9232655&lt;/D&gt;&lt;/FQL&gt;&lt;FQL&gt;&lt;Q&gt;ENZL^FG_TOTAL_RETURNC(0,-1AM)&lt;/Q&gt;&lt;R&gt;1&lt;/R&gt;&lt;C&gt;1&lt;/C&gt;&lt;D xsi:type="xsd:double"&gt;-2.1787465&lt;/D&gt;&lt;/FQL&gt;&lt;FQL&gt;&lt;Q&gt;EWJ^FMA_COS_UP("EPS","1M",+1,0,,,"PORTAGG","MEANR")&lt;/Q&gt;&lt;R&gt;1&lt;/R&gt;&lt;C&gt;1&lt;/C&gt;&lt;D xsi:type="xsd:double"&gt;97&lt;/D&gt;&lt;/FQL&gt;&lt;FQL&gt;&lt;Q&gt;EWL^FMA_ROE(NTMA,-20AY,NOW,FY,"PORTAGG","MEANR")&lt;/Q&gt;&lt;R&gt;20&lt;/R&gt;&lt;C&gt;1&lt;/C&gt;&lt;D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xsi:type="xsd:double"&gt;-0.7573843&lt;/D&gt;&lt;/FQL&gt;&lt;FQL&gt;&lt;Q&gt;USDCHF^FG_PRICE_CHANGE(0,-6AM)&lt;/Q&gt;&lt;R&gt;1&lt;/R&gt;&lt;C&gt;1&lt;/C&gt;&lt;D xsi:type="xsd:double"&gt;1.5758157&lt;/D&gt;&lt;/FQL&gt;&lt;FQL&gt;&lt;Q&gt;USDUSD^FG_PRICE_CHANGE(0,-6AM)&lt;/Q&gt;&lt;R&gt;1&lt;/R&gt;&lt;C&gt;1&lt;/C&gt;&lt;D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xsi:type="xsd:double"&gt;-1.0980248&lt;/D&gt;&lt;/FQL&gt;&lt;FQL&gt;&lt;Q&gt;USDAUD^FG_PRICE_CHANGE(0,-6AM)&lt;/Q&gt;&lt;R&gt;1&lt;/R&gt;&lt;C&gt;1&lt;/C&gt;&lt;D xsi:type="xsd:double"&gt;-1.4065921&lt;/D&gt;&lt;/FQL&gt;&lt;FQL&gt;&lt;Q&gt;EWN^FMA_EPS(NTMA,-20AY,0,CY,,"PORTAGG","MEANR")&lt;/Q&gt;&lt;R&gt;20&lt;/R&gt;&lt;C&gt;1&lt;/C&gt;&lt;D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xsi:type="xsd:double"&gt;2.95560750186165&lt;/D&gt;&lt;/FQL&gt;&lt;FQL&gt;&lt;Q&gt;SPY^P_PRICE_RETURNS_PR('52W',2,-10AY,0,AM)&lt;/Q&gt;&lt;R&gt;121&lt;/R&gt;&lt;C&gt;1&lt;/C&gt;&lt;D xsi:type="xsd:double"&gt;22.589075&lt;/D&gt;&lt;D xsi:type="xsd:double"&gt;16.028427&lt;/D&gt;&lt;D xsi:type="xsd:double"&gt;20.802366&lt;/D&gt;&lt;D xsi:type="xsd:double"&gt;19.379879&lt;/D&gt;&lt;D xsi:type="xsd:double"&gt;21.353197&lt;/D&gt;&lt;D xsi:type="xsd:double"&gt;18.917381&lt;/D&gt;&lt;D xsi:type="xsd:double"&gt;10.917616&lt;/D&gt;&lt;D xsi:type="xsd:double"&gt;16.789282&lt;/D&gt;&lt;D xsi:type="xsd:double"&gt;16.013872&lt;/D&gt;&lt;D xsi:type="xsd:double"&gt;11.466682&lt;/D&gt;&lt;D xsi:type="xsd:double"&gt;16.279198&lt;/D&gt;&lt;D xsi:type="xsd:double"&gt;14.339363&lt;/D&gt;&lt;D xsi:type="xsd:double"&gt;13.744938&lt;/D&gt;&lt;D xsi:type="xsd:double"&gt;15.53297&lt;/D&gt;&lt;D xsi:type="xsd:double"&gt;10.536539&lt;/D&gt;&lt;D xsi:type="xsd:double"&gt;10.699725&lt;/D&gt;&lt;D xsi:type="xsd:double"&gt;8.482671&lt;/D&gt;&lt;D xsi:type="xsd:double"&gt;-0.7333815&lt;/D&gt;&lt;D xsi:type="xsd:double"&gt;11.335730999999999&lt;/D&gt;&lt;D xsi:type="xsd:double"&gt;3.6028147&lt;/D&gt;&lt;D xsi:type="xsd:double"&gt;-0.71275234&lt;/D&gt;&lt;D xsi:type="xsd:double"&gt;-3.668362&lt;/D&gt;&lt;D xsi:type="xsd:double"&gt;-6.6824255&lt;/D&gt;&lt;D xsi:type="xsd:double"&gt;-0.35851002&lt;/D&gt;&lt;D xsi:type="xsd:double"&gt;2.7870774&lt;/D&gt;&lt;D xsi:type="xsd:double"&gt;-1.7722785&lt;/D&gt;&lt;D xsi:type="xsd:double"&gt;0.70261955&lt;/D&gt;&lt;D xsi:type="xsd:double"&gt;4.0775776&lt;/D&gt;&lt;D xsi:type="xsd:double"&gt;6.5094113&lt;/D&gt;&lt;D xsi:type="xsd:double"&gt;9.473515&lt;/D&gt;&lt;D xsi:type="xsd:double"&gt;7.4132204&lt;/D&gt;&lt;D xsi:type="xsd:double"&gt;6.948006&lt;/D&gt;&lt;D xsi:type="xsd:double"&gt;11.17239&lt;/D&gt;&lt;D xsi:type="xsd:double"&gt;23.330128&lt;/D&gt;&lt;D xsi:type="xsd:double"&gt;24.505222&lt;/D&gt;&lt;D xsi:type="xsd:double"&gt;18.840206&lt;/D&gt;&lt;D xsi:type="xsd:double"&gt;14.087009&lt;/D&gt;&lt;D xsi:type="xsd:double"&gt;17.941929&lt;/D&gt;&lt;D xsi:type="xsd:double"&gt;19.43853&lt;/D&gt;&lt;D xsi:type="xsd:double"&gt;15.828109&lt;/D&gt;&lt;D xsi:type="xsd:double"&gt;13.155723&lt;/D&gt;&lt;D xsi:type="xsd:double"&gt;19.405592&lt;/D&gt;&lt;D xsi:type="xsd:double"&gt;22.080004&lt;/D&gt;&lt;D xsi:type="xsd:double"&gt;20.133554&lt;/D&gt;&lt;D xsi:type="xsd:double"&gt;21.490742&lt;/D&gt;&lt;D xsi:type="xsd:double"&gt;25.492823&lt;/D&gt;&lt;D xsi:type="xsd:double"&gt;18.612814&lt;/D&gt;&lt;D xsi:type="xsd:double"&gt;17.677475&lt;/D&gt;&lt;D xsi:type="xsd:double"&gt;17.816221&lt;/D&gt;&lt;D xsi:type="xsd:double"&gt;16.777742&lt;/D&gt;&lt;D xsi:type="xsd:double"&gt;16.105032&lt;/D&gt;&lt;D xsi:type="xsd:double"&gt;16.543663&lt;/D&gt;&lt;D xsi:type="xsd:double"&gt;19.451963&lt;/D&gt;&lt;D xsi:type="xsd:double"&gt;18.081844&lt;/D&gt;&lt;D xsi:type="xsd:double"&gt;10.056019&lt;/D&gt;&lt;D xsi:type="xsd:double"&gt;7.770729&lt;/D&gt;&lt;D xsi:type="xsd:double"&gt;-3.6478043&lt;/D&gt;&lt;D xsi:type="xsd:double"&gt;-2.717179&lt;/D&gt;&lt;D xsi:type="xsd:double"&gt;3.5321832&lt;/D&gt;&lt;D xsi:type="xsd:double"&gt;4.973972&lt;/D&gt;&lt;D xsi:type="xsd:double"&gt;9.35266&lt;/D&gt;&lt;D xsi:type="xsd:double"&gt;7.1347117&lt;/D&gt;&lt;D xsi:type="xsd:double"&gt;7.3081017&lt;/D&gt;&lt;D xsi:type="xsd:double"&gt;8.437454&lt;/D&gt;&lt;D xsi:type="xsd:double"&gt;3.7090182&lt;/D&gt;&lt;D xsi:type="xsd:double"&gt;5.5616856&lt;/D&gt;&lt;D xsi:type="xsd:double"&gt;9.960281&lt;/D&gt;&lt;D xsi:type="xsd:double"&gt;16.268301&lt;/D&gt;&lt;D xsi:type="xsd:double"&gt;27.796257&lt;/D&gt;&lt;D xsi:type="xsd:double"&gt;28.624249&lt;/D&gt;&lt;D xsi:type="xsd:double"&gt;23.697865&lt;/D&gt;&lt;D xsi:type="xsd:double"&gt;-13.762826&lt;/D&gt;&lt;D xsi:type="xsd:double"&gt;1.0795474&lt;/D&gt;&lt;D xsi:type="xsd:double"&gt;5.3413987&lt;/D&gt;&lt;D xsi:type="xsd:double"&gt;8.835602&lt;/D&gt;&lt;D xsi:type="xsd:double"&gt;10.242605&lt;/D&gt;&lt;D xsi:type="xsd:double"&gt;19.61193&lt;/D&gt;&lt;D xsi:type="xsd:double"&gt;12.492048&lt;/D&gt;&lt;D xsi:type="xsd:double"&gt;18.671822&lt;/D&gt;&lt;D xsi:type="xsd:double"&gt;16.429556&lt;/D&gt;&lt;D xsi:type="xsd:double"&gt;18.29158&lt;/D&gt;&lt;D xsi:type="xsd:double"&gt;16.655182&lt;/D&gt;&lt;D xsi:type="xsd:double"&gt;18.242062&lt;/D&gt;&lt;D xsi:type="xsd:double"&gt;66.22124&lt;/D&gt;&lt;D xsi:type="xsd:double"&gt;51.914&lt;/D&gt;&lt;D xsi:type="xsd:double"&gt;41.893612&lt;/D&gt;&lt;D xsi:type="xsd:double"&gt;35.67654&lt;/D&gt;&lt;D xsi:type="xsd:double"&gt;36.480095&lt;/D&gt;&lt;D xsi:type="xsd:double"&gt;31.636&lt;/D&gt;&lt;D xsi:type="xsd:double"&gt;33.83608&lt;/D&gt;&lt;D xsi:type="xsd:double"&gt;30.592323&lt;/D&gt;&lt;D xsi:type="xsd:double"&gt;33.71333&lt;/D&gt;&lt;D xsi:type="xsd:double"&gt;25.739742&lt;/D&gt;&lt;D xsi:type="xsd:double"&gt;23.13906&lt;/D&gt;&lt;D xsi:type="xsd:double"&gt;12.631536&lt;/D&gt;&lt;D xsi:type="xsd:double"&gt;15.430355&lt;/D&gt;&lt;D xsi:type="xsd:double"&gt;6.353903&lt;/D&gt;&lt;D xsi:type="xsd:double"&gt;-3.6142588&lt;/D&gt;&lt;D xsi:type="xsd:double"&gt;-11.7698555&lt;/D&gt;&lt;D xsi:type="xsd:double"&gt;-10.188341&lt;/D&gt;&lt;D xsi:type="xsd:double"&gt;-1.1821389&lt;/D&gt;&lt;D xsi:type="xsd:double"&gt;-12.186831&lt;/D&gt;&lt;D xsi:type="xsd:double"&gt;-15.749699&lt;/D&gt;&lt;D xsi:type="xsd:double"&gt;-14.411134&lt;/D&gt;&lt;D xsi:type="xsd:double"&gt;-16.198635&lt;/D&gt;&lt;D xsi:type="xsd:double"&gt;-12.843836&lt;/D&gt;&lt;D xsi:type="xsd:double"&gt;-5.3023043&lt;/D&gt;&lt;D xsi:type="xsd:double"&gt;-9.7954035&lt;/D&gt;&lt;D xsi:type="xsd:double"&gt;-3.8107812&lt;/D&gt;&lt;D xsi:type="xsd:double"&gt;8.810711&lt;/D&gt;&lt;D xsi:type="xsd:double"&gt;22.358454&lt;/D&gt;&lt;D xsi:type="xsd:double"&gt;20.873081&lt;/D&gt;&lt;D xsi:type="xsd:double"&gt;3.6932826&lt;/D&gt;&lt;D xsi:type="xsd:double"&gt;16.89098&lt;/D&gt;&lt;D xsi:type="xsd:double"&gt;17.762363&lt;/D&gt;&lt;D xsi:type="xsd:double"&gt;16.162418&lt;/D&gt;&lt;D xsi:type="xsd:double"&gt;25.028206&lt;/D&gt;&lt;D xsi:type="xsd:double"&gt;23.575258&lt;/D&gt;&lt;D xsi:type="xsd:double"&gt;24.217987&lt;/D&gt;&lt;D xsi:type="xsd:double"&gt;33.42161&lt;/D&gt;&lt;D xsi:type="xsd:double"&gt;22.352589&lt;/D&gt;&lt;/FQL&gt;&lt;FQL&gt;&lt;Q&gt;EWU^FG_TOTAL_RETURNC(-10AY,0,AM)&lt;/Q&gt;&lt;R&gt;121&lt;/R&gt;&lt;C&gt;1&lt;/C&gt;&lt;D xsi:type="xsd:double"&gt;2.0507813&lt;/D&gt;&lt;D xsi:type="xsd:double"&gt;4.593301&lt;/D&gt;&lt;D xsi:type="xsd:double"&gt;0.32022&lt;/D&gt;&lt;D xsi:type="xsd:double"&gt;-0.20074844&lt;/D&gt;&lt;D xsi:type="xsd:double"&gt;-1.917553&lt;/D&gt;&lt;D xsi:type="xsd:double"&gt;-1.0752678&lt;/D&gt;&lt;D xsi:type="xsd:double"&gt;-9.189725&lt;/D&gt;&lt;D xsi:type="xsd:double"&gt;3.9173126&lt;/D&gt;&lt;D xsi:type="xsd:double"&gt;-3.0982435&lt;/D&gt;&lt;D xsi:type="xsd:double"&gt;-1.9834638&lt;/D&gt;&lt;D xsi:type="xsd:double"&gt;6.7453504&lt;/D&gt;&lt;D xsi:type="xsd:double"&gt;-1.843077&lt;/D&gt;&lt;D xsi:type="xsd:double"&gt;1.072967&lt;/D&gt;&lt;D xsi:type="xsd:double"&gt;4.72399&lt;/D&gt;&lt;D xsi:type="xsd:double"&gt;-1.9766808&lt;/D&gt;&lt;D xsi:type="xsd:double"&gt;-1.1258066&lt;/D&gt;&lt;D xsi:type="xsd:double"&gt;-2.9819012&lt;/D&gt;&lt;D xsi:type="xsd:double"&gt;-7.3545575&lt;/D&gt;&lt;D xsi:type="xsd:double"&gt;4.502368&lt;/D&gt;&lt;D xsi:type="xsd:double"&gt;-2.4376452&lt;/D&gt;&lt;D xsi:type="xsd:double"&gt;-6.7983627&lt;/D&gt;&lt;D xsi:type="xsd:double"&gt;-7.795924&lt;/D&gt;&lt;D xsi:type="xsd:double"&gt;4.206896&lt;/D&gt;&lt;D xsi:type="xsd:double"&gt;5.1621437&lt;/D&gt;&lt;D xsi:type="xsd:double"&gt;1.5103817&lt;/D&gt;&lt;D xsi:type="xsd:double"&gt;-0.8059442&lt;/D&gt;&lt;D xsi:type="xsd:double"&gt;-2.4999976&lt;/D&gt;&lt;D xsi:type="xsd:double"&gt;2.204883&lt;/D&gt;&lt;D xsi:type="xsd:double"&gt;2.8277636&lt;/D&gt;&lt;D xsi:type="xsd:double"&gt;-3.125&lt;/D&gt;&lt;D xsi:type="xsd:double"&gt;-1.935488&lt;/D&gt;&lt;D xsi:type="xsd:double"&gt;-2.3684204&lt;/D&gt;&lt;D xsi:type="xsd:double"&gt;4.5822144&lt;/D&gt;&lt;D xsi:type="xsd:double"&gt;2.0053387&lt;/D&gt;&lt;D xsi:type="xsd:double"&gt;2.3054838&lt;/D&gt;&lt;D xsi:type="xsd:double"&gt;2.2222161&lt;/D&gt;&lt;D xsi:type="xsd:double"&gt;-0.3674209&lt;/D&gt;&lt;D xsi:type="xsd:double"&gt;5.961883&lt;/D&gt;&lt;D xsi:type="xsd:double"&gt;-0.7250607&lt;/D&gt;&lt;D xsi:type="xsd:double"&gt;0.9287715&lt;/D&gt;&lt;D xsi:type="xsd:double"&gt;-1.775682&lt;/D&gt;&lt;D xsi:type="xsd:double"&gt;4.0674925&lt;/D&gt;&lt;D xsi:type="xsd:double"&gt;1.6502619&lt;/D&gt;&lt;D xsi:type="xsd:double"&gt;-1.9082963&lt;/D&gt;&lt;D xsi:type="xsd:double"&gt;3.6875725&lt;/D&gt;&lt;D xsi:type="xsd:double"&gt;6.255007&lt;/D&gt;&lt;D xsi:type="xsd:double"&gt;-4.3501673&lt;/D&gt;&lt;D xsi:type="xsd:double"&gt;-2.1336257&lt;/D&gt;&lt;D xsi:type="xsd:double"&gt;4.733217&lt;/D&gt;&lt;D xsi:type="xsd:double"&gt;1.1777639&lt;/D&gt;&lt;D xsi:type="xsd:double"&gt;-3.140229&lt;/D&gt;&lt;D xsi:type="xsd:double"&gt;-0.8833349&lt;/D&gt;&lt;D xsi:type="xsd:double"&gt;-3.2621264&lt;/D&gt;&lt;D xsi:type="xsd:double"&gt;-0.1193583&lt;/D&gt;&lt;D xsi:type="xsd:double"&gt;-4.571259&lt;/D&gt;&lt;D xsi:type="xsd:double"&gt;-0.72010756&lt;/D&gt;&lt;D xsi:type="xsd:double"&gt;-6.0635567&lt;/D&gt;&lt;D xsi:type="xsd:double"&gt;6.209266&lt;/D&gt;&lt;D xsi:type="xsd:double"&gt;4.0697694&lt;/D&gt;&lt;D xsi:type="xsd:double"&gt;4.2830467&lt;/D&gt;&lt;D xsi:type="xsd:double"&gt;0.6250143&lt;/D&gt;&lt;D xsi:type="xsd:double"&gt;-3.3422112&lt;/D&gt;&lt;D xsi:type="xsd:double"&gt;0.30653477&lt;/D&gt;&lt;D xsi:type="xsd:double"&gt;0.62578917&lt;/D&gt;&lt;D xsi:type="xsd:double"&gt;-7.3383093&lt;/D&gt;&lt;D xsi:type="xsd:double"&gt;5.771816&lt;/D&gt;&lt;D xsi:type="xsd:double"&gt;1.5228391&lt;/D&gt;&lt;D xsi:type="xsd:double"&gt;2.3125052&lt;/D&gt;&lt;D xsi:type="xsd:double"&gt;4.5478463&lt;/D&gt;&lt;D xsi:type="xsd:double"&gt;1.3376951&lt;/D&gt;&lt;D xsi:type="xsd:double"&gt;-3.90144&lt;/D&gt;&lt;D xsi:type="xsd:double"&gt;-38.217335&lt;/D&gt;&lt;D xsi:type="xsd:double"&gt;22.776688&lt;/D&gt;&lt;D xsi:type="xsd:double"&gt;1.7303824&lt;/D&gt;&lt;D xsi:type="xsd:double"&gt;4.286611&lt;/D&gt;&lt;D xsi:type="xsd:double"&gt;2.4258852&lt;/D&gt;&lt;D xsi:type="xsd:double"&gt;1.5789509&lt;/D&gt;&lt;D xsi:type="xsd:double"&gt;-3.367877&lt;/D&gt;&lt;D xsi:type="xsd:double"&gt;-1.6851783&lt;/D&gt;&lt;D xsi:type="xsd:double"&gt;10.479164&lt;/D&gt;&lt;D xsi:type="xsd:double"&gt;4.783571&lt;/D&gt;&lt;D xsi:type="xsd:double"&gt;3.9823055&lt;/D&gt;&lt;D xsi:type="xsd:double"&gt;1.4729977&lt;/D&gt;&lt;D xsi:type="xsd:double"&gt;1.7096758&lt;/D&gt;&lt;D xsi:type="xsd:double"&gt;4.0596247&lt;/D&gt;&lt;D xsi:type="xsd:double"&gt;3.0783296&lt;/D&gt;&lt;D xsi:type="xsd:double"&gt;-2.6100338&lt;/D&gt;&lt;D xsi:type="xsd:double"&gt;-0.24698377&lt;/D&gt;&lt;D xsi:type="xsd:double"&gt;2.3212671&lt;/D&gt;&lt;D xsi:type="xsd:double"&gt;-2.1173656&lt;/D&gt;&lt;D xsi:type="xsd:double"&gt;3.646481&lt;/D&gt;&lt;D xsi:type="xsd:double"&gt;-0.56649446&lt;/D&gt;&lt;D xsi:type="xsd:double"&gt;-1.8686533&lt;/D&gt;&lt;D xsi:type="xsd:double"&gt;8.006287&lt;/D&gt;&lt;D xsi:type="xsd:double"&gt;-0.37791133&lt;/D&gt;&lt;D xsi:type="xsd:double"&gt;-2.7137458&lt;/D&gt;&lt;D xsi:type="xsd:double"&gt;1.7996311&lt;/D&gt;&lt;D xsi:type="xsd:double"&gt;-6.776661&lt;/D&gt;&lt;D xsi:type="xsd:double"&gt;-6.0817537&lt;/D&gt;&lt;D xsi:type="xsd:double"&gt;0.23988485&lt;/D&gt;&lt;D xsi:type="xsd:double"&gt;5.709398&lt;/D&gt;&lt;D xsi:type="xsd:double"&gt;-8.247089&lt;/D&gt;&lt;D xsi:type="xsd:double"&gt;-4.5823097&lt;/D&gt;&lt;D xsi:type="xsd:double"&gt;11.821211&lt;/D&gt;&lt;D xsi:type="xsd:double"&gt;1.9657135&lt;/D&gt;&lt;D xsi:type="xsd:double"&gt;7.234466&lt;/D&gt;&lt;D xsi:type="xsd:double"&gt;0.61330795&lt;/D&gt;&lt;D xsi:type="xsd:double"&gt;-7.253891&lt;/D&gt;&lt;D xsi:type="xsd:double"&gt;10.778832&lt;/D&gt;&lt;D xsi:type="xsd:double"&gt;-1.8095553&lt;/D&gt;&lt;D xsi:type="xsd:double"&gt;1.5421867&lt;/D&gt;&lt;D xsi:type="xsd:double"&gt;-0.51562786&lt;/D&gt;&lt;D xsi:type="xsd:double"&gt;-4.05488&lt;/D&gt;&lt;D xsi:type="xsd:double"&gt;2.7327657&lt;/D&gt;&lt;D xsi:type="xsd:double"&gt;-2.5363505&lt;/D&gt;&lt;D xsi:type="xsd:double"&gt;1.8724203&lt;/D&gt;&lt;D xsi:type="xsd:double"&gt;3.0529737&lt;/D&gt;&lt;D xsi:type="xsd:double"&gt;-1.1924505&lt;/D&gt;&lt;D xsi:type="xsd:double"&gt;2.284813&lt;/D&gt;&lt;D xsi:type="xsd:double"&gt;1.9889832&lt;/D&gt;&lt;D xsi:type="xsd:double"&gt;0&lt;/D&gt;&lt;/FQL&gt;&lt;FQL&gt;&lt;Q&gt;EWJ^FMA_DIV_YLD(NTMA,-10AY,0,AM,"PORTAGG","MEANR")&lt;/Q&gt;&lt;R&gt;121&lt;/R&gt;&lt;C&gt;1&lt;/C&gt;&lt;D xsi:type="xsd:double"&gt;2.17229453244088&lt;/D&gt;&lt;D xsi:type="xsd:double"&gt;2.2299672182645&lt;/D&gt;&lt;D xsi:type="xsd:double"&gt;2.08969844095773&lt;/D&gt;&lt;D xsi:type="xsd:double"&gt;2.07953884520047&lt;/D&gt;&lt;D xsi:type="xsd:double"&gt;2.08554540726632&lt;/D&gt;&lt;D xsi:type="xsd:double"&gt;2.02482917040703&lt;/D&gt;&lt;D xsi:type="xsd:double"&gt;2.29140445203823&lt;/D&gt;&lt;D xsi:type="xsd:double"&gt;1.95113057667888&lt;/D&gt;&lt;D xsi:type="xsd:double"&gt;2.02187610245672&lt;/D&gt;&lt;D xsi:type="xsd:double"&gt;2.06373440990518&lt;/D&gt;&lt;D xsi:type="xsd:double"&gt;1.92468316343739&lt;/D&gt;&lt;D xsi:type="xsd:double"&gt;1.82298778811567&lt;/D&gt;&lt;D xsi:type="xsd:double"&gt;1.84768452478315&lt;/D&gt;&lt;D xsi:type="xsd:double"&gt;1.85990308308611&lt;/D&gt;&lt;D xsi:type="xsd:double"&gt;1.92556115809751&lt;/D&gt;&lt;D xsi:type="xsd:double"&gt;1.89250052145139&lt;/D&gt;&lt;D xsi:type="xsd:double"&gt;1.90107230229826&lt;/D&gt;&lt;D xsi:type="xsd:double"&gt;2.18369333257475&lt;/D&gt;&lt;D xsi:type="xsd:double"&gt;2.1166005519027&lt;/D&gt;&lt;D xsi:type="xsd:double"&gt;2.02382627720614&lt;/D&gt;&lt;D xsi:type="xsd:double"&gt;2.10067244513418&lt;/D&gt;&lt;D xsi:type="xsd:double"&gt;2.32247062199098&lt;/D&gt;&lt;D xsi:type="xsd:double"&gt;2.47639551184688&lt;/D&gt;&lt;D xsi:type="xsd:double"&gt;2.40351552637257&lt;/D&gt;&lt;D xsi:type="xsd:double"&gt;2.43950883612942&lt;/D&gt;&lt;D xsi:type="xsd:double"&gt;2.39145235306432&lt;/D&gt;&lt;D xsi:type="xsd:double"&gt;2.52035690022553&lt;/D&gt;&lt;D xsi:type="xsd:double"&gt;2.38540902628952&lt;/D&gt;&lt;D xsi:type="xsd:double"&gt;2.43740033626131&lt;/D&gt;&lt;D xsi:type="xsd:double"&gt;2.41694927701799&lt;/D&gt;&lt;D xsi:type="xsd:double"&gt;2.35751218955186&lt;/D&gt;&lt;D xsi:type="xsd:double"&gt;2.24889876127156&lt;/D&gt;&lt;D xsi:type="xsd:double"&gt;2.07486561142846&lt;/D&gt;&lt;D xsi:type="xsd:double"&gt;2.14542683385218&lt;/D&gt;&lt;D xsi:type="xsd:double"&gt;2.14000132546178&lt;/D&gt;&lt;D xsi:type="xsd:double"&gt;2.13465831319679&lt;/D&gt;&lt;D xsi:type="xsd:double"&gt;2.29242085462331&lt;/D&gt;&lt;D xsi:type="xsd:double"&gt;2.20374306051427&lt;/D&gt;&lt;D xsi:type="xsd:double"&gt;2.18180930940393&lt;/D&gt;&lt;D xsi:type="xsd:double"&gt;2.16637089543639&lt;/D&gt;&lt;D xsi:type="xsd:double"&gt;2.21752944055933&lt;/D&gt;&lt;D xsi:type="xsd:double"&gt;2.1973656864569&lt;/D&gt;&lt;D xsi:type="xsd:double"&gt;2.10244149037919&lt;/D&gt;&lt;D xsi:type="xsd:double"&gt;2.08956127012899&lt;/D&gt;&lt;D xsi:type="xsd:double"&gt;2.0528279083484&lt;/D&gt;&lt;D xsi:type="xsd:double"&gt;1.99662930881877&lt;/D&gt;&lt;D xsi:type="xsd:double"&gt;2.19871468312943&lt;/D&gt;&lt;D xsi:type="xsd:double"&gt;2.23127629619239&lt;/D&gt;&lt;D xsi:type="xsd:double"&gt;2.23420832973445&lt;/D&gt;&lt;D xsi:type="xsd:double"&gt;2.1760897238028&lt;/D&gt;&lt;D xsi:type="xsd:double"&gt;2.2502745938235&lt;/D&gt;&lt;D xsi:type="xsd:double"&gt;2.27516761885478&lt;/D&gt;&lt;D xsi:type="xsd:double"&gt;2.35713631676121&lt;/D&gt;&lt;D xsi:type="xsd:double"&gt;2.28404177661752&lt;/D&gt;&lt;D xsi:type="xsd:double"&gt;2.3685616797053&lt;/D&gt;&lt;D xsi:type="xsd:double"&gt;2.50288888893973&lt;/D&gt;&lt;D xsi:type="xsd:double"&gt;2.6054153579176&lt;/D&gt;&lt;D xsi:type="xsd:double"&gt;2.64761940495709&lt;/D&gt;&lt;D xsi:type="xsd:double"&gt;2.61644662750196&lt;/D&gt;&lt;D xsi:type="xsd:double"&gt;2.55858727766166&lt;/D&gt;&lt;D xsi:type="xsd:double"&gt;2.56631366895633&lt;/D&gt;&lt;D xsi:type="xsd:double"&gt;2.66662261187185&lt;/D&gt;&lt;D xsi:type="xsd:double"&gt;2.72531429936958&lt;/D&gt;&lt;D xsi:type="xsd:double"&gt;2.71558063861054&lt;/D&gt;&lt;D xsi:type="xsd:double"&gt;2.80384153970968&lt;/D&gt;&lt;D xsi:type="xsd:double"&gt;2.58664698843876&lt;/D&gt;&lt;D xsi:type="xsd:double"&gt;2.57324359877894&lt;/D&gt;&lt;D xsi:type="xsd:double"&gt;2.47136191561014&lt;/D&gt;&lt;D xsi:type="xsd:double"&gt;2.41660068204592&lt;/D&gt;&lt;D xsi:type="xsd:double"&gt;2.42292588428403&lt;/D&gt;&lt;D xsi:type="xsd:double"&gt;2.52015891380208&lt;/D&gt;&lt;D xsi:type="xsd:double"&gt;3.29190595665127&lt;/D&gt;&lt;D xsi:type="xsd:double"&gt;2.84660462979419&lt;/D&gt;&lt;D xsi:type="xsd:double"&gt;2.79924686484967&lt;/D&gt;&lt;D xsi:type="xsd:double"&gt;2.4780788131885&lt;/D&gt;&lt;D xsi:type="xsd:double"&gt;2.48300212633763&lt;/D&gt;&lt;D xsi:type="xsd:double"&gt;2.40329404543585&lt;/D&gt;&lt;D xsi:type="xsd:double"&gt;2.34997252465592&lt;/D&gt;&lt;D xsi:type="xsd:double"&gt;2.39945097170698&lt;/D&gt;&lt;D xsi:type="xsd:double"&gt;2.25592002536033&lt;/D&gt;&lt;D xsi:type="xsd:double"&gt;2.15321688818265&lt;/D&gt;&lt;D xsi:type="xsd:double"&gt;2.08552421320703&lt;/D&gt;&lt;D xsi:type="xsd:double"&gt;2.02397930256409&lt;/D&gt;&lt;D xsi:type="xsd:double"&gt;2.00763952505741&lt;/D&gt;&lt;D xsi:type="xsd:double"&gt;2.07493649289888&lt;/D&gt;&lt;D xsi:type="xsd:double"&gt;2.18041406021735&lt;/D&gt;&lt;D xsi:type="xsd:double"&gt;2.17826336333228&lt;/D&gt;&lt;D xsi:type="xsd:double"&gt;2.22545572346547&lt;/D&gt;&lt;D xsi:type="xsd:double"&gt;2.27092748672579&lt;/D&gt;&lt;D xsi:type="xsd:double"&gt;2.12690360494463&lt;/D&gt;&lt;D xsi:type="xsd:double"&gt;2.21625777589785&lt;/D&gt;&lt;D xsi:type="xsd:double"&gt;2.22328995470092&lt;/D&gt;&lt;D xsi:type="xsd:double"&gt;2.31808799993634&lt;/D&gt;&lt;D xsi:type="xsd:double"&gt;2.35006339540935&lt;/D&gt;&lt;D xsi:type="xsd:double"&gt;2.47669570386119&lt;/D&gt;&lt;D xsi:type="xsd:double"&gt;2.55499825223119&lt;/D&gt;&lt;D xsi:type="xsd:double"&gt;2.60515518565271&lt;/D&gt;&lt;D xsi:type="xsd:double"&gt;2.63045068180215&lt;/D&gt;&lt;D xsi:type="xsd:double"&gt;2.74569886537871&lt;/D&gt;&lt;D xsi:type="xsd:double"&gt;2.67359759376642&lt;/D&gt;&lt;D xsi:type="xsd:double"&gt;2.55238555040588&lt;/D&gt;&lt;D xsi:type="xsd:double"&gt;2.64386893650906&lt;/D&gt;&lt;D xsi:type="xsd:double"&gt;2.71741474567403&lt;/D&gt;&lt;D xsi:type="xsd:double"&gt;2.61883700486419&lt;/D&gt;&lt;D xsi:type="xsd:double"&gt;2.6661279503009&lt;/D&gt;&lt;D xsi:type="xsd:double"&gt;2.67817394296047&lt;/D&gt;&lt;D xsi:type="xsd:double"&gt;2.60860207420403&lt;/D&gt;&lt;D xsi:type="xsd:double"&gt;2.66443171899992&lt;/D&gt;&lt;D xsi:type="xsd:double"&gt;2.57145237272797&lt;/D&gt;&lt;D xsi:type="xsd:double"&gt;2.45345674633811&lt;/D&gt;&lt;D xsi:type="xsd:double"&gt;2.30802487982496&lt;/D&gt;&lt;D xsi:type="xsd:double"&gt;2.38389991111534&lt;/D&gt;&lt;D xsi:type="xsd:double"&gt;2.44209832955635&lt;/D&gt;&lt;D xsi:type="xsd:double"&gt;2.27033362004229&lt;/D&gt;&lt;D xsi:type="xsd:double"&gt;2.41446813607286&lt;/D&gt;&lt;D xsi:type="xsd:double"&gt;2.34741320490023&lt;/D&gt;&lt;D xsi:type="xsd:double"&gt;2.47089955333048&lt;/D&gt;&lt;D xsi:type="xsd:double"&gt;2.29881460561399&lt;/D&gt;&lt;D xsi:type="xsd:double"&gt;2.22299598356953&lt;/D&gt;&lt;D xsi:type="xsd:double"&gt;2.17756610229419&lt;/D&gt;&lt;D xsi:type="xsd:double"&gt;2.18772890632457&lt;/D&gt;&lt;/FQL&gt;&lt;FQL&gt;&lt;Q&gt;EWC^FMA_PE(NTMA,-10AY,0,AM,"PORTAGG","MEANR")&lt;/Q&gt;&lt;R&gt;121&lt;/R&gt;&lt;C&gt;1&lt;/C&gt;&lt;D xsi:type="xsd:double"&gt;14.9137078451372&lt;/D&gt;&lt;D xsi:type="xsd:double"&gt;14.6704752274815&lt;/D&gt;&lt;D xsi:type="xsd:double"&gt;15.0283160035548&lt;/D&gt;&lt;D xsi:type="xsd:double"&gt;15.0774124707646&lt;/D&gt;&lt;D xsi:type="xsd:double"&gt;15.0108571676785&lt;/D&gt;&lt;D xsi:type="xsd:double"&gt;15.0896230273103&lt;/D&gt;&lt;D xsi:type="xsd:double"&gt;13.7889254230146&lt;/D&gt;&lt;D xsi:type="xsd:double"&gt;14.7509239527322&lt;/D&gt;&lt;D xsi:type="xsd:double"&gt;15.1360417351592&lt;/D&gt;&lt;D xsi:type="xsd:double"&gt;15.5026934232119&lt;/D&gt;&lt;D xsi:type="xsd:double"&gt;17.3366935088553&lt;/D&gt;&lt;D xsi:type="xsd:double"&gt;17.176283950015&lt;/D&gt;&lt;D xsi:type="xsd:double"&gt;17.4436986898473&lt;/D&gt;&lt;D xsi:type="xsd:double"&gt;16.7726263176108&lt;/D&gt;&lt;D xsi:type="xsd:double"&gt;16.1948334405385&lt;/D&gt;&lt;D xsi:type="xsd:double"&gt;15.8584294860784&lt;/D&gt;&lt;D xsi:type="xsd:double"&gt;15.3340457946164&lt;/D&gt;&lt;D xsi:type="xsd:double"&gt;14.8540775433958&lt;/D&gt;&lt;D xsi:type="xsd:double"&gt;15.1105735831615&lt;/D&gt;&lt;D xsi:type="xsd:double"&gt;14.6058209798219&lt;/D&gt;&lt;D xsi:type="xsd:double"&gt;14.2871955974656&lt;/D&gt;&lt;D xsi:type="xsd:double"&gt;13.3180754183939&lt;/D&gt;&lt;D xsi:type="xsd:double"&gt;14.8682375708018&lt;/D&gt;&lt;D xsi:type="xsd:double"&gt;16.1056287442589&lt;/D&gt;&lt;D xsi:type="xsd:double"&gt;16.2859807051735&lt;/D&gt;&lt;D xsi:type="xsd:double"&gt;16.5676373062362&lt;/D&gt;&lt;D xsi:type="xsd:double"&gt;16.2998758884347&lt;/D&gt;&lt;D xsi:type="xsd:double"&gt;16.5952648962916&lt;/D&gt;&lt;D xsi:type="xsd:double"&gt;16.4555562045682&lt;/D&gt;&lt;D xsi:type="xsd:double"&gt;15.9464251882732&lt;/D&gt;&lt;D xsi:type="xsd:double"&gt;16.0442935652958&lt;/D&gt;&lt;D xsi:type="xsd:double"&gt;15.8956600143823&lt;/D&gt;&lt;D xsi:type="xsd:double"&gt;15.9218787295197&lt;/D&gt;&lt;D xsi:type="xsd:double"&gt;16.0681837005714&lt;/D&gt;&lt;D xsi:type="xsd:double"&gt;16.3850759989601&lt;/D&gt;&lt;D xsi:type="xsd:double"&gt;15.8361930356761&lt;/D&gt;&lt;D xsi:type="xsd:double"&gt;15.8006709925046&lt;/D&gt;&lt;D xsi:type="xsd:double"&gt;15.3297375501217&lt;/D&gt;&lt;D xsi:type="xsd:double"&gt;15.2326677864307&lt;/D&gt;&lt;D xsi:type="xsd:double"&gt;15.4605385989897&lt;/D&gt;&lt;D xsi:type="xsd:double"&gt;15.3500408549878&lt;/D&gt;&lt;D xsi:type="xsd:double"&gt;15.3763705096186&lt;/D&gt;&lt;D xsi:type="xsd:double"&gt;15.7074135106905&lt;/D&gt;&lt;D xsi:type="xsd:double"&gt;15.8463516639139&lt;/D&gt;&lt;D xsi:type="xsd:double"&gt;15.9536173082333&lt;/D&gt;&lt;D xsi:type="xsd:double"&gt;15.7499103770313&lt;/D&gt;&lt;D xsi:type="xsd:double"&gt;14.5794402462917&lt;/D&gt;&lt;D xsi:type="xsd:double"&gt;14.5510696313716&lt;/D&gt;&lt;D xsi:type="xsd:double"&gt;14.1853197638159&lt;/D&gt;&lt;D xsi:type="xsd:double"&gt;14.3911530738027&lt;/D&gt;&lt;D xsi:type="xsd:double"&gt;14.4393303732443&lt;/D&gt;&lt;D xsi:type="xsd:double"&gt;14.3021097297957&lt;/D&gt;&lt;D xsi:type="xsd:double"&gt;13.9971465026428&lt;/D&gt;&lt;D xsi:type="xsd:double"&gt;13.6810380214929&lt;/D&gt;&lt;D xsi:type="xsd:double"&gt;12.8292645475736&lt;/D&gt;&lt;D xsi:type="xsd:double"&gt;12.6451568470615&lt;/D&gt;&lt;D xsi:type="xsd:double"&gt;12.2155097922308&lt;/D&gt;&lt;D xsi:type="xsd:double"&gt;13.3283988257423&lt;/D&gt;&lt;D xsi:type="xsd:double"&gt;13.9455945451503&lt;/D&gt;&lt;D xsi:type="xsd:double"&gt;14.3045053660433&lt;/D&gt;&lt;D xsi:type="xsd:double"&gt;13.9994623415739&lt;/D&gt;&lt;D xsi:type="xsd:double"&gt;13.6603926710374&lt;/D&gt;&lt;D xsi:type="xsd:double"&gt;13.7437106928285&lt;/D&gt;&lt;D xsi:type="xsd:double"&gt;13.681256385783&lt;/D&gt;&lt;D xsi:type="xsd:double"&gt;13.4515578282522&lt;/D&gt;&lt;D xsi:type="xsd:double"&gt;14.0472751188545&lt;/D&gt;&lt;D xsi:type="xsd:double"&gt;13.7468046193549&lt;/D&gt;&lt;D xsi:type="xsd:double"&gt;14.3839480850466&lt;/D&gt;&lt;D xsi:type="xsd:double"&gt;14.4458239879429&lt;/D&gt;&lt;D xsi:type="xsd:double"&gt;14.717578660922&lt;/D&gt;&lt;D xsi:type="xsd:double"&gt;14.9933737784433&lt;/D&gt;&lt;D xsi:type="xsd:double"&gt;10.7294109755567&lt;/D&gt;&lt;D xsi:type="xsd:double"&gt;15.4004436697177&lt;/D&gt;&lt;D xsi:type="xsd:double"&gt;17.5194233322336&lt;/D&gt;&lt;D xsi:type="xsd:double"&gt;17.9063491096422&lt;/D&gt;&lt;D xsi:type="xsd:double"&gt;17.7618784675392&lt;/D&gt;&lt;D xsi:type="xsd:double"&gt;17.5686554542614&lt;/D&gt;&lt;D xsi:type="xsd:double"&gt;16.5063692420964&lt;/D&gt;&lt;D xsi:type="xsd:double"&gt;16.2389279324023&lt;/D&gt;&lt;D xsi:type="xsd:double"&gt;16.0879910067892&lt;/D&gt;&lt;D xsi:type="xsd:double"&gt;16.0252815093425&lt;/D&gt;&lt;D xsi:type="xsd:double"&gt;16.0474308198033&lt;/D&gt;&lt;D xsi:type="xsd:double"&gt;16.0174136852734&lt;/D&gt;&lt;D xsi:type="xsd:double"&gt;15.5067364119971&lt;/D&gt;&lt;D xsi:type="xsd:double"&gt;15.6863838917343&lt;/D&gt;&lt;D xsi:type="xsd:double"&gt;15.4058579648374&lt;/D&gt;&lt;D xsi:type="xsd:double"&gt;15.5159182354501&lt;/D&gt;&lt;D xsi:type="xsd:double"&gt;15.0705135829639&lt;/D&gt;&lt;D xsi:type="xsd:double"&gt;14.8788960629819&lt;/D&gt;&lt;D xsi:type="xsd:double"&gt;14.7014822850612&lt;/D&gt;&lt;D xsi:type="xsd:double"&gt;14.9125181717036&lt;/D&gt;&lt;D xsi:type="xsd:dou</t>
        </r>
      </text>
    </comment>
    <comment ref="A8" authorId="0" shapeId="0" xr:uid="{DF5ABAEF-28B3-43E2-B4C0-C9F05927F941}">
      <text>
        <r>
          <rPr>
            <b/>
            <sz val="9"/>
            <color indexed="81"/>
            <rFont val="Tahoma"/>
            <charset val="1"/>
          </rPr>
          <t>ble"&gt;14.9369752480545&lt;/D&gt;&lt;D xsi:type="xsd:double"&gt;14.149471642574&lt;/D&gt;&lt;D xsi:type="xsd:double"&gt;14.3139938244179&lt;/D&gt;&lt;D xsi:type="xsd:double"&gt;13.8683930521253&lt;/D&gt;&lt;D xsi:type="xsd:double"&gt;13.7564270125684&lt;/D&gt;&lt;D xsi:type="xsd:double"&gt;13.3903668772372&lt;/D&gt;&lt;D xsi:type="xsd:double"&gt;12.1516264707716&lt;/D&gt;&lt;D xsi:type="xsd:double"&gt;11.2377397201909&lt;/D&gt;&lt;D xsi:type="xsd:double"&gt;10.9259963954711&lt;/D&gt;&lt;D xsi:type="xsd:double"&gt;11.9327726942988&lt;/D&gt;&lt;D xsi:type="xsd:double"&gt;11.3291722882641&lt;/D&gt;&lt;D xsi:type="xsd:double"&gt;11.0565257608954&lt;/D&gt;&lt;D xsi:type="xsd:double"&gt;11.9264962840671&lt;/D&gt;&lt;D xsi:type="xsd:double"&gt;11.854512317126&lt;/D&gt;&lt;D xsi:type="xsd:double"&gt;12.7754209445057&lt;/D&gt;&lt;D xsi:type="xsd:double"&gt;12.888014581734&lt;/D&gt;&lt;D xsi:type="xsd:double"&gt;12.1917695931824&lt;/D&gt;&lt;D xsi:type="xsd:double"&gt;13.1373445964771&lt;/D&gt;&lt;D xsi:type="xsd:double"&gt;12.9681078127483&lt;/D&gt;&lt;D xsi:type="xsd:double"&gt;12.9159711125496&lt;/D&gt;&lt;D xsi:type="xsd:double"&gt;13.3624378060157&lt;/D&gt;&lt;D xsi:type="xsd:double"&gt;12.883129985119&lt;/D&gt;&lt;D xsi:type="xsd:double"&gt;13.2270550357657&lt;/D&gt;&lt;D xsi:type="xsd:double"&gt;12.479552703517&lt;/D&gt;&lt;D xsi:type="xsd:double"&gt;12.8197702660282&lt;/D&gt;&lt;D xsi:type="xsd:double"&gt;13.4124810837193&lt;/D&gt;&lt;D xsi:type="xsd:double"&gt;13.519744540814&lt;/D&gt;&lt;D xsi:type="xsd:double"&gt;14.0699925635089&lt;/D&gt;&lt;D xsi:type="xsd:double"&gt;14.4711402448058&lt;/D&gt;&lt;D xsi:type="xsd:double"&gt;14.1409055493399&lt;/D&gt;&lt;/FQL&gt;&lt;FQL&gt;&lt;Q&gt;ENZL^FMA_PE(LTMA,-10AY,0,AM,"PORTAGG","MEANR")&lt;/Q&gt;&lt;R&gt;121&lt;/R&gt;&lt;C&gt;1&lt;/C&gt;&lt;D xsi:type="xsd:double"&gt;17.9152365448979&lt;/D&gt;&lt;D xsi:type="xsd:double"&gt;18.0539441924434&lt;/D&gt;&lt;D xsi:type="xsd:double"&gt;18.0210204882939&lt;/D&gt;&lt;D xsi:type="xsd:double"&gt;17.9193306430694&lt;/D&gt;&lt;D xsi:type="xsd:double"&gt;17.8832743217588&lt;/D&gt;&lt;D xsi:type="xsd:double"&gt;17.709262552575&lt;/D&gt;&lt;D xsi:type="xsd:double"&gt;17.6385485902579&lt;/D&gt;&lt;D xsi:type="xsd:double"&gt;18.8377461926237&lt;/D&gt;&lt;D xsi:type="xsd:double"&gt;18.9969463879188&lt;/D&gt;&lt;D xsi:type="xsd:double"&gt;19.4178331283541&lt;/D&gt;&lt;D xsi:type="xsd:double"&gt;19.8529688803707&lt;/D&gt;&lt;D xsi:type="xsd:double"&gt;20.3688063141357&lt;/D&gt;&lt;D xsi:type="xsd:double"&gt;20.1863890287462&lt;/D&gt;&lt;D xsi:type="xsd:double"&gt;20.0122692960068&lt;/D&gt;&lt;D xsi:type="xsd:double"&gt;19.7284292383101&lt;/D&gt;&lt;D xsi:type="xsd:double"&gt;19.7907254696102&lt;/D&gt;&lt;D xsi:type="xsd:double"&gt;19.3515454677995&lt;/D&gt;&lt;D xsi:type="xsd:double"&gt;19.1891217402598&lt;/D&gt;&lt;D xsi:type="xsd:double"&gt;19.1368195551428&lt;/D&gt;&lt;D xsi:type="xsd:double"&gt;19.3393543754336&lt;/D&gt;&lt;D xsi:type="xsd:double"&gt;19.44496233533&lt;/D&gt;&lt;D xsi:type="xsd:double"&gt;19.2866706508681&lt;/D&gt;&lt;D xsi:type="xsd:double"&gt;19.1750667673687&lt;/D&gt;&lt;D xsi:type="xsd:double"&gt;19.3108693452294&lt;/D&gt;&lt;D xsi:type="xsd:double"&gt;19.4676664456764&lt;/D&gt;&lt;D xsi:type="xsd:double"&gt;19.7220990516029&lt;/D&gt;&lt;D xsi:type="xsd:double"&gt;19.6036139677742&lt;/D&gt;&lt;D xsi:type="xsd:double"&gt;20.0439265022868&lt;/D&gt;&lt;D xsi:type="xsd:double"&gt;20.7226893119105&lt;/D&gt;&lt;D xsi:type="xsd:double"&gt;20.7799639113457&lt;/D&gt;&lt;D xsi:type="xsd:double"&gt;20.1044883052814&lt;/D&gt;&lt;D xsi:type="xsd:double"&gt;20.0041637422518&lt;/D&gt;&lt;D xsi:type="xsd:double"&gt;19.550714252456&lt;/D&gt;&lt;D xsi:type="xsd:double"&gt;20.4261595638738&lt;/D&gt;&lt;D xsi:type="xsd:double"&gt;20.3505065577855&lt;/D&gt;&lt;D xsi:type="xsd:double"&gt;19.7516889647336&lt;/D&gt;&lt;D xsi:type="xsd:double"&gt;19.8156364033115&lt;/D&gt;&lt;D xsi:type="xsd:double"&gt;19.9020529938396&lt;/D&gt;&lt;D xsi:type="xsd:double"&gt;20.0777917390615&lt;/D&gt;&lt;D xsi:type="xsd:double"&gt;20.2703503118862&lt;/D&gt;&lt;D xsi:type="xsd:double"&gt;20.8004019814587&lt;/D&gt;&lt;D xsi:type="xsd:double"&gt;20.4328189080726&lt;/D&gt;&lt;D xsi:type="xsd:double"&gt;20.971094719315&lt;/D&gt;&lt;D xsi:type="xsd:double"&gt;21.3020750296269&lt;/D&gt;&lt;D xsi:type="xsd:double"&gt;22.1536763149793&lt;/D&gt;&lt;D xsi:type="xsd:double"&gt;21.955691569471&lt;/D&gt;&lt;D xsi:type="xsd:double"&gt;21.8745133611313&lt;/D&gt;&lt;D xsi:type="xsd:double"&gt;22.5700914670495&lt;/D&gt;&lt;D xsi:type="xsd:double"&gt;22.3342488865492&lt;/D&gt;&lt;D xsi:type="xsd:double"&gt;22.4377334770156&lt;/D&gt;&lt;D xsi:type="xsd:double"&gt;22.8362471614615&lt;/D&gt;&lt;D xsi:type="xsd:double"&gt;22.8413884893077&lt;/D&gt;&lt;D xsi:type="xsd:double"&gt;23.1392678848738&lt;/D&gt;&lt;D xsi:type="xsd:double"&gt;23.6764457109069&lt;/D&gt;&lt;D xsi:type="xsd:double"&gt;22.8689256741023&lt;/D&gt;&lt;D xsi:type="xsd:double"&gt;22.7207778810362&lt;/D&gt;&lt;D xsi:type="xsd:double"&gt;22.6064835236337&lt;/D&gt;&lt;D xsi:type="xsd:double"&gt;23.6043249880053&lt;/D&gt;&lt;D xsi:type="xsd:double"&gt;23.8210197523605&lt;/D&gt;&lt;D xsi:type="xsd:double"&gt;24.0815029277118&lt;/D&gt;&lt;D xsi:type="xsd:double"&gt;24.1795180117208&lt;/D&gt;&lt;D xsi:type="xsd:double"&gt;24.3509707040085&lt;/D&gt;&lt;D xsi:type="xsd:double"&gt;24.2795118930777&lt;/D&gt;&lt;D xsi:type="xsd:double"&gt;25.1175095437909&lt;/D&gt;&lt;D xsi:type="xsd:double"&gt;25.0322735008327&lt;/D&gt;&lt;D xsi:type="xsd:double"&gt;28.4121521058491&lt;/D&gt;&lt;D xsi:type="xsd:double"&gt;29.1113278325182&lt;/D&gt;&lt;D xsi:type="xsd:double"&gt;29.1945792851556&lt;/D&gt;&lt;D xsi:type="xsd:double"&gt;31.8399632532008&lt;/D&gt;&lt;D xsi:type="xsd:double"&gt;33.0303770825293&lt;/D&gt;&lt;D xsi:type="xsd:double"&gt;33.5395931870091&lt;/D&gt;&lt;D xsi:type="xsd:double"&gt;29.9712045720996&lt;/D&gt;&lt;D xsi:type="xsd:double"&gt;31.6003858512158&lt;/D&gt;&lt;D xsi:type="xsd:double"&gt;32.2133524348701&lt;/D&gt;&lt;D xsi:type="xsd:double"&gt;32.3075987202999&lt;/D&gt;&lt;D xsi:type="xsd:double"&gt;33.4813234171559&lt;/D&gt;&lt;D xsi:type="xsd:double"&gt;34.2979413772575&lt;/D&gt;&lt;D xsi:type="xsd:double"&gt;33.0898242698505&lt;/D&gt;&lt;D xsi:type="xsd:double"&gt;35.1876283192318&lt;/D&gt;&lt;D xsi:type="xsd:double"&gt;35.8007894798451&lt;/D&gt;&lt;D xsi:type="xsd:double"&gt;36.523837880664&lt;/D&gt;&lt;D xsi:type="xsd:double"&gt;37.4582800177366&lt;/D&gt;&lt;D xsi:type="xsd:double"&gt;35.2818271427462&lt;/D&gt;&lt;D xsi:type="xsd:double"&gt;34.4928469553681&lt;/D&gt;&lt;D xsi:type="xsd:double"&gt;34.5250602156161&lt;/D&gt;&lt;D xsi:type="xsd:double"&gt;34.7389121219729&lt;/D&gt;&lt;D xsi:type="xsd:double"&gt;35.6980200213769&lt;/D&gt;&lt;D xsi:type="xsd:double"&gt;36.4841007473112&lt;/D&gt;&lt;D xsi:type="xsd:double"&gt;36.9476705989164&lt;/D&gt;&lt;D xsi:type="xsd:double"&gt;38.7933502573113&lt;/D&gt;&lt;D xsi:type="xsd:double"&gt;38.5251222572682&lt;/D&gt;&lt;D xsi:type="xsd:double"&gt;38.5861700927923&lt;/D&gt;&lt;D xsi:type="xsd:double"&gt;38.3685357986647&lt;/D&gt;&lt;D xsi:type="xsd:double"&gt;38.1258784086095&lt;/D&gt;&lt;D xsi:type="xsd:double"&gt;36.1299188194238&lt;/D&gt;&lt;D xsi:type="xsd:double"&gt;35.1068501183213&lt;/D&gt;&lt;D xsi:type="xsd:double"&gt;34.5184909530019&lt;/D&gt;&lt;D xsi:type="xsd:double"&gt;34.0040168830586&lt;/D&gt;&lt;D xsi:type="xsd:double"&gt;32.7121800483975&lt;/D&gt;&lt;D xsi:type="xsd:double"&gt;32.9887199327501&lt;/D&gt;&lt;D xsi:type="xsd:double"&gt;34.0186372982057&lt;/D&gt;&lt;D xsi:type="xsd:double"&gt;33.7357829928235&lt;/D&gt;&lt;D xsi:type="xsd:double"&gt;31.1088425792805&lt;/D&gt;&lt;D xsi:type="xsd:double"&gt;30.419379291277&lt;/D&gt;&lt;D xsi:type="xsd:double"&gt;29.5795507733525&lt;/D&gt;&lt;D xsi:type="xsd:double"&gt;30.0355659604897&lt;/D&gt;&lt;D xsi:type="xsd:double"&gt;30.1787104647234&lt;/D&gt;&lt;D xsi:type="xsd:double"&gt;29.0741108410498&lt;/D&gt;&lt;D xsi:type="xsd:double"&gt;28.5907252593245&lt;/D&gt;&lt;D xsi:type="xsd:double"&gt;28.1913007147894&lt;/D&gt;&lt;D xsi:type="xsd:double"&gt;26.3616757506225&lt;/D&gt;&lt;D xsi:type="xsd:double"&gt;25.6289235118181&lt;/D&gt;&lt;D xsi:type="xsd:double"&gt;24.4330670530762&lt;/D&gt;&lt;D xsi:type="xsd:double"&gt;24.0167624661942&lt;/D&gt;&lt;D xsi:type="xsd:double"&gt;23.1833832140909&lt;/D&gt;&lt;D xsi:type="xsd:double"&gt;22.2681538231345&lt;/D&gt;&lt;D xsi:type="xsd:double"&gt;23.8682803845776&lt;/D&gt;&lt;D xsi:type="xsd:double"&gt;23.0968159478221&lt;/D&gt;&lt;D xsi:type="xsd:double"&gt;23.0635498826774&lt;/D&gt;&lt;D xsi:type="xsd:double"&gt;23.8320441922562&lt;/D&gt;&lt;D xsi:type="xsd:double"&gt;24.13696045852&lt;/D&gt;&lt;/FQL&gt;&lt;FQL&gt;&lt;Q&gt;QQQ^FG_COMPANY_NAME&lt;/Q&gt;&lt;R&gt;1&lt;/R&gt;&lt;C&gt;1&lt;/C&gt;&lt;D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xsi:type="xsd:double"&gt;8.3559627900246&lt;/D&gt;&lt;D xsi:type="xsd:double"&gt;7.43859928994854&lt;/D&gt;&lt;D xsi:type="xsd:double"&gt;9.22076567807042&lt;/D&gt;&lt;D xsi:type="xsd:double"&gt;9.22544557497206&lt;/D&gt;&lt;D xsi:type="xsd:double"&gt;9.29901046676666&lt;/D&gt;&lt;/FQL&gt;&lt;FQL&gt;&lt;Q&gt;TRYQA10Y-FDS^FG_YIELD(-10AY,0,Y,,"YTM")&lt;/Q&gt;&lt;R&gt;10&lt;/R&gt;&lt;C&gt;1&lt;/C&gt;&lt;D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xsi:type="xsd:double"&gt;4.2674065&lt;/D&gt;&lt;/FQL&gt;&lt;FQL&gt;&lt;Q&gt;USDCHF^FG_PRICE_CHANGE(0,-3AM)&lt;/Q&gt;&lt;R&gt;1&lt;/R&gt;&lt;C&gt;1&lt;/C&gt;&lt;D xsi:type="xsd:double"&gt;4.9536824&lt;/D&gt;&lt;/FQL&gt;&lt;FQL&gt;&lt;Q&gt;USDEUR^FG_PRICE_CHANGE(0,-3AM)&lt;/Q&gt;&lt;R&gt;1&lt;/R&gt;&lt;C&gt;1&lt;/C&gt;&lt;D xsi:type="xsd:double"&gt;1.8394232&lt;/D&gt;&lt;/FQL&gt;&lt;FQL&gt;&lt;Q&gt;USDAUD^FG_PRICE_CHANGE(0,-3AM)&lt;/Q&gt;&lt;R&gt;1&lt;/R&gt;&lt;C&gt;1&lt;/C&gt;&lt;D xsi:type="xsd:double"&gt;1.8884063&lt;/D&gt;&lt;/FQL&gt;&lt;FQL&gt;&lt;Q&gt;EWQ^FMA_EPS(NTMA,-20AY,0,CY,,"PORTAGG","MEANR")&lt;/Q&gt;&lt;R&gt;20&lt;/R&gt;&lt;C&gt;1&lt;/C&gt;&lt;D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xsi:type="xsd:double"&gt;1.85113612015885&lt;/D&gt;&lt;D xsi:type="xsd:double"&gt;2.46081798634908&lt;/D&gt;&lt;D xsi:type="xsd:double"&gt;2.80265475944353&lt;/D&gt;&lt;D xsi:type="xsd:double"&gt;2.92072613428035&lt;/D&gt;&lt;/FQL&gt;&lt;FQL&gt;&lt;Q&gt;QQQ^P_PRICE_RETURNS_PR('52W',2,-10AY,0,AM)&lt;/Q&gt;&lt;R&gt;121&lt;/R&gt;&lt;C&gt;1&lt;/C&gt;&lt;D xsi:type="xsd:double"&gt;28.55953&lt;/D&gt;&lt;D xsi:type="xsd:double"&gt;21.07935&lt;/D&gt;&lt;D xsi:type="xsd:double"&gt;28.35796&lt;/D&gt;&lt;D xsi:type="xsd:double"&gt;29.491985&lt;/D&gt;&lt;D xsi:type="xsd:double"&gt;32.025326&lt;/D&gt;&lt;D xsi:type="xsd:double"&gt;28.384912&lt;/D&gt;&lt;D xsi:type="xsd:double"&gt;16.737652&lt;/D&gt;&lt;D xsi:type="xsd:double"&gt;26.543331&lt;/D&gt;&lt;D xsi:type="xsd:double"&gt;22.80767&lt;/D&gt;&lt;D xsi:type="xsd:double"&gt;15.821398&lt;/D&gt;&lt;D xsi:type="xsd:double"&gt;20.553982&lt;/D&gt;&lt;D xsi:type="xsd:double"&gt;20.536173&lt;/D&gt;&lt;D xsi:type="xsd:double"&gt;24.346851&lt;/D&gt;&lt;D xsi:type="xsd:double"&gt;26.874865&lt;/D&gt;&lt;D xsi:type="xsd:double"&gt;20.381773&lt;/D&gt;&lt;D xsi:type="xsd:double"&gt;21.337664&lt;/D&gt;&lt;D xsi:type="xsd:double"&gt;14.161181&lt;/D&gt;&lt;D xsi:type="xsd:double"&gt;6.4448714&lt;/D&gt;&lt;D xsi:type="xsd:double"&gt;19.06483&lt;/D&gt;&lt;D xsi:type="xsd:double"&gt;10.782396&lt;/D&gt;&lt;D xsi:type="xsd:double"&gt;6.824112&lt;/D&gt;&lt;D xsi:type="xsd:double"&gt;2.2286057&lt;/D&gt;&lt;D xsi:type="xsd:double"&gt;-4.4738474&lt;/D&gt;&lt;D xsi:type="xsd:double"&gt;0.8048773&lt;/D&gt;&lt;D xsi:type="xsd:double"&gt;6.0679317&lt;/D&gt;&lt;D xsi:type="xsd:double"&gt;-2.7675152&lt;/D&gt;&lt;D xsi:type="xsd:double"&gt;-1.0625899&lt;/D&gt;&lt;D xsi:type="xsd:double"&gt;0.19359589&lt;/D&gt;&lt;D xsi:type="xsd:double"&gt;6.9939613&lt;/D&gt;&lt;D xsi:type="xsd:double"&gt;11.038101&lt;/D&gt;&lt;D xsi:type="xsd:double"&gt;10.242677&lt;/D&gt;&lt;D xsi:type="xsd:double"&gt;4.4163346&lt;/D&gt;&lt;D xsi:type="xsd:double"&gt;6.433618&lt;/D&gt;&lt;D xsi:type="xsd:double"&gt;23.378159&lt;/D&gt;&lt;D xsi:type="xsd:double"&gt;28.058683&lt;/D&gt;&lt;D xsi:type="xsd:double"&gt;24.105633&lt;/D&gt;&lt;D xsi:type="xsd:double"&gt;19.239735&lt;/D&gt;&lt;D xsi:type="xsd:double"&gt;30.995537&lt;/D&gt;&lt;D xsi:type="xsd:double"&gt;29.53844&lt;/D&gt;&lt;D xsi:type="xsd:double"&gt;28.504694&lt;/D&gt;&lt;D xsi:type="xsd:double"&gt;21.65525&lt;/D&gt;&lt;D xsi:type="xsd:double"&gt;25.337564&lt;/D&gt;&lt;D xsi:type="xsd:double"&gt;27.567959&lt;/D&gt;&lt;D xsi:type="xsd:double"&gt;32.041943&lt;/D&gt;&lt;D xsi:type="xsd:double"&gt;33.852184&lt;/D&gt;&lt;D xsi:type="xsd:double"&gt;35.99863&lt;/D&gt;&lt;D xsi:type="xsd:double"&gt;28.792942&lt;/D&gt;&lt;D xsi:type="xsd:double"&gt;30.732632&lt;/D&gt;&lt;D xsi:type="xsd:double"&gt;27.884542&lt;/D&gt;&lt;D xsi:type="xsd:double"&gt;23.062574&lt;/D&gt;&lt;D xsi:type="xsd:double"&gt;28.79374&lt;/D&gt;&lt;D xsi:type="xsd:double"&gt;26.719498&lt;/D&gt;&lt;D xsi:type="xsd:double"&gt;28.292477&lt;/D&gt;&lt;D xsi:type="xsd:double"&gt;26.359522&lt;/D&gt;&lt;D xsi:type="xsd:double"&gt;17.232168&lt;/D&gt;&lt;D xsi:type="xsd:double"&gt;9.219694&lt;/D&gt;&lt;D xsi:type="xsd:double"&gt;0.4207611&lt;/D&gt;&lt;D xsi:type="xsd:double"&gt;0.50828457&lt;/D&gt;&lt;D xsi:type="xsd:double"&gt;4.6530247&lt;/D&gt;&lt;D xsi:type="xsd:double"&gt;5.4278374&lt;/D&gt;&lt;D xsi:type="xsd:double"&gt;13.568056&lt;/D&gt;&lt;D xsi:type="xsd:double"&gt;9.686184&lt;/D&gt;&lt;D xsi:type="xsd:double"&gt;6.3070297&lt;/D&gt;&lt;D xsi:type="xsd:double"&gt;7.88033&lt;/D&gt;&lt;D xsi:type="xsd:double"&gt;4.0530205&lt;/D&gt;&lt;D xsi:type="xsd:double"&gt;6.2185407&lt;/D&gt;&lt;D xsi:type="xsd:double"&gt;11.684823&lt;/D&gt;&lt;D xsi:type="xsd:double"&gt;22.327305&lt;/D&gt;&lt;D xsi:type="xsd:double"&gt;33.46584&lt;/D&gt;&lt;D xsi:type="xsd:double"&gt;37.638535&lt;/D&gt;&lt;D xsi:type="xsd:double"&gt;37.64181&lt;/D&gt;&lt;D xsi:type="xsd:double"&gt;-0.40339231&lt;/D&gt;&lt;D xsi:type="xsd:double"&gt;16.01857&lt;/D&gt;&lt;D xsi:type="xsd:double"&gt;25.312733&lt;/D&gt;&lt;D xsi:type="xsd:double"&gt;32.16368&lt;/D&gt;&lt;D xsi:type="xsd:double"&gt;36.060333&lt;/D&gt;&lt;D xsi:type="xsd:double"&gt;51.071404&lt;/D&gt;&lt;D xsi:type="xsd:double"&gt;39.735043&lt;/D&gt;&lt;D xsi:type="xsd:double"&gt;50.573994&lt;/D&gt;&lt;D xsi:type="xsd:double"&gt;43.93065&lt;/D&gt;&lt;D xsi:type="xsd:double"&gt;49.07144&lt;/D&gt;&lt;D xsi:type="xsd:double"&gt;42.655647&lt;/D&gt;&lt;D xsi:type="xsd:double"&gt;42.649853&lt;/D&gt;&lt;D xsi:type="xsd:double"&gt;77.9537&lt;/D&gt;&lt;D xsi:type="xsd:double"&gt;61.38079&lt;/D&gt;&lt;D xsi:type="xsd:double"&gt;42.562984&lt;/D&gt;&lt;D xsi:type="xsd:double"&gt;41.13655&lt;/D&gt;&lt;D xsi:type="xsd:double"&gt;38.788246&lt;/D&gt;&lt;D xsi:type="xsd:double"&gt;31.044436&lt;/D&gt;&lt;D xsi:type="xsd:double"&gt;39.075947&lt;/D&gt;&lt;D xsi:type="xsd:double"&gt;29.854727&lt;/D&gt;&lt;D xsi:type="xsd:double"&gt;39.222908&lt;/D&gt;&lt;D xsi:type="xsd:double"&gt;24.427486&lt;/D&gt;&lt;D xsi:type="xsd:double"&gt;19.392347&lt;/D&gt;&lt;D xsi:type="xsd:double"&gt;3.214395&lt;/D&gt;&lt;D xsi:type="xsd:double"&gt;13.185811&lt;/D&gt;&lt;D xsi:type="xsd:double"&gt;-0.49316287&lt;/D&gt;&lt;D xsi:type="xsd:double"&gt;-9.209842&lt;/D&gt;&lt;D xsi:type="xsd:double"&gt;-20.07451&lt;/D&gt;&lt;D xsi:type="xsd:double"&gt;-18.6225&lt;/D&gt;&lt;D xsi:type="xsd:double"&gt;-8.586943&lt;/D&gt;&lt;D xsi:type="xsd:double"&gt;-23.098648&lt;/D&gt;&lt;D xsi:type="xsd:double"&gt;-26.69698&lt;/D&gt;&lt;D xsi:type="xsd:double"&gt;-28.665483&lt;/D&gt;&lt;D xsi:type="xsd:double"&gt;-28.665369&lt;/D&gt;&lt;D xsi:type="xsd:double"&gt;-24.457853&lt;/D&gt;&lt;D xsi:type="xsd:double"&gt;-12.180513&lt;/D&gt;&lt;D xsi:type="xsd:double"&gt;-10.694676&lt;/D&gt;&lt;D xsi:type="xsd:double"&gt;-5.134445&lt;/D&gt;&lt;D xsi:type="xsd:double"&gt;16.73113&lt;/D&gt;&lt;D xsi:type="xsd:double"&gt;36.609913&lt;/D&gt;&lt;D xsi:type="xsd:double"&gt;34.242188&lt;/D&gt;&lt;D xsi:type="xsd:double"&gt;9.538853&lt;/D&gt;&lt;D xsi:type="xsd:double"&gt;29.216253&lt;/D&gt;&lt;D xsi:type="xsd:double"&gt;34.75908&lt;/D&gt;&lt;D xsi:type="xsd:double"&gt;36.465824&lt;/D&gt;&lt;D xsi:type="xsd:double"&gt;49.74122&lt;/D&gt;&lt;D xsi:type="xsd:double"&gt;49.6457&lt;/D&gt;&lt;D xsi:type="xsd:double"&gt;42.939877&lt;/D&gt;&lt;D xsi:type="xsd:double"&gt;44.443176&lt;/D&gt;&lt;D xsi:type="xsd:double"&gt;33.672558&lt;/D&gt;&lt;/FQL&gt;&lt;FQL&gt;&lt;Q&gt;EWL^FG_TOTAL_RETURNC(-10AY,0,AM)&lt;/Q&gt;&lt;R&gt;121&lt;/R&gt;&lt;C&gt;1&lt;/C&gt;&lt;D xsi:type="xsd:double"&gt;1.5463829&lt;/D&gt;&lt;D xsi:type="xsd:double"&gt;2.3060203&lt;/D&gt;&lt;D xsi:type="xsd:double"&gt;0.17012358&lt;/D&gt;&lt;D xsi:type="xsd:double"&gt;-1.8713772&lt;/D&gt;&lt;D xsi:type="xsd:double"&gt;-1.8884599&lt;/D&gt;&lt;D xsi:type="xsd:double"&gt;0.48120022&lt;/D&gt;&lt;D xsi:type="xsd:double"&gt;-8.231068&lt;/D&gt;&lt;D xsi:type="xsd:double"&gt;7.208085&lt;/D&gt;&lt;D xsi:type="xsd:double"&gt;-1.3081849&lt;/D&gt;&lt;D xsi:type="xsd:double"&gt;0.52405596&lt;/D&gt;&lt;D xsi:type="xsd:double"&gt;1.0732889&lt;/D&gt;&lt;D xsi:type="xsd:double"&gt;1.7293692&lt;/D&gt;&lt;D xsi:type="xsd:double"&gt;3.2209992&lt;/D&gt;&lt;D xsi:type="xsd:double"&gt;3.4094214&lt;/D&gt;&lt;D xsi:type="xsd:double"&gt;-3.2411277&lt;/D&gt;&lt;D xsi:type="xsd:double"&gt;1.3535619&lt;/D&gt;&lt;D xsi:type="xsd:double"&gt;-2.4504066&lt;/D&gt;&lt;D xsi:type="xsd:double"&gt;-5.4425774&lt;/D&gt;&lt;D xsi:type="xsd:double"&gt;1.6445279&lt;/D&gt;&lt;D xsi:type="xsd:double"&gt;-2.893591&lt;/D&gt;&lt;D xsi:type="xsd:double"&gt;-2.2428691&lt;/D&gt;&lt;D xsi:type="xsd:double"&gt;-6.26024&lt;/D&gt;&lt;D xsi:type="xsd:double"&gt;-0.034964085&lt;/D&gt;&lt;D xsi:type="xsd:double"&gt;3.7425637&lt;/D&gt;&lt;D xsi:type="xsd:double"&gt;3.573835&lt;/D&gt;&lt;D xsi:type="xsd:double"&gt;-2.5390565&lt;/D&gt;&lt;D xsi:type="xsd:double"&gt;0.1670003&lt;/D&gt;&lt;D xsi:type="xsd:double"&gt;2.251339&lt;/D&gt;&lt;D xsi:type="xsd:double"&gt;3.7495732&lt;/D&gt;&lt;D xsi:type="xsd:double"&gt;-3.0009687&lt;/D&gt;&lt;D xsi:type="xsd:double"&gt;-1.0312676&lt;/D&gt;&lt;D xsi:type="xsd:double"&gt;-3.7647069&lt;/D&gt;&lt;D xsi:type="xsd:double"&gt;1.7464161&lt;/D&gt;&lt;D xsi:type="xsd:double"&gt;3.978324&lt;/D&gt;&lt;D xsi:type="xsd:double"&gt;2.5768042&lt;/D&gt;&lt;D xsi:type="xsd:double"&gt;3.413856&lt;/D&gt;&lt;D xsi:type="xsd:double"&gt;-0.34257174&lt;/D&gt;&lt;D xsi:type="xsd:double"&gt;7.2812557&lt;/D&gt;&lt;D xsi:type="xsd:double"&gt;1.3399363&lt;/D&gt;&lt;D xsi:type="xsd:double"&gt;1.7857909&lt;/D&gt;&lt;D xsi:type="xsd:double"&gt;-2.192092&lt;/D&gt;&lt;D xsi:type="xsd:double"&gt;2.5951028&lt;/D&gt;&lt;D xsi:type="xsd:double"&gt;0.9772897&lt;/D&gt;&lt;D xsi:type="xsd:double"&gt;-2.106464&lt;/D&gt;&lt;D xsi:type="xsd:double"&gt;2.99505&lt;/D&gt;&lt;D xsi:type="xsd:double"&gt;3.4726262&lt;/D&gt;&lt;D xsi:type="xsd:double"&gt;-1.9099593&lt;/D&gt;&lt;D xsi:type="xsd:double"&gt;-3.0041754&lt;/D&gt;&lt;D xsi:type="xsd:double"&gt;-0.54487586&lt;/D&gt;&lt;D xsi:type="xsd:double"&gt;-0.86504817&lt;/D&gt;&lt;D xsi:type="xsd:double"&gt;-3.2867968&lt;/D&gt;&lt;D xsi:type="xsd:double"&gt;3.5558343&lt;/D&gt;&lt;D xsi:type="xsd:double"&gt;1.2205958&lt;/D&gt;&lt;D xsi:type="xsd:double"&gt;2.382362&lt;/D&gt;&lt;D xsi:type="xsd:double"&gt;-6.4923944&lt;/D&gt;&lt;D xsi:type="xsd:double"&gt;1.105988&lt;/D&gt;&lt;D xsi:type="xsd:double"&gt;-4.497111&lt;/D&gt;&lt;D xsi:type="xsd:double"&gt;6.1724424&lt;/D&gt;&lt;D xsi:type="xsd:double"&gt;1.7980337&lt;/D&gt;&lt;D xsi:type="xsd:double"&gt;4.0329695&lt;/D&gt;&lt;D xsi:type="xsd:double"&gt;1.3016343&lt;/D&gt;&lt;D xsi:type="xsd:double"&gt;0.6145239&lt;/D&gt;&lt;D xsi:type="xsd:double"&gt;4.6049237&lt;/D&gt;&lt;D xsi:type="xsd:double"&gt;2.2481084&lt;/D&gt;&lt;D xsi:type="xsd:double"&gt;-2.092719&lt;/D&gt;&lt;D xsi:type="xsd:double"&gt;1.5422106&lt;/D&gt;&lt;D xsi:type="xsd:double"&gt;0.15987158&lt;/D&gt;&lt;D xsi:type="xsd:double"&gt;3.3785582&lt;/D&gt;&lt;D xsi:type="xsd:double"&gt;2.9593349&lt;/D&gt;&lt;D xsi:type="xsd:double"&gt;3.9490223&lt;/D&gt;&lt;D xsi:type="xsd:double"&gt;0.7694125&lt;/D&gt;&lt;D xsi:type="xsd:double"&gt;-25.17299&lt;/D&gt;&lt;D xsi:type="xsd:double"&gt;18.207909&lt;/D&gt;&lt;D xsi:type="xsd:double"&gt;0.9981036&lt;/D&gt;&lt;D xsi:type="xsd:double"&gt;6.376195&lt;/D&gt;&lt;D xsi:type="xsd:double"&gt;4.4143915&lt;/D&gt;&lt;D xsi:type="xsd:double"&gt;2.297175&lt;/D&gt;&lt;D xsi:type="xsd:double"&gt;1.9350171&lt;/D&gt;&lt;D xsi:type="xsd:double"&gt;-2.929461&lt;/D&gt;&lt;D xsi:type="xsd:double"&gt;3.2351494&lt;/D&gt;&lt;D xsi:type="xsd:double"&gt;3.679037&lt;/D&gt;&lt;D xsi:type="xsd:double"&gt;1.8280268&lt;/D&gt;&lt;D xsi:type="xsd:double"&gt;-0.79787374&lt;/D&gt;&lt;D xsi:type="xsd:double"&gt;-1.6309202&lt;/D&gt;&lt;D xsi:type="xsd:double"&gt;6.2684536&lt;/D&gt;&lt;D xsi:type="xsd:double"&gt;1.517415&lt;/D&gt;&lt;D xsi:type="xsd:double"&gt;4.2244315&lt;/D&gt;&lt;D xsi:type="xsd:double"&gt;1.049161&lt;/D&gt;&lt;D xsi:type="xsd:double"&gt;3.7255764&lt;/D&gt;&lt;D xsi:type="xsd:double"&gt;-5.0049067&lt;/D&gt;&lt;D xsi:type="xsd:double"&gt;0.45454502&lt;/D&gt;&lt;D xsi:type="xsd:double"&gt;4.9568057&lt;/D&gt;&lt;D xsi:type="xsd:double"&gt;0.3723383&lt;/D&gt;&lt;D xsi:type="xsd:double"&gt;-0.937134&lt;/D&gt;&lt;D xsi:type="xsd:double"&gt;-4.808831&lt;/D&gt;&lt;D xsi:type="xsd:double"&gt;1.387167&lt;/D&gt;&lt;D xsi:type="xsd:double"&gt;0.24504662&lt;/D&gt;&lt;D xsi:type="xsd:double"&gt;-11.000204&lt;/D&gt;&lt;D xsi:type="xsd:double"&gt;-7.745683&lt;/D&gt;&lt;D xsi:type="xsd:double"&gt;4.0506244&lt;/D&gt;&lt;D xsi:type="xsd:double"&gt;4.7445297&lt;/D&gt;&lt;D xsi:type="xsd:double"&gt;-6.852502&lt;/D&gt;&lt;D xsi:type="xsd:double"&gt;-3.6907732&lt;/D&gt;&lt;D xsi:type="xsd:double"&gt;9.010876&lt;/D&gt;&lt;D xsi:type="xsd:double"&gt;-0.71258545&lt;/D&gt;&lt;D xsi:type="xsd:double"&gt;7.799053&lt;/D&gt;&lt;D xsi:type="xsd:double"&gt;-0.33289194&lt;/D&gt;&lt;D xsi:type="xsd:double"&gt;-5.165887&lt;/D&gt;&lt;D xsi:type="xsd:double"&gt;11.152851&lt;/D&gt;&lt;D xsi:type="xsd:double"&gt;1.119554&lt;/D&gt;&lt;D xsi:type="xsd:double"&gt;-0.7452965&lt;/D&gt;&lt;D xsi:type="xsd:double"&gt;2.281034&lt;/D&gt;&lt;D xsi:type="xsd:double"&gt;-5.1546335&lt;/D&gt;&lt;D xsi:type="xsd:double"&gt;0.22182465&lt;/D&gt;&lt;D xsi:type="xsd:double"&gt;-4.4931355&lt;/D&gt;&lt;D xsi:type="xsd:double"&gt;3.1749725&lt;/D&gt;&lt;D xsi:type="xsd:double"&gt;5.503142&lt;/D&gt;&lt;D xsi:type="xsd:double"&gt;-0.17032623&lt;/D&gt;&lt;D xsi:type="xsd:double"&gt;-0.46918392&lt;/D&gt;&lt;D xsi:type="xsd:double"&gt;2.1855593&lt;/D&gt;&lt;D xsi:type="xsd:double"&gt;-5.263156&lt;/D&gt;&lt;/FQL&gt;&lt;FQL&gt;&lt;Q&gt;EWG^FMA_DIV_YLD(NTMA,-10AY,0,AM,"PORTAGG","MEANR")&lt;/Q&gt;&lt;R&gt;121&lt;/R&gt;&lt;C&gt;1&lt;/C&gt;&lt;D xsi:type="xsd:double"&gt;3.03169736524261&lt;/D&gt;&lt;D xsi:type="xsd:double"&gt;3.03334147898869&lt;/D&gt;&lt;D xsi:type="xsd:double"&gt;2.98055588104772&lt;/D&gt;&lt;D xsi:type="xsd:double"&gt;3.08894254247744&lt;/D&gt;&lt;D xsi:type="xsd:double"&gt;3.24072192158195&lt;/D&gt;&lt;D xsi:type="xsd:double"&gt;3.08169930149017&lt;/D&gt;&lt;D xsi:type="xsd:double"&gt;3.4220880623056&lt;/D&gt;&lt;D xsi:type="xsd:double"&gt;3.28653014644088&lt;/D&gt;&lt;D xsi:type="xsd:double"&gt;3.18536574383235&lt;/D&gt;&lt;D xsi:type="xsd:double"&gt;3.08590128961542&lt;/D&gt;&lt;D xsi:type="xsd:double"&gt;2.87618421017995&lt;/D&gt;&lt;D xsi:type="xsd:double"&gt;2.67373680991806&lt;/D&gt;&lt;D xsi:type="xsd:double"&gt;2.76424074100679&lt;/D&gt;&lt;D xsi:type="xsd:double"&gt;2.86794978451431&lt;/D&gt;&lt;D xsi:type="xsd:double"&gt;3.04371884362411&lt;/D&gt;&lt;D xsi:type="xsd:double"&gt;2.91049228103939&lt;/D&gt;&lt;D xsi:type="xsd:double"&gt;3.12619945034466&lt;/D&gt;&lt;D xsi:type="xsd:double"&gt;3.44090001248301&lt;/D&gt;&lt;D xsi:type="xsd:double"&gt;3.31652362997191&lt;/D&gt;&lt;D xsi:type="xsd:double"&gt;2.95535398254811&lt;/D&gt;&lt;D xsi:type="xsd:double"&gt;3.07318208695764&lt;/D&gt;&lt;D xsi:type="xsd:double"&gt;3.42500558004797&lt;/D&gt;&lt;D xsi:type="xsd:double"&gt;3.47155136012871&lt;/D&gt;&lt;D xsi:type="xsd:double"&gt;3.30419866262761&lt;/D&gt;&lt;D xsi:type="xsd:double"&gt;3.25137495960422&lt;/D&gt;&lt;D xsi:type="xsd:double"&gt;3.3614923495679&lt;/D&gt;&lt;D xsi:type="xsd:double"&gt;3.50515725063525&lt;/D&gt;&lt;D xsi:type="xsd:double"&gt;3.35075186455563&lt;/D&gt;&lt;D xsi:type="xsd:double"&gt;3.17504929758571&lt;/D&gt;&lt;D xsi:type="xsd:double"&gt;3.26531861693927&lt;/D&gt;&lt;D xsi:type="xsd:double"&gt;3.12948328121217&lt;/D&gt;&lt;D xsi:type="xsd:double"&gt;3.17988647226837&lt;/D&gt;&lt;D xsi:type="xsd:double"&gt;2.98869973323847&lt;/D&gt;&lt;D xsi:type="xsd:double"&gt;2.95310918629551&lt;/D&gt;&lt;D xsi:type="xsd:double"&gt;2.93697685304883&lt;/D&gt;&lt;D xsi:type="xsd:double"&gt;2.93582510261744&lt;/D&gt;&lt;D xsi:type="xsd:double"&gt;2.97068681728641&lt;/D&gt;&lt;D xsi:type="xsd:double"&gt;2.93079698618164&lt;/D&gt;&lt;D xsi:type="xsd:double"&gt;2.92392191708105&lt;/D&gt;&lt;D xsi:type="xsd:double"&gt;3.01523066392216&lt;/D&gt;&lt;D xsi:type="xsd:double"&gt;3.1177176948963&lt;/D&gt;&lt;D xsi:type="xsd:double"&gt;3.042417819834&lt;/D&gt;&lt;D xsi:type="xsd:double"&gt;2.94511052862043&lt;/D&gt;&lt;D xsi:type="xsd:double"&gt;2.95719677474329&lt;/D&gt;&lt;D xsi:type="xsd:double"&gt;2.86364956293989&lt;/D&gt;&lt;D xsi:type="xsd:double"&gt;2.8801871274447&lt;/D&gt;&lt;D xsi:type="xsd:double"&gt;3.11430430654098&lt;/D&gt;&lt;D xsi:type="xsd:double"&gt;3.16067180542612&lt;/D&gt;&lt;D xsi:type="xsd:double"&gt;3.14762392385229&lt;/D&gt;&lt;D xsi:type="xsd:double"&gt;3.09424852060369&lt;/D&gt;&lt;D xsi:type="xsd:double"&gt;3.13805354113238&lt;/D&gt;&lt;D xsi:type="xsd:double"&gt;3.16367037237914&lt;/D&gt;&lt;D xsi:type="xsd:double"&gt;3.30404631047552&lt;/D&gt;&lt;D xsi:type="xsd:double"&gt;3.32161276605737&lt;/D&gt;&lt;D xsi:type="xsd:double"&gt;3.51172059860775&lt;/D&gt;&lt;D xsi:type="xsd:double"&gt;3.63652245238099&lt;/D&gt;&lt;D xsi:type="xsd:double"&gt;3.8878840839689&lt;/D&gt;&lt;D xsi:type="xsd:double"&gt;3.71411516331461&lt;/D&gt;&lt;D xsi:type="xsd:double"&gt;3.67149104071305&lt;/D&gt;&lt;D xsi:type="xsd:double"&gt;3.56751756417327&lt;/D&gt;&lt;D xsi:type="xsd:double"&gt;3.41653387691734&lt;/D&gt;&lt;D xsi:type="xsd:double"&gt;3.50502238892625&lt;/D&gt;&lt;D xsi:type="xsd:double"&gt;3.51175863679063&lt;/D&gt;&lt;D xsi:type="xsd:double"&gt;3.48570311267477&lt;/D&gt;&lt;D xsi:type="xsd:double"&gt;3.63925440864288&lt;/D&gt;&lt;D xsi:type="xsd:double"&gt;3.40148424619104&lt;/D&gt;&lt;D xsi:type="xsd:double"&gt;3.33763277826815&lt;/D&gt;&lt;D xsi:type="xsd:double"&gt;3.12058324061507&lt;/D&gt;&lt;D xsi:type="xsd:double"&gt;3.09466067346845&lt;/D&gt;&lt;D xsi:type="xsd:double"&gt;3.0382588387476&lt;/D&gt;&lt;D xsi:type="xsd:double"&gt;3.01719655436079&lt;/D&gt;&lt;D xsi:type="xsd:double"&gt;4.84178212563649&lt;/D&gt;&lt;D xsi:type="xsd:double"&gt;3.49349703415107&lt;/D&gt;&lt;D xsi:type="xsd:double"&gt;3.2752319075673&lt;/D&gt;&lt;D xsi:type="xsd:double"&gt;2.90445415936478&lt;/D&gt;&lt;D xsi:type="xsd:double"&gt;2.80683457953695&lt;/D&gt;&lt;D xsi:type="xsd:double"&gt;2.81392277993741&lt;/D&gt;&lt;D xsi:type="xsd:double"&gt;2.81291563044555&lt;/D&gt;&lt;D xsi:type="xsd:double"&gt;2.81309170741906&lt;/D&gt;&lt;D xsi:type="xsd:double"&gt;2.82592670791488&lt;/D&gt;&lt;D xsi:type="xsd:double"&gt;2.72245857863979&lt;/D&gt;&lt;D xsi:type="xsd:double"&gt;2.73311165778358&lt;/D&gt;&lt;D xsi:type="xsd:double"&gt;2.77299960684647&lt;/D&gt;&lt;D xsi:type="xsd:double"&gt;2.72205186859517&lt;/D&gt;&lt;D xsi:type="xsd:double"&gt;2.66769027708152&lt;/D&gt;&lt;D xsi:type="xsd:double"&gt;2.8189826291937&lt;/D&gt;&lt;D xsi:type="xsd:double"&gt;2.82074309574889&lt;/D&gt;&lt;D xsi:type="xsd:double"&gt;2.83445374430217&lt;/D&gt;&lt;D xsi:type="xsd:double"&gt;2.82171746815389&lt;/D&gt;&lt;D xsi:type="xsd:double"&gt;2.9137704794274&lt;/D&gt;&lt;D xsi:type="xsd:double"&gt;2.95991726730877&lt;/D&gt;&lt;D xsi:type="xsd:double"&gt;2.93021077592876&lt;/D&gt;&lt;D xsi:type="xsd:double"&gt;3.08323305599586&lt;/D&gt;&lt;D xsi:type="xsd:double"&gt;3.09097345210727&lt;/D&gt;&lt;D xsi:type="xsd:double"&gt;3.30040582976468&lt;/D&gt;&lt;D xsi:type="xsd:double"&gt;3.50967941766498&lt;/D&gt;&lt;D xsi:type="xsd:double"&gt;3.62988425270808&lt;/D&gt;&lt;D xsi:type="xsd:double"&gt;3.84710325748114&lt;/D&gt;&lt;D xsi:type="xsd:double"&gt;4.09897744985905&lt;/D&gt;&lt;D xsi:type="xsd:double"&gt;4.16819985428172&lt;/D&gt;&lt;D xsi:type="xsd:double"&gt;3.95271562036819&lt;/D&gt;&lt;D xsi:type="xsd:double"&gt;4.24143564349116&lt;/D&gt;&lt;D xsi:type="xsd:double"&gt;4.23754178951971&lt;/D&gt;&lt;D xsi:type="xsd:double"&gt;3.75004274638745&lt;/D&gt;&lt;D xsi:type="xsd:double"&gt;3.87138634144437&lt;/D&gt;&lt;D xsi:type="xsd:double"&gt;3.50048052073986&lt;/D&gt;&lt;D xsi:type="xsd:double"&gt;3.45667629463102&lt;/D&gt;&lt;D xsi:type="xsd:double"&gt;3.72236564955837&lt;/D&gt;&lt;D xsi:type="xsd:double"&gt;3.49683856584736&lt;/D&gt;&lt;D xsi:type="xsd:double"&gt;3.56106770758931&lt;/D&gt;&lt;D xsi:type="xsd:double"&gt;3.56407236529932&lt;/D&gt;&lt;D xsi:type="xsd:double"&gt;3.64736984068588&lt;/D&gt;&lt;D xsi:type="xsd:double"&gt;3.77700685690902&lt;/D&gt;&lt;D xsi:type="xsd:double"&gt;3.75949796682846&lt;/D&gt;&lt;D xsi:type="xsd:double"&gt;3.95532367601128&lt;/D&gt;&lt;D xsi:type="xsd:double"&gt;3.70744764725446&lt;/D&gt;&lt;D xsi:type="xsd:double"&gt;3.56444220043697&lt;/D&gt;&lt;D xsi:type="xsd:double"&gt;3.63415280991162&lt;/D&gt;&lt;D xsi:type="xsd:double"&gt;3.48700850788703&lt;/D&gt;&lt;D xsi:type="xsd:double"&gt;3.32269006475038&lt;/D&gt;&lt;D xsi:type="xsd:double"&gt;3.35120864891167&lt;/D&gt;&lt;/FQL&gt;&lt;FQL&gt;&lt;Q&gt;EWA^FMA_PE(NTMA,-10AY,0,AM,"PORTAGG","MEANR")&lt;/Q&gt;&lt;R&gt;121&lt;/R&gt;&lt;C&gt;1&lt;/C&gt;&lt;D xsi:type="xsd:double"&gt;14.3601782616914&lt;/D&gt;&lt;D xsi:type="xsd:double"&gt;14.3333576955102&lt;/D&gt;&lt;D xsi:type="xsd:double"&gt;14.1164954984192&lt;/D&gt;&lt;D xsi:type="xsd:double"&gt;14.7557223619488&lt;/D&gt;&lt;D xsi:type="xsd:double"&gt;14.8347958776075&lt;/D&gt;&lt;D xsi:type="xsd:double"&gt;14.2405871259863&lt;/D&gt;&lt;D xsi:type="xsd:double"&gt;13.9235147185662&lt;/D&gt;&lt;D xsi:type="xsd:double"&gt;14.2143522569018&lt;/D&gt;&lt;D xsi:type="xsd:double"&gt;13.8865226993557&lt;/D&gt;&lt;D xsi:type="xsd:double"&gt;14.4484274764468&lt;/D&gt;&lt;D xsi:type="xsd:double"&gt;16.2594857148758&lt;/D&gt;&lt;D xsi:type="xsd:double"&gt;16.0517149494305&lt;/D&gt;&lt;D xsi:type="xsd:double"&gt;16.4311562951369&lt;/D&gt;&lt;D xsi:type="xsd:double"&gt;15.8840228831958&lt;/D&gt;&lt;D xsi:type="xsd:double"&gt;15.3156530870609&lt;/D&gt;&lt;D xsi:type="xsd:double"&gt;15.5780870981543&lt;/D&gt;&lt;D xsi:type="xsd:double"&gt;14.7778917780462&lt;/D&gt;&lt;D xsi:type="xsd:double"&gt;14.6497971243511&lt;/D&gt;&lt;D xsi:type="xsd:double"&gt;15.0738126732397&lt;/D&gt;&lt;D xsi:type="xsd:double"&gt;14.7432291458896&lt;/D&gt;&lt;D xsi:type="xsd:double"&gt;15.0527535956953&lt;/D&gt;&lt;D xsi:type="xsd:double"&gt;14.5769176103174&lt;/D&gt;&lt;D xsi:type="xsd:double"&gt;15.415856193594&lt;/D&gt;&lt;D xsi:type="xsd:double"&gt;16.1506061467616&lt;/D&gt;&lt;D xsi:type="xsd:double"&gt;15.8418266757079&lt;/D&gt;&lt;D xsi:type="xsd:double"&gt;16.4968885856731&lt;/D&gt;&lt;D xsi:type="xsd:double"&gt;15.7630738048685&lt;/D&gt;&lt;D xsi:type="xsd:double"&gt;16.5215551682704&lt;/D&gt;&lt;D xsi:type="xsd:double"&gt;16.720156518589&lt;/D&gt;&lt;D xsi:type="xsd:double"&gt;15.8920567278143&lt;/D&gt;&lt;D xsi:type="xsd:double"&gt;16.0813323264946&lt;/D&gt;&lt;D xsi:type="xsd:double"&gt;15.725058158022&lt;/D&gt;&lt;D xsi:type="xsd:double"&gt;15.5675462201942&lt;/D&gt;&lt;D xsi:type="xsd:double"&gt;15.8102062197153&lt;/D&gt;&lt;D xsi:type="xsd:double"&gt;16.0601710720143&lt;/D&gt;&lt;D xsi:type="xsd:double"&gt;15.7588330907249&lt;/D&gt;&lt;D xsi:type="xsd:double"&gt;15.7529645687295&lt;/D&gt;&lt;D xsi:type="xsd:double"&gt;15.3786816826317&lt;/D&gt;&lt;D xsi:type="xsd:double"&gt;15.4931070075755&lt;/D&gt;&lt;D xsi:type="xsd:double"&gt;15.527511543296&lt;/D&gt;&lt;D xsi:type="xsd:double"&gt;15.7267693305031&lt;/D&gt;&lt;D xsi:type="xsd:double"&gt;15.5867213235601&lt;/D&gt;&lt;D xsi:type="xsd:double"&gt;15.8802002637073&lt;/D&gt;&lt;D xsi:type="xsd:double"&gt;15.8505622006117&lt;/D&gt;&lt;D xsi:type="xsd:double"&gt;15.9188657215044&lt;/D&gt;&lt;D xsi:type="xsd:double"&gt;15.7263856102845&lt;/D&gt;&lt;D xsi:type="xsd:double"&gt;15.3536324233092&lt;/D&gt;&lt;D xsi:type="xsd:double"&gt;15.2802382453732&lt;/D&gt;&lt;D xsi:type="xsd:double"&gt;15.0133301232438&lt;/D&gt;&lt;D xsi:type="xsd:double"&gt;15.4546380810113&lt;/D&gt;&lt;D xsi:type="xsd:double"&gt;15.1487236634042&lt;/D&gt;&lt;D xsi:type="xsd:double"&gt;15.5485480176819&lt;/D&gt;&lt;D xsi:type="xsd:double"&gt;15.7882168000345&lt;/D&gt;&lt;D xsi:type="xsd:double"&gt;15.1858530349023&lt;/D&gt;&lt;D xsi:type="xsd:double"&gt;14.5476794991797&lt;/D&gt;&lt;D xsi:type="xsd:double"&gt;14.1756193041024&lt;/D&gt;&lt;D xsi:type="xsd:double"&gt;13.8268893206285&lt;/D&gt;&lt;D xsi:type="xsd:double"&gt;14.7056799229484&lt;/D&gt;&lt;D xsi:type="xsd:double"&gt;15.0265526899971&lt;/D&gt;&lt;D xsi:type="xsd:double"&gt;15.2874582417404&lt;/D&gt;&lt;D xsi:type="xsd:double"&gt;15.3050573638258&lt;/D&gt;&lt;D xsi:type="xsd:double"&gt;15.4211261748783&lt;/D&gt;&lt;D xsi:type="xsd:double"&gt;15.9813320732357&lt;/D&gt;&lt;D xsi:type="xsd:double"&gt;16.158992742916&lt;/D&gt;&lt;D xsi:type="xsd:double"&gt;15.631555354932&lt;/D&gt;&lt;D xsi:type="xsd:double"&gt;16.6038791556273&lt;/D&gt;&lt;D xsi:type="xsd:double"&gt;16.7442536849749&lt;/D&gt;&lt;D xsi:type="xsd:double"&gt;17.2038690780042&lt;/D&gt;&lt;D xsi:type="xsd:double"&gt;17.5504830409504&lt;/D&gt;&lt;D xsi:type="xsd:double"&gt;18.036642423487&lt;/D&gt;&lt;D xsi:type="xsd:double"&gt;18.3084043599339&lt;/D&gt;&lt;D xsi:type="xsd:double"&gt;12.8567751286237&lt;/D&gt;&lt;D xsi:type="xsd:double"&gt;16.5885771895915&lt;/D&gt;&lt;D xsi:type="xsd:double"&gt;17.4356243156278&lt;/D&gt;&lt;D xsi:type="xsd:double"&gt;19.0548410005757&lt;/D&gt;&lt;D xsi:type="xsd:double"&gt;19.1954402161942&lt;/D&gt;&lt;D xsi:type="xsd:double"&gt;19.7254312941756&lt;/D&gt;&lt;D xsi:type="xsd:double"&gt;18.4361012001243&lt;/D&gt;&lt;D xsi:type="xsd:double"&gt;18.5841508816394&lt;/D&gt;&lt;D xsi:type="xsd:double"&gt;19.4659217327722&lt;/D&gt;&lt;D xsi:type="xsd:double"&gt;19.3743939284503&lt;/D&gt;&lt;D xsi:type="xsd:double"&gt;19.1787307887155&lt;/D&gt;&lt;D xsi:type="xsd:double"&gt;18.6336393140522&lt;/D&gt;&lt;D xsi:type="xsd:double"&gt;18.0099400265711&lt;/D&gt;&lt;D xsi:type="xsd:double"&gt;18.2188081801904&lt;/D&gt;&lt;D xsi:type="xsd:double"&gt;17.8958608216466&lt;/D&gt;&lt;D xsi:type="xsd:double"&gt;18.0435982406887&lt;/D&gt;&lt;D xsi:type="xsd:double"&gt;16.7966839522648&lt;/D&gt;&lt;D xsi:type="xsd:double"&gt;17.0978053739314&lt;/D&gt;&lt;D xsi:type="xsd:double"&gt;16.9877472327236&lt;/D&gt;&lt;D xsi:type="xsd:double"&gt;17.4322074921263&lt;/D&gt;&lt;D xsi:type="xsd:double"&gt;17.1710352398768&lt;/D&gt;&lt;D xsi:type="xsd:double"&gt;17.1221553450961&lt;/D&gt;&lt;D xsi:type="xsd:double"&gt;17.4010127740468&lt;/D&gt;&lt;D xsi:type="xsd:double"&gt;15.7619702794235&lt;/D&gt;&lt;D xsi:type="xsd:double"&gt;16.0050291901089&lt;/D&gt;&lt;D xsi:type="xsd:double"&gt;15.5931052080236&lt;/D&gt;&lt;D xsi:type="xsd:double"&gt;14.3987195192137&lt;/D&gt;&lt;D xsi:type="xsd:double"&gt;12.4496745403917&lt;/D&gt;&lt;D xsi:type="xsd:double"&gt;12.9927089330318&lt;/D&gt;&lt;D xsi:type="xsd:double"&gt;14.1590277535445&lt;/D&gt;&lt;D xsi:type="xsd:double"&gt;13.1795040960223&lt;/D&gt;&lt;D xsi:type="xsd:double"&gt;13.0507092412279&lt;/D&gt;&lt;D xsi:type="xsd:double"&gt;14.2856401299225&lt;/D&gt;&lt;D xsi:type="xsd:double"&gt;14.0589367716908&lt;/D&gt;&lt;D xsi:type="xsd:double"&gt;14.8075917410394&lt;/D&gt;&lt;D xsi:type="xsd:double"&gt;14.6878779855471&lt;/D&gt;&lt;D xsi:type="xsd:double"&gt;13.9201466758633&lt;/D&gt;&lt;D xsi:type="xsd:double"&gt;14.7069147570802&lt;/D&gt;&lt;D xsi:type="xsd:double"&gt;14.5169657813233&lt;/D&gt;&lt;D xsi:type="xsd:double"&gt;15.0516797816379&lt;/D&gt;&lt;D xsi:type="xsd:double"&gt;15.3367142145221&lt;/D&gt;&lt;D xsi:type="xsd:double"&gt;14.9345129982042&lt;/D&gt;&lt;D xsi:type="xsd:double"&gt;15.3992115387349&lt;/D&gt;&lt;D xsi:type="xsd:double"&gt;14.8662497799562&lt;/D&gt;&lt;D xsi:type="xsd:double"&gt;15.0583792163135&lt;/D&gt;&lt;D xsi:type="xsd:double"&gt;15.9751251344867&lt;/D&gt;&lt;D xsi:type="xsd:double"&gt;15.7133525225441&lt;/D&gt;&lt;D xsi:type="xsd:double"&gt;16.4506059541011&lt;/D&gt;&lt;D xsi:type="xsd:double"&gt;16.42598283837&lt;/D&gt;&lt;D xsi:type="xsd:double"&gt;16.4762638259063&lt;/D&gt;&lt;/FQL&gt;&lt;FQL&gt;&lt;Q&gt;ENZL^JULIAN(FMA_DIV_YLD(LTMA,-10AY,0,AM,"PORTAGG","MEANR").DATES)&lt;/Q&gt;&lt;R&gt;121&lt;/R&gt;&lt;C&gt;1&lt;/C&gt;&lt;D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</t>
        </r>
      </text>
    </comment>
    <comment ref="A9" authorId="0" shapeId="0" xr:uid="{6C0DAF7C-5BFC-4A34-ABC4-56636AAF3993}">
      <text>
        <r>
          <rPr>
            <b/>
            <sz val="9"/>
            <color indexed="81"/>
            <rFont val="Tahoma"/>
            <charset val="1"/>
          </rPr>
          <t>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xsi:type="xsd:long"&gt;43784&lt;/D&gt;&lt;D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xsi:type="xsd:long"&gt;45397&lt;/D&gt;&lt;/FQL&gt;&lt;FQL&gt;&lt;Q&gt;CAGDPY@IT^EE_ACTUAL_ANNUAL(MED,+1)&lt;/Q&gt;&lt;R&gt;1&lt;/R&gt;&lt;C&gt;1&lt;/C&gt;&lt;D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xsi:type="xsd:double"&gt;6.0840845&lt;/D&gt;&lt;/FQL&gt;&lt;FQL&gt;&lt;Q&gt;USDCHF^FG_PRICE_CHANGE(0,-1AY)&lt;/Q&gt;&lt;R&gt;1&lt;/R&gt;&lt;C&gt;1&lt;/C&gt;&lt;D xsi:type="xsd:double"&gt;1.5984416&lt;/D&gt;&lt;/FQL&gt;&lt;FQL&gt;&lt;Q&gt;USDEUR^FG_PRICE_CHANGE(0,-1AY)&lt;/Q&gt;&lt;R&gt;1&lt;/R&gt;&lt;C&gt;1&lt;/C&gt;&lt;D xsi:type="xsd:double"&gt;2.8811336&lt;/D&gt;&lt;/FQL&gt;&lt;FQL&gt;&lt;Q&gt;USDAUD^FG_PRICE_CHANGE(0,-1AY)&lt;/Q&gt;&lt;R&gt;1&lt;/R&gt;&lt;C&gt;1&lt;/C&gt;&lt;D xsi:type="xsd:double"&gt;4.6705008&lt;/D&gt;&lt;/FQL&gt;&lt;FQL&gt;&lt;Q&gt;QQQ^FMA_EPS(NTMA,-20AY,0,CY,,"PORTAGG","MEANR")&lt;/Q&gt;&lt;R&gt;20&lt;/R&gt;&lt;C&gt;1&lt;/C&gt;&lt;D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xsi:type="xsd:double"&gt;16.3242218931405&lt;/D&gt;&lt;/FQL&gt;&lt;FQL&gt;&lt;Q&gt;EWL^P_PRICE_RETURNS_PR('52W',2,-10AY,0,AM)&lt;/Q&gt;&lt;R&gt;121&lt;/R&gt;&lt;C&gt;1&lt;/C&gt;&lt;D xsi:type="xsd:double"&gt;21.516228&lt;/D&gt;&lt;D xsi:type="xsd:double"&gt;17.312849&lt;/D&gt;&lt;D xsi:type="xsd:double"&gt;19.024456&lt;/D&gt;&lt;D xsi:type="xsd:double"&gt;16.612328&lt;/D&gt;&lt;D xsi:type="xsd:double"&gt;11.851811&lt;/D&gt;&lt;D xsi:type="xsd:double"&gt;8.638954&lt;/D&gt;&lt;D xsi:type="xsd:double"&gt;-0.8076787&lt;/D&gt;&lt;D xsi:type="xsd:double"&gt;4.006803&lt;/D&gt;&lt;D xsi:type="xsd:double"&gt;4.3897986&lt;/D&gt;&lt;D xsi:type="xsd:double"&gt;0.5256176&lt;/D&gt;&lt;D xsi:type="xsd:double"&gt;0.17073154&lt;/D&gt;&lt;D xsi:type="xsd:double"&gt;1.0326028&lt;/D&gt;&lt;D xsi:type="xsd:double"&gt;2.6987433&lt;/D&gt;&lt;D xsi:type="xsd:double"&gt;3.8063765&lt;/D&gt;&lt;D xsi:type="xsd:double"&gt;0.2712965&lt;/D&gt;&lt;D xsi:type="xsd:double"&gt;3.811705&lt;/D&gt;&lt;D xsi:type="xsd:double"&gt;2.9734492&lt;/D&gt;&lt;D xsi:type="xsd:double"&gt;-3.097248&lt;/D&gt;&lt;D xsi:type="xsd:double"&gt;9.400368&lt;/D&gt;&lt;D xsi:type="xsd:double"&gt;-2.7824283&lt;/D&gt;&lt;D xsi:type="xsd:double"&gt;-3.7031472&lt;/D&gt;&lt;D xsi:type="xsd:double"&gt;-11.074763&lt;/D&gt;&lt;D xsi:type="xsd:double"&gt;-11.186767&lt;/D&gt;&lt;D xsi:type="xsd:double"&gt;-9.429174&lt;/D&gt;&lt;D xsi:type="xsd:double"&gt;-9.119582&lt;/D&gt;&lt;D xsi:type="xsd:double"&gt;-14.347351&lt;/D&gt;&lt;D xsi:type="xsd:double"&gt;-10.841232&lt;/D&gt;&lt;D xsi:type="xsd:double"&gt;-10.544986&lt;/D&gt;&lt;D xsi:type="xsd:double"&gt;-4.8594713&lt;/D&gt;&lt;D xsi:type="xsd:double"&gt;-3.7422538&lt;/D&gt;&lt;D xsi:type="xsd:double"&gt;-4.9720407&lt;/D&gt;&lt;D xsi:type="xsd:double"&gt;-5.8245125&lt;/D&gt;&lt;D xsi:type="xsd:double"&gt;-4.4248104&lt;/D&gt;&lt;D xsi:type="xsd:double"&gt;8.724523&lt;/D&gt;&lt;D xsi:type="xsd:double"&gt;11.098862&lt;/D&gt;&lt;D xsi:type="xsd:double"&gt;10.726333&lt;/D&gt;&lt;D xsi:type="xsd:double"&gt;7.0064425&lt;/D&gt;&lt;D xsi:type="xsd:double"&gt;17.78859&lt;/D&gt;&lt;D xsi:type="xsd:double"&gt;20.656443&lt;/D&gt;&lt;D xsi:type="xsd:double"&gt;18.62527&lt;/D&gt;&lt;D xsi:type="xsd:double"&gt;11.8316765&lt;/D&gt;&lt;D xsi:type="xsd:double"&gt;18.283485&lt;/D&gt;&lt;D xsi:type="xsd:double"&gt;20.68404&lt;/D&gt;&lt;D xsi:type="xsd:double"&gt;21.490515&lt;/D&gt;&lt;D xsi:type="xsd:double"&gt;24.270105&lt;/D&gt;&lt;D xsi:type="xsd:double"&gt;23.665714&lt;/D&gt;&lt;D xsi:type="xsd:double"&gt;18.25651&lt;/D&gt;&lt;D xsi:type="xsd:double"&gt;11.05566&lt;/D&gt;&lt;D xsi:type="xsd:double"&gt;10.692156&lt;/D&gt;&lt;D xsi:type="xsd:double"&gt;2.2868395&lt;/D&gt;&lt;D xsi:type="xsd:double"&gt;-2.383113&lt;/D&gt;&lt;D xsi:type="xsd:double"&gt;-0.68556666&lt;/D&gt;&lt;D xsi:type="xsd:double"&gt;2.477491&lt;/D&gt;&lt;D xsi:type="xsd:double"&gt;2.5665522&lt;/D&gt;&lt;D xsi:type="xsd:double"&gt;-5.02069&lt;/D&gt;&lt;D xsi:type="xsd:double"&gt;-1.3877213&lt;/D&gt;&lt;D xsi:type="xsd:double"&gt;-9.039664&lt;/D&gt;&lt;D xsi:type="xsd:double"&gt;-6.6663265&lt;/D&gt;&lt;D xsi:type="xsd:double"&gt;-3.3263624&lt;/D&gt;&lt;D xsi:type="xsd:double"&gt;3.8892984&lt;/D&gt;&lt;D xsi:type="xsd:double"&gt;5.8181405&lt;/D&gt;&lt;D xsi:type="xsd:double"&gt;7.210362&lt;/D&gt;&lt;D xsi:type="xsd:double"&gt;16.161024&lt;/D&gt;&lt;D xsi:type="xsd:double"&gt;14.6941185&lt;/D&gt;&lt;D xsi:type="xsd:double"&gt;11.431384&lt;/D&gt;&lt;D xsi:type="xsd:double"&gt;10.029387&lt;/D&gt;&lt;D xsi:type="xsd:double"&gt;17.857038&lt;/D&gt;&lt;D xsi:type="xsd:double"&gt;20.506119&lt;/D&gt;&lt;D xsi:type="xsd:double"&gt;29.914713&lt;/D&gt;&lt;D xsi:type="xsd:double"&gt;28.347946&lt;/D&gt;&lt;D xsi:type="xsd:double"&gt;25.908863&lt;/D&gt;&lt;D xsi:type="xsd:double"&gt;-9.438485&lt;/D&gt;&lt;D xsi:type="xsd:double"&gt;5.6458354&lt;/D&gt;&lt;D xsi:type="xsd:double"&gt;6.0782313&lt;/D&gt;&lt;D xsi:type="xsd:double"&gt;7.874453&lt;/D&gt;&lt;D xsi:type="xsd:double"&gt;11.2801075&lt;/D&gt;&lt;D xsi:type="xsd:double"&gt;15.099203&lt;/D&gt;&lt;D xsi:type="xsd:double"&gt;15.544451&lt;/D&gt;&lt;D xsi:type="xsd:double"&gt;11.950815&lt;/D&gt;&lt;D xsi:type="xsd:double"&gt;11.825252&lt;/D&gt;&lt;D xsi:type="xsd:double"&gt;12.606943&lt;/D&gt;&lt;D xsi:type="xsd:double"&gt;11.896658&lt;/D&gt;&lt;D xsi:type="xsd:double"&gt;8.593618&lt;/D&gt;&lt;D xsi:type="xsd:double"&gt;42.759335&lt;/D&gt;&lt;D xsi:type="xsd:double"&gt;31.606281&lt;/D&gt;&lt;D xsi:type="xsd:double"&gt;28.999996&lt;/D&gt;&lt;D xsi:type="xsd:double"&gt;26.390589&lt;/D&gt;&lt;D xsi:type="xsd:double"&gt;22.917843&lt;/D&gt;&lt;D xsi:type="xsd:double"&gt;24.025011&lt;/D&gt;&lt;D xsi:type="xsd:double"&gt;15.20319&lt;/D&gt;&lt;D xsi:type="xsd:double"&gt;19.610477&lt;/D&gt;&lt;D xsi:type="xsd:double"&gt;21.605217&lt;/D&gt;&lt;D xsi:type="xsd:double"&gt;17.779945&lt;/D&gt;&lt;D xsi:type="xsd:double"&gt;14.529896&lt;/D&gt;&lt;D xsi:type="xsd:double"&gt;9.899199&lt;/D&gt;&lt;D xsi:type="xsd:double"&gt;13.271046&lt;/D&gt;&lt;D xsi:type="xsd:double"&gt;6.8507195&lt;/D&gt;&lt;D xsi:type="xsd:double"&gt;-6.3245177&lt;/D&gt;&lt;D xsi:type="xsd:double"&gt;-18.044102&lt;/D&gt;&lt;D xsi:type="xsd:double"&gt;-14.620209&lt;/D&gt;&lt;D xsi:type="xsd:double"&gt;-13.781482&lt;/D&gt;&lt;D xsi:type="xsd:double"&gt;-16.883707&lt;/D&gt;&lt;D xsi:type="xsd:double"&gt;-18.94703&lt;/D&gt;&lt;D xsi:type="xsd:double"&gt;-15.8162775&lt;/D&gt;&lt;D xsi:type="xsd:double"&gt;-17.769735&lt;/D&gt;&lt;D xsi:type="xsd:double"&gt;-9.382433&lt;/D&gt;&lt;D xsi:type="xsd:double"&gt;-5.219674&lt;/D&gt;&lt;D xsi:type="xsd:double"&gt;-9.836197&lt;/D&gt;&lt;D xsi:type="xsd:double"&gt;-1.597333&lt;/D&gt;&lt;D xsi:type="xsd:double"&gt;11.802888&lt;/D&gt;&lt;D xsi:type="xsd:double"&gt;20.104206&lt;/D&gt;&lt;D xsi:type="xsd:double"&gt;18.24094&lt;/D&gt;&lt;D xsi:type="xsd:double"&gt;7.066262&lt;/D&gt;&lt;D xsi:type="xsd:double"&gt;15.19767&lt;/D&gt;&lt;D xsi:type="xsd:double"&gt;14.237952&lt;/D&gt;&lt;D xsi:type="xsd:double"&gt;8.638298&lt;/D&gt;&lt;D xsi:type="xsd:double"&gt;14.891028&lt;/D&gt;&lt;D xsi:type="xsd:double"&gt;6.3973546&lt;/D&gt;&lt;D xsi:type="xsd:double"&gt;7.3997617&lt;/D&gt;&lt;D xsi:type="xsd:double"&gt;14.4883995&lt;/D&gt;&lt;D xsi:type="xsd:double"&gt;-2.4202228&lt;/D&gt;&lt;/FQL&gt;&lt;FQL&gt;&lt;Q&gt;EWG^FG_TOTAL_RETURNC(-10AY,0,AM)&lt;/Q&gt;&lt;R&gt;121&lt;/R&gt;&lt;C&gt;1&lt;/C&gt;&lt;D xsi:type="xsd:double"&gt;0.84525347&lt;/D&gt;&lt;D xsi:type="xsd:double"&gt;0.9671211&lt;/D&gt;&lt;D xsi:type="xsd:double"&gt;2.7139187&lt;/D&gt;&lt;D xsi:type="xsd:double"&gt;-2.9931843&lt;/D&gt;&lt;D xsi:type="xsd:double"&gt;-5.7862043&lt;/D&gt;&lt;D xsi:type="xsd:double"&gt;1.596117&lt;/D&gt;&lt;D xsi:type="xsd:double"&gt;-10.655743&lt;/D&gt;&lt;D xsi:type="xsd:double"&gt;3.172779&lt;/D&gt;&lt;D xsi:type="xsd:double"&gt;4.1496873&lt;/D&gt;&lt;D xsi:type="xsd:double"&gt;-1.4941275&lt;/D&gt;&lt;D xsi:type="xsd:double"&gt;5.2004337&lt;/D&gt;&lt;D xsi:type="xsd:double"&gt;2.8149724&lt;/D&gt;&lt;D xsi:type="xsd:double"&gt;-1.8697858&lt;/D&gt;&lt;D xsi:type="xsd:double"&gt;3.6406875&lt;/D&gt;&lt;D xsi:type="xsd:double"&gt;-3.9067566&lt;/D&gt;&lt;D xsi:type="xsd:double"&gt;0.31039715&lt;/D&gt;&lt;D xsi:type="xsd:double"&gt;-4.712409&lt;/D&gt;&lt;D xsi:type="xsd:double"&gt;-6.3272715&lt;/D&gt;&lt;D xsi:type="xsd:double"&gt;1.8633485&lt;/D&gt;&lt;D xsi:type="xsd:double"&gt;1.753056&lt;/D&gt;&lt;D xsi:type="xsd:double"&gt;-2.284646&lt;/D&gt;&lt;D xsi:type="xsd:double"&gt;-9.428906&lt;/D&gt;&lt;D xsi:type="xsd:double"&gt;1.4388442&lt;/D&gt;&lt;D xsi:type="xsd:double"&gt;6.5915704&lt;/D&gt;&lt;D xsi:type="xsd:double"&gt;2.1135092&lt;/D&gt;&lt;D xsi:type="xsd:double"&gt;-2.8746665&lt;/D&gt;&lt;D xsi:type="xsd:double"&gt;-1.6179919&lt;/D&gt;&lt;D xsi:type="xsd:double"&gt;1.6493201&lt;/D&gt;&lt;D xsi:type="xsd:double"&gt;8.08407&lt;/D&gt;&lt;D xsi:type="xsd:double"&gt;-4.5624495&lt;/D&gt;&lt;D xsi:type="xsd:double"&gt;1.4498353&lt;/D&gt;&lt;D xsi:type="xsd:double"&gt;-3.9783657&lt;/D&gt;&lt;D xsi:type="xsd:double"&gt;5.108607&lt;/D&gt;&lt;D xsi:type="xsd:double"&gt;4.054117&lt;/D&gt;&lt;D xsi:type="xsd:double"&gt;1.3245106&lt;/D&gt;&lt;D xsi:type="xsd:double"&gt;3.1590343&lt;/D&gt;&lt;D xsi:type="xsd:double"&gt;-0.56318045&lt;/D&gt;&lt;D xsi:type="xsd:double"&gt;8.42477&lt;/D&gt;&lt;D xsi:type="xsd:double"&gt;1.9588709&lt;/D&gt;&lt;D xsi:type="xsd:double"&gt;0.60908794&lt;/D&gt;&lt;D xsi:type="xsd:double"&gt;-0.5840361&lt;/D&gt;&lt;D xsi:type="xsd:double"&gt;4.76501&lt;/D&gt;&lt;D xsi:type="xsd:double"&gt;2.4922252&lt;/D&gt;&lt;D xsi:type="xsd:double"&gt;-0.57751536&lt;/D&gt;&lt;D xsi:type="xsd:double"&gt;2.5374532&lt;/D&gt;&lt;D xsi:type="xsd:double"&gt;4.1680455&lt;/D&gt;&lt;D xsi:type="xsd:double"&gt;-4.50502&lt;/D&gt;&lt;D xsi:type="xsd:double"&gt;-1.953119&lt;/D&gt;&lt;D xsi:type="xsd:double"&gt;2.2372007&lt;/D&gt;&lt;D xsi:type="xsd:double"&gt;-1.4388502&lt;/D&gt;&lt;D xsi:type="xsd:double"&gt;-2.8588831&lt;/D&gt;&lt;D xsi:type="xsd:double"&gt;-0.5354941&lt;/D&gt;&lt;D xsi:type="xsd:double"&gt;-5.1579657&lt;/D&gt;&lt;D xsi:type="xsd:double"&gt;1.7335176&lt;/D&gt;&lt;D xsi:type="xsd:double"&gt;-7.4173093&lt;/D&gt;&lt;D xsi:type="xsd:double"&gt;-1.5517831&lt;/D&gt;&lt;D xsi:type="xsd:double"&gt;-6.4516125&lt;/D&gt;&lt;D xsi:type="xsd:double"&gt;4.5846343&lt;/D&gt;&lt;D xsi:type="xsd:double"&gt;0.03746748&lt;/D&gt;&lt;D xsi:type="xsd:double"&gt;3.3707857&lt;/D&gt;&lt;D xsi:type="xsd:double"&gt;3.5144925&lt;/D&gt;&lt;D xsi:type="xsd:double"&gt;-1.8200934&lt;/D&gt;&lt;D xsi:type="xsd:double"&gt;0.4331708&lt;/D&gt;&lt;D xsi:type="xsd:double"&gt;0.109410286&lt;/D&gt;&lt;D xsi:type="xsd:double"&gt;-6.7395267&lt;/D&gt;&lt;D xsi:type="xsd:double"&gt;6.60156&lt;/D&gt;&lt;D xsi:type="xsd:double"&gt;2.9314756&lt;/D&gt;&lt;D xsi:type="xsd:double"&gt;3.2751918&lt;/D&gt;&lt;D xsi:type="xsd:double"&gt;0.8617759&lt;/D&gt;&lt;D xsi:type="xsd:double"&gt;2.0164013&lt;/D&gt;&lt;D xsi:type="xsd:double"&gt;-2.1440566&lt;/D&gt;&lt;D xsi:type="xsd:double"&gt;-38.274555&lt;/D&gt;&lt;D xsi:type="xsd:double"&gt;27.787018&lt;/D&gt;&lt;D xsi:type="xsd:double"&gt;4.3836713&lt;/D&gt;&lt;D xsi:type="xsd:double"&gt;13.352882&lt;/D&gt;&lt;D xsi:type="xsd:double"&gt;6.8939924&lt;/D&gt;&lt;D xsi:type="xsd:double"&gt;3.952837&lt;/D&gt;&lt;D xsi:type="xsd:double"&gt;0.96731186&lt;/D&gt;&lt;D xsi:type="xsd:double"&gt;-2.1803737&lt;/D&gt;&lt;D xsi:type="xsd:double"&gt;1.2495756&lt;/D&gt;&lt;D xsi:type="xsd:double"&gt;8.217692&lt;/D&gt;&lt;D xsi:type="xsd:double"&gt;-0.62422156&lt;/D&gt;&lt;D xsi:type="xsd:double"&gt;2.3555279&lt;/D&gt;&lt;D xsi:type="xsd:double"&gt;2.5467873&lt;/D&gt;&lt;D xsi:type="xsd:double"&gt;5.894673&lt;/D&gt;&lt;D xsi:type="xsd:double"&gt;0.11303425&lt;/D&gt;&lt;D xsi:type="xsd:double"&gt;-1.3148248&lt;/D&gt;&lt;D xsi:type="xsd:double"&gt;-0.2036035&lt;/D&gt;&lt;D xsi:type="xsd:double"&gt;1.6613245&lt;/D&gt;&lt;D xsi:type="xsd:double"&gt;-2.40826&lt;/D&gt;&lt;D xsi:type="xsd:double"&gt;-1.7332554&lt;/D&gt;&lt;D xsi:type="xsd:double"&gt;2.3617387&lt;/D&gt;&lt;D xsi:type="xsd:double"&gt;-6.2053323&lt;/D&gt;&lt;D xsi:type="xsd:double"&gt;2.7329683&lt;/D&gt;&lt;D xsi:type="xsd:double"&gt;-4.61632&lt;/D&gt;&lt;D xsi:type="xsd:double"&gt;-7.3397455&lt;/D&gt;&lt;D xsi:type="xsd:double"&gt;-6.2262177&lt;/D&gt;&lt;D xsi:type="xsd:double"&gt;-5.71745&lt;/D&gt;&lt;D xsi:type="xsd:double"&gt;-4.5309663&lt;/D&gt;&lt;D xsi:type="xsd:double"&gt;-6.210393&lt;/D&gt;&lt;D xsi:type="xsd:double"&gt;5.360353&lt;/D&gt;&lt;D xsi:type="xsd:double"&gt;-7.6100826&lt;/D&gt;&lt;D xsi:type="xsd:double"&gt;-2.0360947&lt;/D&gt;&lt;D xsi:type="xsd:double"&gt;17.76098&lt;/D&gt;&lt;D xsi:type="xsd:double"&gt;-1.2905419&lt;/D&gt;&lt;D xsi:type="xsd:double"&gt;12.601625&lt;/D&gt;&lt;D xsi:type="xsd:double"&gt;1.6245484&lt;/D&gt;&lt;D xsi:type="xsd:double"&gt;-6.0745955&lt;/D&gt;&lt;D xsi:type="xsd:double"&gt;10.438728&lt;/D&gt;&lt;D xsi:type="xsd:double"&gt;-0.4109621&lt;/D&gt;&lt;D xsi:type="xsd:double"&gt;2.1452427&lt;/D&gt;&lt;D xsi:type="xsd:double"&gt;1.4873743&lt;/D&gt;&lt;D xsi:type="xsd:double"&gt;-6.4758005&lt;/D&gt;&lt;D xsi:type="xsd:double"&gt;-1.1297405&lt;/D&gt;&lt;D xsi:type="xsd:double"&gt;-6.118685&lt;/D&gt;&lt;D xsi:type="xsd:double"&gt;9.89399&lt;/D&gt;&lt;D xsi:type="xsd:double"&gt;4.465878&lt;/D&gt;&lt;D xsi:type="xsd:double"&gt;-1.739043&lt;/D&gt;&lt;D xsi:type="xsd:double"&gt;2.714932&lt;/D&gt;&lt;D xsi:type="xsd:double"&gt;5.015242&lt;/D&gt;&lt;D xsi:type="xsd:double"&gt;-3.0655026&lt;/D&gt;&lt;/FQL&gt;&lt;FQL&gt;&lt;Q&gt;EWA^FMA_DIV_YLD(NTMA,-10AY,0,AM,"PORTAGG","MEANR")&lt;/Q&gt;&lt;R&gt;121&lt;/R&gt;&lt;C&gt;1&lt;/C&gt;&lt;D xsi:type="xsd:double"&gt;4.7720048493328&lt;/D&gt;&lt;D xsi:type="xsd:double"&gt;4.76307396845451&lt;/D&gt;&lt;D xsi:type="xsd:double"&gt;4.87582554876083&lt;/D&gt;&lt;D xsi:type="xsd:double"&gt;4.71793027178358&lt;/D&gt;&lt;D xsi:type="xsd:double"&gt;4.70535562970632&lt;/D&gt;&lt;D xsi:type="xsd:double"&gt;4.91584162951924&lt;/D&gt;&lt;D xsi:type="xsd:double"&gt;5.0655415651363&lt;/D&gt;&lt;D xsi:type="xsd:double"&gt;4.96768400094698&lt;/D&gt;&lt;D xsi:type="xsd:double"&gt;5.16313847558668&lt;/D&gt;&lt;D xsi:type="xsd:double"&gt;5.07826404210497&lt;/D&gt;&lt;D xsi:type="xsd:double"&gt;4.5867940554626&lt;/D&gt;&lt;D xsi:type="xsd:double"&gt;4.6513853193405&lt;/D&gt;&lt;D xsi:type="xsd:double"&gt;4.60128995658797&lt;/D&gt;&lt;D xsi:type="xsd:double"&gt;4.75718247294113&lt;/D&gt;&lt;D xsi:type="xsd:double"&gt;4.90081231750078&lt;/D&gt;&lt;D xsi:type="xsd:double"&gt;4.81765920522461&lt;/D&gt;&lt;D xsi:type="xsd:double"&gt;5.18998660911578&lt;/D&gt;&lt;D xsi:type="xsd:double"&gt;5.31321803080802&lt;/D&gt;&lt;D xsi:type="xsd:double"&gt;5.17781929203322&lt;/D&gt;&lt;D xsi:type="xsd:double"&gt;5.35316670105698&lt;/D&gt;&lt;D xsi:type="xsd:double"&gt;5.32536243434874&lt;/D&gt;&lt;D xsi:type="xsd:double"&gt;5.57444278315214&lt;/D&gt;&lt;D xsi:type="xsd:double"&gt;5.06569901704711&lt;/D&gt;&lt;D xsi:type="xsd:double"&gt;4.71052050457261&lt;/D&gt;&lt;D xsi:type="xsd:double"&gt;4.76632684168503&lt;/D&gt;&lt;D xsi:type="xsd:double"&gt;4.57128520061198&lt;/D&gt;&lt;D xsi:type="xsd:double"&gt;4.7553197926033&lt;/D&gt;&lt;D xsi:type="xsd:double"&gt;4.50408072473317&lt;/D&gt;&lt;D xsi:type="xsd:double"&gt;4.46139303801457&lt;/D&gt;&lt;D xsi:type="xsd:double"&gt;4.66560174717176&lt;/D&gt;&lt;D xsi:type="xsd:double"&gt;4.56043362664248&lt;/D&gt;&lt;D xsi:type="xsd:double"&gt;4.63444114827181&lt;/D&gt;&lt;D xsi:type="xsd:double"&gt;4.60882932854851&lt;/D&gt;&lt;D xsi:type="xsd:double"&gt;4.50792332120316&lt;/D&gt;&lt;D xsi:type="xsd:double"&gt;4.45976471142303&lt;/D&gt;&lt;D xsi:type="xsd:double"&gt;4.55232794586758&lt;/D&gt;&lt;D xsi:type="xsd:double"&gt;4.53669617458827&lt;/D&gt;&lt;D xsi:type="xsd:double"&gt;4.63876556500603&lt;/D&gt;&lt;D xsi:type="xsd:double"&gt;4.60557263210598&lt;/D&gt;&lt;D xsi:type="xsd:double"&gt;4.61514441749311&lt;/D&gt;&lt;D xsi:type="xsd:double"&gt;4.54507692948587&lt;/D&gt;&lt;D xsi:type="xsd:double"&gt;4.58276776137191&lt;/D&gt;&lt;D xsi:type="xsd:double"&gt;4.49018195654982&lt;/D&gt;&lt;D xsi:type="xsd:double"&gt;4.49201546880016&lt;/D&gt;&lt;D xsi:type="xsd:double"&gt;4.48020229566627&lt;/D&gt;&lt;D xsi:type="xsd:double"&gt;4.52926826096864&lt;/D&gt;&lt;D xsi:type="xsd:double"&gt;4.64556705569957&lt;/D&gt;&lt;D xsi:type="xsd:double"&gt;4.67978048313108&lt;/D&gt;&lt;D xsi:type="xsd:double"&gt;4.76815216379812&lt;/D&gt;&lt;D xsi:type="xsd:double"&gt;4.62891811807485&lt;/D&gt;&lt;D xsi:type="xsd:double"&gt;4.72436666011873&lt;/D&gt;&lt;D xsi:type="xsd:double"&gt;4.60430427507157&lt;/D&gt;&lt;D xsi:type="xsd:double"&gt;4.55468585283681&lt;/D&gt;&lt;D xsi:type="xsd:double"&gt;4.76618478168238&lt;/D&gt;&lt;D xsi:type="xsd:double"&gt;4.97674056487448&lt;/D&gt;&lt;D xsi:type="xsd:double"&gt;5.22372835161489&lt;/D&gt;&lt;D xsi:type="xsd:double"&gt;5.42544083248843&lt;/D&gt;&lt;D xsi:type="xsd:double"&gt;5.08322022534321&lt;/D&gt;&lt;D xsi:type="xsd:double"&gt;4.95936250542958&lt;/D&gt;&lt;D xsi:type="xsd:double"&gt;4.945032682567&lt;/D&gt;&lt;D xsi:type="xsd:double"&gt;4.90718907492549&lt;/D&gt;&lt;D xsi:type="xsd:double"&gt;4.85541330209604&lt;/D&gt;&lt;D xsi:type="xsd:double"&gt;4.66479218382375&lt;/D&gt;&lt;D xsi:type="xsd:double"&gt;4.60366493040884&lt;/D&gt;&lt;D xsi:type="xsd:double"&gt;4.77194941420051&lt;/D&gt;&lt;D xsi:type="xsd:double"&gt;4.45320135341287&lt;/D&gt;&lt;D xsi:type="xsd:double"&gt;4.43716154268618&lt;/D&gt;&lt;D xsi:type="xsd:double"&gt;4.32655033288796&lt;/D&gt;&lt;D xsi:type="xsd:double"&gt;4.22446808250236&lt;/D&gt;&lt;D xsi:type="xsd:double"&gt;4.12272998447865&lt;/D&gt;&lt;D xsi:type="xsd:double"&gt;4.06178761042806&lt;/D&gt;&lt;D xsi:type="xsd:double"&gt;5.82100062707017&lt;/D&gt;&lt;D xsi:type="xsd:double"&gt;4.2906887378624&lt;/D&gt;&lt;D xsi:type="xsd:double"&gt;3.79016215805302&lt;/D&gt;&lt;D xsi:type="xsd:double"&gt;3.42883168040535&lt;/D&gt;&lt;D xsi:type="xsd:double"&gt;3.41837081258369&lt;/D&gt;&lt;D xsi:type="xsd:double"&gt;3.35298883107278&lt;/D&gt;&lt;D xsi:type="xsd:double"&gt;3.61854604948926&lt;/D&gt;&lt;D xsi:type="xsd:double"&gt;3.56363253816023&lt;/D&gt;&lt;D xsi:type="xsd:double"&gt;3.44003168558139&lt;/D&gt;&lt;D xsi:type="xsd:double"&gt;3.52391762492234&lt;/D&gt;&lt;D xsi:type="xsd:double"&gt;3.55834767383295&lt;/D&gt;&lt;D xsi:type="xsd:double"&gt;3.80181452331497&lt;/D&gt;&lt;D xsi:type="xsd:double"&gt;3.90283864622464&lt;/D&gt;&lt;D xsi:type="xsd:double"&gt;3.85939079817717&lt;/D&gt;&lt;D xsi:type="xsd:double"&gt;3.90787594670637&lt;/D&gt;&lt;D xsi:type="xsd:double"&gt;3.88464716373025&lt;/D&gt;&lt;D xsi:type="xsd:double"&gt;4.18676000273965&lt;/D&gt;&lt;D xsi:type="xsd:double"&gt;4.07529079332765&lt;/D&gt;&lt;D xsi:type="xsd:double"&gt;4.09888902551727&lt;/D&gt;&lt;D xsi:type="xsd:double"&gt;3.97565010535906&lt;/D&gt;&lt;D xsi:type="xsd:double"&gt;4.02816128702327&lt;/D&gt;&lt;D xsi:type="xsd:double"&gt;3.96390309795131&lt;/D&gt;&lt;D xsi:type="xsd:double"&gt;3.90236448070062&lt;/D&gt;&lt;D xsi:type="xsd:double"&gt;4.30660238195959&lt;/D&gt;&lt;D xsi:type="xsd:double"&gt;4.23444338738438&lt;/D&gt;&lt;D xsi:type="xsd:double"&gt;4.357732379929&lt;/D&gt;&lt;D xsi:type="xsd:double"&gt;4.65487646327262&lt;/D&gt;&lt;D xsi:type="xsd:double"&gt;5.33004498627038&lt;/D&gt;&lt;D xsi:type="xsd:double"&gt;5.14332869655862&lt;/D&gt;&lt;D xsi:type="xsd:double"&gt;4.67452773934202&lt;/D&gt;&lt;D xsi:type="xsd:double"&gt;5.00216648527706&lt;/D&gt;&lt;D xsi:type="xsd:double"&gt;5.07761763796253&lt;/D&gt;&lt;D xsi:type="xsd:double"&gt;4.62262683462782&lt;/D&gt;&lt;D xsi:type="xsd:double"&gt;4.59377994530833&lt;/D&gt;&lt;D xsi:type="xsd:double"&gt;4.34105291717175&lt;/D&gt;&lt;D xsi:type="xsd:double"&gt;4.3951920127214&lt;/D&gt;&lt;D xsi:type="xsd:double"&gt;4.66241896599867&lt;/D&gt;&lt;D xsi:type="xsd:double"&gt;4.36684476805793&lt;/D&gt;&lt;D xsi:type="xsd:double"&gt;4.45154285735294&lt;/D&gt;&lt;D xsi:type="xsd:double"&gt;4.29993057713714&lt;/D&gt;&lt;D xsi:type="xsd:double"&gt;4.19383586540309&lt;/D&gt;&lt;D xsi:type="xsd:double"&gt;4.31250982029111&lt;/D&gt;&lt;D xsi:type="xsd:double"&gt;4.16783854698549&lt;/D&gt;&lt;D xsi:type="xsd:double"&gt;4.32835182811423&lt;/D&gt;&lt;D xsi:type="xsd:double"&gt;4.33081440958178&lt;/D&gt;&lt;D xsi:type="xsd:double"&gt;4.09405612179374&lt;/D&gt;&lt;D xsi:type="xsd:double"&gt;4.16723405563367&lt;/D&gt;&lt;D xsi:type="xsd:double"&gt;3.98526379847662&lt;/D&gt;&lt;D xsi:type="xsd:double"&gt;4.00607062242959&lt;/D&gt;&lt;D xsi:type="xsd:double"&gt;3.98044488875791&lt;/D&gt;&lt;/FQL&gt;&lt;FQL&gt;&lt;Q&gt;ENZL^JULIAN(FMA_DIV_YLD(NTMA,-10AY,0,AM,"PORTAGG","MEANR").DATES)&lt;/Q&gt;&lt;R&gt;121&lt;/R&gt;&lt;C&gt;1&lt;/C&gt;&lt;D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xsi:type="xsd:long"&gt;43784&lt;/D&gt;&lt;D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xsi:type="xsd:long"&gt;45397&lt;/D&gt;&lt;/FQL&gt;&lt;FQL&gt;&lt;Q&gt;DDR3512M-FDS^FG_PRICE(0)/MAX(FG_PRICE(0,-1AY))&lt;/Q&gt;&lt;R&gt;1&lt;/R&gt;&lt;C&gt;1&lt;/C&gt;&lt;D xsi:type="xsd:double"&gt;0.881563963636363&lt;/D&gt;&lt;/FQL&gt;&lt;FQL&gt;&lt;Q&gt;PASP-FDS^FG_PRICE(0)/MAX(FG_PRICE(0,-1AY))&lt;/Q&gt;&lt;R&gt;1&lt;/R&gt;&lt;C&gt;1&lt;/C&gt;&lt;D xsi:type="xsd:double"&gt;0.646341463414634&lt;/D&gt;&lt;/FQL&gt;&lt;FQL&gt;&lt;Q&gt;PLATI-FDS^FG_PRICE(0)/MAX(FG_PRICE(0,-1AY))&lt;/Q&gt;&lt;R&gt;1&lt;/R&gt;&lt;C&gt;1&lt;/C&gt;&lt;D xsi:type="xsd:double"&gt;0.832599118942731&lt;/D&gt;&lt;/FQL&gt;&lt;FQL&gt;&lt;Q&gt;W-FDS^FG_PRICE(0)/MAX(FG_PRICE(0,-1AY))&lt;/Q&gt;&lt;R&gt;1&lt;/R&gt;&lt;C&gt;1&lt;/C&gt;&lt;D xsi:type="xsd:double"&gt;0.706017757316672&lt;/D&gt;&lt;/FQL&gt;&lt;FQL&gt;&lt;Q&gt;COPP-FDS^FG_PRICE(0)/MAX(FG_PRICE(0,-1AY))&lt;/Q&gt;&lt;R&gt;1&lt;/R&gt;&lt;C&gt;1&lt;/C&gt;&lt;D xsi:type="xsd:double"&gt;1&lt;/D&gt;&lt;/FQL&gt;&lt;FQL&gt;&lt;Q&gt;FC0000JP^FG_PRICE(0)&lt;/Q&gt;&lt;R&gt;1&lt;/R&gt;&lt;C&gt;1&lt;/C&gt;&lt;D xsi:type="xsd:double"&gt;171.00948&lt;/D&gt;&lt;/FQL&gt;&lt;FQL&gt;&lt;Q&gt;FC0000NZ^FG_PRICE(0)&lt;/Q&gt;&lt;R&gt;1&lt;/R&gt;&lt;C&gt;1&lt;/C&gt;&lt;D xsi:type="xsd:double"&gt;375.87277&lt;/D&gt;&lt;/FQL&gt;&lt;FQL&gt;&lt;Q&gt;EWQ^FG_PRICE_MAVG(0,,,,60)&lt;/Q&gt;&lt;R&gt;1&lt;/R&gt;&lt;C&gt;1&lt;/C&gt;&lt;D xsi:type="xsd:double"&gt;40.1115&lt;/D&gt;&lt;/FQL&gt;&lt;FQL&gt;&lt;Q&gt;EWL^FG_PRICE_MAVG(0,,,,60)&lt;/Q&gt;&lt;R&gt;1&lt;/R&gt;&lt;C&gt;1&lt;/C&gt;&lt;D xsi:type="xsd:double"&gt;47.094666&lt;/D&gt;&lt;/FQL&gt;&lt;FQL&gt;&lt;Q&gt;EWA^FG_PRICE_MAVG(0,,,,60)&lt;/Q&gt;&lt;R&gt;1&lt;/R&gt;&lt;C&gt;1&lt;/C&gt;&lt;D xsi:type="xsd:double"&gt;24.010334&lt;/D&gt;&lt;/FQL&gt;&lt;FQL&gt;&lt;Q&gt;EWJ^FG_COMPANY_NAME&lt;/Q&gt;&lt;R&gt;1&lt;/R&gt;&lt;C&gt;1&lt;/C&gt;&lt;D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xsi:type="xsd:double"&gt;0.952174&lt;/D&gt;&lt;/FQL&gt;&lt;FQL&gt;&lt;Q&gt;URTH^FG_TOTAL_RETURNC(0,-12AM)&lt;/Q&gt;&lt;R&gt;1&lt;/R&gt;&lt;C&gt;1&lt;/C&gt;&lt;D xsi:type="xsd:double"&gt;17.553425&lt;/D&gt;&lt;/FQL&gt;&lt;FQL&gt;&lt;Q&gt;VWO^PERCENT_CHANGE(FMA_EPS(+1,0,,,,"PORTAGG","MEAN"),FMA_EPS(+1,-1AM,,,,"PORTAGG","MEAN"))&lt;/Q&gt;&lt;R&gt;1&lt;/R&gt;&lt;C&gt;1&lt;/C&gt;&lt;D xsi:type="xsd:double"&gt;-13.2809604611122&lt;/D&gt;&lt;/FQL&gt;&lt;FQL&gt;&lt;Q&gt;EWI^FG_TOTAL_RETURNC(0,-1AM)&lt;/Q&gt;&lt;R&gt;1&lt;/R&gt;&lt;C&gt;1&lt;/C&gt;&lt;D xsi:type="xsd:double"&gt;-2.6954174&lt;/D&gt;&lt;/FQL&gt;&lt;FQL&gt;&lt;Q&gt;EWN^FG_TOTAL_RETURNC(0,-6AM)&lt;/Q&gt;&lt;R&gt;1&lt;/R&gt;&lt;C&gt;1&lt;/C&gt;&lt;D xsi:type="xsd:double"&gt;28.539871&lt;/D&gt;&lt;/FQL&gt;&lt;FQL&gt;&lt;Q&gt;SPY^P_PRICE(0)/P_PRICE_LOW_PR(0,,,,,,"PRICE","INTRA","52W")-1&lt;/Q&gt;&lt;R&gt;1&lt;/R&gt;&lt;C&gt;1&lt;/C&gt;&lt;D xsi:type="xsd:double"&gt;0.23723185&lt;/D&gt;&lt;/FQL&gt;&lt;FQL&gt;&lt;Q&gt;QQQ^FMA_PCT_ABOVE_MAVG(200,0,,,,"PORTAGG")&lt;/Q&gt;&lt;R&gt;1&lt;/R&gt;&lt;C&gt;1&lt;/C&gt;&lt;D xsi:type="xsd:double"&gt;60.7843137254902&lt;/D&gt;&lt;/FQL&gt;&lt;FQL&gt;&lt;Q&gt;EWL^PERCENT_CHANGE(FMA_EPS(+1,0,,,,"PORTAGG","MEAN"),FMA_EPS(+1,-3AM,,,,"PORTAGG","MEAN"))&lt;/Q&gt;&lt;R&gt;1&lt;/R&gt;&lt;C&gt;1&lt;/C&gt;&lt;D xsi:type="xsd:double"&gt;-6.21578443743641&lt;/D&gt;&lt;/FQL&gt;&lt;FQL&gt;&lt;Q&gt;EWG^FG_TOTAL_RETURNC(0,-3AM)&lt;/Q&gt;&lt;R&gt;1&lt;/R&gt;&lt;C&gt;1&lt;/C&gt;&lt;D xsi:type="xsd:double"&gt;4.5596957&lt;/D&gt;&lt;/FQL&gt;&lt;FQL&gt;&lt;Q&gt;EWA^P_PRICE(0)/P_PRICE_HIGH_PR(0,,,,,,"PRICE","INTRA","52W")&lt;/Q&gt;&lt;R&gt;1&lt;/R&gt;&lt;C&gt;1&lt;/C&gt;&lt;D xsi:type="xsd:double"&gt;0.9305111&lt;/D&gt;&lt;/FQL&gt;&lt;FQL&gt;&lt;Q&gt;FXI^SIZE(FG_CONSTITUENTS)&lt;/Q&gt;&lt;R&gt;1&lt;/R&gt;&lt;C&gt;1&lt;/C&gt;&lt;D xsi:type="xsd:long"&gt;51&lt;/D&gt;&lt;/FQL&gt;&lt;FQL&gt;&lt;Q&gt;VGK^FMA_COS_DOWN("EPS","1M",+1,0,,,"PORTAGG","MEANR")&lt;/Q&gt;&lt;R&gt;1&lt;/R&gt;&lt;C&gt;1&lt;/C&gt;&lt;D xsi:type="xsd:double"&gt;451&lt;/D&gt;&lt;/FQL&gt;&lt;FQL&gt;&lt;Q&gt;SPY^FMA_COS_UP("EPS","1M",+1,0,,,"PORTAGG","MEANR")&lt;/Q&gt;&lt;R&gt;1&lt;/R&gt;&lt;C&gt;1&lt;/C&gt;&lt;D xsi:type="xsd:double"&gt;180&lt;/D&gt;&lt;/FQL&gt;&lt;FQL&gt;&lt;Q&gt;EWC^SIZE(FG_CONSTITUENTS)&lt;/Q&gt;&lt;R&gt;1&lt;/R&gt;&lt;C&gt;1&lt;/C&gt;&lt;D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ETF&lt;/D&gt;&lt;/FQL&gt;&lt;FQL&gt;&lt;Q&gt;EWC^FMA_RBICS_REV_CURRENT(30, LOC, "PORTAGG")&lt;/Q&gt;&lt;R&gt;1&lt;/R&gt;&lt;C&gt;1&lt;/C&gt;&lt;D xsi:type="xsd:double"&gt;40.9198307473676&lt;/D&gt;&lt;/FQL&gt;&lt;FQL&gt;&lt;Q&gt;TRYIT10Y-FDS^FG_YIELD_NAME&lt;/Q&gt;&lt;R&gt;1&lt;/R&gt;&lt;C&gt;1&lt;/C&gt;&lt;D xsi:type="xsd:string"&gt;Italy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xsi:type="xsd:double"&gt;25&lt;/D&gt;&lt;/FQL&gt;&lt;FQL&gt;&lt;Q&gt;REFCHMPR-FDS^FG_YIELD(NOW,,,0)&lt;/Q&gt;&lt;R&gt;1&lt;/R&gt;&lt;C&gt;1&lt;/C&gt;&lt;D xsi:type="xsd:double"&gt;1.5&lt;/D&gt;&lt;/FQL&gt;&lt;FQL&gt;&lt;Q&gt;REFNZOCR-FDS^PROPER_NAME(0,,,"SECURITY","NAME")&lt;/Q&gt;&lt;R&gt;1&lt;/R&gt;&lt;C&gt;1&lt;/C&gt;&lt;D xsi:type="xsd:string"&gt;New Zealand Official Cash Rate&lt;/D&gt;&lt;/FQL&gt;&lt;FQL&gt;&lt;Q&gt;TRYCH10Y-FDS^PCTCHG(FG_YIELD(0,,,,"YTM"),FG_YIELD(-1AM,,,,"YTM"))&lt;/Q&gt;&lt;R&gt;1&lt;/R&gt;&lt;C&gt;1&lt;/C&gt;&lt;D xsi:type="xsd:double"&gt;-3.413402&lt;/D&gt;&lt;/FQL&gt;&lt;FQL&gt;&lt;Q&gt;TRYSE10Y-FDS^FG_YIELD_NAME&lt;/Q&gt;&lt;R&gt;1&lt;/R&gt;&lt;C&gt;1&lt;/C&gt;&lt;D xsi:type="xsd:string"&gt;Sweden Benchmark Bond - 10 Year&lt;/D&gt;&lt;/FQL&gt;&lt;FQL&gt;&lt;Q&gt;TRYDE10Y-FDS^FG_YIELD_NAME&lt;/Q&gt;&lt;R&gt;1&lt;/R&gt;&lt;C&gt;1&lt;/C&gt;&lt;D xsi:type="xsd:string"&gt;Germany Benchmark Bond - 10 Year&lt;/D&gt;&lt;/FQL&gt;&lt;FQL&gt;&lt;Q&gt;CC_DE^IMF_IFS_RCPI_Q(0)&lt;/Q&gt;&lt;R&gt;0&lt;/R&gt;&lt;C&gt;0&lt;/C&gt;&lt;/FQL&gt;&lt;FQL&gt;&lt;Q&gt;VGK^FG_PE(0)&lt;/Q&gt;&lt;R&gt;1&lt;/R&gt;&lt;C&gt;1&lt;/C&gt;&lt;D xsi:type="xsd:double"&gt;12.7354213307713&lt;/D&gt;&lt;/FQL&gt;&lt;FQL&gt;&lt;Q&gt;EWN^FMA_EVAL_EBIT(LTMA,NOW,NOW,M,"PORTAGG","MEANR")&lt;/Q&gt;&lt;R&gt;1&lt;/R&gt;&lt;C&gt;1&lt;/C&gt;&lt;D xsi:type="xsd:double"&gt;22.2985346957706&lt;/D&gt;&lt;/FQL&gt;&lt;FQL&gt;&lt;Q&gt;SPY^FG_FCF_YIELD_NTM(0)&lt;/Q&gt;&lt;R&gt;1&lt;/R&gt;&lt;C&gt;1&lt;/C&gt;&lt;D xsi:type="xsd:double"&gt;4.26939716681938&lt;/D&gt;&lt;/FQL&gt;&lt;FQL&gt;&lt;Q&gt;EWU^FMA_PE(NTMA,0,,,"PORTAGG","MEANR")&lt;/Q&gt;&lt;R&gt;1&lt;/R&gt;&lt;C&gt;1&lt;/C&gt;&lt;D xsi:type="xsd:double"&gt;11.4417257444358&lt;/D&gt;&lt;/FQL&gt;&lt;FQL&gt;&lt;Q&gt;EWJ^JULIAN(FMA_DIV_YLD(NTMA,NOW,NOW,M,"PORTAGG","MEANR").DATES)&lt;/Q&gt;&lt;R&gt;1&lt;/R&gt;&lt;C&gt;1&lt;/C&gt;&lt;D xsi:type="xsd:long"&gt;45379&lt;/D&gt;&lt;/FQL&gt;&lt;FQL&gt;&lt;Q&gt;EWA^FMA_EVAL_EBITDA(NTMA,0,,,"PORTAGG","MEANR")&lt;/Q&gt;&lt;R&gt;1&lt;/R&gt;&lt;C&gt;1&lt;/C&gt;&lt;D xsi:type="xsd:double"&gt;8.55362431022274&lt;/D&gt;&lt;/FQL&gt;&lt;FQL&gt;&lt;Q&gt;EWA^FG_COMPANY_NAME&lt;/Q&gt;&lt;R&gt;1&lt;/R&gt;&lt;C&gt;1&lt;/C&gt;&lt;D xsi:type="xsd:string"&gt;iShares MSCI Australia ETF&lt;/D&gt;&lt;/FQL&gt;&lt;FQL&gt;&lt;Q&gt;USO^FG_TOTAL_RETURNC(0,-3AM)&lt;/Q&gt;&lt;R&gt;1&lt;/R&gt;&lt;C&gt;1&lt;/C&gt;&lt;D xsi:type="xsd:double"&gt;14.074718&lt;/D&gt;&lt;/FQL&gt;&lt;FQL&gt;&lt;Q&gt;EWA^FMA_ROE(NTMA,-20AY,NOW,FY,"PORTAGG","MEANR")&lt;/Q&gt;&lt;R&gt;20&lt;/R&gt;&lt;C&gt;1&lt;/C&gt;&lt;D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xsi:type="xsd:double"&gt;0.508205836311015&lt;/D&gt;&lt;/FQL&gt;&lt;FQL&gt;&lt;Q&gt;CAGDPY@JP^EE_ACTUAL_ANNUAL(MED,0)&lt;/Q&gt;&lt;R&gt;1&lt;/R&gt;&lt;C&gt;1&lt;/C&gt;&lt;D xsi:type="xsd:double"&gt;3.67564716252459&lt;/D&gt;&lt;/FQL&gt;&lt;FQL&gt;&lt;Q&gt;CC_AU^FG_COMPANY_NAME&lt;/Q&gt;&lt;R&gt;1&lt;/R&gt;&lt;C&gt;1&lt;/C&gt;&lt;D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xsi:type="xsd:double"&gt;10.9413&lt;/D&gt;&lt;/FQL&gt;&lt;FQL&gt;&lt;Q&gt;CAGDPY@SE^EE_ACTUAL_ANNUAL(MED,+1)&lt;/Q&gt;&lt;R&gt;1&lt;/R&gt;&lt;C&gt;1&lt;/C&gt;&lt;D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xsi:type="xsd:double"&gt;2.86429657456778&lt;/D&gt;&lt;/FQL&gt;&lt;FQL&gt;&lt;Q&gt;EWG^P_PRICE_RETURNS_PR('52W',2,-10AY,0,AM)&lt;/Q&gt;&lt;R&gt;121&lt;/R&gt;&lt;C&gt;1&lt;/C&gt;&lt;D xsi:type="xsd:double"&gt;31.840694&lt;/D&gt;&lt;D xsi:type="xsd:double"&gt;22.192907&lt;/D&gt;&lt;D xsi:type="xsd:double"&gt;21.955204&lt;/D&gt;&lt;D xsi:type="xsd:double"&gt;19.567394&lt;/D&gt;&lt;D xsi:type="xsd:double"&gt;9.829605&lt;/D&gt;&lt;D xsi:type="xsd:double"&gt;5.7368755&lt;/D&gt;&lt;D xsi:type="xsd:double"&gt;-7.526946&lt;/D&gt;&lt;D xsi:type="xsd:double"&gt;-7.4160395&lt;/D&gt;&lt;D xsi:type="xsd:double"&gt;-5.7915154&lt;/D&gt;&lt;D xsi:type="xsd:double"&gt;-10.803318&lt;/D&gt;&lt;D xsi:type="xsd:double"&gt;-6.2830744&lt;/D&gt;&lt;D xsi:type="xsd:double"&gt;-0.6691158&lt;/D&gt;&lt;D xsi:type="xsd:double"&gt;-3.3433855&lt;/D&gt;&lt;D xsi:type="xsd:double"&gt;-0.78394413&lt;/D&gt;&lt;D xsi:type="xsd:double"&gt;-7.179159&lt;/D&gt;&lt;D xsi:type="xsd:double"&gt;-3.6401212&lt;/D&gt;&lt;D xsi:type="xsd:double"&gt;-2.924186&lt;/D&gt;&lt;D xsi:type="xsd:double"&gt;-10.495037&lt;/D&gt;&lt;D xsi:type="xsd:double"&gt;4.6057343&lt;/D&gt;&lt;D xsi:type="xsd:double"&gt;0.6423354&lt;/D&gt;&lt;D xsi:type="xsd:double"&gt;-5.575311&lt;/D&gt;&lt;D xsi:type="xsd:double"&gt;-11.127215&lt;/D&gt;&lt;D xsi:type="xsd:double"&gt;-16.285658&lt;/D&gt;&lt;D xsi:type="xsd:double"&gt;-13.21066&lt;/D&gt;&lt;D xsi:type="xsd:double"&gt;-9.687716&lt;/D&gt;&lt;D xsi:type="xsd:double"&gt;-15.365177&lt;/D&gt;&lt;D xsi:type="xsd:double"&gt;-11.597597&lt;/D&gt;&lt;D xsi:type="xsd:double"&gt;-12.192744&lt;/D&gt;&lt;D xsi:type="xsd:double"&gt;-0.40082932&lt;/D&gt;&lt;D xsi:type="xsd:double"&gt;-1.6178787&lt;/D&gt;&lt;D xsi:type="xsd:double"&gt;1.0637164&lt;/D&gt;&lt;D xsi:type="xsd:double"&gt;-4.6288786&lt;/D&gt;&lt;D xsi:type="xsd:double"&gt;1.0761023&lt;/D&gt;&lt;D xsi:type="xsd:double"&gt;17.858791&lt;/D&gt;&lt;D xsi:type="xsd:double"&gt;17.873466&lt;/D&gt;&lt;D xsi:type="xsd:double"&gt;14.113498&lt;/D&gt;&lt;D xsi:type="xsd:double"&gt;10.948288&lt;/D&gt;&lt;D xsi:type="xsd:double"&gt;23.855877&lt;/D&gt;&lt;D xsi:type="xsd:double"&gt;29.606606&lt;/D&gt;&lt;D xsi:type="xsd:double"&gt;27.045334&lt;/D&gt;&lt;D xsi:type="xsd:double"&gt;16.856575&lt;/D&gt;&lt;D xsi:type="xsd:double"&gt;28.277397&lt;/D&gt;&lt;D xsi:type="xsd:double"&gt;29.595411&lt;/D&gt;&lt;D xsi:type="xsd:double"&gt;32.9553&lt;/D&gt;&lt;D xsi:type="xsd:double"&gt;30.902946&lt;/D&gt;&lt;D</t>
        </r>
      </text>
    </comment>
    <comment ref="A10" authorId="0" shapeId="0" xr:uid="{F2E2FEF3-D07A-4291-9105-1D43CFA4BC6B}">
      <text>
        <r>
          <rPr>
            <b/>
            <sz val="9"/>
            <color indexed="81"/>
            <rFont val="Tahoma"/>
            <charset val="1"/>
          </rPr>
          <t xml:space="preserve"> xsi:type="xsd:double"&gt;31.046284&lt;/D&gt;&lt;D xsi:type="xsd:double"&gt;23.059929&lt;/D&gt;&lt;D xsi:type="xsd:double"&gt;17.056633&lt;/D&gt;&lt;D xsi:type="xsd:double"&gt;20.692146&lt;/D&gt;&lt;D xsi:type="xsd:double"&gt;9.712529&lt;/D&gt;&lt;D xsi:type="xsd:double"&gt;4.5284033&lt;/D&gt;&lt;D xsi:type="xsd:double"&gt;3.339219&lt;/D&gt;&lt;D xsi:type="xsd:double"&gt;-0.8651674&lt;/D&gt;&lt;D xsi:type="xsd:double"&gt;-4.2678537&lt;/D&gt;&lt;D xsi:type="xsd:double"&gt;-13.523793&lt;/D&gt;&lt;D xsi:type="xsd:double"&gt;-14.788002&lt;/D&gt;&lt;D xsi:type="xsd:double"&gt;-21.877945&lt;/D&gt;&lt;D xsi:type="xsd:double"&gt;-21.56551&lt;/D&gt;&lt;D xsi:type="xsd:double"&gt;-17.68616&lt;/D&gt;&lt;D xsi:type="xsd:double"&gt;-13.373012&lt;/D&gt;&lt;D xsi:type="xsd:double"&gt;-12.290746&lt;/D&gt;&lt;D xsi:type="xsd:double"&gt;-12.974083&lt;/D&gt;&lt;D xsi:type="xsd:double"&gt;-9.669095&lt;/D&gt;&lt;D xsi:type="xsd:double"&gt;-9.083408&lt;/D&gt;&lt;D xsi:type="xsd:double"&gt;-9.895086&lt;/D&gt;&lt;D xsi:type="xsd:double"&gt;-6.321603&lt;/D&gt;&lt;D xsi:type="xsd:double"&gt;4.1496515&lt;/D&gt;&lt;D xsi:type="xsd:double"&gt;9.256172&lt;/D&gt;&lt;D xsi:type="xsd:double"&gt;17.797543&lt;/D&gt;&lt;D xsi:type="xsd:double"&gt;17.367422&lt;/D&gt;&lt;D xsi:type="xsd:double"&gt;12.399101&lt;/D&gt;&lt;D xsi:type="xsd:double"&gt;-32.883507&lt;/D&gt;&lt;D xsi:type="xsd:double"&gt;-17.290485&lt;/D&gt;&lt;D xsi:type="xsd:double"&gt;-11.910361&lt;/D&gt;&lt;D xsi:type="xsd:double"&gt;-0.57854056&lt;/D&gt;&lt;D xsi:type="xsd:double"&gt;5.966401&lt;/D&gt;&lt;D xsi:type="xsd:double"&gt;18.330658&lt;/D&gt;&lt;D xsi:type="xsd:double"&gt;12.076497&lt;/D&gt;&lt;D xsi:type="xsd:double"&gt;7.466924&lt;/D&gt;&lt;D xsi:type="xsd:double"&gt;4.421413&lt;/D&gt;&lt;D xsi:type="xsd:double"&gt;12.036932&lt;/D&gt;&lt;D xsi:type="xsd:double"&gt;9.577454&lt;/D&gt;&lt;D xsi:type="xsd:double"&gt;14.155245&lt;/D&gt;&lt;D xsi:type="xsd:double"&gt;89.65037&lt;/D&gt;&lt;D xsi:type="xsd:double"&gt;63.62219&lt;/D&gt;&lt;D xsi:type="xsd:double"&gt;50.729813&lt;/D&gt;&lt;D xsi:type="xsd:double"&gt;31.225597&lt;/D&gt;&lt;D xsi:type="xsd:double"&gt;23.540474&lt;/D&gt;&lt;D xsi:type="xsd:double"&gt;19.811762&lt;/D&gt;&lt;D xsi:type="xsd:double"&gt;15.083814&lt;/D&gt;&lt;D xsi:type="xsd:double"&gt;16.33551&lt;/D&gt;&lt;D xsi:type="xsd:double"&gt;17.613388&lt;/D&gt;&lt;D xsi:type="xsd:double"&gt;1.7158866&lt;/D&gt;&lt;D xsi:type="xsd:double"&gt;5.3818703&lt;/D&gt;&lt;D xsi:type="xsd:double"&gt;-1.7961204&lt;/D&gt;&lt;D xsi:type="xsd:double"&gt;-11.263948&lt;/D&gt;&lt;D xsi:type="xsd:double"&gt;-21.42083&lt;/D&gt;&lt;D xsi:type="xsd:double"&gt;-25.99721&lt;/D&gt;&lt;D xsi:type="xsd:double"&gt;-29.797476&lt;/D&gt;&lt;D xsi:type="xsd:double"&gt;-32.718044&lt;/D&gt;&lt;D xsi:type="xsd:double"&gt;-30.269932&lt;/D&gt;&lt;D xsi:type="xsd:double"&gt;-34.979935&lt;/D&gt;&lt;D xsi:type="xsd:double"&gt;-34.190117&lt;/D&gt;&lt;D xsi:type="xsd:double"&gt;-24.289715&lt;/D&gt;&lt;D xsi:type="xsd:double"&gt;-21.52124&lt;/D&gt;&lt;D xsi:type="xsd:double"&gt;-12.668628&lt;/D&gt;&lt;D xsi:type="xsd:double"&gt;-8.161473&lt;/D&gt;&lt;D xsi:type="xsd:double"&gt;-5.7494106&lt;/D&gt;&lt;D xsi:type="xsd:double"&gt;11.077046&lt;/D&gt;&lt;D xsi:type="xsd:double"&gt;17.328787&lt;/D&gt;&lt;D xsi:type="xsd:double"&gt;26.388&lt;/D&gt;&lt;D xsi:type="xsd:double"&gt;35.836803&lt;/D&gt;&lt;D xsi:type="xsd:double"&gt;20.576942&lt;/D&gt;&lt;D xsi:type="xsd:double"&gt;29.034351&lt;/D&gt;&lt;D xsi:type="xsd:double"&gt;23.656918&lt;/D&gt;&lt;D xsi:type="xsd:double"&gt;15.767538&lt;/D&gt;&lt;D xsi:type="xsd:double"&gt;22.12559&lt;/D&gt;&lt;D xsi:type="xsd:double"&gt;6.5719724&lt;/D&gt;&lt;D xsi:type="xsd:double"&gt;8.099461&lt;/D&gt;&lt;D xsi:type="xsd:double"&gt;20.433485&lt;/D&gt;&lt;D xsi:type="xsd:double"&gt;5.707109&lt;/D&gt;&lt;/FQL&gt;&lt;FQL&gt;&lt;Q&gt;EWA^FG_TOTAL_RETURNC(-10AY,0,AM)&lt;/Q&gt;&lt;R&gt;121&lt;/R&gt;&lt;C&gt;1&lt;/C&gt;&lt;D xsi:type="xsd:double"&gt;4.7939777&lt;/D&gt;&lt;D xsi:type="xsd:double"&gt;1.0586023&lt;/D&gt;&lt;D xsi:type="xsd:double"&gt;-1.2345672&lt;/D&gt;&lt;D xsi:type="xsd:double"&gt;2.7746916&lt;/D&gt;&lt;D xsi:type="xsd:double"&gt;0.44894218&lt;/D&gt;&lt;D xsi:type="xsd:double"&gt;-5.5865946&lt;/D&gt;&lt;D xsi:type="xsd:double"&gt;-4.1420164&lt;/D&gt;&lt;D xsi:type="xsd:double"&gt;1.7283916&lt;/D&gt;&lt;D xsi:type="xsd:double"&gt;-8.696074&lt;/D&gt;&lt;D xsi:type="xsd:double"&gt;2.1042943&lt;/D&gt;&lt;D xsi:type="xsd:double"&gt;5.2419305&lt;/D&gt;&lt;D xsi:type="xsd:double"&gt;-0.085145235&lt;/D&gt;&lt;D xsi:type="xsd:double"&gt;-0.80953836&lt;/D&gt;&lt;D xsi:type="xsd:double"&gt;-0.21477938&lt;/D&gt;&lt;D xsi:type="xsd:double"&gt;-3.9603949&lt;/D&gt;&lt;D xsi:type="xsd:double"&gt;-3.407067&lt;/D&gt;&lt;D xsi:type="xsd:double"&gt;-6.368822&lt;/D&gt;&lt;D xsi:type="xsd:double"&gt;-5.532998&lt;/D&gt;&lt;D xsi:type="xsd:double"&gt;5.158508&lt;/D&gt;&lt;D xsi:type="xsd:double"&gt;-4.2922854&lt;/D&gt;&lt;D xsi:type="xsd:double"&gt;-1.0677993&lt;/D&gt;&lt;D xsi:type="xsd:double"&gt;-9.855371&lt;/D&gt;&lt;D xsi:type="xsd:double"&gt;8.676922&lt;/D&gt;&lt;D xsi:type="xsd:double"&gt;12.287653&lt;/D&gt;&lt;D xsi:type="xsd:double"&gt;1.5128613&lt;/D&gt;&lt;D xsi:type="xsd:double"&gt;-3.4773886&lt;/D&gt;&lt;D xsi:type="xsd:double"&gt;-1.6469359&lt;/D&gt;&lt;D xsi:type="xsd:double"&gt;8.688509&lt;/D&gt;&lt;D xsi:type="xsd:double"&gt;2.5390625&lt;/D&gt;&lt;D xsi:type="xsd:double"&gt;-5.7618976&lt;/D&gt;&lt;D xsi:type="xsd:double"&gt;5.6088924&lt;/D&gt;&lt;D xsi:type="xsd:double"&gt;-4.162675&lt;/D&gt;&lt;D xsi:type="xsd:double"&gt;2.6959538&lt;/D&gt;&lt;D xsi:type="xsd:double"&gt;5.81851&lt;/D&gt;&lt;D xsi:type="xsd:double"&gt;4.905653&lt;/D&gt;&lt;D xsi:type="xsd:double"&gt;1.1240959&lt;/D&gt;&lt;D xsi:type="xsd:double"&gt;-1.0226727&lt;/D&gt;&lt;D xsi:type="xsd:double"&gt;-3.4141958&lt;/D&gt;&lt;D xsi:type="xsd:double"&gt;3.0697703&lt;/D&gt;&lt;D xsi:type="xsd:double"&gt;2.6137948&lt;/D&gt;&lt;D xsi:type="xsd:double"&gt;1.61798&lt;/D&gt;&lt;D xsi:type="xsd:double"&gt;0.973022&lt;/D&gt;&lt;D xsi:type="xsd:double"&gt;1.0512471&lt;/D&gt;&lt;D xsi:type="xsd:double"&gt;-1.9072413&lt;/D&gt;&lt;D xsi:type="xsd:double"&gt;2.96067&lt;/D&gt;&lt;D xsi:type="xsd:double"&gt;3.8255215&lt;/D&gt;&lt;D xsi:type="xsd:double"&gt;-2.6683629&lt;/D&gt;&lt;D xsi:type="xsd:double"&gt;-0.9138346&lt;/D&gt;&lt;D xsi:type="xsd:double"&gt;-0.57092905&lt;/D&gt;&lt;D xsi:type="xsd:double"&gt;0.2650261&lt;/D&gt;&lt;D xsi:type="xsd:double"&gt;-0.088107586&lt;/D&gt;&lt;D xsi:type="xsd:double"&gt;2.1357417&lt;/D&gt;&lt;D xsi:type="xsd:double"&gt;1.2323976&lt;/D&gt;&lt;D xsi:type="xsd:double"&gt;-3.782612&lt;/D&gt;&lt;D xsi:type="xsd:double"&gt;-6.4166307&lt;/D&gt;&lt;D xsi:type="xsd:double"&gt;1.4968634&lt;/D&gt;&lt;D xsi:type="xsd:double"&gt;-4.639101&lt;/D&gt;&lt;D xsi:type="xsd:double"&gt;6.6321254&lt;/D&gt;&lt;D xsi:type="xsd:double"&gt;2.429545&lt;/D&gt;&lt;D xsi:type="xsd:double"&gt;2.0872831&lt;/D&gt;&lt;D xsi:type="xsd:double"&gt;1.8587351&lt;/D&gt;&lt;D xsi:type="xsd:double"&gt;-2.281022&lt;/D&gt;&lt;D xsi:type="xsd:double"&gt;4.853523&lt;/D&gt;&lt;D xsi:type="xsd:double"&gt;3.1803727&lt;/D&gt;&lt;D xsi:type="xsd:double"&gt;-6.5169516&lt;/D&gt;&lt;D xsi:type="xsd:double"&gt;5.7936907&lt;/D&gt;&lt;D xsi:type="xsd:double"&gt;-0.6233275&lt;/D&gt;&lt;D xsi:type="xsd:double"&gt;1.8817186&lt;/D&gt;&lt;D xsi:type="xsd:double"&gt;1.4609814&lt;/D&gt;&lt;D xsi:type="xsd:double"&gt;3.978777&lt;/D&gt;&lt;D xsi:type="xsd:double"&gt;-2.2959232&lt;/D&gt;&lt;D xsi:type="xsd:double"&gt;-40.295906&lt;/D&gt;&lt;D xsi:type="xsd:double"&gt;22.667635&lt;/D&gt;&lt;D xsi:type="xsd:double"&gt;3.3868074&lt;/D&gt;&lt;D xsi:type="xsd:double"&gt;12.272274&lt;/D&gt;&lt;D xsi:type="xsd:double"&gt;3.4805179&lt;/D&gt;&lt;D xsi:type="xsd:double"&gt;4.718876&lt;/D&gt;&lt;D xsi:type="xsd:double"&gt;-3.4995258&lt;/D&gt;&lt;D xsi:type="xsd:double"&gt;3.0799866&lt;/D&gt;&lt;D xsi:type="xsd:double"&gt;8.867466&lt;/D&gt;&lt;D xsi:type="xsd:double"&gt;7.098639&lt;/D&gt;&lt;D xsi:type="xsd:double"&gt;1.9174695&lt;/D&gt;&lt;D xsi:type="xsd:double"&gt;3.3537865&lt;/D&gt;&lt;D xsi:type="xsd:double"&gt;-1.8994808&lt;/D&gt;&lt;D xsi:type="xsd:double"&gt;5.929804&lt;/D&gt;&lt;D xsi:type="xsd:double"&gt;0.41888952&lt;/D&gt;&lt;D xsi:type="xsd:double"&gt;0.009572506&lt;/D&gt;&lt;D xsi:type="xsd:double"&gt;-1.5763164&lt;/D&gt;&lt;D xsi:type="xsd:double"&gt;-0.42968988&lt;/D&gt;&lt;D xsi:type="xsd:double"&gt;-0.19615293&lt;/D&gt;&lt;D xsi:type="xsd:double"&gt;2.319181&lt;/D&gt;&lt;D xsi:type="xsd:double"&gt;-1.8824399&lt;/D&gt;&lt;D xsi:type="xsd:double"&gt;-3.2510936&lt;/D&gt;&lt;D xsi:type="xsd:double"&gt;1.4647126&lt;/D&gt;&lt;D xsi:type="xsd:double"&gt;-0.86812973&lt;/D&gt;&lt;D xsi:type="xsd:double"&gt;7.1309447&lt;/D&gt;&lt;D xsi:type="xsd:double"&gt;2.413392&lt;/D&gt;&lt;D xsi:type="xsd:double"&gt;-10.604328&lt;/D&gt;&lt;D xsi:type="xsd:double"&gt;-8.663666&lt;/D&gt;&lt;D xsi:type="xsd:double"&gt;1.2013435&lt;/D&gt;&lt;D xsi:type="xsd:double"&gt;8.784426&lt;/D&gt;&lt;D xsi:type="xsd:double"&gt;-7.2893915&lt;/D&gt;&lt;D xsi:type="xsd:double"&gt;-5.5084763&lt;/D&gt;&lt;D xsi:type="xsd:double"&gt;13.403093&lt;/D&gt;&lt;D xsi:type="xsd:double"&gt;-0.59937835&lt;/D&gt;&lt;D xsi:type="xsd:double"&gt;7.429099&lt;/D&gt;&lt;D xsi:type="xsd:double"&gt;-0.7124901&lt;/D&gt;&lt;D xsi:type="xsd:double"&gt;-7.2604537&lt;/D&gt;&lt;D xsi:type="xsd:double"&gt;7.1916223&lt;/D&gt;&lt;D xsi:type="xsd:double"&gt;-3.0997872&lt;/D&gt;&lt;D xsi:type="xsd:double"&gt;4.1672945&lt;/D&gt;&lt;D xsi:type="xsd:double"&gt;-0.1714468&lt;/D&gt;&lt;D xsi:type="xsd:double"&gt;-7.85746&lt;/D&gt;&lt;D xsi:type="xsd:double"&gt;3.308487&lt;/D&gt;&lt;D xsi:type="xsd:double"&gt;-4.2399645&lt;/D&gt;&lt;D xsi:type="xsd:double"&gt;4.6161056&lt;/D&gt;&lt;D xsi:type="xsd:double"&gt;8.0594425&lt;/D&gt;&lt;D xsi:type="xsd:double"&gt;-1.9370317&lt;/D&gt;&lt;D xsi:type="xsd:double"&gt;2.9054642&lt;/D&gt;&lt;D xsi:type="xsd:double"&gt;1.4749289&lt;/D&gt;&lt;D xsi:type="xsd:double"&gt;-3.2392085&lt;/D&gt;&lt;/FQL&gt;&lt;FQL&gt;&lt;Q&gt;EWD^FMA_PE(LTMA,-10AY,0,AM,"PORTAGG","MEANR")&lt;/Q&gt;&lt;R&gt;121&lt;/R&gt;&lt;C&gt;1&lt;/C&gt;&lt;D xsi:type="xsd:double"&gt;15.3263973349971&lt;/D&gt;&lt;D xsi:type="xsd:double"&gt;15.6083380760136&lt;/D&gt;&lt;D xsi:type="xsd:double"&gt;15.6899113754229&lt;/D&gt;&lt;D xsi:type="xsd:double"&gt;15.9358881665232&lt;/D&gt;&lt;D xsi:type="xsd:double"&gt;15.9863752352423&lt;/D&gt;&lt;D xsi:type="xsd:double"&gt;16.1235806247349&lt;/D&gt;&lt;D xsi:type="xsd:double"&gt;15.3152851529383&lt;/D&gt;&lt;D xsi:type="xsd:double"&gt;16.893463432604&lt;/D&gt;&lt;D xsi:type="xsd:double"&gt;17.3231053311181&lt;/D&gt;&lt;D xsi:type="xsd:double"&gt;17.5544061642548&lt;/D&gt;&lt;D xsi:type="xsd:double"&gt;19.9090148128009&lt;/D&gt;&lt;D xsi:type="xsd:double"&gt;20.1515908440463&lt;/D&gt;&lt;D xsi:type="xsd:double"&gt;19.6902739787084&lt;/D&gt;&lt;D xsi:type="xsd:double"&gt;19.0998383137241&lt;/D&gt;&lt;D xsi:type="xsd:double"&gt;18.693074680168&lt;/D&gt;&lt;D xsi:type="xsd:double"&gt;18.778407317984&lt;/D&gt;&lt;D xsi:type="xsd:double"&gt;18.2580088680693&lt;/D&gt;&lt;D xsi:type="xsd:double"&gt;16.9105560106219&lt;/D&gt;&lt;D xsi:type="xsd:double"&gt;16.7426664253363&lt;/D&gt;&lt;D xsi:type="xsd:double"&gt;16.8846826477317&lt;/D&gt;&lt;D xsi:type="xsd:double"&gt;15.9933489557244&lt;/D&gt;&lt;D xsi:type="xsd:double"&gt;14.3421430706431&lt;/D&gt;&lt;D xsi:type="xsd:double"&gt;15.1685568611443&lt;/D&gt;&lt;D xsi:type="xsd:double"&gt;15.6192548098153&lt;/D&gt;&lt;D xsi:type="xsd:double"&gt;15.6528521432427&lt;/D&gt;&lt;D xsi:type="xsd:double"&gt;15.4547512950018&lt;/D&gt;&lt;D xsi:type="xsd:double"&gt;15.2450190411315&lt;/D&gt;&lt;D xsi:type="xsd:double"&gt;15.5831610886501&lt;/D&gt;&lt;D xsi:type="xsd:double"&gt;15.985990663929&lt;/D&gt;&lt;D xsi:type="xsd:double"&gt;15.9985532918426&lt;/D&gt;&lt;D xsi:type="xsd:double"&gt;17.1439883483421&lt;/D&gt;&lt;D xsi:type="xsd:double"&gt;17.259462022476&lt;/D&gt;&lt;D xsi:type="xsd:double"&gt;18.3076274568384&lt;/D&gt;&lt;D xsi:type="xsd:double"&gt;18.1149085714474&lt;/D&gt;&lt;D xsi:type="xsd:double"&gt;17.4239993911243&lt;/D&gt;&lt;D xsi:type="xsd:double"&gt;17.5068735934462&lt;/D&gt;&lt;D xsi:type="xsd:double"&gt;17.5183397532605&lt;/D&gt;&lt;D xsi:type="xsd:double"&gt;17.9802820129532&lt;/D&gt;&lt;D xsi:type="xsd:double"&gt;17.6291685266696&lt;/D&gt;&lt;D xsi:type="xsd:double"&gt;17.6164798859598&lt;/D&gt;&lt;D xsi:type="xsd:double"&gt;16.7680284956134&lt;/D&gt;&lt;D xsi:type="xsd:double"&gt;17.2941004398528&lt;/D&gt;&lt;D xsi:type="xsd:double"&gt;17.7966123435142&lt;/D&gt;&lt;D xsi:type="xsd:double"&gt;18.0300095400379&lt;/D&gt;&lt;D xsi:type="xsd:double"&gt;18.2801583911575&lt;/D&gt;&lt;D xsi:type="xsd:double"&gt;18.2569843859972&lt;/D&gt;&lt;D xsi:type="xsd:double"&gt;16.7432305380009&lt;/D&gt;&lt;D xsi:type="xsd:double"&gt;16.9421789863474&lt;/D&gt;&lt;D xsi:type="xsd:double"&gt;16.847109193314&lt;/D&gt;&lt;D xsi:type="xsd:double"&gt;16.8814719956118&lt;/D&gt;&lt;D xsi:type="xsd:double"&gt;16.495303984402&lt;/D&gt;&lt;D xsi:type="xsd:double"&gt;16.4811038441933&lt;/D&gt;&lt;D xsi:type="xsd:double"&gt;16.586003292887&lt;/D&gt;&lt;D xsi:type="xsd:double"&gt;16.6141879636484&lt;/D&gt;&lt;D xsi:type="xsd:double"&gt;15.7094708032642&lt;/D&gt;&lt;D xsi:type="xsd:double"&gt;14.9035903354192&lt;/D&gt;&lt;D xsi:type="xsd:double"&gt;14.1537981811058&lt;/D&gt;&lt;D xsi:type="xsd:double"&gt;15.2243604995117&lt;/D&gt;&lt;D xsi:type="xsd:double"&gt;18.4479125766109&lt;/D&gt;&lt;D xsi:type="xsd:double"&gt;18.0402052859021&lt;/D&gt;&lt;D xsi:type="xsd:double"&gt;17.8697906835608&lt;/D&gt;&lt;D xsi:type="xsd:double"&gt;17.518844468656&lt;/D&gt;&lt;D xsi:type="xsd:double"&gt;17.1793228335724&lt;/D&gt;&lt;D xsi:type="xsd:double"&gt;16.8717488341422&lt;/D&gt;&lt;D xsi:type="xsd:double"&gt;15.78093210904&lt;/D&gt;&lt;D xsi:type="xsd:double"&gt;16.2797052527047&lt;/D&gt;&lt;D xsi:type="xsd:double"&gt;16.6838436478001&lt;/D&gt;&lt;D xsi:type="xsd:double"&gt;16.0774127767059&lt;/D&gt;&lt;D xsi:type="xsd:double"&gt;16.3013801135735&lt;/D&gt;&lt;D xsi:type="xsd:double"&gt;16.9041263527043&lt;/D&gt;&lt;D xsi:type="xsd:double"&gt;14.367411504787&lt;/D&gt;&lt;D xsi:type="xsd:double"&gt;12.3708636093547&lt;/D&gt;&lt;D xsi:type="xsd:double"&gt;14.032282537448&lt;/D&gt;&lt;D xsi:type="xsd:double"&gt;15.1515496637236&lt;/D&gt;&lt;D xsi:type="xsd:double"&gt;16.6075145689116&lt;/D&gt;&lt;D xsi:type="xsd:double"&gt;18.1520264476177&lt;/D&gt;&lt;D xsi:type="xsd:double"&gt;16.8946151987304&lt;/D&gt;&lt;D xsi:type="xsd:double"&gt;18.009388260271&lt;/D&gt;&lt;D xsi:type="xsd:double"&gt;16.3449573886579&lt;/D&gt;&lt;D xsi:type="xsd:double"&gt;16.6349751047673&lt;/D&gt;&lt;D xsi:type="xsd:double"&gt;17.1561852565765&lt;/D&gt;&lt;D xsi:type="xsd:double"&gt;18.5491841136136&lt;/D&gt;&lt;D xsi:type="xsd:double"&gt;17.5388017286504&lt;/D&gt;&lt;D xsi:type="xsd:double"&gt;17.984206716652&lt;/D&gt;&lt;D xsi:type="xsd:double"&gt;18.4927555874989&lt;/D&gt;&lt;D xsi:type="xsd:double"&gt;17.5242145887321&lt;/D&gt;&lt;D xsi:type="xsd:double"&gt;17.844137682604&lt;/D&gt;&lt;D xsi:type="xsd:double"&gt;17.7443882913366&lt;/D&gt;&lt;D xsi:type="xsd:double"&gt;17.4633144298321&lt;/D&gt;&lt;D xsi:type="xsd:double"&gt;17.3755195467397&lt;/D&gt;&lt;D xsi:type="xsd:double"&gt;17.4390044127653&lt;/D&gt;&lt;D xsi:type="xsd:double"&gt;16.7418170176377&lt;/D&gt;&lt;D xsi:type="xsd:double"&gt;16.1573098080634&lt;/D&gt;&lt;D xsi:type="xsd:double"&gt;15.6029229042369&lt;/D&gt;&lt;D xsi:type="xsd:double"&gt;11.8513886872962&lt;/D&gt;&lt;D xsi:type="xsd:double"&gt;11.9997825175984&lt;/D&gt;&lt;D xsi:type="xsd:double"&gt;12.2477437670417&lt;/D&gt;&lt;D xsi:type="xsd:double"&gt;13.3494033296601&lt;/D&gt;&lt;D xsi:type="xsd:double"&gt;13.1048872069135&lt;/D&gt;&lt;D xsi:type="xsd:double"&gt;13.9212847371378&lt;/D&gt;&lt;D xsi:type="xsd:double"&gt;15.0128812935334&lt;/D&gt;&lt;D xsi:type="xsd:double"&gt;14.5332383849762&lt;/D&gt;&lt;D xsi:type="xsd:double"&gt;15.2271525377292&lt;/D&gt;&lt;D xsi:type="xsd:double"&gt;14.0611387180837&lt;/D&gt;&lt;D xsi:type="xsd:double"&gt;15.2739553195544&lt;/D&gt;&lt;D xsi:type="xsd:double"&gt;16.7685701001054&lt;/D&gt;&lt;D xsi:type="xsd:double"&gt;26.201400954842&lt;/D&gt;&lt;D xsi:type="xsd:double"&gt;24.8279804885357&lt;/D&gt;&lt;D xsi:type="xsd:double"&gt;23.8566690206222&lt;/D&gt;&lt;D xsi:type="xsd:double"&gt;22.5157881068051&lt;/D&gt;&lt;D xsi:type="xsd:double"&gt;21.5498496229045&lt;/D&gt;&lt;D xsi:type="xsd:double"&gt;20.1216307927566&lt;/D&gt;&lt;D xsi:type="xsd:double"&gt;18.2209942348275&lt;/D&gt;&lt;D xsi:type="xsd:double"&gt;17.2718245064457&lt;/D&gt;&lt;D xsi:type="xsd:double"&gt;16.7249785656198&lt;/D&gt;&lt;D xsi:type="xsd:double"&gt;15.8744415282001&lt;/D&gt;&lt;D xsi:type="xsd:double"&gt;18.0812739724863&lt;/D&gt;&lt;D xsi:type="xsd:double"&gt;17.0560587320779&lt;/D&gt;&lt;D xsi:type="xsd:double"&gt;15.6107027452955&lt;/D&gt;&lt;D xsi:type="xsd:double"&gt;16.0340883631296&lt;/D&gt;&lt;D xsi:type="xsd:double"&gt;16.0538573907806&lt;/D&gt;&lt;/FQL&gt;&lt;FQL&gt;&lt;Q&gt;DDR3512M-FDS^FG_PRICE_CHANGE(0,-6AM)&lt;/Q&gt;&lt;R&gt;1&lt;/R&gt;&lt;C&gt;1&lt;/C&gt;&lt;D xsi:type="xsd:double"&gt;-4.23045597177284&lt;/D&gt;&lt;/FQL&gt;&lt;FQL&gt;&lt;Q&gt;PASP-FDS^FG_PRICE_CHANGE(0,-6AM)&lt;/Q&gt;&lt;R&gt;1&lt;/R&gt;&lt;C&gt;1&lt;/C&gt;&lt;D xsi:type="xsd:double"&gt;-7.4235807860262&lt;/D&gt;&lt;/FQL&gt;&lt;FQL&gt;&lt;Q&gt;PLATI-FDS^FG_PRICE_CHANGE(0,-6AM)&lt;/Q&gt;&lt;R&gt;1&lt;/R&gt;&lt;C&gt;1&lt;/C&gt;&lt;D xsi:type="xsd:double"&gt;4.41988950276244&lt;/D&gt;&lt;/FQL&gt;&lt;FQL&gt;&lt;Q&gt;W-FDS^FG_PRICE_CHANGE(0,-6AM)&lt;/Q&gt;&lt;R&gt;1&lt;/R&gt;&lt;C&gt;1&lt;/C&gt;&lt;D xsi:type="xsd:double"&gt;-7.49676863420941&lt;/D&gt;&lt;/FQL&gt;&lt;FQL&gt;&lt;Q&gt;COPP-FDS^FG_PRICE_CHANGE(0,-6AM)&lt;/Q&gt;&lt;R&gt;1&lt;/R&gt;&lt;C&gt;1&lt;/C&gt;&lt;D xsi:type="xsd:double"&gt;23.9670575097711&lt;/D&gt;&lt;/FQL&gt;&lt;FQL&gt;&lt;Q&gt;EWQ^FG_PRICE(0)&lt;/Q&gt;&lt;R&gt;1&lt;/R&gt;&lt;C&gt;1&lt;/C&gt;&lt;D xsi:type="xsd:double"&gt;39.81&lt;/D&gt;&lt;/FQL&gt;&lt;FQL&gt;&lt;Q&gt;EWL^FG_PRICE(0)&lt;/Q&gt;&lt;R&gt;1&lt;/R&gt;&lt;C&gt;1&lt;/C&gt;&lt;D xsi:type="xsd:double"&gt;45.18&lt;/D&gt;&lt;/FQL&gt;&lt;FQL&gt;&lt;Q&gt;EWA^FG_PRICE(0)&lt;/Q&gt;&lt;R&gt;1&lt;/R&gt;&lt;C&gt;1&lt;/C&gt;&lt;D xsi:type="xsd:double"&gt;23.3&lt;/D&gt;&lt;/FQL&gt;&lt;FQL&gt;&lt;Q&gt;EWC^FG_COMPANY_NAME&lt;/Q&gt;&lt;R&gt;1&lt;/R&gt;&lt;C&gt;1&lt;/C&gt;&lt;D xsi:type="xsd:string"&gt;iShares MSCI Canada ETF&lt;/D&gt;&lt;/FQL&gt;&lt;FQL&gt;&lt;Q&gt;EWU^FG_COMPANY_NAME&lt;/Q&gt;&lt;R&gt;1&lt;/R&gt;&lt;C&gt;1&lt;/C&gt;&lt;D xsi:type="xsd:string"&gt;iShares MSCI United Kingdom ETF&lt;/D&gt;&lt;/FQL&gt;&lt;FQL&gt;&lt;Q&gt;CAGDPY@CA^EE_ACTUAL_ANNUAL(MED,0)&lt;/Q&gt;&lt;R&gt;1&lt;/R&gt;&lt;C&gt;1&lt;/C&gt;&lt;D xsi:type="xsd:double"&gt;-0.614727995236974&lt;/D&gt;&lt;/FQL&gt;&lt;FQL&gt;&lt;Q&gt;EWD^FMA_PE(NTMA,-10AY,0,AM,"PORTAGG","MEANR")&lt;/Q&gt;&lt;R&gt;121&lt;/R&gt;&lt;C&gt;1&lt;/C&gt;&lt;D xsi:type="xsd:double"&gt;15.4806213819449&lt;/D&gt;&lt;D xsi:type="xsd:double"&gt;15.8372478736628&lt;/D&gt;&lt;D xsi:type="xsd:double"&gt;15.5429742466925&lt;/D&gt;&lt;D xsi:type="xsd:double"&gt;15.5547394434393&lt;/D&gt;&lt;D xsi:type="xsd:double"&gt;15.2241310869787&lt;/D&gt;&lt;D xsi:type="xsd:double"&gt;14.8941304481421&lt;/D&gt;&lt;D xsi:type="xsd:double"&gt;13.6107748756822&lt;/D&gt;&lt;D xsi:type="xsd:double"&gt;15.4378312378277&lt;/D&gt;&lt;D xsi:type="xsd:double"&gt;15.4318407978808&lt;/D&gt;&lt;D xsi:type="xsd:double"&gt;15.6294680213848&lt;/D&gt;&lt;D xsi:type="xsd:double"&gt;16.8625098297444&lt;/D&gt;&lt;D xsi:type="xsd:double"&gt;17.361517668949&lt;/D&gt;&lt;D xsi:type="xsd:double"&gt;16.5876658927194&lt;/D&gt;&lt;D xsi:type="xsd:double"&gt;15.8889527976741&lt;/D&gt;&lt;D xsi:type="xsd:double"&gt;15.5451760461233&lt;/D&gt;&lt;D xsi:type="xsd:double"&gt;16.240203497935&lt;/D&gt;&lt;D xsi:type="xsd:double"&gt;15.8068688520489&lt;/D&gt;&lt;D xsi:type="xsd:double"&gt;14.4291124337925&lt;/D&gt;&lt;D xsi:type="xsd:double"&gt;14.7821973688787&lt;/D&gt;&lt;D xsi:type="xsd:double"&gt;15.4538116078985&lt;/D&gt;&lt;D xsi:type="xsd:double"&gt;14.737310945667&lt;/D&gt;&lt;D xsi:type="xsd:double"&gt;13.5975182581164&lt;/D&gt;&lt;D xsi:type="xsd:double"&gt;15.0258406397252&lt;/D&gt;&lt;D xsi:type="xsd:double"&gt;15.3211515521384&lt;/D&gt;&lt;D xsi:type="xsd:double"&gt;15.3064332394062&lt;/D&gt;&lt;D xsi:type="xsd:double"&gt;14.7323729860324&lt;/D&gt;&lt;D xsi:type="xsd:double"&gt;14.257975637838&lt;/D&gt;&lt;D xsi:type="xsd:double"&gt;14.9372513661773&lt;/D&gt;&lt;D xsi:type="xsd:double"&gt;15.414960557198&lt;/D&gt;&lt;D xsi:type="xsd:double"&gt;15.3242835708722&lt;/D&gt;&lt;D xsi:type="xsd:double"&gt;16.2005159157725&lt;/D&gt;&lt;D xsi:type="xsd:double"&gt;16.1445711356947&lt;/D&gt;&lt;D xsi:type="xsd:double"&gt;16.7511997174863&lt;/D&gt;&lt;D xsi:type="xsd:double"&gt;16.0379142186177&lt;/D&gt;&lt;D xsi:type="xsd:double"&gt;16.3751415979077&lt;/D&gt;&lt;D xsi:type="xsd:double"&gt;16.8187429227996&lt;/D&gt;&lt;D xsi:type="xsd:double"&gt;16.7656466765294&lt;/D&gt;&lt;D xsi:type="xsd:double"&gt;17.8326632047283&lt;/D&gt;&lt;D xsi:type="xsd:double"&gt;16.8378806596828&lt;/D&gt;&lt;D xsi:type="xsd:double"&gt;16.5856408612301&lt;/D&gt;&lt;D xsi:type="xsd:double"&gt;15.6324946227962&lt;/D&gt;&lt;D xsi:type="xsd:double"&gt;16.2757063697814&lt;/D&gt;&lt;D xsi:type="xsd:double"&gt;16.9389964114665&lt;/D&gt;&lt;D xsi:type="xsd:double"&gt;16.6859208443406&lt;/D&gt;&lt;D xsi:type="xsd:double"&gt;16.5416283099941&lt;/D&gt;&lt;D xsi:type="xsd:double"&gt;16.6491856749222&lt;/D&gt;&lt;D xsi:type="xsd:double"&gt;16.1561197240843&lt;/D&gt;&lt;D xsi:type="xsd:double"&gt;16.2175354668837&lt;/D&gt;&lt;D xsi:type="xsd:double"&gt;15.9396728025481&lt;/D&gt;&lt;D xsi:type="xsd:double"&gt;16.1602140051721&lt;/D&gt;&lt;D xsi:type="xsd:double"&gt;15.375296416568&lt;/D&gt;&lt;D xsi:type="xsd:double"&gt;15.3498678934393&lt;/D&gt;&lt;D xsi:type="xsd:double"&gt;15.5559387699017&lt;/D&gt;&lt;D xsi:type="xsd:double"&gt;15.5386686229608&lt;/D&gt;&lt;D xsi:type="xsd:double"&gt;14.6137622625719&lt;/D&gt;&lt;D xsi:type="xsd:double"&gt;14.1007755286879&lt;/D&gt;&lt;D xsi:type="xsd:double"&gt;13.6208500372184&lt;/D&gt;&lt;D xsi:type="xsd:double"&gt;14.4322592674037&lt;/D&gt;&lt;D xsi:type="xsd:double"&gt;14.9294651026098&lt;/D&gt;&lt;D xsi:type="xsd:double"&gt;15.0947907516833&lt;/D&gt;&lt;D xsi:type="xsd:double"&gt;15.4924773199812&lt;/D&gt;&lt;D xsi:type="xsd:double"&gt;15.0391529814082&lt;/D&gt;&lt;D xsi:type="xsd:double"&gt;14.9162537733959&lt;/D&gt;&lt;D xsi:type="xsd:double"&gt;14.7939891468258&lt;/D&gt;&lt;D xsi:type="xsd:double"&gt;13.5136919098557&lt;/D&gt;&lt;D xsi:type="xsd:double"&gt;14.6521540423952&lt;/D&gt;&lt;D xsi:type="xsd:double"&gt;15.4682601326772&lt;/D&gt;&lt;D xsi:type="xsd:double"&gt;15.7120392481248&lt;/D&gt;&lt;D xsi:type="xsd:double"&gt;16.3012587776649&lt;/D&gt;&lt;D xsi:type="xsd:double"&gt;16.4910119251613&lt;/D&gt;&lt;D xsi:type="xsd:double"&gt;16.9418561062384&lt;/D&gt;&lt;D xsi:type="xsd:double"&gt;11.9977178172909&lt;/D&gt;&lt;D xsi:type="xsd:double"&gt;16.4726400498131&lt;/D&gt;&lt;D xsi:type="xsd:double"&gt;17.7851540824938&lt;/D&gt;&lt;D xsi:type="xsd:double"&gt;19.0277803075746&lt;/D&gt;&lt;D xsi:type="xsd:double"&gt;19.9218035469405&lt;/D&gt;&lt;D xsi:type="xsd:double"&gt;18.0960536446332&lt;/D&gt;&lt;D xsi:type="xsd:double"&gt;18.5132758212791&lt;/D&gt;&lt;D xsi:type="xsd:double"&gt;17.3761396484462&lt;/D&gt;&lt;D xsi:type="xsd:double"&gt;17.322437934695&lt;/D&gt;&lt;D xsi:type="xsd:double"&gt;17.2218758133812&lt;/D&gt;&lt;D xsi:type="xsd:double"&gt;18.7174238345529&lt;/D&gt;&lt;D xsi:type="xsd:double"&gt;18.7146749724805&lt;/D&gt;&lt;D xsi:type="xsd:double"&gt;20.1402236033016&lt;/D&gt;&lt;D xsi:type="xsd:double"&gt;20.7635329700299&lt;/D&gt;&lt;D xsi:type="xsd:double"&gt;18.0037964995357&lt;/D&gt;&lt;D xsi:type="xsd:double"&gt;18.4997778481403&lt;/D&gt;&lt;D xsi:type="xsd:double"&gt;18.5991830699659&lt;/D&gt;&lt;D xsi:type="xsd:double"&gt;18.4118498768071&lt;/D&gt;&lt;D xsi:type="xsd:double"&gt;18.3781669243357&lt;/D&gt;&lt;D xsi:type="xsd:double"&gt;18.4149930601615&lt;/D&gt;&lt;D xsi:type="xsd:double"&gt;18.8632142074483&lt;/D&gt;&lt;D xsi:type="xsd:double"&gt;17.726244849041&lt;/D&gt;&lt;D xsi:type="xsd:double"&gt;17.2096871541012&lt;/D&gt;&lt;D xsi:type="xsd:double"&gt;15.615379542874&lt;/D&gt;&lt;D xsi:type="xsd:double"&gt;15.6602048570424&lt;/D&gt;&lt;D xsi:type="xsd:double"&gt;14.9944690908975&lt;/D&gt;&lt;D xsi:type="xsd:double"&gt;15.8105808485338&lt;/D&gt;&lt;D xsi:type="xsd:double"&gt;14.2161411551396&lt;/D&gt;&lt;D xsi:type="xsd:double"&gt;14.5701227580137&lt;/D&gt;&lt;D xsi:type="xsd:double"&gt;15.0966327727033&lt;/D&gt;&lt;D xsi:type="xsd:double"&gt;13.6121127952201&lt;/D&gt;&lt;D xsi:type="xsd:double"&gt;13.6462099312918&lt;/D&gt;&lt;D xsi:type="xsd:double"&gt;12.9406906640064&lt;/D&gt;&lt;D xsi:type="xsd:double"&gt;12.7426217494804&lt;/D&gt;&lt;D xsi:type="xsd:double"&gt;13.730582815645&lt;/D&gt;&lt;D xsi:type="xsd:double"&gt;14.1822357395213&lt;/D&gt;&lt;D xsi:type="xsd:double"&gt;13.0936615977277&lt;/D&gt;&lt;D xsi:type="xsd:double"&gt;14.0939580201005&lt;/D&gt;&lt;D xsi:type="xsd:double"&gt;13.4847194541651&lt;/D&gt;&lt;D xsi:type="xsd:double"&gt;13.8305195227812&lt;/D&gt;&lt;D xsi:type="xsd:double"&gt;13.4533531386945&lt;/D&gt;&lt;D xsi:type="xsd:double"&gt;12.541369490191&lt;/D&gt;&lt;D xsi:type="xsd:double"&gt;13.0227620957899&lt;/D&gt;&lt;D xsi:type="xsd:double"&gt;13.0310546147031&lt;/D&gt;&lt;D xsi:type="xsd:double"&gt;13.3425651866105&lt;/D&gt;&lt;D xsi:type="xsd:double"&gt;15.5949027209874&lt;/D&gt;&lt;D xsi:type="xsd:double"&gt;15.1846266462664&lt;/D&gt;&lt;D xsi:type="xsd:double"&gt;16.0428926950517&lt;/D&gt;&lt;D xsi:type="xsd:double"&gt;16.5245693990183&lt;/D&gt;&lt;D xsi:type="xsd:double"&gt;16.2567726360342&lt;/D&gt;&lt;/FQL&gt;&lt;FQL&gt;&lt;Q&gt;PASP-FDS^MAX(FG_PRICE(0,-5AY))&lt;/Q&gt;&lt;R&gt;1&lt;/R&gt;&lt;C&gt;1&lt;/C&gt;&lt;D xsi:type="xsd:double"&gt;3158.12&lt;/D&gt;&lt;/FQL&gt;&lt;FQL&gt;&lt;Q&gt;W-FDS^FG_PRICE_CHANGE(0,-1AY)&lt;/Q&gt;&lt;R&gt;1&lt;/R&gt;&lt;C&gt;1&lt;/C&gt;&lt;D xsi:type="xsd:double"&gt;-23.1017191977077&lt;/D&gt;&lt;/FQL&gt;&lt;FQL&gt;&lt;Q&gt;EWN^FG_PRICE_MAVG(0,,,,30)&lt;/Q&gt;&lt;R&gt;1&lt;/R&gt;&lt;C&gt;1&lt;/C&gt;&lt;D xsi:type="xsd:double"&gt;48.971&lt;/D&gt;&lt;/FQL&gt;&lt;FQL&gt;&lt;Q&gt;URTH^FG_TOTAL_RETURNC(0,-1AM)&lt;/Q&gt;&lt;R&gt;1&lt;/R&gt;&lt;C&gt;1&lt;/C&gt;&lt;D xsi:type="xsd:double"&gt;-2.855736&lt;/D&gt;&lt;/FQL&gt;&lt;FQL&gt;&lt;Q&gt;EWI^FG_TOTAL_RETURNC(0,-3AM)&lt;/Q&gt;&lt;R&gt;1&lt;/R&gt;&lt;C&gt;1&lt;/C&gt;&lt;D xsi:type="xsd:double"&gt;8.051479&lt;/D&gt;&lt;/FQL&gt;&lt;FQL&gt;&lt;Q&gt;EWJ^FG_TOTAL_RETURNC(0,-6AM)&lt;/Q&gt;&lt;R&gt;1&lt;/R&gt;&lt;C&gt;1&lt;/C&gt;&lt;D xsi:type="xsd:double"&gt;15.068388&lt;/D&gt;&lt;/FQL&gt;&lt;FQL&gt;&lt;Q&gt;EWA^FG_TOTAL_RETURNC(0,-6AM)&lt;/Q&gt;&lt;R&gt;1&lt;/R&gt;&lt;C&gt;1&lt;/C&gt;&lt;D xsi:type="xsd:double"&gt;12.011576&lt;/D&gt;&lt;/FQL&gt;&lt;FQL&gt;&lt;Q&gt;ENZL^FMA_COS_UP("EPS","1M",+1,0,,,"PORTAGG","MEANR")&lt;/Q&gt;&lt;R&gt;1&lt;/R&gt;&lt;C&gt;1&lt;/C&gt;&lt;D xsi:type="xsd:double"&gt;2&lt;/D&gt;&lt;/FQL&gt;&lt;FQL&gt;&lt;Q&gt;TRYGB10Y-FDS^FG_YIELD_NAME&lt;/Q&gt;&lt;R&gt;1&lt;/R&gt;&lt;C&gt;1&lt;/C&gt;&lt;D xsi:type="xsd:string"&gt;United Kingdom Benchmark Bond - 10 Year&lt;/D&gt;&lt;/FQL&gt;&lt;FQL&gt;&lt;Q&gt;REFSEREPO-FDS^FG_YIELD(NOW,,,0)&lt;/Q&gt;&lt;R&gt;1&lt;/R&gt;&lt;C&gt;1&lt;/C&gt;&lt;D xsi:type="xsd:double"&gt;4&lt;/D&gt;&lt;/FQL&gt;&lt;FQL&gt;&lt;Q&gt;TRYUS10Y-FDS^PCTCHG(FG_YIELD(0,,,,"YTM"),FG_YIELD(-3AM,,,,"YTM"))&lt;/Q&gt;&lt;R&gt;1&lt;/R&gt;&lt;C&gt;1&lt;/C&gt;&lt;D xsi:type="xsd:double"&gt;11.919536&lt;/D&gt;&lt;/FQL&gt;&lt;FQL&gt;&lt;Q&gt;SPY^FMA_PE(NTMA,0,,,"PORTAGG","MEANR")&lt;/Q&gt;&lt;R&gt;1&lt;/R&gt;&lt;C&gt;1&lt;/C&gt;&lt;D xsi:type="xsd:double"&gt;20.0577707227666&lt;/D&gt;&lt;/FQL&gt;&lt;FQL&gt;&lt;Q&gt;EWC^FMA_DIV_YLD(NTMA,NOW,NOW,M,"PORTAGG","MEANR")&lt;/Q&gt;&lt;R&gt;1&lt;/R&gt;&lt;C&gt;1&lt;/C&gt;&lt;D xsi:type="xsd:double"&gt;3.10692325273598&lt;/D&gt;&lt;/FQL&gt;&lt;FQL&gt;&lt;Q&gt;TLT^FG_TOTAL_RETURNC(0,-1AM)&lt;/Q&gt;&lt;R&gt;1&lt;/R&gt;&lt;C&gt;1&lt;/C&gt;&lt;D xsi:type="xsd:double"&gt;-3.809774&lt;/D&gt;&lt;/FQL&gt;&lt;FQL&gt;&lt;Q&gt;GLD^FG_TOTAL_RETURNC(0,-3AM)&lt;/Q&gt;&lt;R&gt;1&lt;/R&gt;&lt;C&gt;1&lt;/C&gt;&lt;D xsi:type="xsd:double"&gt;17.596197&lt;/D&gt;&lt;/FQL&gt;&lt;FQL&gt;&lt;Q&gt;EWC^FMA_PE(NTMA,0,,,"PORTAGG","MEANR")&lt;/Q&gt;&lt;R&gt;1&lt;/R&gt;&lt;C&gt;1&lt;/C&gt;&lt;D xsi:type="xsd:double"&gt;14.1409055493399&lt;/D&gt;&lt;/FQL&gt;&lt;FQL&gt;&lt;Q&gt;SPY^P_PRICE(0)/P_PRICE_HIGH_PR(0,,,USD,,,"PRICE","INTRA","52W")&lt;/Q&gt;&lt;R&gt;1&lt;/R&gt;&lt;C&gt;1&lt;/C&gt;&lt;D xsi:type="xsd:double"&gt;0.952174&lt;/D&gt;&lt;/FQL&gt;&lt;FQL&gt;&lt;Q&gt;VWO^FMA_COS_UP("EPS","1M",+1,0,,,"PORTAGG","MEANR")&lt;/Q&gt;&lt;R&gt;1&lt;/R&gt;&lt;C&gt;1&lt;/C&gt;&lt;D xsi:type="xsd:double"&gt;716&lt;/D&gt;&lt;/FQL&gt;&lt;FQL&gt;&lt;Q&gt;CC_IT^IMF_IFS_RCPI_Q(0)&lt;/Q&gt;&lt;R&gt;0&lt;/R&gt;&lt;C&gt;0&lt;/C&gt;&lt;/FQL&gt;&lt;FQL&gt;&lt;Q&gt;QQQ^FMA_EVAL_EBIT(LTMA,NOW,NOW,M,"PORTAGG","MEANR")&lt;/Q&gt;&lt;R&gt;1&lt;/R&gt;&lt;C&gt;1&lt;/C&gt;&lt;D xsi:type="xsd:double"&gt;24.8021516625678&lt;/D&gt;&lt;/FQL&gt;&lt;FQL&gt;&lt;Q&gt;USO^FG_TOTAL_RETURNC(0,-1AM)&lt;/Q&gt;&lt;R&gt;1&lt;/R&gt;&lt;C&gt;1&lt;/C&gt;&lt;D xsi:type="xsd:double"&gt;1.0259032&lt;/D&gt;&lt;/FQL&gt;&lt;FQL&gt;&lt;Q&gt;EWN^FG_ROE(0)&lt;/Q&gt;&lt;R&gt;1&lt;/R&gt;&lt;C&gt;1&lt;/C&gt;&lt;D xsi:type="xsd:double"&gt;11.6506727556571&lt;/D&gt;&lt;/FQL&gt;&lt;FQL&gt;&lt;Q&gt;EWG^FG_COMPANY_NAME&lt;/Q&gt;&lt;R&gt;1&lt;/R&gt;&lt;C&gt;1&lt;/C&gt;&lt;D xsi:type="xsd:string"&gt;iShares MSCI Germany ETF&lt;/D&gt;&lt;/FQL&gt;&lt;FQL&gt;&lt;Q&gt;TRYEU10Y-FDS^FG_YIELD(-10AY,0,Y,,"YTM")&lt;/Q&gt;&lt;R&gt;10&lt;/R&gt;&lt;C&gt;1&lt;/C&gt;&lt;D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xsi:type="xsd:double"&gt;2.004&lt;/D&gt;&lt;/FQL&gt;&lt;FQL&gt;&lt;Q&gt;EWU^P_PRICE_RETURNS_PR('52W',2,-10AY,0,AM)&lt;/Q&gt;&lt;R&gt;121&lt;/R&gt;&lt;C&gt;1&lt;/C&gt;&lt;D xsi:type="xsd:double"&gt;19.951653&lt;/D&gt;&lt;D xsi:type="xsd:double"&gt;16.718887&lt;/D&gt;&lt;D xsi:type="xsd:double"&gt;19.263327&lt;/D&gt;&lt;D xsi:type="xsd:double"&gt;17.538988&lt;/D&gt;&lt;D xsi:type="xsd:double"&gt;14.01428&lt;/D&gt;&lt;D xsi:type="xsd:double"&gt;6.922984&lt;/D&gt;&lt;D xsi:type="xsd:double"&gt;-2.7335227&lt;/D&gt;&lt;D xsi:type="xsd:double"&gt;-0.2656877&lt;/D&gt;&lt;D xsi:type="xsd:double"&gt;-3.2941043&lt;/D&gt;&lt;D xsi:type="xsd:double"&gt;-8.800268&lt;/D&gt;&lt;D xsi:type="xsd:double"&gt;-3.846407&lt;/D&gt;&lt;D xsi:type="xsd:double"&gt;-2.6230931&lt;/D&gt;&lt;D xsi:type="xsd:double"&gt;-3.5561144&lt;/D&gt;&lt;D xsi:type="xsd:double"&gt;-3.4356296&lt;/D&gt;&lt;D xsi:type="xsd:double"&gt;-5.646527&lt;/D&gt;&lt;D xsi:type="xsd:double"&gt;-5.934888&lt;/D&gt;&lt;D xsi:type="xsd:double"&gt;-7.5355053&lt;/D&gt;&lt;D xsi:type="xsd:double"&gt;-13.404733&lt;/D&gt;&lt;D xsi:type="xsd:double"&gt;1.6426563&lt;/D&gt;&lt;D xsi:type="xsd:double"&gt;-6.4422607&lt;/D&gt;&lt;D xsi:type="xsd:double"&gt;-10.0146885&lt;/D&gt;&lt;D xsi:type="xsd:double"&gt;-13.99728&lt;/D&gt;&lt;D xsi:type="xsd:double"&gt;-17.3639&lt;/D&gt;&lt;D xsi:type="xsd:double"&gt;-11.466354&lt;/D&gt;&lt;D xsi:type="xsd:double"&gt;-11.08321&lt;/D&gt;&lt;D xsi:type="xsd:double"&gt;-15.778452&lt;/D&gt;&lt;D xsi:type="xsd:double"&gt;-15.396923&lt;/D&gt;&lt;D xsi:type="xsd:double"&gt;-13.406122&lt;/D&gt;&lt;D xsi:type="xsd:double"&gt;-8.220684&lt;/D&gt;&lt;D xsi:type="xsd:double"&gt;-6.252199&lt;/D&gt;&lt;D xsi:type="xsd:double"&gt;-9.942854&lt;/D&gt;&lt;D xsi:type="xsd:double"&gt;-9.878951&lt;/D&gt;&lt;D xsi:type="xsd:double"&gt;-1.5744865&lt;/D&gt;&lt;D xsi:type="xsd:double"&gt;11.875057&lt;/D&gt;&lt;D xsi:type="xsd:double"&gt;9.255278&lt;/D&gt;&lt;D xsi:type="xsd:double"&gt;6.36158&lt;/D&gt;&lt;D xsi:type="xsd:double"&gt;4.788232&lt;/D&gt;&lt;D xsi:type="xsd:double"&gt;11.937761&lt;/D&gt;&lt;D xsi:type="xsd:double"&gt;16.438652&lt;/D&gt;&lt;D xsi:type="xsd:double"&gt;12.552452&lt;/D&gt;&lt;D xsi:type="xsd:double"&gt;7.513654&lt;/D&gt;&lt;D xsi:type="xsd:double"&gt;15.496027&lt;/D&gt;&lt;D xsi:type="xsd:double"&gt;19.71916&lt;/D&gt;&lt;D xsi:type="xsd:double"&gt;19.00035&lt;/D&gt;&lt;D xsi:type="xsd:double"&gt;19.25441&lt;/D&gt;&lt;D xsi:type="xsd:double"&gt;24.222708&lt;/D&gt;&lt;D xsi:type="xsd:double"&gt;15.814948&lt;/D&gt;&lt;D xsi:type="xsd:double"&gt;11.670923&lt;/D&gt;&lt;D xsi:type="xsd:double"&gt;16.88466&lt;/D&gt;&lt;D xsi:type="xsd:double"&gt;11.607361&lt;/D&gt;&lt;D xsi:type="xsd:double"&gt;8.892179&lt;/D&gt;&lt;D xsi:type="xsd:double"&gt;6.9370866&lt;/D&gt;&lt;D xsi:type="xsd:double"&gt;5.03397&lt;/D&gt;&lt;D xsi:type="xsd:double"&gt;1.0815859&lt;/D&gt;&lt;D xsi:type="xsd:double"&gt;-5.1051197&lt;/D&gt;&lt;D xsi:type="xsd:double"&gt;-3.8719296&lt;/D&gt;&lt;D xsi:type="xsd:double"&gt;-12.987995&lt;/D&gt;&lt;D xsi:type="xsd:double"&gt;-13.025451&lt;/D&gt;&lt;D xsi:type="xsd:double"&gt;-5.44883&lt;/D&gt;&lt;D xsi:type="xsd:double"&gt;0.83533525&lt;/D&gt;&lt;D xsi:type="xsd:double"&gt;-3.1199574&lt;/D&gt;&lt;D xsi:type="xsd:double"&gt;-7.79739&lt;/D&gt;&lt;D xsi:type="xsd:double"&gt;-4.1544676&lt;/D&gt;&lt;D xsi:type="xsd:double"&gt;-2.6951492&lt;/D&gt;&lt;D xsi:type="xsd:double"&gt;-6.3761415&lt;/D&gt;&lt;D xsi:type="xsd:double"&gt;-1.2978017&lt;/D&gt;&lt;D xsi:type="xsd:double"&gt;5.0053477&lt;/D&gt;&lt;D xsi:type="xsd:double"&gt;8.212841&lt;/D&gt;&lt;D xsi:type="xsd:double"&gt;20.436966&lt;/D&gt;&lt;D xsi:type="xsd:double"&gt;15.96154&lt;/D&gt;&lt;D xsi:type="xsd:double"&gt;6.1110616&lt;/D&gt;&lt;D xsi:type="xsd:double"&gt;-37.134327&lt;/D&gt;&lt;D xsi:type="xsd:double"&gt;-23.566305&lt;/D&gt;&lt;D xsi:type="xsd:double"&gt;-19.269556&lt;/D&gt;&lt;D xsi:type="xsd:double"&gt;-16.066235&lt;/D&gt;&lt;D xsi:type="xsd:double"&gt;-14.137566&lt;/D&gt;&lt;D xsi:type="xsd:double"&gt;-6.3429174&lt;/D&gt;&lt;D xsi:type="xsd:double"&gt;-14.43578&lt;/D&gt;&lt;D xsi:type="xsd:double"&gt;-16.592163&lt;/D&gt;&lt;D xsi:type="xsd:double"&gt;-10.525549&lt;/D&gt;&lt;D xsi:type="xsd:double"&gt;-10.323805&lt;/D&gt;&lt;D xsi:type="xsd:double"&gt;-7.303733&lt;/D&gt;&lt;D xsi:type="xsd:double"&gt;-2.8373837&lt;/D&gt;&lt;D xsi:type="xsd:double"&gt;59.953915&lt;/D&gt;&lt;D xsi:type="xsd:double"&gt;40.19542&lt;/D&gt;&lt;D xsi:type="xsd:double"&gt;37.365555&lt;/D&gt;&lt;D xsi:type="xsd:double"&gt;28.281343&lt;/D&gt;&lt;D xsi:type="xsd:double"&gt;25.689804&lt;/D&gt;&lt;D xsi:type="xsd:double"&gt;25.846756&lt;/D&gt;&lt;D xsi:type="xsd:double"&gt;25.93193&lt;/D&gt;&lt;D xsi:type="xsd:double"&gt;34.388374&lt;/D&gt;&lt;D xsi:type="xsd:double"&gt;20.952297&lt;/D&gt;&lt;D xsi:type="xsd:double"&gt;11.977732&lt;/D&gt;&lt;D xsi:type="xsd:double"&gt;17.657125&lt;/D&gt;&lt;D xsi:type="xsd:double"&gt;15.511012&lt;/D&gt;&lt;D xsi:type="xsd:double"&gt;10.487366&lt;/D&gt;&lt;D xsi:type="xsd:double"&gt;8.087778&lt;/D&gt;&lt;D xsi:type="xsd:double"&gt;-2.2461534&lt;/D&gt;&lt;D xsi:type="xsd:double"&gt;-8.362007&lt;/D&gt;&lt;D xsi:type="xsd:double"&gt;-5.2707376&lt;/D&gt;&lt;D xsi:type="xsd:double"&gt;-2.1339834&lt;/D&gt;&lt;D xsi:type="xsd:double"&gt;-9.768391&lt;/D&gt;&lt;D xsi:type="xsd:double"&gt;-15.545952&lt;/D&gt;&lt;D xsi:type="xsd:double"&gt;-5.024439&lt;/D&gt;&lt;D xsi:type="xsd:double"&gt;-2.2646487&lt;/D&gt;&lt;D xsi:type="xsd:double"&gt;-2.0186126&lt;/D&gt;&lt;D xsi:type="xsd:double"&gt;-1.130259&lt;/D&gt;&lt;D xsi:type="xsd:double"&gt;-4.9203215&lt;/D&gt;&lt;D xsi:type="xsd:double"&gt;2.659285&lt;/D&gt;&lt;D xsi:type="xsd:double"&gt;8.129144&lt;/D&gt;&lt;D xsi:type="xsd:double"&gt;15.131187&lt;/D&gt;&lt;D xsi:type="xsd:double"&gt;16.025532&lt;/D&gt;&lt;D xsi:type="xsd:double"&gt;5.308366&lt;/D&gt;&lt;D xsi:type="xsd:double"&gt;17.910362&lt;/D&gt;&lt;D xsi:type="xsd:double"&gt;20.438623&lt;/D&gt;&lt;D xsi:type="xsd:double"&gt;10.269558&lt;/D&gt;&lt;D xsi:type="xsd:double"&gt;10.893118&lt;/D&gt;&lt;D xsi:type="xsd:double"&gt;2.1786928&lt;/D&gt;&lt;D xsi:type="xsd:double"&gt;4.385245&lt;/D&gt;&lt;D xsi:type="xsd:double"&gt;14.228285&lt;/D&gt;&lt;D xsi:type="xsd:double"&gt;3.1138182&lt;/D&gt;&lt;/FQL&gt;&lt;FQL&gt;&lt;Q&gt;EWJ^FG_PRICE(0)&lt;/Q&gt;&lt;R&gt;1&lt;/R&gt;&lt;C&gt;1&lt;/C&gt;&lt;D xsi:type="xsd:double"&gt;66.89&lt;/D&gt;&lt;/FQL&gt;&lt;FQL&gt;&lt;Q&gt;EWQ^FG_TOTAL_RETURNC(0,-12AM)&lt;/Q&gt;&lt;R&gt;1&lt;/R&gt;&lt;C&gt;1&lt;/C&gt;&lt;D xsi:type="xsd:double"&gt;3.9987087&lt;/D&gt;&lt;/FQL&gt;&lt;FQL&gt;&lt;Q&gt;EWU^FG_TOTAL_RETURNC(0,-12AM)&lt;/Q&gt;&lt;R&gt;1&lt;/R&gt;&lt;C&gt;1&lt;/C&gt;&lt;D xsi:type="xsd:double"&gt;3.1138182&lt;/D&gt;&lt;/FQL&gt;&lt;FQL&gt;&lt;Q&gt;QQQ^FMA_COS_DOWN("EPS","1M",+1,0,,,"PORTAGG","MEANR")&lt;/Q&gt;&lt;R&gt;1&lt;/R&gt;&lt;C&gt;1&lt;/C&gt;&lt;D xsi:type="xsd:double"&gt;40&lt;/D&gt;&lt;/FQL&gt;&lt;FQL&gt;&lt;Q&gt;ENZL^FMA_RBICS_REV_CURRENT(30, LOC, "PORTAGG")&lt;/Q&gt;&lt;R&gt;1&lt;/R&gt;&lt;C&gt;1&lt;/C&gt;&lt;D xsi:type="xsd:double"&gt;13.7517044499309&lt;/D&gt;&lt;/FQL&gt;&lt;FQL&gt;&lt;Q&gt;TRYCH10Y-FDS^FG_YIELD_NAME&lt;/Q&gt;&lt;R&gt;1&lt;/R&gt;&lt;C&gt;1&lt;/C&gt;&lt;D xsi:type="xsd:string"&gt;Treasury - Switzerland Benchmark Bond 10Y&lt;/D&gt;&lt;/FQL&gt;&lt;FQL&gt;&lt;Q&gt;REFJPTON-FDS^PROPER_NAME(0,,,"SECURITY","NAME")&lt;/Q&gt;&lt;R&gt;1&lt;/R&gt;&lt;C&gt;1&lt;/C&gt;&lt;D xsi:type="xsd:string"&gt;Japan Policy Rate&lt;/D&gt;&lt;/FQL&gt;&lt;FQL&gt;&lt;Q&gt;TRYUS10Y-FDS^PCTCHG(FG_YIELD(0,,,,"YTM"),FG_YIELD(-1AM,,,,"YTM"))&lt;/Q&gt;&lt;R&gt;1&lt;/R&gt;&lt;C&gt;1&lt;/C&gt;&lt;D xsi:type="xsd:double"&gt;6.9727116&lt;/D&gt;&lt;/FQL&gt;&lt;FQL&gt;&lt;Q&gt;TRYSE10Y-FDS^FG_YIELD(0,,,,"YTM")&lt;/Q&gt;&lt;R&gt;1&lt;/R&gt;&lt;C&gt;1&lt;/C&gt;&lt;D xsi:type="xsd:double"&gt;2.49&lt;/D&gt;&lt;/FQL&gt;&lt;FQL&gt;&lt;Q&gt;VWO^FG_PE(0)&lt;/Q&gt;&lt;R&gt;1&lt;/R&gt;&lt;C&gt;1&lt;/C&gt;&lt;D xsi:type="xsd:double"&gt;13.8523150839886&lt;/D&gt;&lt;/FQL&gt;&lt;FQL&gt;&lt;Q&gt;EWD^FMA_PE(LTM,0,,,"PORTAGG","MEANR")&lt;/Q&gt;&lt;R&gt;1&lt;/R&gt;&lt;C&gt;1&lt;/C&gt;&lt;D xsi:type="xsd:double"&gt;14.1502269841952&lt;/D&gt;&lt;/FQL&gt;&lt;FQL&gt;&lt;Q&gt;EWL^FMA_DIV_YLD(NTMA,NOW,NOW,M,"PORTAGG","MEANR")&lt;/Q&gt;&lt;R&gt;1&lt;/R&gt;&lt;C&gt;1&lt;/C&gt;&lt;D xsi:type="xsd:double"&gt;3.26227190151517&lt;/D&gt;&lt;/FQL&gt;&lt;FQL&gt;&lt;Q&gt;GLD^FG_TOTAL_RETURNC(0,-1AM)&lt;/Q&gt;&lt;R&gt;1&lt;/R&gt;&lt;C&gt;1&lt;/C&gt;&lt;D xsi:type="xsd:double"&gt;10.153473&lt;/D&gt;&lt;/FQL&gt;&lt;FQL&gt;&lt;Q&gt;USO^P_PRICE(0)/P_PRICE_HIGH_PR(0,,,USD,,,"PRICE","INTRA","52W")&lt;/Q&gt;&lt;R&gt;1&lt;/R&gt;&lt;C&gt;1&lt;/C&gt;&lt;D xsi:type="xsd:double"&gt;0.944491&lt;/D&gt;&lt;/FQL&gt;&lt;FQL&gt;&lt;Q&gt;USO^FG_TOTAL_RETURNC(0,-6AM)&lt;/Q&gt;&lt;R&gt;1&lt;/R&gt;&lt;C&gt;1&lt;/C&gt;&lt;D xsi:type="xsd:double"&gt;-1.3276517&lt;/D&gt;&lt;/FQL&gt;&lt;FQL&gt;&lt;Q&gt;EWG^P_PRICE(0)/P_PRICE_LOW_PR(0,,,,,,"PRICE","INTRA","52W")-1&lt;/Q&gt;&lt;R&gt;1&lt;/R&gt;&lt;C&gt;1&lt;/C&gt;&lt;D xsi:type="xsd:double"&gt;0.21594822&lt;/D&gt;&lt;/FQL&gt;&lt;FQL&gt;&lt;Q&gt;TRYGB10Y-FDS^PCTCHG(FG_YIELD(0,,,,"YTM"),FG_YIELD(-3AM,,,,"YTM"))&lt;/Q&gt;&lt;R&gt;1&lt;/R&gt;&lt;C&gt;1&lt;/C&gt;&lt;D xsi:type="xsd:double"&gt;8.784482&lt;/D&gt;&lt;/FQL&gt;&lt;FQL&gt;&lt;Q&gt;EWC^JULIAN(FMA_DIV_YLD(NTMA,NOW,NOW,M,"PORTAGG","MEANR").DATES)&lt;/Q&gt;&lt;R&gt;1&lt;/R&gt;&lt;C&gt;1&lt;/C&gt;&lt;D xsi:type="xsd:long"&gt;45379&lt;/D&gt;&lt;/FQL&gt;&lt;FQL&gt;&lt;Q&gt;USDCAD^STD(FG_PRICE_CHANGE(0,-3AY,M))&lt;/Q&gt;&lt;R&gt;1&lt;/R&gt;&lt;C&gt;1&lt;/C&gt;&lt;D xsi:type="xsd:double"&gt;1.87874814846935&lt;/D&gt;&lt;/FQL&gt;&lt;FQL&gt;&lt;Q&gt;EWN^FMA_PE(NTMA,-10AY,0,AM,"PORTAGG","MEANR")&lt;/Q&gt;&lt;R&gt;121&lt;/R&gt;&lt;C&gt;1&lt;/C&gt;&lt;D xsi:type="xsd:double"&gt;14.0304073562034&lt;/D&gt;&lt;D xsi:type="xsd:double"&gt;14.0213257835973&lt;/D&gt;&lt;D xsi:type="xsd:double"&gt;14.5278756422504&lt;/D&gt;&lt;D xsi:type="xsd:double"&gt;14.099183775846&lt;/D&gt;&lt;D xsi:type="xsd:double"&gt;13.989100157689&lt;/D&gt;&lt;D xsi:type="xsd:double"&gt;14.7006833717091&lt;/D&gt;&lt;D xsi:type="xsd:double"&gt;13.5006858606735&lt;/D&gt;&lt;D xsi:type="xsd:double"&gt;14.9030491055146&lt;/D&gt;&lt;D xsi:type="xsd:double"&gt;14.683577048972&lt;/D&gt;&lt;D xsi:type="xsd:double"&gt;15.0926858747339&lt;/D&gt;&lt;D xsi:type="xsd:double"&gt;16.2342555722826&lt;/D&gt;&lt;D xsi:type="xsd:double"&gt;17.5219300119249&lt;/D&gt;&lt;D xsi:type="xsd:double"&gt;17.1777104831432&lt;/D&gt;&lt;D xsi:type="xsd:double"&gt;16.8821202677832&lt;/D&gt;&lt;D xsi:type="xsd:double"&gt;16.1688485196385&lt;/D&gt;&lt;D xsi:type="xsd:double"&gt;17.0950567755387&lt;/D&gt;&lt;D xsi:type="xsd:double"&gt;16.0785690798329&lt;/D&gt;&lt;D xsi:type="xsd:double"&gt;14.5339075503058&lt;/D&gt;&lt;D xsi:type="xsd:double"&gt;15.1715846055331&lt;/D&gt;&lt;D xsi:type="xsd:double"&gt;16.2399283242846&lt;/D&gt;&lt;D xsi:type="xsd:double"&gt;15.392730635689&lt;/D&gt;&lt;D xsi:type="xsd:double"&gt;14.1271977719314&lt;/D&gt;&lt;D xsi:type="xsd:double"&gt;14.3664811030354&lt;/D&gt;&lt;D xsi:type="xsd:double"&gt;15.3854813962068&lt;/D&gt;&lt;D xsi:type="xsd:double"&gt;15.3722621281522&lt;/D&gt;&lt;D xsi:type="xsd:double"&gt;14.7553358232917&lt;/D&gt;&lt;D xsi:type="xsd:double"&gt;13.9513203304134&lt;/D&gt;&lt;D xsi:type="xsd:double"&gt;14.5424199433114&lt;/D&gt;&lt;D xsi:type="xsd:double"&gt;14.8481458969402&lt;/D&gt;&lt;D xsi:type="xsd:double"&gt;14.4750377367676&lt;/D&gt;&lt;D xsi:type="xsd:double"&gt;14.8255191725871&lt;/D&gt;&lt;D xsi:type="xsd:double"&gt;14.5486188107582&lt;/D&gt;&lt;D xsi:type="xsd:double"&gt;14.946536712276&lt;/D&gt;&lt;D xsi:type="xsd:double"&gt;14.9759024964651&lt;/D&gt;&lt;D xsi:type="xsd:double"&gt;15.6782842710407&lt;/D&gt;&lt;D xsi:type="xsd:double"&gt;16.0975580919081&lt;/D&gt;&lt;D xsi:type="xsd:double"&gt;15.9751344097462&lt;/D&gt;&lt;D xsi:type="xsd:double"&gt;16.2245195766043&lt;/D&gt;&lt;D xsi:type="xsd:double"&gt;16.0596069330318&lt;/D&gt;&lt;D xsi:type="xsd:double"&gt;15.8850028793428&lt;/D&gt;&lt;D xsi:type="xsd:double"&gt;15.7735999655174&lt;/D&gt;&lt;D xsi:type="xsd:double"&gt;15.93940672107&lt;/D&gt;&lt;D xsi:type="xsd:double"&gt;16.2835671887699&lt;/D&gt;&lt;D xsi:type="xsd:double"&gt;15.9378221525605&lt;/D&gt;&lt;D xsi:type="xsd:double"&gt;16.2159428409939&lt;/D&gt;&lt;D xsi:type="xsd:double"&gt;16.3954278019766&lt;/D&gt;&lt;D xsi:type="xsd:double"&gt;15.5175437484168&lt;/D&gt;&lt;D xsi:type="xsd:double"&gt;15.691995133409&lt;/D&gt;&lt;D xsi:type="xsd:double"&gt;15.7270590226948&lt;/D&gt;&lt;D xsi:type="xsd:double"&gt;15.8355442174791&lt;/D&gt;&lt;D xsi:type="xsd:double"&gt;15.8622472241377&lt;/D&gt;&lt;D xsi:type="xsd:double"&gt;15.9415113954696&lt;/D&gt;&lt;D xsi:type="xsd:double"&gt;15.3546322799965&lt;/D&gt;&lt;D xsi:type="xsd:double"&gt;14.9456159280396&lt;/D&gt;&lt;D xsi:type="xsd:double"&gt;14.166412309166&lt;/D&gt;&lt;D xsi:type="xsd:double"&gt;14.1917440632078&lt;/D&gt;&lt;D xsi:type="xsd:double"&gt;13.3865622334263&lt;/D&gt;&lt;D xsi:type="xsd:double"&gt;13.6370287671703&lt;/D&gt;&lt;D xsi:type="xsd:double"&gt;14.8547936676726&lt;/D&gt;&lt;D xsi:type="xsd:double"&gt;15.2838637875516&lt;/D&gt;&lt;D xsi:type="xsd:double"&gt;15.7626743854562&lt;/D&gt;&lt;D xsi:type="xsd:double"&gt;15.3786629098857&lt;/D&gt;&lt;D xsi:type="xsd:double"&gt;15.3988379684141&lt;/D&gt;&lt;D xsi:type="xsd:double"&gt;15.7068225525751&lt;/D&gt;&lt;D xsi:type="xsd:double"&gt;15.0658977755566&lt;/D&gt;&lt;D xsi:type="xsd:double"&gt;16.2763295399839&lt;/D&gt;&lt;D xsi:type="xsd:double"&gt;16.1260345954159&lt;/D&gt;&lt;D xsi:type="xsd:double"&gt;16.7432386382439&lt;/D&gt;&lt;D xsi:type="xsd:double"&gt;17.043843578556&lt;/D&gt;&lt;D xsi:type="xsd:double"&gt;17.36170620</t>
        </r>
      </text>
    </comment>
    <comment ref="A11" authorId="0" shapeId="0" xr:uid="{D5DB194F-A19C-4831-AD1C-EE90F5EC9E21}">
      <text>
        <r>
          <rPr>
            <b/>
            <sz val="9"/>
            <color indexed="81"/>
            <rFont val="Tahoma"/>
            <charset val="1"/>
          </rPr>
          <t>24702&lt;/D&gt;&lt;D xsi:type="xsd:double"&gt;18.0335282297761&lt;/D&gt;&lt;D xsi:type="xsd:double"&gt;11.8970902657978&lt;/D&gt;&lt;D xsi:type="xsd:double"&gt;16.3937241111353&lt;/D&gt;&lt;D xsi:type="xsd:double"&gt;17.6065996500263&lt;/D&gt;&lt;D xsi:type="xsd:double"&gt;19.5781378875771&lt;/D&gt;&lt;D xsi:type="xsd:double"&gt;20.1912886143877&lt;/D&gt;&lt;D xsi:type="xsd:double"&gt;19.8999941960637&lt;/D&gt;&lt;D xsi:type="xsd:double"&gt;19.4091159570781&lt;/D&gt;&lt;D xsi:type="xsd:double"&gt;19.9240631261243&lt;/D&gt;&lt;D xsi:type="xsd:double"&gt;20.6055106075303&lt;/D&gt;&lt;D xsi:type="xsd:double"&gt;20.6496805452553&lt;/D&gt;&lt;D xsi:type="xsd:double"&gt;21.2620504012239&lt;/D&gt;&lt;D xsi:type="xsd:double"&gt;22.2857601950382&lt;/D&gt;&lt;D xsi:type="xsd:double"&gt;21.8722804270137&lt;/D&gt;&lt;D xsi:type="xsd:double"&gt;22.8318428446414&lt;/D&gt;&lt;D xsi:type="xsd:double"&gt;21.1907554447938&lt;/D&gt;&lt;D xsi:type="xsd:double"&gt;21.161201087634&lt;/D&gt;&lt;D xsi:type="xsd:double"&gt;21.0801286046273&lt;/D&gt;&lt;D xsi:type="xsd:double"&gt;21.6417744950877&lt;/D&gt;&lt;D xsi:type="xsd:double"&gt;21.5889952107946&lt;/D&gt;&lt;D xsi:type="xsd:double"&gt;20.7901164919403&lt;/D&gt;&lt;D xsi:type="xsd:double"&gt;21.6615818024054&lt;/D&gt;&lt;D xsi:type="xsd:double"&gt;19.7594203094328&lt;/D&gt;&lt;D xsi:type="xsd:double"&gt;19.4865765108725&lt;/D&gt;&lt;D xsi:type="xsd:double"&gt;18.0427361655897&lt;/D&gt;&lt;D xsi:type="xsd:double"&gt;18.134897519931&lt;/D&gt;&lt;D xsi:type="xsd:double"&gt;17.6668427016861&lt;/D&gt;&lt;D xsi:type="xsd:double"&gt;16.669293161821&lt;/D&gt;&lt;D xsi:type="xsd:double"&gt;15.4267058557653&lt;/D&gt;&lt;D xsi:type="xsd:double"&gt;16.4101597933917&lt;/D&gt;&lt;D xsi:type="xsd:double"&gt;17.6811032573511&lt;/D&gt;&lt;D xsi:type="xsd:double"&gt;15.4635639706857&lt;/D&gt;&lt;D xsi:type="xsd:double"&gt;14.4445692351878&lt;/D&gt;&lt;D xsi:type="xsd:double"&gt;16.4330999869548&lt;/D&gt;&lt;D xsi:type="xsd:double"&gt;15.7371948245057&lt;/D&gt;&lt;D xsi:type="xsd:double"&gt;17.0279588881232&lt;/D&gt;&lt;D xsi:type="xsd:double"&gt;17.0390917970217&lt;/D&gt;&lt;D xsi:type="xsd:double"&gt;15.7458410321025&lt;/D&gt;&lt;D xsi:type="xsd:double"&gt;16.3422239841337&lt;/D&gt;&lt;D xsi:type="xsd:double"&gt;15.8744851153484&lt;/D&gt;&lt;D xsi:type="xsd:double"&gt;15.8433562183007&lt;/D&gt;&lt;D xsi:type="xsd:double"&gt;16.0969871159114&lt;/D&gt;&lt;D xsi:type="xsd:double"&gt;14.6780439954087&lt;/D&gt;&lt;D xsi:type="xsd:double"&gt;13.8714748337689&lt;/D&gt;&lt;D xsi:type="xsd:double"&gt;13.3208334296334&lt;/D&gt;&lt;D xsi:type="xsd:double"&gt;14.6755630986315&lt;/D&gt;&lt;D xsi:type="xsd:double"&gt;15.1486687775491&lt;/D&gt;&lt;D xsi:type="xsd:double"&gt;14.8265205072821&lt;/D&gt;&lt;D xsi:type="xsd:double"&gt;16.3590225154175&lt;/D&gt;&lt;D xsi:type="xsd:double"&gt;15.9502706742904&lt;/D&gt;&lt;D xsi:type="xsd:double"&gt;15.9064093026385&lt;/D&gt;&lt;/FQL&gt;&lt;FQL&gt;&lt;Q&gt;PASP-FDS^FG_PRICE_CHANGE(0,-1AY)&lt;/Q&gt;&lt;R&gt;1&lt;/R&gt;&lt;C&gt;1&lt;/C&gt;&lt;D xsi:type="xsd:double"&gt;-35.1681957186544&lt;/D&gt;&lt;/FQL&gt;&lt;FQL&gt;&lt;Q&gt;EWN^FG_PRICE(0)&lt;/Q&gt;&lt;R&gt;1&lt;/R&gt;&lt;C&gt;1&lt;/C&gt;&lt;D xsi:type="xsd:double"&gt;47.21&lt;/D&gt;&lt;/FQL&gt;&lt;FQL&gt;&lt;Q&gt;EWG^FG_PRICE_MAVG(0,,,,60)&lt;/Q&gt;&lt;R&gt;1&lt;/R&gt;&lt;C&gt;1&lt;/C&gt;&lt;D xsi:type="xsd:double"&gt;30.431&lt;/D&gt;&lt;/FQL&gt;&lt;FQL&gt;&lt;Q&gt;URTH^PERCENT_CHANGE(FMA_EPS(+1,0,,,,"PORTAGG","MEAN"),FMA_EPS(+1,-3AM,,,,"PORTAGG","MEAN"))&lt;/Q&gt;&lt;R&gt;1&lt;/R&gt;&lt;C&gt;1&lt;/C&gt;&lt;D xsi:type="xsd:double"&gt;-1.46049663240197&lt;/D&gt;&lt;/FQL&gt;&lt;FQL&gt;&lt;Q&gt;EWI^PERCENT_CHANGE(FMA_EPS(+1,0,,,,"PORTAGG","MEAN"),FMA_EPS(+1,-3AM,,,,"PORTAGG","MEAN"))&lt;/Q&gt;&lt;R&gt;1&lt;/R&gt;&lt;C&gt;1&lt;/C&gt;&lt;D xsi:type="xsd:double"&gt;0.407981248096939&lt;/D&gt;&lt;/FQL&gt;&lt;FQL&gt;&lt;Q&gt;EWQ^P_PRICE(0)/P_PRICE_LOW_PR(0,,,,,,"PRICE","INTRA","52W")-1&lt;/Q&gt;&lt;R&gt;1&lt;/R&gt;&lt;C&gt;1&lt;/C&gt;&lt;D xsi:type="xsd:double"&gt;0.18270946&lt;/D&gt;&lt;/FQL&gt;&lt;FQL&gt;&lt;Q&gt;EWA^FG_TOTAL_RETURNC(0,-3AM)&lt;/Q&gt;&lt;R&gt;1&lt;/R&gt;&lt;C&gt;1&lt;/C&gt;&lt;D xsi:type="xsd:double"&gt;1.0407567&lt;/D&gt;&lt;/FQL&gt;&lt;FQL&gt;&lt;Q&gt;URTH^FMA_COS_DOWN("EPS","1M",+1,0,,,"PORTAGG","MEANR")&lt;/Q&gt;&lt;R&gt;1&lt;/R&gt;&lt;C&gt;1&lt;/C&gt;&lt;D xsi:type="xsd:double"&gt;553&lt;/D&gt;&lt;/FQL&gt;&lt;FQL&gt;&lt;Q&gt;TRYJP10Y-FDS^FG_YIELD_NAME&lt;/Q&gt;&lt;R&gt;1&lt;/R&gt;&lt;C&gt;1&lt;/C&gt;&lt;D xsi:type="xsd:string"&gt;Japan Benchmark Bond - 10 Year&lt;/D&gt;&lt;/FQL&gt;&lt;FQL&gt;&lt;Q&gt;REFSEREPO-FDS^PROPER_NAME(0,,,"SECURITY","NAME")&lt;/Q&gt;&lt;R&gt;1&lt;/R&gt;&lt;C&gt;1&lt;/C&gt;&lt;D xsi:type="xsd:string"&gt;Sweden Repo Rate&lt;/D&gt;&lt;/FQL&gt;&lt;FQL&gt;&lt;Q&gt;VWO^JULIAN(FMA_DIV_YLD(NTMA,NOW,NOW,M,"PORTAGG","MEANR").DATES)&lt;/Q&gt;&lt;R&gt;1&lt;/R&gt;&lt;C&gt;1&lt;/C&gt;&lt;D xsi:type="xsd:long"&gt;45351&lt;/D&gt;&lt;/FQL&gt;&lt;FQL&gt;&lt;Q&gt;SPY^FMA_PE(LTM,0,,,"PORTAGG","MEANR")&lt;/Q&gt;&lt;R&gt;1&lt;/R&gt;&lt;C&gt;1&lt;/C&gt;&lt;D xsi:type="xsd:double"&gt;24.8811474420671&lt;/D&gt;&lt;/FQL&gt;&lt;FQL&gt;&lt;Q&gt;EWL^FMA_PE(NTMA,0,,,"PORTAGG","MEANR")&lt;/Q&gt;&lt;R&gt;1&lt;/R&gt;&lt;C&gt;1&lt;/C&gt;&lt;D xsi:type="xsd:double"&gt;16.9985445497671&lt;/D&gt;&lt;/FQL&gt;&lt;FQL&gt;&lt;Q&gt;EWU^P_PRICE(0)/P_PRICE_HIGH_PR(0,,,,,,"PRICE","INTRA","52W")&lt;/Q&gt;&lt;R&gt;1&lt;/R&gt;&lt;C&gt;1&lt;/C&gt;&lt;D xsi:type="xsd:double"&gt;0.9653679&lt;/D&gt;&lt;/FQL&gt;&lt;FQL&gt;&lt;Q&gt;EWU^SIZE(FG_CONSTITUENTS)&lt;/Q&gt;&lt;R&gt;1&lt;/R&gt;&lt;C&gt;1&lt;/C&gt;&lt;D xsi:type="xsd:long"&gt;85&lt;/D&gt;&lt;/FQL&gt;&lt;FQL&gt;&lt;Q&gt;EWD^FG_ROE(0)&lt;/Q&gt;&lt;R&gt;1&lt;/R&gt;&lt;C&gt;1&lt;/C&gt;&lt;D xsi:type="xsd:double"&gt;16.2997911850515&lt;/D&gt;&lt;/FQL&gt;&lt;FQL&gt;&lt;Q&gt;EWL^JULIAN(FMA_DIV_YLD(NTMA,NOW,NOW,M,"PORTAGG","MEANR").DATES)&lt;/Q&gt;&lt;R&gt;1&lt;/R&gt;&lt;C&gt;1&lt;/C&gt;&lt;D xsi:type="xsd:long"&gt;45379&lt;/D&gt;&lt;/FQL&gt;&lt;FQL&gt;&lt;Q&gt;EWI^FMA_PCT_ABOVE_MAVG(200,0,,,,"PORTAGG")&lt;/Q&gt;&lt;R&gt;1&lt;/R&gt;&lt;C&gt;1&lt;/C&gt;&lt;D xsi:type="xsd:double"&gt;64&lt;/D&gt;&lt;/FQL&gt;&lt;FQL&gt;&lt;Q&gt;EWJ^FMA_EVAL_EBIT(LTMA,NOW,NOW,M,"PORTAGG","MEANR")&lt;/Q&gt;&lt;R&gt;1&lt;/R&gt;&lt;C&gt;1&lt;/C&gt;&lt;D xsi:type="xsd:double"&gt;18.1571800625872&lt;/D&gt;&lt;/FQL&gt;&lt;FQL&gt;&lt;Q&gt;TRYFR10Y-FDS^FG_YIELD(0,,,,"YTM")&lt;/Q&gt;&lt;R&gt;1&lt;/R&gt;&lt;C&gt;1&lt;/C&gt;&lt;D xsi:type="xsd:double"&gt;2.998&lt;/D&gt;&lt;/FQL&gt;&lt;FQL&gt;&lt;Q&gt;TIPSCL10Y-FDS^FG_YIELD(-10AY,0,Y,,"YTM")&lt;/Q&gt;&lt;R&gt;10&lt;/R&gt;&lt;C&gt;1&lt;/C&gt;&lt;D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xsi:type="xsd:double"&gt;5.3314&lt;/D&gt;&lt;/FQL&gt;&lt;FQL&gt;&lt;Q&gt;CC_DE^FG_COMPANY_NAME&lt;/Q&gt;&lt;R&gt;1&lt;/R&gt;&lt;C&gt;1&lt;/C&gt;&lt;D xsi:type="xsd:string"&gt;Germany&lt;/D&gt;&lt;/FQL&gt;&lt;FQL&gt;&lt;Q&gt;EWJ^P_PRICE_RETURNS_PR('52W',2,-10AY,0,AM)&lt;/Q&gt;&lt;R&gt;121&lt;/R&gt;&lt;C&gt;1&lt;/C&gt;&lt;D xsi:type="xsd:double"&gt;0.13667345&lt;/D&gt;&lt;D xsi:type="xsd:double"&gt;-5.3683996&lt;/D&gt;&lt;D xsi:type="xsd:double"&gt;6.7870855&lt;/D&gt;&lt;D xsi:type="xsd:double"&gt;2.1024823&lt;/D&gt;&lt;D xsi:type="xsd:double"&gt;7.3738933&lt;/D&gt;&lt;D xsi:type="xsd:double"&gt;-0.83402395&lt;/D&gt;&lt;D xsi:type="xsd:double"&gt;-8.067256&lt;/D&gt;&lt;D xsi:type="xsd:double"&gt;-2.3157477&lt;/D&gt;&lt;D xsi:type="xsd:double"&gt;-2.3065984&lt;/D&gt;&lt;D xsi:type="xsd:double"&gt;-4.4525623&lt;/D&gt;&lt;D xsi:type="xsd:double"&gt;5.6310415&lt;/D&gt;&lt;D xsi:type="xsd:double"&gt;15.85536&lt;/D&gt;&lt;D xsi:type="xsd:double"&gt;17.084455&lt;/D&gt;&lt;D xsi:type="xsd:double"&gt;20.351517&lt;/D&gt;&lt;D xsi:type="xsd:double"&gt;8.637894&lt;/D&gt;&lt;D xsi:type="xsd:double"&gt;8.808088&lt;/D&gt;&lt;D xsi:type="xsd:double"&gt;8.250963&lt;/D&gt;&lt;D xsi:type="xsd:double"&gt;-1.3049483&lt;/D&gt;&lt;D xsi:type="xsd:double"&gt;13.350034&lt;/D&gt;&lt;D xsi:type="xsd:double"&gt;8.157194&lt;/D&gt;&lt;D xsi:type="xsd:double"&gt;6.1661363&lt;/D&gt;&lt;D xsi:type="xsd:double"&gt;0.6507635&lt;/D&gt;&lt;D xsi:type="xsd:double"&gt;-9.196222&lt;/D&gt;&lt;D xsi:type="xsd:double"&gt;-9.1215725&lt;/D&gt;&lt;D xsi:type="xsd:double"&gt;-7.027191&lt;/D&gt;&lt;D xsi:type="xsd:double"&gt;-11.217767&lt;/D&gt;&lt;D xsi:type="xsd:double"&gt;-9.810615&lt;/D&gt;&lt;D xsi:type="xsd:double"&gt;-6.842065&lt;/D&gt;&lt;D xsi:type="xsd:double"&gt;-2.6569605&lt;/D&gt;&lt;D xsi:type="xsd:double"&gt;3.1483054&lt;/D&gt;&lt;D xsi:type="xsd:double"&gt;3.2734513&lt;/D&gt;&lt;D xsi:type="xsd:double"&gt;-0.19043684&lt;/D&gt;&lt;D xsi:type="xsd:double"&gt;2.840495&lt;/D&gt;&lt;D xsi:type="xsd:double"&gt;14.773989&lt;/D&gt;&lt;D xsi:type="xsd:double"&gt;19.94797&lt;/D&gt;&lt;D xsi:type="xsd:double"&gt;14.999998&lt;/D&gt;&lt;D xsi:type="xsd:double"&gt;9.514332&lt;/D&gt;&lt;D xsi:type="xsd:double"&gt;15.446663&lt;/D&gt;&lt;D xsi:type="xsd:double"&gt;20.723175&lt;/D&gt;&lt;D xsi:type="xsd:double"&gt;15.076363&lt;/D&gt;&lt;D xsi:type="xsd:double"&gt;12.4158745&lt;/D&gt;&lt;D xsi:type="xsd:double"&gt;16.3319&lt;/D&gt;&lt;D xsi:type="xsd:double"&gt;17.893578&lt;/D&gt;&lt;D xsi:type="xsd:double"&gt;19.188011&lt;/D&gt;&lt;D xsi:type="xsd:double"&gt;23.156595&lt;/D&gt;&lt;D xsi:type="xsd:double"&gt;27.740728&lt;/D&gt;&lt;D xsi:type="xsd:double"&gt;21.851276&lt;/D&gt;&lt;D xsi:type="xsd:double"&gt;19.028711&lt;/D&gt;&lt;D xsi:type="xsd:double"&gt;21.288181&lt;/D&gt;&lt;D xsi:type="xsd:double"&gt;17.473293&lt;/D&gt;&lt;D xsi:type="xsd:double"&gt;11.8951435&lt;/D&gt;&lt;D xsi:type="xsd:double"&gt;9.297729&lt;/D&gt;&lt;D xsi:type="xsd:double"&gt;7.035756&lt;/D&gt;&lt;D xsi:type="xsd:double"&gt;9.3364&lt;/D&gt;&lt;D xsi:type="xsd:double"&gt;-0.28779507&lt;/D&gt;&lt;D xsi:type="xsd:double"&gt;-5.904084&lt;/D&gt;&lt;D xsi:type="xsd:double"&gt;-11.821413&lt;/D&gt;&lt;D xsi:type="xsd:double"&gt;-13.294422&lt;/D&gt;&lt;D xsi:type="xsd:double"&gt;-8.780831&lt;/D&gt;&lt;D xsi:type="xsd:double"&gt;-8.861101&lt;/D&gt;&lt;D xsi:type="xsd:double"&gt;-7.902813&lt;/D&gt;&lt;D xsi:type="xsd:double"&gt;-10.840183&lt;/D&gt;&lt;D xsi:type="xsd:double"&gt;-7.5940075&lt;/D&gt;&lt;D xsi:type="xsd:double"&gt;-4.393339&lt;/D&gt;&lt;D xsi:type="xsd:double"&gt;-4.714155&lt;/D&gt;&lt;D xsi:type="xsd:double"&gt;-3.2282948&lt;/D&gt;&lt;D xsi:type="xsd:double"&gt;3.2016277&lt;/D&gt;&lt;D xsi:type="xsd:double"&gt;11.246133&lt;/D&gt;&lt;D xsi:type="xsd:double"&gt;17.027723&lt;/D&gt;&lt;D xsi:type="xsd:double"&gt;14.143551&lt;/D&gt;&lt;D xsi:type="xsd:double"&gt;7.896507&lt;/D&gt;&lt;D xsi:type="xsd:double"&gt;-16.792547&lt;/D&gt;&lt;D xsi:type="xsd:double"&gt;-6.1146736&lt;/D&gt;&lt;D xsi:type="xsd:double"&gt;0.7940769&lt;/D&gt;&lt;D xsi:type="xsd:double"&gt;6.362915&lt;/D&gt;&lt;D xsi:type="xsd:double"&gt;4.7787547&lt;/D&gt;&lt;D xsi:type="xsd:double"&gt;11.318314&lt;/D&gt;&lt;D xsi:type="xsd:double"&gt;6.6793203&lt;/D&gt;&lt;D xsi:type="xsd:double"&gt;4.2465925&lt;/D&gt;&lt;D xsi:type="xsd:double"&gt;8.407843&lt;/D&gt;&lt;D xsi:type="xsd:double"&gt;12.427664&lt;/D&gt;&lt;D xsi:type="xsd:double"&gt;16.564512&lt;/D&gt;&lt;D xsi:type="xsd:double"&gt;24.606586&lt;/D&gt;&lt;D xsi:type="xsd:double"&gt;60.02672&lt;/D&gt;&lt;D xsi:type="xsd:double"&gt;41.17093&lt;/D&gt;&lt;D xsi:type="xsd:double"&gt;28.481638&lt;/D&gt;&lt;D xsi:type="xsd:double"&gt;20.797657&lt;/D&gt;&lt;D xsi:type="xsd:double"&gt;21.239067&lt;/D&gt;&lt;D xsi:type="xsd:double"&gt;16.673672&lt;/D&gt;&lt;D xsi:type="xsd:double"&gt;24.762844&lt;/D&gt;&lt;D xsi:type="xsd:double"&gt;17.95491&lt;/D&gt;&lt;D xsi:type="xsd:double"&gt;10.939503&lt;/D&gt;&lt;D xsi:type="xsd:double"&gt;2.7595282&lt;/D&gt;&lt;D xsi:type="xsd:double"&gt;-1.7160714&lt;/D&gt;&lt;D xsi:type="xsd:double"&gt;-8.394777&lt;/D&gt;&lt;D xsi:type="xsd:double"&gt;-9.432989&lt;/D&gt;&lt;D xsi:type="xsd:double"&gt;-15.815806&lt;/D&gt;&lt;D xsi:type="xsd:double"&gt;-15.221035&lt;/D&gt;&lt;D xsi:type="xsd:double"&gt;-22.599094&lt;/D&gt;&lt;D xsi:type="xsd:double"&gt;-19.539047&lt;/D&gt;&lt;D xsi:type="xsd:double"&gt;-13.869417&lt;/D&gt;&lt;D xsi:type="xsd:double"&gt;-28.563446&lt;/D&gt;&lt;D xsi:type="xsd:double"&gt;-27.349&lt;/D&gt;&lt;D xsi:type="xsd:double"&gt;-20.45598&lt;/D&gt;&lt;D xsi:type="xsd:double"&gt;-18.862295&lt;/D&gt;&lt;D xsi:type="xsd:double"&gt;-12.470418&lt;/D&gt;&lt;D xsi:type="xsd:double"&gt;-9.452688&lt;/D&gt;&lt;D xsi:type="xsd:double"&gt;-8.295309&lt;/D&gt;&lt;D xsi:type="xsd:double"&gt;3.4127116&lt;/D&gt;&lt;D xsi:type="xsd:double"&gt;10.202169&lt;/D&gt;&lt;D xsi:type="xsd:double"&gt;20.985365&lt;/D&gt;&lt;D xsi:type="xsd:double"&gt;20.882809&lt;/D&gt;&lt;D xsi:type="xsd:double"&gt;5.7614446&lt;/D&gt;&lt;D xsi:type="xsd:double"&gt;23.430311&lt;/D&gt;&lt;D xsi:type="xsd:double"&gt;21.972359&lt;/D&gt;&lt;D xsi:type="xsd:double"&gt;15.978109&lt;/D&gt;&lt;D xsi:type="xsd:double"&gt;16.398&lt;/D&gt;&lt;D xsi:type="xsd:double"&gt;17.293453&lt;/D&gt;&lt;D xsi:type="xsd:double"&gt;21.085941&lt;/D&gt;&lt;D xsi:type="xsd:double"&gt;29.51286&lt;/D&gt;&lt;D xsi:type="xsd:double"&gt;15.861082&lt;/D&gt;&lt;/FQL&gt;&lt;FQL&gt;&lt;Q&gt;W-FDS^FG_PRICE_CHANGE(0,-3AM)&lt;/Q&gt;&lt;R&gt;1&lt;/R&gt;&lt;C&gt;1&lt;/C&gt;&lt;D xsi:type="xsd:double"&gt;-8.32621690862512&lt;/D&gt;&lt;/FQL&gt;&lt;FQL&gt;&lt;Q&gt;SPY^FG_TOTAL_RETURNC(0,-6AM)&lt;/Q&gt;&lt;R&gt;1&lt;/R&gt;&lt;C&gt;1&lt;/C&gt;&lt;D xsi:type="xsd:double"&gt;16.947006&lt;/D&gt;&lt;/FQL&gt;&lt;FQL&gt;&lt;Q&gt;URTH^PERCENT_CHANGE(FMA_EPS(+1,0,,,,"PORTAGG","MEAN"),FMA_EPS(+1,-1AM,,,,"PORTAGG","MEAN"))&lt;/Q&gt;&lt;R&gt;1&lt;/R&gt;&lt;C&gt;1&lt;/C&gt;&lt;D xsi:type="xsd:double"&gt;-1.00881174015027&lt;/D&gt;&lt;/FQL&gt;&lt;FQL&gt;&lt;Q&gt;EWQ^P_PRICE(0)/P_PRICE_HIGH_PR(0,,,,,,"PRICE","INTRA","52W")&lt;/Q&gt;&lt;R&gt;1&lt;/R&gt;&lt;C&gt;1&lt;/C&gt;&lt;D xsi:type="xsd:double"&gt;0.9506866&lt;/D&gt;&lt;/FQL&gt;&lt;FQL&gt;&lt;Q&gt;EWU^P_PRICE(0)/P_PRICE_LOW_PR(0,,,,,,"PRICE","INTRA","52W")-1&lt;/Q&gt;&lt;R&gt;1&lt;/R&gt;&lt;C&gt;1&lt;/C&gt;&lt;D xsi:type="xsd:double"&gt;0.10583949&lt;/D&gt;&lt;/FQL&gt;&lt;FQL&gt;&lt;Q&gt;EWJ^PERCENT_CHANGE(FMA_EPS(+1,0,,,,"PORTAGG","MEAN"),FMA_EPS(+1,-1AM,,,,"PORTAGG","MEAN"))&lt;/Q&gt;&lt;R&gt;1&lt;/R&gt;&lt;C&gt;1&lt;/C&gt;&lt;D xsi:type="xsd:double"&gt;-3.24928630409766&lt;/D&gt;&lt;/FQL&gt;&lt;FQL&gt;&lt;Q&gt;QQQ^FMA_COS_UP("EPS","1M",+1,0,,,"PORTAGG","MEANR")&lt;/Q&gt;&lt;R&gt;1&lt;/R&gt;&lt;C&gt;1&lt;/C&gt;&lt;D xsi:type="xsd:double"&gt;34&lt;/D&gt;&lt;/FQL&gt;&lt;FQL&gt;&lt;Q&gt;EWI^FG_ROE(0)&lt;/Q&gt;&lt;R&gt;1&lt;/R&gt;&lt;C&gt;1&lt;/C&gt;&lt;D xsi:type="xsd:double"&gt;13.1889506238377&lt;/D&gt;&lt;/FQL&gt;&lt;FQL&gt;&lt;Q&gt;TRYNL10Y-FDS^FG_YIELD(0,,,,"YTM")&lt;/Q&gt;&lt;R&gt;1&lt;/R&gt;&lt;C&gt;1&lt;/C&gt;&lt;D xsi:type="xsd:double"&gt;2.783&lt;/D&gt;&lt;/FQL&gt;&lt;FQL&gt;&lt;Q&gt;TRYNZ10Y-FDS^FG_YIELD(0,,,,"YTM")&lt;/Q&gt;&lt;R&gt;1&lt;/R&gt;&lt;C&gt;1&lt;/C&gt;&lt;D xsi:type="xsd:double"&gt;4.9004&lt;/D&gt;&lt;/FQL&gt;&lt;FQL&gt;&lt;Q&gt;VGK^FMA_EVAL_EBIT(LTMA,NOW,NOW,M,"PORTAGG","MEANR")&lt;/Q&gt;&lt;R&gt;1&lt;/R&gt;&lt;C&gt;1&lt;/C&gt;&lt;D xsi:type="xsd:double"&gt;13.19799269758&lt;/D&gt;&lt;/FQL&gt;&lt;FQL&gt;&lt;Q&gt;EWD^JULIAN(FMA_DIV_YLD(NTMA,NOW,NOW,M,"PORTAGG","MEANR").DATES)&lt;/Q&gt;&lt;R&gt;1&lt;/R&gt;&lt;C&gt;1&lt;/C&gt;&lt;D xsi:type="xsd:long"&gt;45379&lt;/D&gt;&lt;/FQL&gt;&lt;FQL&gt;&lt;Q&gt;EWL^FMA_PE(LTM,0,,,"PORTAGG","MEANR")&lt;/Q&gt;&lt;R&gt;1&lt;/R&gt;&lt;C&gt;1&lt;/C&gt;&lt;D xsi:type="xsd:double"&gt;15.1546946654359&lt;/D&gt;&lt;/FQL&gt;&lt;FQL&gt;&lt;Q&gt;EWC^FMA_PE(LTM,0,,,"PORTAGG","MEANR")&lt;/Q&gt;&lt;R&gt;1&lt;/R&gt;&lt;C&gt;1&lt;/C&gt;&lt;D xsi:type="xsd:double"&gt;16.3273594863983&lt;/D&gt;&lt;/FQL&gt;&lt;FQL&gt;&lt;Q&gt;TRYNZ10Y-FDS^FG_YIELD_NAME&lt;/Q&gt;&lt;R&gt;1&lt;/R&gt;&lt;C&gt;1&lt;/C&gt;&lt;D xsi:type="xsd:string"&gt;New Zealand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Rate&lt;/D&gt;&lt;/FQL&gt;&lt;FQL&gt;&lt;Q&gt;VGK^FG_FCF_YIELD_NTM(0)&lt;/Q&gt;&lt;R&gt;1&lt;/R&gt;&lt;C&gt;1&lt;/C&gt;&lt;D xsi:type="xsd:double"&gt;5.02473897691092&lt;/D&gt;&lt;/FQL&gt;&lt;FQL&gt;&lt;Q&gt;EWN^FG_FCF_YIELD_NTM(0)&lt;/Q&gt;&lt;R&gt;1&lt;/R&gt;&lt;C&gt;1&lt;/C&gt;&lt;D xsi:type="xsd:double"&gt;3.99758723636453&lt;/D&gt;&lt;/FQL&gt;&lt;FQL&gt;&lt;Q&gt;EWA^FMA_EVAL_EBIT(LTMA,NOW,NOW,M,"PORTAGG","MEANR")&lt;/Q&gt;&lt;R&gt;1&lt;/R&gt;&lt;C&gt;1&lt;/C&gt;&lt;D xsi:type="xsd:double"&gt;12.4430506058536&lt;/D&gt;&lt;/FQL&gt;&lt;FQL&gt;&lt;Q&gt;TRYCN10Y-FDS^FG_YIELD(-10AY,0,Y,,"YTM")&lt;/Q&gt;&lt;R&gt;10&lt;/R&gt;&lt;C&gt;1&lt;/C&gt;&lt;D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xsi:type="xsd:double"&gt;2.574&lt;/D&gt;&lt;/FQL&gt;&lt;FQL&gt;&lt;Q&gt;USDCAD^STD(FG_PRICE_CHANGE(0,-1AY,AM))&lt;/Q&gt;&lt;R&gt;1&lt;/R&gt;&lt;C&gt;1&lt;/C&gt;&lt;D xsi:type="xsd:double"&gt;1.6560389612643&lt;/D&gt;&lt;/FQL&gt;&lt;FQL&gt;&lt;Q&gt;EWQ^FG_PRICE_MAVG(0,,,,200)&lt;/Q&gt;&lt;R&gt;1&lt;/R&gt;&lt;C&gt;1&lt;/C&gt;&lt;D xsi:type="xsd:double"&gt;38.078773&lt;/D&gt;&lt;/FQL&gt;&lt;FQL&gt;&lt;Q&gt;EWC^FG_PRICE_MAVG(0,,,,30)&lt;/Q&gt;&lt;R&gt;1&lt;/R&gt;&lt;C&gt;1&lt;/C&gt;&lt;D xsi:type="xsd:double"&gt;37.793335&lt;/D&gt;&lt;/FQL&gt;&lt;FQL&gt;&lt;Q&gt;URTH^FMA_PCT_ABOVE_MAVG(200,0,,,,"PORTAGG")&lt;/Q&gt;&lt;R&gt;1&lt;/R&gt;&lt;C&gt;1&lt;/C&gt;&lt;D xsi:type="xsd:double"&gt;66.3934426229508&lt;/D&gt;&lt;/FQL&gt;&lt;FQL&gt;&lt;Q&gt;EWI^PERCENT_CHANGE(FMA_EPS(+1,0,,,,"PORTAGG","MEAN"),FMA_EPS(+1,-1AM,,,,"PORTAGG","MEAN"))&lt;/Q&gt;&lt;R&gt;1&lt;/R&gt;&lt;C&gt;1&lt;/C&gt;&lt;D xsi:type="xsd:double"&gt;-1.92636486924864&lt;/D&gt;&lt;/FQL&gt;&lt;FQL&gt;&lt;Q&gt;EWQ^FG_TOTAL_RETURNC(0,-3AM)&lt;/Q&gt;&lt;R&gt;1&lt;/R&gt;&lt;C&gt;1&lt;/C&gt;&lt;D xsi:type="xsd:double"&gt;5.0118685&lt;/D&gt;&lt;/FQL&gt;&lt;FQL&gt;&lt;Q&gt;EWA^FG_TOTAL_RETURNC(0,-1AM)&lt;/Q&gt;&lt;R&gt;1&lt;/R&gt;&lt;C&gt;1&lt;/C&gt;&lt;D xsi:type="xsd:double"&gt;-3.2392085&lt;/D&gt;&lt;/FQL&gt;&lt;FQL&gt;&lt;Q&gt;VWO^FMA_COS_DOWN("EPS","1M",+1,0,,,"PORTAGG","MEANR")&lt;/Q&gt;&lt;R&gt;1&lt;/R&gt;&lt;C&gt;1&lt;/C&gt;&lt;D xsi:type="xsd:double"&gt;1045&lt;/D&gt;&lt;/FQL&gt;&lt;FQL&gt;&lt;Q&gt;TRYCA10Y-FDS^FG_YIELD_NAME&lt;/Q&gt;&lt;R&gt;1&lt;/R&gt;&lt;C&gt;1&lt;/C&gt;&lt;D xsi:type="xsd:string"&gt;Canada Benchmark Bond - 10 Year&lt;/D&gt;&lt;/FQL&gt;&lt;FQL&gt;&lt;Q&gt;VGK^FMA_EVAL_EBITDA(NTMA,0,,,"PORTAGG","MEANR")&lt;/Q&gt;&lt;R&gt;1&lt;/R&gt;&lt;C&gt;1&lt;/C&gt;&lt;D xsi:type="xsd:double"&gt;9.08174988134934&lt;/D&gt;&lt;/FQL&gt;&lt;FQL&gt;&lt;Q&gt;SPY^JULIAN(FMA_DIV_YLD(NTMA,NOW,NOW,M,"PORTAGG","MEANR").DATES)&lt;/Q&gt;&lt;R&gt;1&lt;/R&gt;&lt;C&gt;1&lt;/C&gt;&lt;D xsi:type="xsd:long"&gt;45379&lt;/D&gt;&lt;/FQL&gt;&lt;FQL&gt;&lt;Q&gt;EWA^PERCENT_CHANGE(FMA_EPS(+1,0,,,,"PORTAGG","MEAN"),FMA_EPS(+1,-3AM,,,,"PORTAGG","MEAN"))&lt;/Q&gt;&lt;R&gt;1&lt;/R&gt;&lt;C&gt;1&lt;/C&gt;&lt;D xsi:type="xsd:double"&gt;-2.50184826401245&lt;/D&gt;&lt;/FQL&gt;&lt;FQL&gt;&lt;Q&gt;TRYTR7Y-FDS^FG_YIELD(-10AY,0,Y,,"YTM")&lt;/Q&gt;&lt;R&gt;10&lt;/R&gt;&lt;C&gt;1&lt;/C&gt;&lt;D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xsi:type="xsd:double"&gt;21.984322&lt;/D&gt;&lt;/FQL&gt;&lt;FQL&gt;&lt;Q&gt;ENZL^FMA_PE(NTMA,-10AY,0,AM,"PORTAGG","MEANR")&lt;/Q&gt;&lt;R&gt;121&lt;/R&gt;&lt;C&gt;1&lt;/C&gt;&lt;D xsi:type="xsd:double"&gt;17.1694807886028&lt;/D&gt;&lt;D xsi:type="xsd:double"&gt;17.465533554149&lt;/D&gt;&lt;D xsi:type="xsd:double"&gt;17.3383860206602&lt;/D&gt;&lt;D xsi:type="xsd:double"&gt;17.1577976152777&lt;/D&gt;&lt;D xsi:type="xsd:double"&gt;17.009636066709&lt;/D&gt;&lt;D xsi:type="xsd:double"&gt;16.871493292199&lt;/D&gt;&lt;D xsi:type="xsd:double"&gt;16.7401097983836&lt;/D&gt;&lt;D xsi:type="xsd:double"&gt;18.1143159255858&lt;/D&gt;&lt;D xsi:type="xsd:double"&gt;18.0847357453527&lt;/D&gt;&lt;D xsi:type="xsd:double"&gt;18.5478301470677&lt;/D&gt;&lt;D xsi:type="xsd:double"&gt;18.9270334933425&lt;/D&gt;&lt;D xsi:type="xsd:double"&gt;18.7412794877628&lt;/D&gt;&lt;D xsi:type="xsd:double"&gt;18.4332732653751&lt;/D&gt;&lt;D xsi:type="xsd:double"&gt;18.2181894539528&lt;/D&gt;&lt;D xsi:type="xsd:double"&gt;17.8581635355801&lt;/D&gt;&lt;D xsi:type="xsd:double"&gt;18.1715087899683&lt;/D&gt;&lt;D xsi:type="xsd:double"&gt;17.6511614231856&lt;/D&gt;&lt;D xsi:type="xsd:double"&gt;17.6180809178897&lt;/D&gt;&lt;D xsi:type="xsd:double"&gt;17.6236065596109&lt;/D&gt;&lt;D xsi:type="xsd:double"&gt;17.8732518950287&lt;/D&gt;&lt;D xsi:type="xsd:double"&gt;17.9093627245329&lt;/D&gt;&lt;D xsi:type="xsd:double"&gt;17.7346036848985&lt;/D&gt;&lt;D xsi:type="xsd:double"&gt;17.3276760496274&lt;/D&gt;&lt;D xsi:type="xsd:double"&gt;18.181524816871&lt;/D&gt;&lt;D xsi:type="xsd:double"&gt;18.8903653548927&lt;/D&gt;&lt;D xsi:type="xsd:double"&gt;19.435032795185&lt;/D&gt;&lt;D xsi:type="xsd:double"&gt;18.9217504725008&lt;/D&gt;&lt;D xsi:type="xsd:double"&gt;19.5752481293212&lt;/D&gt;&lt;D xsi:type="xsd:double"&gt;20.3342648919915&lt;/D&gt;&lt;D xsi:type="xsd:double"&gt;20.1995497998947&lt;/D&gt;&lt;D xsi:type="xsd:double"&gt;19.0920874953932&lt;/D&gt;&lt;D xsi:type="xsd:double"&gt;18.7461524724985&lt;/D&gt;&lt;D xsi:type="xsd:double"&gt;18.1634957042499&lt;/D&gt;&lt;D xsi:type="xsd:double"&gt;18.9449209526694&lt;/D&gt;&lt;D xsi:type="xsd:double"&gt;18.9227869332119&lt;/D&gt;&lt;D xsi:type="xsd:double"&gt;18.7962032498598&lt;/D&gt;&lt;D xsi:type="xsd:double"&gt;19.1325259851472&lt;/D&gt;&lt;D xsi:type="xsd:double"&gt;19.3382519089278&lt;/D&gt;&lt;D xsi:type="xsd:double"&gt;19.5568107789944&lt;/D&gt;&lt;D xsi:type="xsd:double"&gt;19.7334513527682&lt;/D&gt;&lt;D xsi:type="xsd:double"&gt;20.288293392972&lt;/D&gt;&lt;D xsi:type="xsd:double"&gt;19.5731256707439&lt;/D&gt;&lt;D xsi:type="xsd:double"&gt;20.1075555513208&lt;/D&gt;&lt;D xsi:type="xsd:double"&gt;20.1973244525382&lt;/D&gt;&lt;D xsi:type="xsd:double"&gt;20.8116084504574&lt;/D&gt;&lt;D xsi:type="xsd:double"&gt;20.5036014843541&lt;/D&gt;&lt;D xsi:type="xsd:double"&gt;20.2818365986933&lt;/D&gt;&lt;D xsi:type="xsd:double"&gt;20.4977190042163&lt;/D&gt;&lt;D xsi:type="xsd:double"&gt;20.0407895226211&lt;/D&gt;&lt;D xsi:type="xsd:double"&gt;20.5097721667799&lt;/D&gt;&lt;D xsi:type="xsd:double"&gt;21.3595746025419&lt;/D&gt;&lt;D xsi:type="xsd:double"&gt;21.0699127799248&lt;/D&gt;&lt;D xsi:type="xsd:double"&gt;21.3168575086892&lt;/D&gt;&lt;D xsi:type="xsd:double"&gt;21.7118863674173&lt;/D&gt;&lt;D xsi:type="xsd:double"&gt;20.4752200229331&lt;/D&gt;&lt;D xsi:type="xsd:double"&gt;20.0735276404331&lt;/D&gt;&lt;D xsi:type="xsd:double"&gt;19.8115779637316&lt;/D&gt;&lt;D xsi:type="xsd:double"&gt;20.6437248611298&lt;/D&gt;&lt;D xsi:type="xsd:double"&gt;21.018988736511&lt;/D&gt;&lt;D xsi:type="xsd:double"&gt;21.6878148063428&lt;/D&gt;&lt;D xsi:type="xsd:double"&gt;22.5484485911005&lt;/D&gt;&lt;D xsi:type="xsd:double"&gt;23.1098901534411&lt;/D&gt;&lt;D xsi:type="xsd:double"&gt;22.8956250753916&lt;/D&gt;&lt;D xsi:type="xsd:double"&gt;24.4134344861906&lt;/D&gt;&lt;D xsi:type="xsd:double"&gt;24.0303312312609&lt;/D&gt;&lt;D xsi:type="xsd:double"&gt;25.6166269537834&lt;/D&gt;&lt;D xsi:type="xsd:double"&gt;25.487088993533&lt;/D&gt;&lt;D xsi:type="xsd:double"&gt;24.6853752436586&lt;/D&gt;&lt;D xsi:type="xsd:double"&gt;25.726892436168&lt;/D&gt;&lt;D xsi:type="xsd:double"&gt;26.3438275426871&lt;/D&gt;&lt;D xsi:type="xsd:double"&gt;27.178093278385&lt;/D&gt;&lt;D xsi:type="xsd:double"&gt;21.8280538667606&lt;/D&gt;&lt;D xsi:type="xsd:double"&gt;29.2371303809708&lt;/D&gt;&lt;D xsi:type="xsd:double"&gt;30.5854977142396&lt;/D&gt;&lt;D xsi:type="xsd:double"&gt;30.4751723263253&lt;/D&gt;&lt;D xsi:type="xsd:double"&gt;31.8749262772598&lt;/D&gt;&lt;D xsi:type="xsd:double"&gt;32.6162344842546&lt;/D&gt;&lt;D xsi:type="xsd:double"&gt;31.2049054436918&lt;/D&gt;&lt;D xsi:type="xsd:double"&gt;33.0706454167922&lt;/D&gt;&lt;D xsi:type="xsd:double"&gt;32.8466424206825&lt;/D&gt;&lt;D xsi:type="xsd:double"&gt;33.0709296234812&lt;/D&gt;&lt;D xsi:type="xsd:double"&gt;33.6408252776016&lt;/D&gt;&lt;D xsi:type="xsd:double"&gt;32.1069005308702&lt;/D&gt;&lt;D xsi:type="xsd:double"&gt;32.4405180308913&lt;/D&gt;&lt;D xsi:type="xsd:double"&gt;32.3808061431811&lt;/D&gt;&lt;D xsi:type="xsd:double"&gt;32.3352642730536&lt;/D&gt;&lt;D xsi:type="xsd:double"&gt;33.5443861814638&lt;/D&gt;&lt;D xsi:type="xsd:double"&gt;34.2078054989961&lt;/D&gt;&lt;D xsi:type="xsd:double"&gt;33.6675237303946&lt;/D&gt;&lt;D xsi:type="xsd:double"&gt;34.9638427182766&lt;/D&gt;&lt;D xsi:type="xsd:double"&gt;33.4491554137332&lt;/D&gt;&lt;D xsi:type="xsd:double"&gt;32.6668299064532&lt;/D&gt;&lt;D xsi:type="xsd:double"&gt;31.9105486234566&lt;/D&gt;&lt;D xsi:type="xsd:double"&gt;31.1447631933645&lt;/D&gt;&lt;D xsi:type="xsd:double"&gt;29.4572258063608&lt;/D&gt;&lt;D xsi:type="xsd:double"&gt;29.2951193667374&lt;/D&gt;&lt;D xsi:type="xsd:double"&gt;28.3730183800061&lt;/D&gt;&lt;D xsi:type="xsd:double"&gt;27.4193243558707&lt;/D&gt;&lt;D xsi:type="xsd:double"&gt;25.0638707867245&lt;/D&gt;&lt;D xsi:type="xsd:double"&gt;25.8656424646724&lt;/D&gt;&lt;D xsi:type="xsd:double"&gt;27.3354846821463&lt;/D&gt;&lt;D xsi:type="xsd:double"&gt;26.2433274484386&lt;/D&gt;&lt;D xsi:type="xsd:double"&gt;23.4579177772123&lt;/D&gt;&lt;D xsi:type="xsd:double"&gt;23.6882726341079&lt;/D&gt;&lt;D xsi:type="xsd:double"&gt;23.4464203034506&lt;/D&gt;&lt;D xsi:type="xsd:double"&gt;23.9513430454364&lt;/D&gt;&lt;D xsi:type="xsd:double"&gt;24.8437661889129&lt;/D&gt;&lt;D xsi:type="xsd:double"&gt;22.7621783174531&lt;/D&gt;&lt;D xsi:type="xsd:double"&gt;23.2690551914841&lt;/D&gt;&lt;D xsi:type="xsd:double"&gt;23.584549184559&lt;/D&gt;&lt;D xsi:type="xsd:double"&gt;20.8172027291688&lt;/D&gt;&lt;D xsi:type="xsd:double"&gt;20.9309482619326&lt;/D&gt;&lt;D xsi:type="xsd:double"&gt;20.0747089930747&lt;/D&gt;&lt;D xsi:type="xsd:double"&gt;20.4111151163432&lt;/D&gt;&lt;D xsi:type="xsd:double"&gt;19.7310823516886&lt;/D&gt;&lt;D xsi:type="xsd:double"&gt;20.1270027042033&lt;/D&gt;&lt;D xsi:type="xsd:double"&gt;22.5962071345471&lt;/D&gt;&lt;D xsi:type="xsd:double"&gt;22.1770090513255&lt;/D&gt;&lt;D xsi:type="xsd:double"&gt;22.2964802939291&lt;/D&gt;&lt;D xsi:type="xsd:double"&gt;24.7288747400243&lt;/D&gt;&lt;D xsi:type="xsd:double"&gt;24.9890945740817&lt;/D&gt;&lt;/FQL&gt;&lt;FQL&gt;&lt;Q&gt;PASP-FDS^FG_PRICE_CHANGE(0,-3AM)&lt;/Q&gt;&lt;R&gt;1&lt;/R&gt;&lt;C&gt;1&lt;/C&gt;&lt;D xsi:type="xsd:double"&gt;12.1693121693122&lt;/D&gt;&lt;/FQL&gt;&lt;FQL&gt;&lt;Q&gt;W-FDS^FG_PRICE_CHANGE(0,-1AM)&lt;/Q&gt;&lt;R&gt;1&lt;/R&gt;&lt;C&gt;1&lt;/C&gt;&lt;D xsi:type="xsd:double"&gt;-1.10548134500231&lt;/D&gt;&lt;/FQL&gt;&lt;FQL&gt;&lt;Q&gt;FC0000GR^FG_PRICE(0)&lt;/Q&gt;&lt;R&gt;1&lt;/R&gt;&lt;C&gt;1&lt;/C&gt;&lt;D xsi:type="xsd:double"&gt;9.245088&lt;/D&gt;&lt;/FQL&gt;&lt;FQL&gt;&lt;Q&gt;SPY^FG_TOTAL_RETURNC(0,-3AM)&lt;/Q&gt;&lt;R&gt;1&lt;/R&gt;&lt;C&gt;1&lt;/C&gt;&lt;D xsi:type="xsd:double"&gt;5.161214&lt;/D&gt;&lt;/FQL&gt;&lt;FQL&gt;&lt;Q&gt;VWO^P_PRICE(0)/P_PRICE_LOW_PR(0,,,,,,"PRICE","INTRA","52W")-1&lt;/Q&gt;&lt;R&gt;1&lt;/R&gt;&lt;C&gt;1&lt;/C&gt;&lt;D xsi:type="xsd:double"&gt;0.09491384&lt;/D&gt;&lt;/FQL&gt;&lt;FQL&gt;&lt;Q&gt;TRYNL10Y-FDS^FG_YIELD_NAME&lt;/Q&gt;&lt;R&gt;1&lt;/R&gt;&lt;C&gt;1&lt;/C&gt;&lt;D xsi:type="xsd:string"&gt;Netherlands Benchmark Bond - 10 Year&lt;/D&gt;&lt;/FQL&gt;&lt;FQL&gt;&lt;Q&gt;EWN^FMA_EVAL_EBITDA(NTMA,0,,,"PORTAGG","MEANR")&lt;/Q&gt;&lt;R&gt;1&lt;/R&gt;&lt;C&gt;1&lt;/C&gt;&lt;D xsi:type="xsd:double"&gt;12.5463445976416&lt;/D&gt;&lt;/FQL&gt;&lt;FQL&gt;&lt;Q&gt;EWQ^PERCENT_CHANGE(FMA_EPS(+1,0,,,,"PORTAGG","MEAN"),FMA_EPS(+1,-1AM,,,,"PORTAGG","MEAN"))&lt;/Q&gt;&lt;R&gt;1&lt;/R&gt;&lt;C&gt;1&lt;/C&gt;&lt;D xsi:type="xsd:double"&gt;-3.21341621008931&lt;/D&gt;&lt;/FQL&gt;&lt;FQL&gt;&lt;Q&gt;USDCAD^FG_PRICE_CHANGE(0,-6AM)&lt;/Q&gt;&lt;R&gt;1&lt;/R&gt;&lt;C&gt;1&lt;/C&gt;&lt;D xsi:type="xsd:double"&gt;0.46744347&lt;/D&gt;&lt;/FQL&gt;&lt;FQL&gt;&lt;Q&gt;EWC^P_PRICE_RETURNS_PR('52W',2,-10AY,0,AM)&lt;/Q&gt;&lt;R&gt;121&lt;/R&gt;&lt;C&gt;1&lt;/C&gt;&lt;D xsi:type="xsd:double"&gt;16.080929&lt;/D&gt;&lt;D xsi:type="xsd:double"&gt;11.879158&lt;/D&gt;&lt;D xsi:type="xsd:double"&gt;17.347729&lt;/D&gt;&lt;D xsi:type="xsd:double"&gt;19.333351&lt;/D&gt;&lt;D xsi:type="xsd:double"&gt;17.31559&lt;/D&gt;&lt;D xsi:type="xsd:double"&gt;14.89706&lt;/D&gt;&lt;D xsi:type="xsd:double"&gt;2.4404526&lt;/D&gt;&lt;D xsi:type="xsd:double"&gt;4.535496&lt;/D&gt;&lt;D xsi:type="xsd:double"&gt;1.9524455&lt;/D&gt;&lt;D xsi:type="xsd:double"&gt;-3.1264842&lt;/D&gt;&lt;D xsi:type="xsd:double"&gt;-1.7197967&lt;/D&gt;&lt;D xsi:type="xsd:double"&gt;-4.204631&lt;/D&gt;&lt;D xsi:type="xsd:double"&gt;-1.039505&lt;/D&gt;&lt;D xsi:type="xsd:double"&gt;-3.734821&lt;/D&gt;&lt;D xsi:type="xsd:double"&gt;-10.456568&lt;/D&gt;&lt;D xsi:type="xsd:double"&gt;-17.852228&lt;/D&gt;&lt;D xsi:type="xsd:double"&gt;-20.555252&lt;/D&gt;&lt;D xsi:type="xsd:double"&gt;-24.991465&lt;/D&gt;&lt;D xsi:type="xsd:double"&gt;-11.991156&lt;/D&gt;&lt;D xsi:type="xsd:double"&gt;-21.753746&lt;/D&gt;&lt;D xsi:type="xsd:double"&gt;-22.81688&lt;/D&gt;&lt;D xsi:type="xsd:double"&gt;-27.594692&lt;/D&gt;&lt;D xsi:type="xsd:double"&gt;-21.59437&lt;/D&gt;&lt;D xsi:type="xsd:double"&gt;-11.970115&lt;/D&gt;&lt;D xsi:type="xsd:double"&gt;-13.916421&lt;/D&gt;&lt;D xsi:type="xsd:double"&gt;-13.906294&lt;/D&gt;&lt;D xsi:type="xsd:double"&gt;-9.46402&lt;/D&gt;&lt;D xsi:type="xsd:double"&gt;0.11188984&lt;/D&gt;&lt;D xsi:type="xsd:double"&gt;6.243038&lt;/D&gt;&lt;D xsi:type="xsd:double"&gt;5.3344846&lt;/D&gt;&lt;D xsi:type="xsd:double"&gt;6.249559&lt;/D&gt;&lt;D xsi:type="xsd:double"&gt;11.970341&lt;/D&gt;&lt;D xsi:type="xsd:double"&gt;22.752619&lt;/D&gt;&lt;D xsi:type="xsd:double"&gt;43.337395&lt;/D&gt;&lt;D xsi:type="xsd:double"&gt;31.231451&lt;/D&gt;&lt;D xsi:type="xsd:double"&gt;13.532782&lt;/D&gt;&lt;D xsi:type="xsd:double"&gt;11.585772&lt;/D&gt;&lt;D xsi:type="xsd:double"&gt;8.573937&lt;/D&gt;&lt;D xsi:type="xsd:double"&gt;10.862279&lt;/D&gt;&lt;D xsi:type="xsd:double"&gt;10.498738&lt;/D&gt;&lt;D xsi:type="xsd:double"&gt;6.6421986&lt;/D&gt;&lt;D xsi:type="xsd:double"&gt;16.467213&lt;/D&gt;&lt;D xsi:type="xsd:double"&gt;15.8370495&lt;/D&gt;&lt;D xsi:type="xsd:double"&gt;16.373873&lt;/D&gt;&lt;D xsi:type="xsd:double"&gt;11.789417&lt;/D&gt;&lt;D xsi:type="xsd:double"&gt;15.573502&lt;/D&gt;&lt;D xsi:type="xsd:double"&gt;3.6932707&lt;/D&gt;&lt;D xsi:type="xsd:double"&gt;5.15635&lt;/D&gt;&lt;D xsi:type="xsd:double"&gt;8.13632&lt;/D&gt;&lt;D xsi:type="xsd:double"&gt;15.291035&lt;/D&gt;&lt;D xsi:type="xsd:double"&gt;10.846877&lt;/D&gt;&lt;D xsi:type="xsd:double"&gt;7.0519447&lt;/D&gt;&lt;D xsi:type="xsd:double"&gt;8.572996&lt;/D&gt;&lt;D xsi:type="xsd:double"&gt;3.2314777&lt;/D&gt;&lt;D xsi:type="xsd:double"&gt;-5.5157127&lt;/D&gt;&lt;D xsi:type="xsd:double"&gt;-5.9004126&lt;/D&gt;&lt;D xsi:type="xsd:double"&gt;-13.060409&lt;/D&gt;&lt;D xsi:type="xsd:double"&gt;-10.434514&lt;/D&gt;&lt;D xsi:type="xsd:double"&gt;-1.0908008&lt;/D&gt;&lt;D xsi:type="xsd:double"&gt;3.5556912&lt;/D&gt;&lt;D xsi:type="xsd:double"&gt;3.492713&lt;/D&gt;&lt;D xsi:type="xsd:double"&gt;-1.8525302&lt;/D&gt;&lt;D xsi:type="xsd:double"&gt;1.3315916&lt;/D&gt;&lt;D xsi:type="xsd:double"&gt;2.9179096&lt;/D&gt;&lt;D xsi:type="xsd:double"&gt;-0.45426488&lt;/D&gt;&lt;D xsi:type="xsd:double"&gt;3.3816457&lt;/D&gt;&lt;D xsi:type="xsd:double"&gt;8.239185&lt;/D&gt;&lt;D xsi:type="xsd:double"&gt;14.142871&lt;/D&gt;&lt;D xsi:type="xsd:double"&gt;23.543144&lt;/D&gt;&lt;D xsi:type="xsd:double"&gt;19.122887&lt;/D&gt;&lt;D xsi:type="xsd:double"&gt;13.857735&lt;/D&gt;&lt;D xsi:type="xsd:double"&gt;-31.902754&lt;/D&gt;&lt;D xsi:type="xsd:double"&gt;-16.524607&lt;/D&gt;&lt;D xsi:type="xsd:double"&gt;-10.380703&lt;/D&gt;&lt;D xsi:type="xsd:double"&gt;-6.4163504&lt;/D&gt;&lt;D xsi:type="xsd:double"&gt;-4.7004404&lt;/D&gt;&lt;D xsi:type="xsd:double"&gt;5.6042194&lt;/D&gt;&lt;D xsi:type="xsd:double"&gt;-2.2992551&lt;/D&gt;&lt;D xsi:type="xsd:double"&gt;1.0293007&lt;/D&gt;&lt;D xsi:type="xsd:double"&gt;1.0135055&lt;/D&gt;&lt;D xsi:type="xsd:double"&gt;7.2561145&lt;/D&gt;&lt;D xsi:type="xsd:double"&gt;7.257855&lt;/D&gt;&lt;D xsi:type="xsd:double"&gt;9.575748&lt;/D&gt;&lt;D xsi:type="xsd:double"&gt;88.8877&lt;/D&gt;&lt;D xsi:type="xsd:double"&gt;61.244953&lt;/D&gt;&lt;D xsi:type="xsd:double"&gt;54.798187&lt;/D&gt;&lt;D xsi:type="xsd:double"&gt;45.473373&lt;/D&gt;&lt;D xsi:type="xsd:double"&gt;38.35926&lt;/D&gt;&lt;D xsi:type="xsd:double"&gt;31.404198&lt;/D&gt;&lt;D xsi:type="xsd:double"&gt;34.034218&lt;/D&gt;&lt;D xsi:type="xsd:double"&gt;41.07126&lt;/D&gt;&lt;D xsi:type="xsd:double"&gt;37.463284&lt;/D&gt;&lt;D xsi:type="xsd:double"&gt;19.679535&lt;/D&gt;&lt;D xsi:type="xsd:double"&gt;25.03593&lt;/D&gt;&lt;D xsi:type="xsd:double"&gt;17.657518&lt;/D&gt;&lt;D xsi:type="xsd:double"&gt;17.891657&lt;/D&gt;&lt;D xsi:type="xsd:double"&gt;14.391172&lt;/D&gt;&lt;D xsi:type="xsd:double"&gt;-1.7484128&lt;/D&gt;&lt;D xsi:type="xsd:double"&gt;-8.988804&lt;/D&gt;&lt;D xsi:type="xsd:double"&gt;-7.613349&lt;/D&gt;&lt;D xsi:type="xsd:double"&gt;-0.46787262&lt;/D&gt;&lt;D xsi:type="xsd:double"&gt;-8.034897&lt;/D&gt;&lt;D xsi:type="xsd:double"&gt;-17.498028&lt;/D&gt;&lt;D xsi:type="xsd:double"&gt;-11.057556&lt;/D&gt;&lt;D xsi:type="xsd:double"&gt;-10.896492&lt;/D&gt;&lt;D xsi:type="xsd:double"&gt;-9.539151&lt;/D&gt;&lt;D xsi:type="xsd:double"&gt;-6.4002037&lt;/D&gt;&lt;D xsi:type="xsd:double"&gt;-16.537302&lt;/D&gt;&lt;D xsi:type="xsd:double"&gt;-8.365703&lt;/D&gt;&lt;D xsi:type="xsd:double"&gt;-1.1737585&lt;/D&gt;&lt;D xsi:type="xsd:double"&gt;5.64878&lt;/D&gt;&lt;D xsi:type="xsd:double"&gt;10.867119&lt;/D&gt;&lt;D xsi:type="xsd:double"&gt;-3.9237857&lt;/D&gt;&lt;D xsi:type="xsd:double"&gt;7.401681&lt;/D&gt;&lt;D xsi:type="xsd:double"&gt;7.127273&lt;/D&gt;&lt;D xsi:type="xsd:double"&gt;2.2477984&lt;/D&gt;&lt;D xsi:type="xsd:double"&gt;12.479221&lt;/D&gt;&lt;D xsi:type="xsd:double"&gt;5.6780577&lt;/D&gt;&lt;D xsi:type="xsd:double"&gt;6.7855477&lt;/D&gt;&lt;D xsi:type="xsd:double"&gt;19.34898&lt;/D&gt;&lt;D xsi:type="xsd:double"&gt;5.984664&lt;/D&gt;&lt;/FQL&gt;&lt;FQL&gt;&lt;Q&gt;EWQ^FG_PRICE_MAVG(0,,,,30)&lt;/Q&gt;&lt;R&gt;1&lt;/R&gt;&lt;C&gt;1&lt;/C&gt;&lt;D xsi:type="xsd:double"&gt;40.909&lt;/D&gt;&lt;/FQL&gt;&lt;FQL&gt;&lt;Q&gt;EWC^FG_PRICE(0)&lt;/Q&gt;&lt;R&gt;1&lt;/R&gt;&lt;C&gt;1&lt;/C&gt;&lt;D xsi:type="xsd:double"&gt;36.85&lt;/D&gt;&lt;/FQL&gt;&lt;FQL&gt;&lt;Q&gt;USDITL^STD(FG_PRICE_CHANGE(0,-3AY,M))&lt;/Q&gt;&lt;R&gt;1&lt;/R&gt;&lt;C&gt;1&lt;/C&gt;&lt;D xsi:type="xsd:double"&gt;2.22271940521832&lt;/D&gt;&lt;/FQL&gt;&lt;FQL&gt;&lt;Q&gt;EWI^FMA_PE(LTMA,-10AY,0,AM,"PORTAGG","MEANR")&lt;/Q&gt;&lt;R&gt;121&lt;/R&gt;&lt;C&gt;1&lt;/C&gt;&lt;D xsi:type="xsd:double"&gt;17.1754040068139&lt;/D&gt;&lt;D xsi:type="xsd:double"&gt;16.949014463329&lt;/D&gt;&lt;D xsi:type="xsd:double"&gt;17.3275003330369&lt;/D&gt;&lt;D xsi:type="xsd:double"&gt;17.1395708239488&lt;/D&gt;&lt;D xsi:type="xsd:double"&gt;16.7621343136824&lt;/D&gt;&lt;D xsi:type="xsd:double"&gt;18.0675488097636&lt;/D&gt;&lt;D xsi:type="xsd:double"&gt;16.3077123524235&lt;/D&gt;&lt;D xsi:type="xsd:double"&gt;17.8567218526246&lt;/D&gt;&lt;D xsi:type="xsd:double"&gt;18.3142517184806&lt;/D&gt;&lt;D xsi:type="xsd:double"&gt;19.9002375160191&lt;/D&gt;&lt;D xsi:type="xsd:double"&gt;44.0079992201295&lt;/D&gt;&lt;D xsi:type="xsd:double"&gt;43.5571836290492&lt;/D&gt;&lt;D xsi:type="xsd:double"&gt;40.8220593444703&lt;/D&gt;&lt;D xsi:type="xsd:double"&gt;37.9560986728922&lt;/D&gt;&lt;D xsi:type="xsd:double"&gt;34.7612665461308&lt;/D&gt;&lt;D xsi:type="xsd:double"&gt;32.5083197140623&lt;/D&gt;&lt;D xsi:type="xsd:double"&gt;29.7029789836909&lt;/D&gt;&lt;D xsi:type="xsd:double"&gt;26.0394574486288&lt;/D&gt;&lt;D xsi:type="xsd:double"&gt;24.2645142485921&lt;/D&gt;&lt;D xsi:type="xsd:double"&gt;22.1761480512204&lt;/D&gt;&lt;D xsi:type="xsd:double"&gt;18.8937401437577&lt;/D&gt;&lt;D xsi:type="xsd:double"&gt;16.1443030110855&lt;/D&gt;&lt;D xsi:type="xsd:double"&gt;14.9495140578168&lt;/D&gt;&lt;D xsi:type="xsd:double"&gt;15.4308944255059&lt;/D&gt;&lt;D xsi:type="xsd:double"&gt;15.2999815529942&lt;/D&gt;&lt;D xsi:type="xsd:double"&gt;15.4364522331808&lt;/D&gt;&lt;D xsi:type="xsd:double"&gt;14.7092398888453&lt;/D&gt;&lt;D xsi:type="xsd:double"&gt;14.6385992840547&lt;/D&gt;&lt;D xsi:type="xsd:double"&gt;14.9952164275485&lt;/D&gt;&lt;D xsi:type="xsd:double"&gt;14.4842834856679&lt;/D&gt;&lt;D xsi:type="xsd:double"&gt;15.0755917503449&lt;/D&gt;&lt;D xsi:type="xsd:double"&gt;14.0496174463118&lt;/D&gt;&lt;D xsi:type="xsd:double"&gt;16.3027663274373&lt;/D&gt;&lt;D xsi:type="xsd:double"&gt;27.4114068726172&lt;/D&gt;&lt;D xsi:type="xsd:double"&gt;20.6319465074625&lt;/D&gt;&lt;D xsi:type="xsd:double"&gt;82.0940992664108&lt;/D&gt;&lt;D xsi:type="xsd:double"&gt;74.3644155876041&lt;/D&gt;&lt;D xsi:type="xsd:double"&gt;67.6938066047321&lt;/D&gt;&lt;D xsi:type="xsd:double"&gt;60.7894872833788&lt;/D&gt;&lt;D xsi:type="xsd:double"&gt;53.4966706546206&lt;/D&gt;&lt;D xsi:type="xsd:double"&gt;46.1890279829435&lt;/D&gt;&lt;D xsi:type="xsd:double"&gt;39.070491895521&lt;/D&gt;&lt;D xsi:type="xsd:double"&gt;32.2256497084716&lt;/D&gt;&lt;D xsi:type="xsd:double"&gt;25.1233403961635&lt;/D&gt;&lt;D xsi:type="xsd:double"&gt;18.4502325301556&lt;/D&gt;&lt;D xsi:type="xsd:double"&gt;16.020457479808&lt;/D&gt;&lt;D xsi:type="xsd:double"&gt;14.4947001707681&lt;/D&gt;&lt;D xsi:type="xsd:double"&gt;14.1852545697043&lt;/D&gt;&lt;D xsi:type="xsd:double"&gt;14.183415025834&lt;/D&gt;&lt;D xsi:type="xsd:double"&gt;13.9551726303824&lt;/D&gt;&lt;D xsi:type="xsd:double"&gt;13.4696209243715&lt;/D&gt;&lt;D xsi:type="xsd:double"&gt;13.232320776556&lt;/D&gt;&lt;D xsi:type="xsd:double"&gt;12.6127235049035&lt;/D&gt;&lt;D xsi:type="xsd:double"&gt;12.615287573659&lt;/D&gt;&lt;D xsi:type="xsd:double"&gt;11.5452711881105&lt;/D&gt;&lt;D xsi:type="xsd:double"&gt;11.2121493992115&lt;/D&gt;&lt;D xsi:type="xsd:double"&gt;10.731129921194&lt;/D&gt;&lt;D xsi:type="xsd:double"&gt;11.1708503375256&lt;/D&gt;&lt;D xsi:type="xsd:double"&gt;11.1305089337494&lt;/D&gt;&lt;D xsi:type="xsd:double"&gt;11.3228248185985&lt;/D&gt;&lt;D xsi:type="xsd:double"&gt;11.3660816738568&lt;/D&gt;&lt;D xsi:type="xsd:double"&gt;11.1689750275009&lt;/D&gt;&lt;D xsi:type="xsd:double"&gt;11.1171136884565&lt;/D&gt;&lt;D xsi:type="xsd:double"&gt;11.3607647358721&lt;/D&gt;&lt;D xsi:type="xsd:double"&gt;10.8001183198277&lt;/D&gt;&lt;D xsi:type="xsd:double"&gt;11.2854387864117&lt;/D&gt;&lt;D xsi:type="xsd:double"&gt;11.4900737987033&lt;/D&gt;&lt;D xsi:type="xsd:double"&gt;11.9382779958916&lt;/D&gt;&lt;D xsi:type="xsd:double"&gt;12.1521502569638&lt;/D&gt;&lt;D xsi:type="xsd:double"&gt;12.3791748547343&lt;/D&gt;&lt;D xsi:type="xsd:double"&gt;12.9266617285416&lt;/D&gt;&lt;D xsi:type="xsd:double"&gt;10.7633883850742&lt;/D&gt;&lt;D xsi:type="xsd:double"&gt;11.6131624635042&lt;/D&gt;&lt;D xsi:type="xsd:double"&gt;13.6393707916509&lt;/D&gt;&lt;D xsi:type="xsd:double"&gt;15.8179528771425&lt;/D&gt;&lt;D xsi:type="xsd:double"&gt;17.5337624304465&lt;/D&gt;&lt;D xsi:type="xsd:double"&gt;17.5308550618307&lt;/D&gt;&lt;D xsi:type="xsd:double"&gt;18.2296827960359&lt;/D&gt;&lt;D xsi:type="xsd:double"&gt;18.9572518573297&lt;/D&gt;&lt;D xsi:type="xsd:double"&gt;21.7761875716915&lt;/D&gt;&lt;D xsi:type="xsd:double"&gt;22.7581932414655&lt;/D&gt;&lt;D xsi:type="xsd:double"&gt;23.3177998003994&lt;/D&gt;&lt;D xsi:type="xsd:double"&gt;20.1962921094369&lt;/D&gt;&lt;D xsi:type="xsd:double"&gt;20.0510155994829&lt;/D&gt;&lt;D xsi:type="xsd:double"&gt;19.5136410634962&lt;/D&gt;&lt;D xsi:type="xsd:double"&gt;18.7139093350675&lt;/D&gt;&lt;D xsi:type="xsd:double"&gt;18.2623154863166&lt;/D&gt;&lt;D xsi:type="xsd:double"&gt;17.4890815939408&lt;/D&gt;&lt;D xsi:type="xsd:double"&gt;16.1666460415627&lt;/D&gt;&lt;D xsi:type="xsd:double"&gt;14.9984851444337&lt;/D&gt;&lt;D xsi:type="xsd:double"&gt;14.3535896706687&lt;/D&gt;&lt;D xsi:type="xsd:double"&gt;13.7176644903786&lt;/D&gt;&lt;D xsi:type="xsd:double"&gt;12.1197470273986&lt;/D&gt;&lt;D xsi:type="xsd:double"&gt;12.1085354205466&lt;/D&gt;&lt;D xsi:type="xsd:double"&gt;11.5506029459094&lt;/D&gt;&lt;D xsi:type="xsd:double"&gt;10.5425337923896&lt;/D&gt;&lt;D xsi:type="xsd:double"&gt;10.5136812901574&lt;/D&gt;&lt;D xsi:type="xsd:double"&gt;10.1051584263222&lt;/D&gt;&lt;D xsi:type="xsd:double"&gt;9.50226695752484&lt;/D&gt;&lt;D xsi:type="xsd:double"&gt;9.00723196261705&lt;/D&gt;&lt;D xsi:type="xsd:double"&gt;8.7151435463373&lt;/D&gt;&lt;D xsi:type="xsd:double"&gt;8.42534118953348&lt;/D&gt;&lt;D xsi:type="xsd:double"&gt;8.02203154116527&lt;/D&gt;&lt;D xsi:type="xsd:double"&gt;8.33437121281537&lt;/D&gt;&lt;D xsi:type="xsd:double"&gt;7.4757163263452&lt;/D&gt;&lt;D xsi:type="xsd:double"&gt;8.09021212181281&lt;/D&gt;&lt;D xsi:type="xsd:double"&gt;8.38011542286428&lt;/D&gt;&lt;D xsi:type="xsd:double"&gt;8.18089520228113&lt;/D&gt;&lt;D xsi:type="xsd:double"&gt;8.40616566982941&lt;/D&gt;&lt;D xsi:type="xsd:double"&gt;8.25941779346841&lt;/D&gt;&lt;D xsi:type="xsd:double"&gt;8.55188148016099&lt;/D&gt;&lt;D xsi:type="xsd:double"&gt;8.66226151889319&lt;/D&gt;&lt;D xsi:type="xsd:double"&gt;8.11732934537723&lt;/D&gt;&lt;D xsi:type="xsd:double"&gt;8.36324818122181&lt;/D&gt;&lt;D xsi:type="xsd:double"&gt;8.18294681643728&lt;/D&gt;&lt;D xsi:type="xsd:double"&gt;8.29273202667747&lt;/D&gt;&lt;D xsi:type="xsd:double"&gt;8.7962183475072&lt;/D&gt;&lt;D xsi:type="xsd:double"&gt;8.97592977038025&lt;/D&gt;&lt;D xsi:type="xsd:double"&gt;9.07152457980404&lt;/D&gt;&lt;D xsi:type="xsd:double"&gt;9.43080360664328&lt;/D&gt;&lt;D xsi:type="xsd:double"&gt;9.40731564969224&lt;/D&gt;&lt;/FQL&gt;&lt;FQL&gt;&lt;Q&gt;PASP-FDS^FG_PRICE_CHANGE(0,-1AM)&lt;/Q&gt;&lt;R&gt;1&lt;/R&gt;&lt;C&gt;1&lt;/C&gt;&lt;D xsi:type="xsd:double"&gt;-1.3953488372093&lt;/D&gt;&lt;/FQL&gt;&lt;FQL&gt;&lt;Q&gt;W-FDS^FG_PRICE_MAVG(0,,,,30)&lt;/Q&gt;&lt;R&gt;1&lt;/R&gt;&lt;C&gt;1&lt;/C&gt;&lt;D xsi:type="xsd:double"&gt;5.4651666&lt;/D&gt;&lt;/FQL&gt;&lt;FQL&gt;&lt;Q&gt;SPY^FG_TOTAL_RETURNC(0,-1AM)&lt;/Q&gt;&lt;R&gt;1&lt;/R&gt;&lt;C&gt;1&lt;/C&gt;&lt;D xsi:type="xsd:double"&gt;-2.601099&lt;/D&gt;&lt;/FQL&gt;&lt;FQL&gt;&lt;Q&gt;VWO^FG_TOTAL_RETURNC(0,-3AM)&lt;/Q&gt;&lt;R&gt;1&lt;/R&gt;&lt;C&gt;1&lt;/C&gt;&lt;D xsi:type="xsd:double"&gt;4.5274973&lt;/D&gt;&lt;/FQL&gt;&lt;FQL&gt;&lt;Q&gt;EWU^FG_TOTAL_RETURNC(0,-6AM)&lt;/Q&gt;&lt;R&gt;1&lt;/R&gt;&lt;C&gt;1&lt;/C&gt;&lt;D xsi:type="xsd:double"&gt;8.211077&lt;/D&gt;&lt;/FQL&gt;&lt;FQL&gt;&lt;Q&gt;EWG^P_PRICE(0)/P_PRICE_HIGH_PR(0,,,,,,"PRICE","INTRA","52W")&lt;/Q&gt;&lt;R&gt;1&lt;/R&gt;&lt;C&gt;1&lt;/C&gt;&lt;D xsi:type="xsd:double"&gt;0.9396309&lt;/D&gt;&lt;/FQL&gt;&lt;FQL&gt;&lt;Q&gt;EWU^FMA_COS_DOWN("EPS","1M",+1,0,,,"PORTAGG","MEANR")&lt;/Q&gt;&lt;R&gt;1&lt;/R&gt;&lt;C&gt;1&lt;/C&gt;&lt;D xsi:type="xsd:double"&gt;40&lt;/D&gt;&lt;/FQL&gt;&lt;FQL&gt;&lt;Q&gt;REFCATARG-FDS^(SUBARRAY(NOT_NA(NO_REPEAT_F(FG_YIELD(NOW,-10AY,D))),0,1)-SUBARRAY(NOT_NA(NO_REPEAT_F(FG_YIELD(NOW,-10AY,D))),1,1))*100&lt;/Q&gt;&lt;R&gt;1&lt;/R&gt;&lt;C&gt;1&lt;/C&gt;&lt;D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xsi:type="xsd:double"&gt;25&lt;/D&gt;&lt;/FQL&gt;&lt;FQL&gt;&lt;Q&gt;TRYGB10Y-FDS^PCTCHG(FG_YIELD(0,,,,"YTM"),FG_YIELD(-1AM,,,,"YTM"))&lt;/Q&gt;&lt;R&gt;1&lt;/R&gt;&lt;C&gt;1&lt;/C&gt;&lt;D xsi:type="xsd:double"&gt;1.767806&lt;/D&gt;&lt;/FQL&gt;&lt;FQL&gt;&lt;Q&gt;CC_SE^IMF_IFS_RCPI_Q(0)&lt;/Q&gt;&lt;R&gt;0&lt;/R&gt;&lt;C&gt;0</t>
        </r>
      </text>
    </comment>
    <comment ref="A12" authorId="0" shapeId="0" xr:uid="{8E4AB7E0-1757-47B3-9CDF-6D02356DBAC9}">
      <text>
        <r>
          <rPr>
            <b/>
            <sz val="9"/>
            <color indexed="81"/>
            <rFont val="Tahoma"/>
            <charset val="1"/>
          </rPr>
          <t>&lt;/C&gt;&lt;/FQL&gt;&lt;FQL&gt;&lt;Q&gt;EWJ^FMA_EVAL_EBITDA(NTMA,0,,,"PORTAGG","MEANR")&lt;/Q&gt;&lt;R&gt;1&lt;/R&gt;&lt;C&gt;1&lt;/C&gt;&lt;D xsi:type="xsd:double"&gt;10.7219387395957&lt;/D&gt;&lt;/FQL&gt;&lt;FQL&gt;&lt;Q&gt;EWA^P_PRICE_RETURNS_PR('52W',2,-10AY,0,AM)&lt;/Q&gt;&lt;R&gt;121&lt;/R&gt;&lt;C&gt;1&lt;/C&gt;&lt;D xsi:type="xsd:double"&gt;4.0840864&lt;/D&gt;&lt;D xsi:type="xsd:double"&gt;5.5419326&lt;/D&gt;&lt;D xsi:type="xsd:double"&gt;14.628351&lt;/D&gt;&lt;D xsi:type="xsd:double"&gt;17.933619&lt;/D&gt;&lt;D xsi:type="xsd:double"&gt;16.101683&lt;/D&gt;&lt;D xsi:type="xsd:double"&gt;0.7074475&lt;/D&gt;&lt;D xsi:type="xsd:double"&gt;-4.8434734&lt;/D&gt;&lt;D xsi:type="xsd:double"&gt;-2.2429168&lt;/D&gt;&lt;D xsi:type="xsd:double"&gt;-1.3623655&lt;/D&gt;&lt;D xsi:type="xsd:double"&gt;-1.919049&lt;/D&gt;&lt;D xsi:type="xsd:double"&gt;-1.4470935&lt;/D&gt;&lt;D xsi:type="xsd:double"&gt;-2.5453389&lt;/D&gt;&lt;D xsi:type="xsd:double"&gt;-7.756406&lt;/D&gt;&lt;D xsi:type="xsd:double"&gt;-8.91872&lt;/D&gt;&lt;D xsi:type="xsd:double"&gt;-11.432468&lt;/D&gt;&lt;D xsi:type="xsd:double"&gt;-15.814853&lt;/D&gt;&lt;D xsi:type="xsd:double"&gt;-22.409445&lt;/D&gt;&lt;D xsi:type="xsd:double"&gt;-22.365396&lt;/D&gt;&lt;D xsi:type="xsd:double"&gt;-13.66046&lt;/D&gt;&lt;D xsi:type="xsd:double"&gt;-19.873493&lt;/D&gt;&lt;D xsi:type="xsd:double"&gt;-13.1790695&lt;/D&gt;&lt;D xsi:type="xsd:double"&gt;-22.480297&lt;/D&gt;&lt;D xsi:type="xsd:double"&gt;-20.846748&lt;/D&gt;&lt;D xsi:type="xsd:double"&gt;-11.044926&lt;/D&gt;&lt;D xsi:type="xsd:double"&gt;-8.962178&lt;/D&gt;&lt;D xsi:type="xsd:double"&gt;-11.9387865&lt;/D&gt;&lt;D xsi:type="xsd:double"&gt;-9.492964&lt;/D&gt;&lt;D xsi:type="xsd:double"&gt;1.4753342&lt;/D&gt;&lt;D xsi:type="xsd:double"&gt;11.1294985&lt;/D&gt;&lt;D xsi:type="xsd:double"&gt;9.159195&lt;/D&gt;&lt;D xsi:type="xsd:double"&gt;11.335003&lt;/D&gt;&lt;D xsi:type="xsd:double"&gt;11.485779&lt;/D&gt;&lt;D xsi:type="xsd:double"&gt;14.982498&lt;/D&gt;&lt;D xsi:type="xsd:double"&gt;35.849144&lt;/D&gt;&lt;D xsi:type="xsd:double"&gt;31.582022&lt;/D&gt;&lt;D xsi:type="xsd:double"&gt;17.446136&lt;/D&gt;&lt;D xsi:type="xsd:double"&gt;15.1478405&lt;/D&gt;&lt;D xsi:type="xsd:double"&gt;15.223253&lt;/D&gt;&lt;D xsi:type="xsd:double"&gt;21.768486&lt;/D&gt;&lt;D xsi:type="xsd:double"&gt;14.000201&lt;/D&gt;&lt;D xsi:type="xsd:double"&gt;12.976158&lt;/D&gt;&lt;D xsi:type="xsd:double"&gt;21.050226&lt;/D&gt;&lt;D xsi:type="xsd:double"&gt;15.826214&lt;/D&gt;&lt;D xsi:type="xsd:double"&gt;17.554342&lt;/D&gt;&lt;D xsi:type="xsd:double"&gt;18.857647&lt;/D&gt;&lt;D xsi:type="xsd:double"&gt;16.619087&lt;/D&gt;&lt;D xsi:type="xsd:double"&gt;8.005118&lt;/D&gt;&lt;D xsi:type="xsd:double"&gt;6.207752&lt;/D&gt;&lt;D xsi:type="xsd:double"&gt;6.5027356&lt;/D&gt;&lt;D xsi:type="xsd:double"&gt;10.559726&lt;/D&gt;&lt;D xsi:type="xsd:double"&gt;7.17237&lt;/D&gt;&lt;D xsi:type="xsd:double"&gt;6.6730857&lt;/D&gt;&lt;D xsi:type="xsd:double"&gt;6.7878604&lt;/D&gt;&lt;D xsi:type="xsd:double"&gt;1.2632847&lt;/D&gt;&lt;D xsi:type="xsd:double"&gt;-6.2202573&lt;/D&gt;&lt;D xsi:type="xsd:double"&gt;-3.8158774&lt;/D&gt;&lt;D xsi:type="xsd:double"&gt;-10.12814&lt;/D&gt;&lt;D xsi:type="xsd:double"&gt;-7.6987386&lt;/D&gt;&lt;D xsi:type="xsd:double"&gt;-3.6608398&lt;/D&gt;&lt;D xsi:type="xsd:double"&gt;0.0777483&lt;/D&gt;&lt;D xsi:type="xsd:double"&gt;2.5232673&lt;/D&gt;&lt;D xsi:type="xsd:double"&gt;-0.7794857&lt;/D&gt;&lt;D xsi:type="xsd:double"&gt;4.861903&lt;/D&gt;&lt;D xsi:type="xsd:double"&gt;5.9344053&lt;/D&gt;&lt;D xsi:type="xsd:double"&gt;-0.83835125&lt;/D&gt;&lt;D xsi:type="xsd:double"&gt;7.5614333&lt;/D&gt;&lt;D xsi:type="xsd:double"&gt;14.220047&lt;/D&gt;&lt;D xsi:type="xsd:double"&gt;14.653147&lt;/D&gt;&lt;D xsi:type="xsd:double"&gt;21.98732&lt;/D&gt;&lt;D xsi:type="xsd:double"&gt;19.416094&lt;/D&gt;&lt;D xsi:type="xsd:double"&gt;13.464176&lt;/D&gt;&lt;D xsi:type="xsd:double"&gt;-33.642323&lt;/D&gt;&lt;D xsi:type="xsd:double"&gt;-20.013004&lt;/D&gt;&lt;D xsi:type="xsd:double"&gt;-15.4508705&lt;/D&gt;&lt;D xsi:type="xsd:double"&gt;-9.468722&lt;/D&gt;&lt;D xsi:type="xsd:double"&gt;-8.723068&lt;/D&gt;&lt;D xsi:type="xsd:double"&gt;1.7073512&lt;/D&gt;&lt;D xsi:type="xsd:double"&gt;-7.2269144&lt;/D&gt;&lt;D xsi:type="xsd:double"&gt;-3.7696838&lt;/D&gt;&lt;D xsi:type="xsd:double"&gt;2.8285503&lt;/D&gt;&lt;D xsi:type="xsd:double"&gt;8.542204&lt;/D&gt;&lt;D xsi:type="xsd:double"&gt;7.4872255&lt;/D&gt;&lt;D xsi:type="xsd:double"&gt;12.542415&lt;/D&gt;&lt;D xsi:type="xsd:double"&gt;84.91981&lt;/D&gt;&lt;D xsi:type="xsd:double"&gt;63.77481&lt;/D&gt;&lt;D xsi:type="xsd:double"&gt;55.10359&lt;/D&gt;&lt;D xsi:type="xsd:double"&gt;38.16272&lt;/D&gt;&lt;D xsi:type="xsd:double"&gt;32.140743&lt;/D&gt;&lt;D xsi:type="xsd:double"&gt;24.950146&lt;/D&gt;&lt;D xsi:type="xsd:double"&gt;27.704834&lt;/D&gt;&lt;D xsi:type="xsd:double"&gt;28.273619&lt;/D&gt;&lt;D xsi:type="xsd:double"&gt;15.607476&lt;/D&gt;&lt;D xsi:type="xsd:double"&gt;3.1456232&lt;/D&gt;&lt;D xsi:type="xsd:double"&gt;3.971541&lt;/D&gt;&lt;D xsi:type="xsd:double"&gt;-0.27561188&lt;/D&gt;&lt;D xsi:type="xsd:double"&gt;8.904303&lt;/D&gt;&lt;D xsi:type="xsd:double"&gt;5.2891374&lt;/D&gt;&lt;D xsi:type="xsd:double"&gt;-6.268704&lt;/D&gt;&lt;D xsi:type="xsd:double"&gt;-16.51585&lt;/D&gt;&lt;D xsi:type="xsd:double"&gt;-11.98163&lt;/D&gt;&lt;D xsi:type="xsd:double"&gt;-3.8365066&lt;/D&gt;&lt;D xsi:type="xsd:double"&gt;-12.325263&lt;/D&gt;&lt;D xsi:type="xsd:double"&gt;-17.5049&lt;/D&gt;&lt;D xsi:type="xsd:double"&gt;-4.653162&lt;/D&gt;&lt;D xsi:type="xsd:double"&gt;-3.16723&lt;/D&gt;&lt;D xsi:type="xsd:double"&gt;3.7185073&lt;/D&gt;&lt;D xsi:type="xsd:double"&gt;3.0647397&lt;/D&gt;&lt;D xsi:type="xsd:double"&gt;-8.939248&lt;/D&gt;&lt;D xsi:type="xsd:double"&gt;-5.8778706&lt;/D&gt;&lt;D xsi:type="xsd:double"&gt;2.0234466&lt;/D&gt;&lt;D xsi:type="xsd:double"&gt;14.323068&lt;/D&gt;&lt;D xsi:type="xsd:double"&gt;14.777363&lt;/D&gt;&lt;D xsi:type="xsd:double"&gt;-2.7813137&lt;/D&gt;&lt;D xsi:type="xsd:double"&gt;8.331895&lt;/D&gt;&lt;D xsi:type="xsd:double"&gt;9.786201&lt;/D&gt;&lt;D xsi:type="xsd:double"&gt;1.6367197&lt;/D&gt;&lt;D xsi:type="xsd:double"&gt;10.10195&lt;/D&gt;&lt;D xsi:type="xsd:double"&gt;0.50280094&lt;/D&gt;&lt;D xsi:type="xsd:double"&gt;3.5096407&lt;/D&gt;&lt;D xsi:type="xsd:double"&gt;13.976622&lt;/D&gt;&lt;D xsi:type="xsd:double"&gt;2.8855324&lt;/D&gt;&lt;/FQL&gt;&lt;FQL&gt;&lt;Q&gt;USDITL^STD(FG_PRICE_CHANGE(0,-1AY,AM))&lt;/Q&gt;&lt;R&gt;1&lt;/R&gt;&lt;C&gt;1&lt;/C&gt;&lt;D xsi:type="xsd:double"&gt;2.13178024667392&lt;/D&gt;&lt;/FQL&gt;&lt;FQL&gt;&lt;Q&gt;USDAUD^FG_PRICE_CHANGE(0,-1AM)&lt;/Q&gt;&lt;R&gt;1&lt;/R&gt;&lt;C&gt;1&lt;/C&gt;&lt;D xsi:type="xsd:double"&gt;1.9583464&lt;/D&gt;&lt;/FQL&gt;&lt;FQL&gt;&lt;Q&gt;PASP-FDS^FG_PRICE_MAVG(0,,,,30)&lt;/Q&gt;&lt;R&gt;1&lt;/R&gt;&lt;C&gt;1&lt;/C&gt;&lt;D xsi:type="xsd:double"&gt;1043.0667&lt;/D&gt;&lt;/FQL&gt;&lt;FQL&gt;&lt;Q&gt;W-FDS^FG_PRICE(0)&lt;/Q&gt;&lt;R&gt;1&lt;/R&gt;&lt;C&gt;1&lt;/C&gt;&lt;D xsi:type="xsd:double"&gt;5.3675&lt;/D&gt;&lt;/FQL&gt;&lt;FQL&gt;&lt;Q&gt;SPY^FG_PRICE_MAVG(0,,,,200)&lt;/Q&gt;&lt;R&gt;1&lt;/R&gt;&lt;C&gt;1&lt;/C&gt;&lt;D xsi:type="xsd:double"&gt;465.95514&lt;/D&gt;&lt;/FQL&gt;&lt;FQL&gt;&lt;Q&gt;SPY^PERCENT_CHANGE(FMA_EPS(+1,0,,,,"PORTAGG","MEAN"),FMA_EPS(+1,-3AM,,,,"PORTAGG","MEAN"))&lt;/Q&gt;&lt;R&gt;1&lt;/R&gt;&lt;C&gt;1&lt;/C&gt;&lt;D xsi:type="xsd:double"&gt;-0.206187748583798&lt;/D&gt;&lt;/FQL&gt;&lt;FQL&gt;&lt;Q&gt;VWO^FG_TOTAL_RETURNC(0,-1AM)&lt;/Q&gt;&lt;R&gt;1&lt;/R&gt;&lt;C&gt;1&lt;/C&gt;&lt;D xsi:type="xsd:double"&gt;-1.6310871&lt;/D&gt;&lt;/FQL&gt;&lt;FQL&gt;&lt;Q&gt;EWU^FG_TOTAL_RETURNC(0,-3AM)&lt;/Q&gt;&lt;R&gt;1&lt;/R&gt;&lt;C&gt;1&lt;/C&gt;&lt;D xsi:type="xsd:double"&gt;4.3192506&lt;/D&gt;&lt;/FQL&gt;&lt;FQL&gt;&lt;Q&gt;EWG^FG_TOTAL_RETURNC(0,-6AM)&lt;/Q&gt;&lt;R&gt;1&lt;/R&gt;&lt;C&gt;1&lt;/C&gt;&lt;D xsi:type="xsd:double"&gt;17.948854&lt;/D&gt;&lt;/FQL&gt;&lt;FQL&gt;&lt;Q&gt;EWI^FMA_ROE(NTMA,-20AY,NOW,FY,"PORTAGG","MEANR")&lt;/Q&gt;&lt;R&gt;20&lt;/R&gt;&lt;C&gt;1&lt;/C&gt;&lt;D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xsi:type="xsd:double"&gt;13.3572177464321&lt;/D&gt;&lt;/FQL&gt;&lt;FQL&gt;&lt;Q&gt;USDGBP^STD(FG_PRICE_CHANGE(0,-3AY,M))&lt;/Q&gt;&lt;R&gt;1&lt;/R&gt;&lt;C&gt;1&lt;/C&gt;&lt;D xsi:type="xsd:double"&gt;2.40614321798816&lt;/D&gt;&lt;/FQL&gt;&lt;FQL&gt;&lt;Q&gt;ENZL^P_PRICE_RETURNS_PR('52W',2,-10AY,0,AM)&lt;/Q&gt;&lt;R&gt;121&lt;/R&gt;&lt;C&gt;1&lt;/C&gt;&lt;D xsi:type="xsd:double"&gt;16.818916&lt;/D&gt;&lt;D xsi:type="xsd:double"&gt;19.328392&lt;/D&gt;&lt;D xsi:type="xsd:double"&gt;26.708626&lt;/D&gt;&lt;D xsi:type="xsd:double"&gt;22.604895&lt;/D&gt;&lt;D xsi:type="xsd:double"&gt;18.281614&lt;/D&gt;&lt;D xsi:type="xsd:double"&gt;6.053257&lt;/D&gt;&lt;D xsi:type="xsd:double"&gt;0.8392453&lt;/D&gt;&lt;D xsi:type="xsd:double"&gt;7.926953&lt;/D&gt;&lt;D xsi:type="xsd:double"&gt;13.260269&lt;/D&gt;&lt;D xsi:type="xsd:double"&gt;7.896459&lt;/D&gt;&lt;D xsi:type="xsd:double"&gt;7.6161146&lt;/D&gt;&lt;D xsi:type="xsd:double"&gt;-0.38468838&lt;/D&gt;&lt;D xsi:type="xsd:double"&gt;2.8755665&lt;/D&gt;&lt;D xsi:type="xsd:double"&gt;-4.0285053&lt;/D&gt;&lt;D xsi:type="xsd:double"&gt;-10.477882&lt;/D&gt;&lt;D xsi:type="xsd:double"&gt;-12.934321&lt;/D&gt;&lt;D xsi:type="xsd:double"&gt;-12.17565&lt;/D&gt;&lt;D xsi:type="xsd:double"&gt;-12.4033985&lt;/D&gt;&lt;D xsi:type="xsd:double"&gt;-2.4872541&lt;/D&gt;&lt;D xsi:type="xsd:double"&gt;-11.666166&lt;/D&gt;&lt;D xsi:type="xsd:double"&gt;-5.430871&lt;/D&gt;&lt;D xsi:type="xsd:double"&gt;-11.685556&lt;/D&gt;&lt;D xsi:type="xsd:double"&gt;-7.294214&lt;/D&gt;&lt;D xsi:type="xsd:double"&gt;1.738596&lt;/D&gt;&lt;D xsi:type="xsd:double"&gt;6.8019032&lt;/D&gt;&lt;D xsi:type="xsd:double"&gt;9.584212&lt;/D&gt;&lt;D xsi:type="xsd:double"&gt;20.758915&lt;/D&gt;&lt;D xsi:type="xsd:double"&gt;34.17213&lt;/D&gt;&lt;D xsi:type="xsd:double"&gt;45.346405&lt;/D&gt;&lt;D xsi:type="xsd:double"&gt;46.31208&lt;/D&gt;&lt;D xsi:type="xsd:double"&gt;25.996983&lt;/D&gt;&lt;D xsi:type="xsd:double"&gt;24.122059&lt;/D&gt;&lt;D xsi:type="xsd:double"&gt;13.190007&lt;/D&gt;&lt;D xsi:type="xsd:double"&gt;27.926624&lt;/D&gt;&lt;D xsi:type="xsd:double"&gt;25.510765&lt;/D&gt;&lt;D xsi:type="xsd:double"&gt;11.342251&lt;/D&gt;&lt;D xsi:type="xsd:double"&gt;5.8417916&lt;/D&gt;&lt;D xsi:type="xsd:double"&gt;8.473337&lt;/D&gt;&lt;D xsi:type="xsd:double"&gt;12.827587&lt;/D&gt;&lt;D xsi:type="xsd:double"&gt;11.50198&lt;/D&gt;&lt;D xsi:type="xsd:double"&gt;6.079054&lt;/D&gt;&lt;D xsi:type="xsd:double"&gt;6.30455&lt;/D&gt;&lt;D xsi:type="xsd:double"&gt;15.944874&lt;/D&gt;&lt;D xsi:type="xsd:double"&gt;14.290535&lt;/D&gt;&lt;D xsi:type="xsd:double"&gt;24.486637&lt;/D&gt;&lt;D xsi:type="xsd:double"&gt;19.125319&lt;/D&gt;&lt;D xsi:type="xsd:double"&gt;15.894151&lt;/D&gt;&lt;D xsi:type="xsd:double"&gt;23.003054&lt;/D&gt;&lt;D xsi:type="xsd:double"&gt;20.048439&lt;/D&gt;&lt;D xsi:type="xsd:double"&gt;16.04755&lt;/D&gt;&lt;D xsi:type="xsd:double"&gt;12.780523&lt;/D&gt;&lt;D xsi:type="xsd:double"&gt;6.4453125&lt;/D&gt;&lt;D xsi:type="xsd:double"&gt;5.3826213&lt;/D&gt;&lt;D xsi:type="xsd:double"&gt;8.870935&lt;/D&gt;&lt;D xsi:type="xsd:double"&gt;-0.21230578&lt;/D&gt;&lt;D xsi:type="xsd:double"&gt;10.682285&lt;/D&gt;&lt;D xsi:type="xsd:double"&gt;1.893723&lt;/D&gt;&lt;D xsi:type="xsd:double"&gt;3.3406377&lt;/D&gt;&lt;D xsi:type="xsd:double"&gt;7.3292017&lt;/D&gt;&lt;D xsi:type="xsd:double"&gt;6.7233443&lt;/D&gt;&lt;D xsi:type="xsd:double"&gt;8.826447&lt;/D&gt;&lt;D xsi:type="xsd:double"&gt;12.359774&lt;/D&gt;&lt;D xsi:type="xsd:double"&gt;5.5152416&lt;/D&gt;&lt;D xsi:type="xsd:double"&gt;19.419098&lt;/D&gt;&lt;D xsi:type="xsd:double"&gt;14.179587&lt;/D&gt;&lt;D xsi:type="xsd:double"&gt;9.909069&lt;/D&gt;&lt;D xsi:type="xsd:double"&gt;21.161116&lt;/D&gt;&lt;D xsi:type="xsd:double"&gt;14.312053&lt;/D&gt;&lt;D xsi:type="xsd:double"&gt;24.866724&lt;/D&gt;&lt;D xsi:type="xsd:double"&gt;25.592005&lt;/D&gt;&lt;D xsi:type="xsd:double"&gt;19.017113&lt;/D&gt;&lt;D xsi:type="xsd:double"&gt;-16.82477&lt;/D&gt;&lt;D xsi:type="xsd:double"&gt;-2.377832&lt;/D&gt;&lt;D xsi:type="xsd:double"&gt;2.147007&lt;/D&gt;&lt;D xsi:type="xsd:double"&gt;10.935152&lt;/D&gt;&lt;D xsi:type="xsd:double"&gt;8.708692&lt;/D&gt;&lt;D xsi:type="xsd:double"&gt;18.05122&lt;/D&gt;&lt;D xsi:type="xsd:double"&gt;16.261625&lt;/D&gt;&lt;D xsi:type="xsd:double"&gt;18.294704&lt;/D&gt;&lt;D xsi:type="xsd:double"&gt;25.167679&lt;/D&gt;&lt;D xsi:type="xsd:double"&gt;19.526302&lt;/D&gt;&lt;D xsi:type="xsd:double"&gt;17.366196&lt;/D&gt;&lt;D xsi:type="xsd:double"&gt;15.592718&lt;/D&gt;&lt;D xsi:type="xsd:double"&gt;59.569298&lt;/D&gt;&lt;D xsi:type="xsd:double"&gt;36.742176&lt;/D&gt;&lt;D xsi:type="xsd:double"&gt;25.73756&lt;/D&gt;&lt;D xsi:type="xsd:double"&gt;12.058485&lt;/D&gt;&lt;D xsi:type="xsd:double"&gt;9.674692&lt;/D&gt;&lt;D xsi:type="xsd:double"&gt;2.309072&lt;/D&gt;&lt;D xsi:type="xsd:double"&gt;8.387637&lt;/D&gt;&lt;D xsi:type="xsd:double"&gt;3.9820433&lt;/D&gt;&lt;D xsi:type="xsd:double"&gt;-3.7010252&lt;/D&gt;&lt;D xsi:type="xsd:double"&gt;-13.658762&lt;/D&gt;&lt;D xsi:type="xsd:double"&gt;-12.335051&lt;/D&gt;&lt;D xsi:type="xsd:double"&gt;-15.3697195&lt;/D&gt;&lt;D xsi:type="xsd:double"&gt;-9.137684&lt;/D&gt;&lt;D xsi:type="xsd:double"&gt;-16.581238&lt;/D&gt;&lt;D xsi:type="xsd:double"&gt;-24.174864&lt;/D&gt;&lt;D xsi:type="xsd:double"&gt;-26.982515&lt;/D&gt;&lt;D xsi:type="xsd:double"&gt;-24.424744&lt;/D&gt;&lt;D xsi:type="xsd:double"&gt;-15.736037&lt;/D&gt;&lt;D xsi:type="xsd:double"&gt;-25.360292&lt;/D&gt;&lt;D xsi:type="xsd:double"&gt;-32.799&lt;/D&gt;&lt;D xsi:type="xsd:double"&gt;-21.633179&lt;/D&gt;&lt;D xsi:type="xsd:double"&gt;-14.105469&lt;/D&gt;&lt;D xsi:type="xsd:double"&gt;-8.438147&lt;/D&gt;&lt;D xsi:type="xsd:double"&gt;-4.373699&lt;/D&gt;&lt;D xsi:type="xsd:double"&gt;-11.11235&lt;/D&gt;&lt;D xsi:type="xsd:double"&gt;-4.2508545&lt;/D&gt;&lt;D xsi:type="xsd:double"&gt;10.555637&lt;/D&gt;&lt;D xsi:type="xsd:double"&gt;13.760889&lt;/D&gt;&lt;D xsi:type="xsd:double"&gt;12.149799&lt;/D&gt;&lt;D xsi:type="xsd:double"&gt;-6.284511&lt;/D&gt;&lt;D xsi:type="xsd:double"&gt;-1.753962&lt;/D&gt;&lt;D xsi:type="xsd:double"&gt;6.724012&lt;/D&gt;&lt;D xsi:type="xsd:double"&gt;-2.1520674&lt;/D&gt;&lt;D xsi:type="xsd:double"&gt;-0.99828243&lt;/D&gt;&lt;D xsi:type="xsd:double"&gt;-6.5208673&lt;/D&gt;&lt;D xsi:type="xsd:double"&gt;-7.915759&lt;/D&gt;&lt;D xsi:type="xsd:double"&gt;-5.045724&lt;/D&gt;&lt;D xsi:type="xsd:double"&gt;-8.26962&lt;/D&gt;&lt;/FQL&gt;&lt;FQL&gt;&lt;Q&gt;EWN^FMA_PE(LTMA,-10AY,0,AM,"PORTAGG","MEANR")&lt;/Q&gt;&lt;R&gt;121&lt;/R&gt;&lt;C&gt;1&lt;/C&gt;&lt;D xsi:type="xsd:double"&gt;16.9991165299833&lt;/D&gt;&lt;D xsi:type="xsd:double"&gt;16.7747597336726&lt;/D&gt;&lt;D xsi:type="xsd:double"&gt;16.8291708264647&lt;/D&gt;&lt;D xsi:type="xsd:double"&gt;16.4909559537749&lt;/D&gt;&lt;D xsi:type="xsd:double"&gt;16.3143291128377&lt;/D&gt;&lt;D xsi:type="xsd:double"&gt;16.8099333449788&lt;/D&gt;&lt;D xsi:type="xsd:double"&gt;15.7590722943539&lt;/D&gt;&lt;D xsi:type="xsd:double"&gt;17.3970457980016&lt;/D&gt;&lt;D xsi:type="xsd:double"&gt;17.3912906738911&lt;/D&gt;&lt;D xsi:type="xsd:double"&gt;18.0903629750486&lt;/D&gt;&lt;D xsi:type="xsd:double"&gt;19.5205269197215&lt;/D&gt;&lt;D xsi:type="xsd:double"&gt;20.0897153502216&lt;/D&gt;&lt;D xsi:type="xsd:double"&gt;19.8038417552964&lt;/D&gt;&lt;D xsi:type="xsd:double"&gt;19.4916873535608&lt;/D&gt;&lt;D xsi:type="xsd:double"&gt;18.9559057882287&lt;/D&gt;&lt;D xsi:type="xsd:double"&gt;19.274666241034&lt;/D&gt;&lt;D xsi:type="xsd:double"&gt;18.3948636093369&lt;/D&gt;&lt;D xsi:type="xsd:double"&gt;16.9463248467508&lt;/D&gt;&lt;D xsi:type="xsd:double"&gt;17.0951651431467&lt;/D&gt;&lt;D xsi:type="xsd:double"&gt;18.057008520925&lt;/D&gt;&lt;D xsi:type="xsd:double"&gt;16.9901125316453&lt;/D&gt;&lt;D xsi:type="xsd:double"&gt;15.4322461669667&lt;/D&gt;&lt;D xsi:type="xsd:double"&gt;15.5516449071134&lt;/D&gt;&lt;D xsi:type="xsd:double"&gt;16.4295733665154&lt;/D&gt;&lt;D xsi:type="xsd:double"&gt;16.3884248280945&lt;/D&gt;&lt;D xsi:type="xsd:double"&gt;16.1374907121044&lt;/D&gt;&lt;D xsi:type="xsd:double"&gt;15.7226610480274&lt;/D&gt;&lt;D xsi:type="xsd:double"&gt;15.9768878205163&lt;/D&gt;&lt;D xsi:type="xsd:double"&gt;16.104868436504&lt;/D&gt;&lt;D xsi:type="xsd:double"&gt;15.7667852999638&lt;/D&gt;&lt;D xsi:type="xsd:double"&gt;15.9346017210567&lt;/D&gt;&lt;D xsi:type="xsd:double"&gt;15.5651254287989&lt;/D&gt;&lt;D xsi:type="xsd:double"&gt;16.0828483935714&lt;/D&gt;&lt;D xsi:type="xsd:double"&gt;16.2490334811847&lt;/D&gt;&lt;D xsi:type="xsd:double"&gt;16.6594780154153&lt;/D&gt;&lt;D xsi:type="xsd:double"&gt;16.5136383339274&lt;/D&gt;&lt;D xsi:type="xsd:double"&gt;16.5058917735133&lt;/D&gt;&lt;D xsi:type="xsd:double"&gt;16.6544912646658&lt;/D&gt;&lt;D xsi:type="xsd:double"&gt;16.6509615733331&lt;/D&gt;&lt;D xsi:type="xsd:double"&gt;16.636029220152&lt;/D&gt;&lt;D xsi:type="xsd:double"&gt;16.6081050975706&lt;/D&gt;&lt;D xsi:type="xsd:double"&gt;16.8992097482556&lt;/D&gt;&lt;D xsi:type="xsd:double"&gt;17.3148523448502&lt;/D&gt;&lt;D xsi:type="xsd:double"&gt;17.1905879558156&lt;/D&gt;&lt;D xsi:type="xsd:double"&gt;17.4929198875851&lt;/D&gt;&lt;D xsi:type="xsd:double"&gt;17.4500591008164&lt;/D&gt;&lt;D xsi:type="xsd:double"&gt;16.5216428307624&lt;/D&gt;&lt;D xsi:type="xsd:double"&gt;16.6538081729037&lt;/D&gt;&lt;D xsi:type="xsd:double"&gt;16.6284508453022&lt;/D&gt;&lt;D xsi:type="xsd:double"&gt;16.6428252727867&lt;/D&gt;&lt;D xsi:type="xsd:double"&gt;16.6740292984639&lt;/D&gt;&lt;D xsi:type="xsd:double"&gt;16.7778101024543&lt;/D&gt;&lt;D xsi:type="xsd:double"&gt;16.4729422049457&lt;/D&gt;&lt;D xsi:type="xsd:double"&gt;16.282092106268&lt;/D&gt;&lt;D xsi:type="xsd:double"&gt;15.6233844155876&lt;/D&gt;&lt;D xsi:type="xsd:double"&gt;15.5141100341062&lt;/D&gt;&lt;D xsi:type="xsd:double"&gt;14.6214847971165&lt;/D&gt;&lt;D xsi:type="xsd:double"&gt;14.9261238535329&lt;/D&gt;&lt;D xsi:type="xsd:double"&gt;16.1285688908039&lt;/D&gt;&lt;D xsi:type="xsd:double"&gt;16.1920833398743&lt;/D&gt;&lt;D xsi:type="xsd:double"&gt;16.3279970255819&lt;/D&gt;&lt;D xsi:type="xsd:double"&gt;16.2298200150131&lt;/D&gt;&lt;D xsi:type="xsd:double"&gt;16.3163236918473&lt;/D&gt;&lt;D xsi:type="xsd:double"&gt;16.5569976541824&lt;/D&gt;&lt;D xsi:type="xsd:double"&gt;16.2289825165852&lt;/D&gt;&lt;D xsi:type="xsd:double"&gt;17.1111387589127&lt;/D&gt;&lt;D xsi:type="xsd:double"&gt;17.192244413743&lt;/D&gt;&lt;D xsi:type="xsd:double"&gt;17.9535450692616&lt;/D&gt;&lt;D xsi:type="xsd:double"&gt;18.5425137399674&lt;/D&gt;&lt;D xsi:type="xsd:double"&gt;18.8324688985931&lt;/D&gt;&lt;D xsi:type="xsd:double"&gt;19.791496554678&lt;/D&gt;&lt;D xsi:type="xsd:double"&gt;16.4492188711934&lt;/D&gt;&lt;D xsi:type="xsd:double"&gt;17.4971581154359&lt;/D&gt;&lt;D xsi:type="xsd:double"&gt;18.0888840786494&lt;/D&gt;&lt;D xsi:type="xsd:double"&gt;19.410239240244&lt;/D&gt;&lt;D xsi:type="xsd:double"&gt;20.2741997589764&lt;/D&gt;&lt;D xsi:type="xsd:double"&gt;21.0209402672807&lt;/D&gt;&lt;D xsi:type="xsd:double"&gt;21.5840326878058&lt;/D&gt;&lt;D xsi:type="xsd:double"&gt;22.6582799392748&lt;/D&gt;&lt;D xsi:type="xsd:double"&gt;24.7372353159915&lt;/D&gt;&lt;D xsi:type="xsd:double"&gt;26.6826355644996&lt;/D&gt;&lt;D xsi:type="xsd:double"&gt;28.286081415152&lt;/D&gt;&lt;D xsi:type="xsd:double"&gt;29.7612095570049&lt;/D&gt;&lt;D xsi:type="xsd:double"&gt;28.6782226263681&lt;/D&gt;&lt;D xsi:type="xsd:double"&gt;28.4545425731192&lt;/D&gt;&lt;D xsi:type="xsd:double"&gt;27.2973249710175&lt;/D&gt;&lt;D xsi:type="xsd:double"&gt;26.7333104341191&lt;/D&gt;&lt;D xsi:type="xsd:double"&gt;26.2391934668936&lt;/D&gt;&lt;D xsi:type="xsd:double"&gt;26.0291268858145&lt;/D&gt;&lt;D xsi:type="xsd:double"&gt;25.4324964573599&lt;/D&gt;&lt;D xsi:type="xsd:double"&gt;24.4233061506613&lt;/D&gt;&lt;D xsi:type="xsd:double"&gt;24.4830551371652&lt;/D&gt;&lt;D xsi:type="xsd:double"&gt;22.1467288430275&lt;/D&gt;&lt;D xsi:type="xsd:double"&gt;21.5277224652704&lt;/D&gt;&lt;D xsi:type="xsd:double"&gt;18.9280761877395&lt;/D&gt;&lt;D xsi:type="xsd:double"&gt;18.4740847657378&lt;/D&gt;&lt;D xsi:type="xsd:double"&gt;18.4352200485784&lt;/D&gt;&lt;D xsi:type="xsd:double"&gt;18.2199356510694&lt;/D&gt;&lt;D xsi:type="xsd:double"&gt;17.7089947674873&lt;/D&gt;&lt;D xsi:type="xsd:double"&gt;18.413547426376&lt;/D&gt;&lt;D xsi:type="xsd:double"&gt;19.6282478259925&lt;/D&gt;&lt;D xsi:type="xsd:double"&gt;18.0711075889628&lt;/D&gt;&lt;D xsi:type="xsd:double"&gt;17.1200053672102&lt;/D&gt;&lt;D xsi:type="xsd:double"&gt;18.4819028142098&lt;/D&gt;&lt;D xsi:type="xsd:double"&gt;18.0166293353354&lt;/D&gt;&lt;D xsi:type="xsd:double"&gt;19.4399773737636&lt;/D&gt;&lt;D xsi:type="xsd:double"&gt;21.4255932764086&lt;/D&gt;&lt;D xsi:type="xsd:double"&gt;20.3201718516373&lt;/D&gt;&lt;D xsi:type="xsd:double"&gt;20.1255317659857&lt;/D&gt;&lt;D xsi:type="xsd:double"&gt;19.6527018879475&lt;/D&gt;&lt;D xsi:type="xsd:double"&gt;19.3670692914035&lt;/D&gt;&lt;D xsi:type="xsd:double"&gt;19.2260638948949&lt;/D&gt;&lt;D xsi:type="xsd:double"&gt;17.8945995785608&lt;/D&gt;&lt;D xsi:type="xsd:double"&gt;17.1051486783545&lt;/D&gt;&lt;D xsi:type="xsd:double"&gt;16.1249585140937&lt;/D&gt;&lt;D xsi:type="xsd:double"&gt;16.5988341273069&lt;/D&gt;&lt;D xsi:type="xsd:double"&gt;16.7961651665369&lt;/D&gt;&lt;D xsi:type="xsd:double"&gt;16.4533849572957&lt;/D&gt;&lt;D xsi:type="xsd:double"&gt;17.903875635887&lt;/D&gt;&lt;D xsi:type="xsd:double"&gt;18.4338488768305&lt;/D&gt;&lt;D xsi:type="xsd:double"&gt;18.2878617807243&lt;/D&gt;&lt;/FQL&gt;&lt;FQL&gt;&lt;Q&gt;EWA^FG_PRICE_MAVG(0,,,,30)&lt;/Q&gt;&lt;R&gt;1&lt;/R&gt;&lt;C&gt;1&lt;/C&gt;&lt;D xsi:type="xsd:double"&gt;24.295666&lt;/D&gt;&lt;/FQL&gt;&lt;FQL&gt;&lt;Q&gt;EWD^P_PRICE(0)/P_PRICE_LOW_PR(0,,,,,,"PRICE","INTRA","52W")-1&lt;/Q&gt;&lt;R&gt;1&lt;/R&gt;&lt;C&gt;1&lt;/C&gt;&lt;D xsi:type="xsd:double"&gt;0.25109994&lt;/D&gt;&lt;/FQL&gt;&lt;FQL&gt;&lt;Q&gt;SPY^FG_TOTAL_RETURNC(0,-12AM)&lt;/Q&gt;&lt;R&gt;1&lt;/R&gt;&lt;C&gt;1&lt;/C&gt;&lt;D xsi:type="xsd:double"&gt;22.352589&lt;/D&gt;&lt;/FQL&gt;&lt;FQL&gt;&lt;Q&gt;EWA^FMA_PCT_ABOVE_MAVG(200,0,,,,"PORTAGG")&lt;/Q&gt;&lt;R&gt;1&lt;/R&gt;&lt;C&gt;1&lt;/C&gt;&lt;D xsi:type="xsd:double"&gt;74.5762711864407&lt;/D&gt;&lt;/FQL&gt;&lt;FQL&gt;&lt;Q&gt;EWG^FMA_ROE(NTMA,-20AY,NOW,FY,"PORTAGG","MEANR")&lt;/Q&gt;&lt;R&gt;20&lt;/R&gt;&lt;C&gt;1&lt;/C&gt;&lt;D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xsi:type="xsd:double"&gt;9.7140774239929&lt;/D&gt;&lt;D xsi:type="xsd:double"&gt;12.1999545354885&lt;/D&gt;&lt;D xsi:type="xsd:double"&gt;11.8188093455252&lt;/D&gt;&lt;D xsi:type="xsd:double"&gt;11.940053323267&lt;/D&gt;&lt;/FQL&gt;&lt;FQL&gt;&lt;Q&gt;TRYTW10Y-FDS^FG_YIELD(-10AY,0,Y,,"YTM")&lt;/Q&gt;&lt;R&gt;10&lt;/R&gt;&lt;C&gt;1&lt;/C&gt;&lt;D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xsi:type="xsd:double"&gt;1.211&lt;/D&gt;&lt;/FQL&gt;&lt;FQL&gt;&lt;Q&gt;USDITL^FG_PRICE_CHANGE(0,-6AM)&lt;/Q&gt;&lt;R&gt;1&lt;/R&gt;&lt;C&gt;1&lt;/C&gt;&lt;D xsi:type="xsd:double"&gt;-1.0980308&lt;/D&gt;&lt;/FQL&gt;&lt;FQL&gt;&lt;Q&gt;USDAUD^FG_PRICE(0)&lt;/Q&gt;&lt;R&gt;1&lt;/R&gt;&lt;C&gt;1&lt;/C&gt;&lt;D xsi:type="xsd:double"&gt;1.5542431&lt;/D&gt;&lt;/FQL&gt;&lt;FQL&gt;&lt;Q&gt;BRENT-FDS^FG_PRICE_MAVG(0,,,,30)&lt;/Q&gt;&lt;R&gt;1&lt;/R&gt;&lt;C&gt;1&lt;/C&gt;&lt;D xsi:type="xsd:double"&gt;85.86&lt;/D&gt;&lt;/FQL&gt;&lt;FQL&gt;&lt;Q&gt;SPY^FG_PRICE_MAVG(0,,,,60)&lt;/Q&gt;&lt;R&gt;1&lt;/R&gt;&lt;C&gt;1&lt;/C&gt;&lt;D xsi:type="xsd:double"&gt;507.01617&lt;/D&gt;&lt;/FQL&gt;&lt;FQL&gt;&lt;Q&gt;SPY^PERCENT_CHANGE(FMA_EPS(+1,0,,,,"PORTAGG","MEAN"),FMA_EPS(+1,-1AM,,,,"PORTAGG","MEAN"))&lt;/Q&gt;&lt;R&gt;1&lt;/R&gt;&lt;C&gt;1&lt;/C&gt;&lt;D xsi:type="xsd:double"&gt;-0.212579606823208&lt;/D&gt;&lt;/FQL&gt;&lt;FQL&gt;&lt;Q&gt;VWO^PERCENT_CHANGE(FMA_EPS(+1,0,,,,"PORTAGG","MEAN"),FMA_EPS(+1,-3AM,,,,"PORTAGG","MEAN"))&lt;/Q&gt;&lt;R&gt;1&lt;/R&gt;&lt;C&gt;1&lt;/C&gt;&lt;D xsi:type="xsd:double"&gt;-16.6634637556376&lt;/D&gt;&lt;/FQL&gt;&lt;FQL&gt;&lt;Q&gt;EWU^FG_TOTAL_RETURNC(0,-1AM)&lt;/Q&gt;&lt;R&gt;1&lt;/R&gt;&lt;C&gt;1&lt;/C&gt;&lt;D xsi:type="xsd:double"&gt;0&lt;/D&gt;&lt;/FQL&gt;&lt;FQL&gt;&lt;Q&gt;EWG^FG_TOTAL_RETURNC(0,-1AM)&lt;/Q&gt;&lt;R&gt;1&lt;/R&gt;&lt;C&gt;1&lt;/C&gt;&lt;D xsi:type="xsd:double"&gt;-3.0655026&lt;/D&gt;&lt;/FQL&gt;&lt;FQL&gt;&lt;Q&gt;ENZL^FG_TOTAL_RETURNC(0,-12AM)&lt;/Q&gt;&lt;R&gt;1&lt;/R&gt;&lt;C&gt;1&lt;/C&gt;&lt;D xsi:type="xsd:double"&gt;-8.26962&lt;/D&gt;&lt;/FQL&gt;&lt;FQL&gt;&lt;Q&gt;EWL^FMA_COS_DOWN("EPS","1M",+1,0,,,"PORTAGG","MEANR")&lt;/Q&gt;&lt;R&gt;1&lt;/R&gt;&lt;C&gt;1&lt;/C&gt;&lt;D xsi:type="xsd:double"&gt;18&lt;/D&gt;&lt;/FQL&gt;&lt;FQL&gt;&lt;Q&gt;QQQ^FG_ROE(0)&lt;/Q&gt;&lt;R&gt;1&lt;/R&gt;&lt;C&gt;1&lt;/C&gt;&lt;D xsi:type="xsd:double"&gt;22.0490307371747&lt;/D&gt;&lt;/FQL&gt;&lt;FQL&gt;&lt;Q&gt;REFAUCASH-FDS^FG_YIELD(NOW,,,0)&lt;/Q&gt;&lt;R&gt;1&lt;/R&gt;&lt;C&gt;1&lt;/C&gt;&lt;D xsi:type="xsd:double"&gt;4.35&lt;/D&gt;&lt;/FQL&gt;&lt;FQL&gt;&lt;Q&gt;TRYJP10Y-FDS^PCTCHG(FG_YIELD(0,,,,"YTM"),FG_YIELD(-3AM,,,,"YTM"))&lt;/Q&gt;&lt;R&gt;1&lt;/R&gt;&lt;C&gt;1&lt;/C&gt;&lt;D xsi:type="xsd:double"&gt;36.498756&lt;/D&gt;&lt;/FQL&gt;&lt;FQL&gt;&lt;Q&gt;TRYUS10Y-FDS^FG_YIELD(0,,,,"YTM")&lt;/Q&gt;&lt;R&gt;1&lt;/R&gt;&lt;C&gt;1&lt;/C&gt;&lt;D xsi:type="xsd:double"&gt;4.6347&lt;/D&gt;&lt;/FQL&gt;&lt;FQL&gt;&lt;Q&gt;CC_US^IMF_IFS_RCPI_Q(0)&lt;/Q&gt;&lt;R&gt;0&lt;/R&gt;&lt;C&gt;0&lt;/C&gt;&lt;/FQL&gt;&lt;FQL&gt;&lt;Q&gt;USDGBP^STD(FG_PRICE_CHANGE(0,-1AY,AM))&lt;/Q&gt;&lt;R&gt;1&lt;/R&gt;&lt;C&gt;1&lt;/C&gt;&lt;D xsi:type="xsd:double"&gt;2.11901590165476&lt;/D&gt;&lt;/FQL&gt;&lt;FQL&gt;&lt;Q&gt;EWQ^FMA_PE(LTMA,-10AY,0,AM,"PORTAGG","MEANR")&lt;/Q&gt;&lt;R&gt;121&lt;/R&gt;&lt;C&gt;1&lt;/C&gt;&lt;D xsi:type="xsd:double"&gt;15.8320618782576&lt;/D&gt;&lt;D xsi:type="xsd:double"&gt;15.783437482101&lt;/D&gt;&lt;D xsi:type="xsd:double"&gt;15.8316424011517&lt;/D&gt;&lt;D xsi:type="xsd:double"&gt;15.4590393041361&lt;/D&gt;&lt;D xsi:type="xsd:double"&gt;15.1589581312121&lt;/D&gt;&lt;D xsi:type="xsd:double"&gt;15.5584899313599&lt;/D&gt;&lt;D xsi:type="xsd:double"&gt;14.4454434475899&lt;/D&gt;&lt;D xsi:type="xsd:double"&gt;15.0779655549387&lt;/D&gt;&lt;D xsi:type="xsd:double"&gt;14.9832242587906&lt;/D&gt;&lt;D xsi:type="xsd:double"&gt;15.3428384201067&lt;/D&gt;&lt;D xsi:type="xsd:double"&gt;16.9574728539795&lt;/D&gt;&lt;D xsi:type="xsd:double"&gt;17.5651821564699&lt;/D&gt;&lt;D xsi:type="xsd:double"&gt;17.5937028814129&lt;/D&gt;&lt;D xsi:type="xsd:double"&gt;17.4380817927164&lt;/D&gt;&lt;D xsi:type="xsd:double"&gt;17.0447882254996&lt;/D&gt;&lt;D xsi:type="xsd:double"&gt;17.4102081314941&lt;/D&gt;&lt;D xsi:type="xsd:double"&gt;16.8673728972873&lt;/D&gt;&lt;D xsi:type="xsd:double"&gt;15.793579836624&lt;/D&gt;&lt;D xsi:type="xsd:double"&gt;15.9960417350144&lt;/D&gt;&lt;D xsi:type="xsd:double"&gt;16.3329222691246&lt;/D&gt;&lt;D xsi:type="xsd:double"&gt;15.4503660874686&lt;/D&gt;&lt;D xsi:type="xsd:double"&gt;14.0278255720747&lt;/D&gt;&lt;D xsi:type="xsd:double"&gt;14.7729149055311&lt;/D&gt;&lt;D xsi:type="xsd:double"&gt;15.1986459838719&lt;/D&gt;&lt;D xsi:type="xsd:double"&gt;15.2496602954464&lt;/D&gt;&lt;D xsi:type="xsd:double"&gt;15.0475038277241&lt;/D&gt;&lt;D xsi:type="xsd:double"&gt;14.7654091224685&lt;/D&gt;&lt;D xsi:type="xsd:double"&gt;14.9811186818851&lt;/D&gt;&lt;D xsi:type="xsd:double"&gt;14.946592944026&lt;/D&gt;&lt;D xsi:type="xsd:double"&gt;14.6746970155932&lt;/D&gt;&lt;D xsi:type="xsd:double"&gt;15.0185101309783&lt;/D&gt;&lt;D xsi:type="xsd:double"&gt;14.7796538302644&lt;/D&gt;&lt;D xsi:type="xsd:double"&gt;15.6390211508184&lt;/D&gt;&lt;D xsi:type="xsd:double"&gt;15.7960468788078&lt;/D&gt;&lt;D xsi:type="xsd:double"&gt;15.5069192023849&lt;/D&gt;&lt;D xsi:type="xsd:double"&gt;15.6202713042743&lt;/D&gt;&lt;D xsi:type="xsd:double"&gt;15.5384534773624&lt;/D&gt;&lt;D xsi:type="xsd:double"&gt;15.7486987488624&lt;/D&gt;&lt;D xsi:type="xsd:double"&gt;15.7158219457954&lt;/D&gt;&lt;D xsi:type="xsd:double"&gt;15.65433289075&lt;/D&gt;&lt;D xsi:type="xsd:double"&gt;15.4877834609101&lt;/D&gt;&lt;D xsi:type="xsd:double"&gt;15.7450222668997&lt;/D&gt;&lt;D xsi:type="xsd:double"&gt;16.1131329923517&lt;/D&gt;&lt;D xsi:type="xsd:double"&gt;15.8531549814856&lt;/D&gt;&lt;D xsi:type="xsd:double"&gt;16.2623610851916&lt;/D&gt;&lt;D xsi:type="xsd:double"&gt;16.5325360105291&lt;/D&gt;&lt;D xsi:type="xsd:double"&gt;15.7154374416483&lt;/D&gt;&lt;D xsi:type="xsd:double"&gt;15.5723302975611&lt;/D&gt;&lt;D xsi:type="xsd:double"&gt;15.5571925638947&lt;/D&gt;&lt;D xsi:type="xsd:double"&gt;15.6387994409497&lt;/D&gt;&lt;D xsi:type="xsd:double"&gt;15.3489511328682&lt;/D&gt;&lt;D xsi:type="xsd:double"&gt;15.3033897442096&lt;/D&gt;&lt;D xsi:type="xsd:double"&gt;14.9546197531653&lt;/D&gt;&lt;D xsi:type="xsd:double"&gt;14.9062015193707&lt;/D&gt;&lt;D xsi:type="xsd:double"&gt;14.2724777252246&lt;/D&gt;&lt;D xsi:type="xsd:double"&gt;13.9356086321765&lt;/D&gt;&lt;D xsi:type="xsd:double"&gt;13.0904000075552&lt;/D&gt;&lt;D xsi:type="xsd:double"&gt;13.422658207518&lt;/D&gt;&lt;D xsi:type="xsd:double"&gt;14.1935261736236&lt;/D&gt;&lt;D xsi:type="xsd:double"&gt;14.6088745046735&lt;/D&gt;&lt;D xsi:type="xsd:double"&gt;14.6761979587099&lt;/D&gt;&lt;D xsi:type="xsd:double"&gt;14.5685429181405&lt;/D&gt;&lt;D xsi:type="xsd:double"&gt;14.637910005141&lt;/D&gt;&lt;D xsi:type="xsd:double"&gt;14.7954678030513&lt;/D&gt;&lt;D xsi:type="xsd:double"&gt;14.4682297774342&lt;/D&gt;&lt;D xsi:type="xsd:double"&gt;15.0708452219865&lt;/D&gt;&lt;D xsi:type="xsd:double"&gt;15.3222679069401&lt;/D&gt;&lt;D xsi:type="xsd:double"&gt;16.0984730674582&lt;/D&gt;&lt;D xsi:type="xsd:double"&gt;16.3586831515196&lt;/D&gt;&lt;D xsi:type="xsd:double"&gt;16.8376366337947&lt;/D&gt;&lt;D xsi:type="xsd:double"&gt;16.6926346052599&lt;/D&gt;&lt;D xsi:type="xsd:double"&gt;13.8644575032107&lt;/D&gt;&lt;D xsi:type="xsd:double"&gt;15.2638187893409&lt;/D&gt;&lt;D xsi:type="xsd:double"&gt;16.2698895800485&lt;/D&gt;&lt;D xsi:type="xsd:double"&gt;18.1146642876599&lt;/D&gt;&lt;D xsi:type="xsd:double"&gt;20.0875677069612&lt;/D&gt;&lt;D xsi:type="xsd:double"&gt;22.0621329495432&lt;/D&gt;&lt;D xsi:type="xsd:double"&gt;23.2335214155261&lt;/D&gt;&lt;D xsi:type="xsd:double"&gt;24.2610337078086&lt;/D&gt;&lt;D xsi:type="xsd:double"&gt;27.4830615532208&lt;/D&gt;&lt;D xsi:type="xsd:double"&gt;28.2617598516602&lt;/D&gt;&lt;D xsi:type="xsd:double"&gt;28.7158816478859&lt;/D&gt;&lt;D xsi:type="xsd:double"&gt;27.6534338460194&lt;/D&gt;&lt;D xsi:type="xsd:double"&gt;26.6883509254881&lt;/D&gt;&lt;D xsi:type="xsd:double"&gt;25.9385788870851&lt;/D&gt;&lt;D xsi:type="xsd:double"&gt;24.876044183943&lt;/D&gt;&lt;D xsi:type="xsd:double"&gt;24.1656507820948&lt;/D&gt;&lt;D xsi:type="xsd:double"&gt;22.8820908008251&lt;/D&gt;&lt;D xsi:type="xsd:double"&gt;21.5952289873186&lt;/D&gt;&lt;D xsi:type="xsd:double"&gt;20.2621615031936&lt;/D&gt;&lt;D xsi:type="xsd:double"&gt;19.1066674234224&lt;/D&gt;&lt;D xsi:type="xsd:double"&gt;18.5053672784839&lt;/D&gt;&lt;D xsi:type="xsd:double"&gt;17.1025815705798&lt;/D&gt;&lt;D xsi:type="xsd:double"&gt;16.9152557732655&lt;/D&gt;&lt;D xsi:type="xsd:double"&gt;16.1043966845217&lt;/D&gt;&lt;D xsi:type="xsd:double"&gt;15.3676371166074&lt;/D&gt;&lt;D xsi:type="xsd:double"&gt;15.0423171367857&lt;/D&gt;&lt;D xsi:type="xsd:double"&gt;14.4202044407306&lt;/D&gt;&lt;D xsi:type="xsd:double"&gt;13.6911262966652&lt;/D&gt;&lt;D xsi:type="xsd:double"&gt;13.3578099643442&lt;/D&gt;&lt;D xsi:type="xsd:double"&gt;13.1482656258392&lt;/D&gt;&lt;D xsi:type="xsd:double"&gt;12.238282947178&lt;/D&gt;&lt;D xsi:type="xsd:double"&gt;11.6781328599353&lt;/D&gt;&lt;D xsi:type="xsd:double"&gt;12.1829711907008&lt;/D&gt;&lt;D xsi:type="xsd:double"&gt;11.6279511597447&lt;/D&gt;&lt;D xsi:type="xsd:double"&gt;12.7859320164555&lt;/D&gt;&lt;D xsi:type="xsd:double"&gt;13.0524972527005&lt;/D&gt;&lt;D xsi:type="xsd:double"&gt;12.8072314400985&lt;/D&gt;&lt;D xsi:type="xsd:double"&gt;13.1867917494349&lt;/D&gt;&lt;D xsi:type="xsd:double"&gt;13.1666002939019&lt;/D&gt;&lt;D xsi:type="xsd:double"&gt;13.2778613607399&lt;/D&gt;&lt;D xsi:type="xsd:double"&gt;13.323710680899&lt;/D&gt;&lt;D xsi:type="xsd:double"&gt;13.0930047750593&lt;/D&gt;&lt;D xsi:type="xsd:double"&gt;13.2098347944409&lt;/D&gt;&lt;D xsi:type="xsd:double"&gt;12.729502399338&lt;/D&gt;&lt;D xsi:type="xsd:double"&gt;13.2550989664045&lt;/D&gt;&lt;D xsi:type="xsd:double"&gt;14.0255349904748&lt;/D&gt;&lt;D xsi:type="xsd:double"&gt;13.9563301600738&lt;/D&gt;&lt;D xsi:type="xsd:double"&gt;15.1599584461579&lt;/D&gt;&lt;D xsi:type="xsd:double"&gt;15.5177665094737&lt;/D&gt;&lt;D xsi:type="xsd:double"&gt;15.4225663240634&lt;/D&gt;&lt;/FQL&gt;&lt;FQL&gt;&lt;Q&gt;NI-FDS^FG_PRICE_MAVG(0,,,,30)&lt;/Q&gt;&lt;R&gt;1&lt;/R&gt;&lt;C&gt;1&lt;/C&gt;&lt;D xsi:type="xsd:double"&gt;17501.834&lt;/D&gt;&lt;/FQL&gt;&lt;FQL&gt;&lt;Q&gt;EWC^FMA_ROE(NTMA,-20AY,NOW,FY,"PORTAGG","MEANR")&lt;/Q&gt;&lt;R&gt;20&lt;/R&gt;&lt;C&gt;1&lt;/C&gt;&lt;D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xsi:type="xsd:long"&gt;45289&lt;/D&gt;&lt;/FQL&gt;&lt;FQL&gt;&lt;Q&gt;EWJ^FG_TOTAL_RETURNC(-10AY,0,AM)&lt;/Q&gt;&lt;R&gt;121&lt;/R&gt;&lt;C&gt;1&lt;/C&gt;&lt;D xsi:type="xsd:double"&gt;0.2690673&lt;/D&gt;&lt;D xsi:type="xsd:double"&gt;-0.2683401&lt;/D&gt;&lt;D xsi:type="xsd:double"&gt;7.3542714&lt;/D&gt;&lt;D xsi:type="xsd:double"&gt;1.9461274&lt;/D&gt;&lt;D xsi:type="xsd:double"&gt;-0.907588&lt;/D&gt;&lt;D xsi:type="xsd:double"&gt;-1.8318117&lt;/D&gt;&lt;D xsi:type="xsd:double"&gt;-7.2095037&lt;/D&gt;&lt;D xsi:type="xsd:double"&gt;7.3126197&lt;/D&gt;&lt;D xsi:type="xsd:double"&gt;-1.8962502&lt;/D&gt;&lt;D xsi:type="xsd:double"&gt;-0.96069574&lt;/D&gt;&lt;D xsi:type="xsd:double"&gt;6.9664955&lt;/D&gt;&lt;D xsi:type="xsd:double"&gt;5.1525116&lt;/D&gt;&lt;D xsi:type="xsd:double"&gt;1.3328075&lt;/D&gt;&lt;D xsi:type="xsd:double"&gt;2.5145054&lt;/D&gt;&lt;D xsi:type="xsd:double"&gt;-3.0943394&lt;/D&gt;&lt;D xsi:type="xsd:double"&gt;1.6003728&lt;/D&gt;&lt;D xsi:type="xsd:double"&gt;-0.92449784&lt;/D&gt;&lt;D xsi:type="xsd:double"&gt;-10.497665&lt;/D&gt;&lt;D xsi:type="xsd:double"&gt;6.0816646&lt;/D&gt;&lt;D xsi:type="xsd:double"&gt;2.8665066&lt;/D&gt;&lt;D xsi:type="xsd:double"&gt;-3.7022293&lt;/D&gt;&lt;D xsi:type="xsd:double"&gt;-6.933832&lt;/D&gt;&lt;D xsi:type="xsd:double"&gt;-2.6398242&lt;/D&gt;&lt;D xsi:type="xsd:double"&gt;5.238962&lt;/D&gt;&lt;D xsi:type="xsd:double"&gt;3.6681175&lt;/D&gt;&lt;D xsi:type="xsd:double"&gt;-2.106148&lt;/D&gt;&lt;D xsi:type="xsd:double"&gt;-1.6351104&lt;/D&gt;&lt;D xsi:type="xsd:double"&gt;5.0263047&lt;/D&gt;&lt;D xsi:type="xsd:double"&gt;3.5264492&lt;/D&gt;&lt;D xsi:type="xsd:double"&gt;-1.9464731&lt;/D&gt;&lt;D xsi:type="xsd:double"&gt;2.7295232&lt;/D&gt;&lt;D xsi:type="xsd:double"&gt;-0.5837381&lt;/D&gt;&lt;D xsi:type="xsd:double"&gt;1.4780283&lt;/D&gt;&lt;D xsi:type="xsd:double"&gt;1.5564084&lt;/D&gt;&lt;D xsi:type="xsd:double"&gt;1.749146&lt;/D&gt;&lt;D xsi:type="xsd:double"&gt;1.2502551&lt;/D&gt;&lt;D xsi:type="xsd:double"&gt;-1.620686&lt;/D&gt;&lt;D xsi:type="xsd:double"&gt;3.1967044&lt;/D&gt;&lt;D xsi:type="xsd:double"&gt;3.0406713&lt;/D&gt;&lt;D xsi:type="xsd:double"&gt;-0.061166286&lt;/D&gt;&lt;D xsi:type="xsd:double"&gt;1.1329889&lt;/D&gt;&lt;D xsi:type="xsd:double"&gt;1.4692307&lt;/D&gt;&lt;D xsi:type="xsd:double"&gt;4.108596&lt;/D&gt;&lt;D xsi:type="xsd:double"&gt;2.034068&lt;/D&gt;&lt;D xsi:type="xsd:double"&gt;3.2884598&lt;/D&gt;&lt;D xsi:type="xsd:double"&gt;5.336535&lt;/D&gt;&lt;D xsi:type="xsd:double"&gt;-2.8850734&lt;/D&gt;&lt;D xsi:type="xsd:double"&gt;-1.4772713&lt;/D&gt;&lt;D xsi:type="xsd:double"&gt;0.5767107&lt;/D&gt;&lt;D xsi:type="xsd:double"&gt;-0.04914999&lt;/D&gt;&lt;D xsi:type="xsd:double"&gt;-1.8521488&lt;/D&gt;&lt;D xsi:type="xsd:double"&gt;-2.3810446&lt;/D&gt;&lt;D xsi:type="xsd:double"&gt;-1.3965547&lt;/D&gt;&lt;D xsi:type="xsd:double"&gt;4.1091084&lt;/D&gt;&lt;D xsi:type="xsd:double"&gt;-5.0554276&lt;/D&gt;&lt;D xsi:type="xsd:double"&gt;-3.2372177&lt;/D&gt;&lt;D xsi:type="xsd:double"&gt;-3.6828697&lt;/D&gt;&lt;D xsi:type="xsd:double"&gt;3.5768986&lt;/D&gt;&lt;D xsi:type="xsd:double"&gt;0.62788725&lt;/D&gt;&lt;D xsi:type="xsd:double"&gt;-0.05506277&lt;/D&gt;&lt;D xsi:type="xsd:double"&gt;1.6342282&lt;/D&gt;&lt;D xsi:type="xsd:double"&gt;-2.999097&lt;/D&gt;&lt;D xsi:type="xsd:double"&gt;1.4717817&lt;/D&gt;&lt;D xsi:type="xsd:double"&gt;1.0001779&lt;/D&gt;&lt;D xsi:type="xsd:double"&gt;-2.0539105&lt;/D&gt;&lt;D xsi:type="xsd:double"&gt;6.0850024&lt;/D&gt;&lt;D xsi:type="xsd:double"&gt;1.2530923&lt;/D&gt;&lt;D xsi:type="xsd:double"&gt;4.3053865&lt;/D&gt;&lt;D xsi:type="xsd:double"&gt;1.3228536&lt;/D&gt;&lt;D xsi:type="xsd:double"&gt;-0.3003955&lt;/D&gt;&lt;D xsi:type="xsd:double"&gt;-3.6156654&lt;/D&gt;&lt;D xsi:type="xsd:double"&gt;-22.924625&lt;/D&gt;&lt;D xsi:type="xsd:double"&gt;14.511037&lt;/D&gt;&lt;D xsi:type="xsd:double"&gt;4.289651&lt;/D&gt;&lt;D xsi:type="xsd:double"&gt;7.0780635&lt;/D&gt;&lt;D xsi:type="xsd:double"&gt;-0.24866462&lt;/D&gt;&lt;D xsi:type="xsd:double"&gt;3.792739&lt;/D&gt;&lt;D xsi:type="xsd:double"&gt;1.6640902&lt;/D&gt;&lt;D xsi:type="xsd:double"&gt;-0.6074846&lt;/D&gt;&lt;D xsi:type="xsd:double"&gt;7.9796195&lt;/D&gt;&lt;D xsi:type="xsd:double"&gt;5.079961&lt;/D&gt;&lt;D xsi:type="xsd:double"&gt;3.2296896&lt;/D&gt;&lt;D xsi:type="xsd:double"&gt;3.1722903&lt;/D&gt;&lt;D xsi:type="xsd:double"&gt;-1.0155141&lt;/D&gt;&lt;D xsi:type="xsd:double"&gt;-0.3134787&lt;/D&gt;&lt;D xsi:type="xsd:double"&gt;-3.8164616&lt;/D&gt;&lt;D xsi:type="xsd:double"&gt;0.67412853&lt;/D&gt;&lt;D xsi:type="xsd:double"&gt;-0.044608116&lt;/D&gt;&lt;D xsi:type="xsd:double"&gt;0.044631958&lt;/D&gt;&lt;D xsi:type="xsd:double"&gt;9.189594&lt;/D&gt;&lt;D xsi:type="xsd:double"&gt;-6.441516&lt;/D&gt;&lt;D xsi:type="xsd:double"&gt;1.5574932&lt;/D&gt;&lt;D xsi:type="xsd:double"&gt;-2.3901582&lt;/D&gt;&lt;D xsi:type="xsd:double"&gt;-1.5473902&lt;/D&gt;&lt;D xsi:type="xsd:double"&gt;-3.8385928&lt;/D&gt;&lt;D xsi:type="xsd:double"&gt;-2.137357&lt;/D&gt;&lt;D xsi:type="xsd:double"&gt;-7.3390064&lt;/D&gt;&lt;D xsi:type="xsd:double"&gt;-3.136915&lt;/D&gt;&lt;D xsi:type="xsd:double"&gt;-5.9414682&lt;/D&gt;&lt;D xsi:type="xsd:double"&gt;1.5366912&lt;/D&gt;&lt;D xsi:type="xsd:double"&gt;7.0942163&lt;/D&gt;&lt;D xsi:type="xsd:double"&gt;-8.797031&lt;/D&gt;&lt;D xsi:type="xsd:double"&gt;-5.520052&lt;/D&gt;&lt;D xsi:type="xsd:double"&gt;11.193121&lt;/D&gt;&lt;D xsi:type="xsd:double"&gt;0.79505444&lt;/D&gt;&lt;D xsi:type="xsd:double"&gt;4.912925&lt;/D&gt;&lt;D xsi:type="xsd:double"&gt;-0.3669381&lt;/D&gt;&lt;D xsi:type="xsd:double"&gt;-2.2974432&lt;/D&gt;&lt;D xsi:type="xsd:double"&gt;5.833781&lt;/D&gt;&lt;D xsi:type="xsd:double"&gt;3.2225251&lt;/D&gt;&lt;D xsi:type="xsd:double"&gt;4.412532&lt;/D&gt;&lt;D xsi:type="xsd:double"&gt;0.3328085&lt;/D&gt;&lt;D xsi:type="xsd:double"&gt;-6.302327&lt;/D&gt;&lt;D xsi:type="xsd:double"&gt;6.43965&lt;/D&gt;&lt;D xsi:type="xsd:double"&gt;-6.6360474&lt;/D&gt;&lt;D xsi:type="xsd:double"&gt;5.767596&lt;/D&gt;&lt;D xsi:type="xsd:double"&gt;1.1227012&lt;/D&gt;&lt;D xsi:type="xsd:double"&gt;5.7200074&lt;/D&gt;&lt;D xsi:type="xsd:double"&gt;2.8905988&lt;/D&gt;&lt;D xsi:type="xsd:double"&gt;4.4654846&lt;/D&gt;&lt;D xsi:type="xsd:double"&gt;-5.3220153&lt;/D&gt;&lt;/FQL&gt;&lt;FQL&gt;&lt;Q&gt;NI-FDS^FG_PRICE(0)&lt;/Q&gt;&lt;R&gt;1&lt;/R&gt;&lt;C&gt;1&lt;/C&gt;&lt;D xsi:type="xsd:double"&gt;18210&lt;/D&gt;&lt;/FQL&gt;&lt;FQL&gt;&lt;Q&gt;SPY^FG_PRICE_MAVG(0,,,,30)&lt;/Q&gt;&lt;R&gt;1&lt;/R&gt;&lt;C&gt;1&lt;/C&gt;&lt;D xsi:type="xsd:double"&gt;515.1197&lt;/D&gt;&lt;/FQL&gt;&lt;FQL&gt;&lt;Q&gt;ENZL^FG_PRICE_MAVG(0,,,,200)&lt;/Q&gt;&lt;R&gt;1&lt;/R&gt;&lt;C&gt;1&lt;/C&gt;&lt;D xsi:type="xsd:double"&gt;45.894863&lt;/D&gt;&lt;/FQL&gt;&lt;FQL&gt;&lt;Q&gt;SPY^FMA_PCT_ABOVE_MAVG(200,0,,,,"PORTAGG")&lt;/Q&gt;&lt;R&gt;1&lt;/R&gt;&lt;C&gt;1&lt;/</t>
        </r>
      </text>
    </comment>
    <comment ref="A13" authorId="0" shapeId="0" xr:uid="{D51F468D-D04B-4D91-929A-14D191F2EFD7}">
      <text>
        <r>
          <rPr>
            <b/>
            <sz val="9"/>
            <color indexed="81"/>
            <rFont val="Tahoma"/>
            <charset val="1"/>
          </rPr>
          <t>C&gt;&lt;D xsi:type="xsd:double"&gt;65.0698602794411&lt;/D&gt;&lt;/FQL&gt;&lt;FQL&gt;&lt;Q&gt;VWO^FMA_PCT_ABOVE_MAVG(200,0,,,,"PORTAGG")&lt;/Q&gt;&lt;R&gt;1&lt;/R&gt;&lt;C&gt;1&lt;/C&gt;&lt;D xsi:type="xsd:double"&gt;40.5057771964247&lt;/D&gt;&lt;/FQL&gt;&lt;FQL&gt;&lt;Q&gt;EWD^FG_TOTAL_RETURNC(0,-6AM)&lt;/Q&gt;&lt;R&gt;1&lt;/R&gt;&lt;C&gt;1&lt;/C&gt;&lt;D xsi:type="xsd:double"&gt;20.92842&lt;/D&gt;&lt;/FQL&gt;&lt;FQL&gt;&lt;Q&gt;EWU^PERCENT_CHANGE(FMA_EPS(+1,0,,,,"PORTAGG","MEAN"),FMA_EPS(+1,-1AM,,,,"PORTAGG","MEAN"))&lt;/Q&gt;&lt;R&gt;1&lt;/R&gt;&lt;C&gt;1&lt;/C&gt;&lt;D xsi:type="xsd:double"&gt;-1.32026932044517&lt;/D&gt;&lt;/FQL&gt;&lt;FQL&gt;&lt;Q&gt;EWG^PERCENT_CHANGE(FMA_EPS(+1,0,,,,"PORTAGG","MEAN"),FMA_EPS(+1,-3AM,,,,"PORTAGG","MEAN"))&lt;/Q&gt;&lt;R&gt;1&lt;/R&gt;&lt;C&gt;1&lt;/C&gt;&lt;D xsi:type="xsd:double"&gt;-6.13801624416684&lt;/D&gt;&lt;/FQL&gt;&lt;FQL&gt;&lt;Q&gt;ENZL^FG_TOTAL_RETURNC(0,-6AM)&lt;/Q&gt;&lt;R&gt;1&lt;/R&gt;&lt;C&gt;1&lt;/C&gt;&lt;D xsi:type="xsd:double"&gt;4.3821692&lt;/D&gt;&lt;/FQL&gt;&lt;FQL&gt;&lt;Q&gt;EWL^FG_ROE(0)&lt;/Q&gt;&lt;R&gt;1&lt;/R&gt;&lt;C&gt;1&lt;/C&gt;&lt;D xsi:type="xsd:double"&gt;24.2199024535139&lt;/D&gt;&lt;/FQL&gt;&lt;FQL&gt;&lt;Q&gt;ENZL^FMA_ROE(NTMA,-20AY,NOW,FY,"PORTAGG","MEANR")&lt;/Q&gt;&lt;R&gt;20&lt;/R&gt;&lt;C&gt;1&lt;/C&gt;&lt;D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xsi:type="xsd:double"&gt;6.57910753918315&lt;/D&gt;&lt;/FQL&gt;&lt;FQL&gt;&lt;Q&gt;USDSEK^FG_PRICE_CHANGE(0,-1AM)&lt;/Q&gt;&lt;R&gt;1&lt;/R&gt;&lt;C&gt;1&lt;/C&gt;&lt;D xsi:type="xsd:double"&gt;4.9444675&lt;/D&gt;&lt;/FQL&gt;&lt;FQL&gt;&lt;Q&gt;EWA^JULIAN(FMA_ROE(NTMA,-20AY,NOW,FY,"PORTAGG","MEANR").DATES)&lt;/Q&gt;&lt;R&gt;20&lt;/R&gt;&lt;C&gt;1&lt;/C&gt;&lt;D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xsi:type="xsd:long"&gt;45289&lt;/D&gt;&lt;/FQL&gt;&lt;FQL&gt;&lt;Q&gt;EWC^FG_TOTAL_RETURNC(-10AY,0,AM)&lt;/Q&gt;&lt;R&gt;121&lt;/R&gt;&lt;C&gt;1&lt;/C&gt;&lt;D xsi:type="xsd:double"&gt;2.0797849&lt;/D&gt;&lt;D xsi:type="xsd:double"&gt;1.7368078&lt;/D&gt;&lt;D xsi:type="xsd:double"&gt;4.1365743&lt;/D&gt;&lt;D xsi:type="xsd:double"&gt;3.0602574&lt;/D&gt;&lt;D xsi:type="xsd:double"&gt;-0.7704139&lt;/D&gt;&lt;D xsi:type="xsd:double"&gt;0.8385062&lt;/D&gt;&lt;D xsi:type="xsd:double"&gt;-10.594398&lt;/D&gt;&lt;D xsi:type="xsd:double"&gt;4.478121&lt;/D&gt;&lt;D xsi:type="xsd:double"&gt;-5.6051073&lt;/D&gt;&lt;D xsi:type="xsd:double"&gt;-3.470254&lt;/D&gt;&lt;D xsi:type="xsd:double"&gt;2.9346943&lt;/D&gt;&lt;D xsi:type="xsd:double"&gt;-1.9600809&lt;/D&gt;&lt;D xsi:type="xsd:double"&gt;5.4525614&lt;/D&gt;&lt;D xsi:type="xsd:double"&gt;-1.0341287&lt;/D&gt;&lt;D xsi:type="xsd:double"&gt;-3.134793&lt;/D&gt;&lt;D xsi:type="xsd:double"&gt;-6.15108&lt;/D&gt;&lt;D xsi:type="xsd:double"&gt;-3.3204556&lt;/D&gt;&lt;D xsi:type="xsd:double"&gt;-4.7923326&lt;/D&gt;&lt;D xsi:type="xsd:double"&gt;3.8171172&lt;/D&gt;&lt;D xsi:type="xsd:double"&gt;-6.1414185&lt;/D&gt;&lt;D xsi:type="xsd:double"&gt;-6.887645&lt;/D&gt;&lt;D xsi:type="xsd:double"&gt;-11.106605&lt;/D&gt;&lt;D xsi:type="xsd:double"&gt;13.547718&lt;/D&gt;&lt;D xsi:type="xsd:double"&gt;10.07427&lt;/D&gt;&lt;D xsi:type="xsd:double"&gt;3.1210542&lt;/D&gt;&lt;D xsi:type="xsd:double"&gt;-1.0224938&lt;/D&gt;&lt;D xsi:type="xsd:double"&gt;1.5702486&lt;/D&gt;&lt;D xsi:type="xsd:double"&gt;4.074621&lt;/D&gt;&lt;D xsi:type="xsd:double"&gt;2.6004791&lt;/D&gt;&lt;D xsi:type="xsd:double"&gt;-4.3394804&lt;/D&gt;&lt;D xsi:type="xsd:double"&gt;3.331995&lt;/D&gt;&lt;D xsi:type="xsd:double"&gt;-1.0878026&lt;/D&gt;&lt;D xsi:type="xsd:double"&gt;4.4383407&lt;/D&gt;&lt;D xsi:type="xsd:double"&gt;1.4549732&lt;/D&gt;&lt;D xsi:type="xsd:double"&gt;4.0059924&lt;/D&gt;&lt;D xsi:type="xsd:double"&gt;-3.8516998&lt;/D&gt;&lt;D xsi:type="xsd:double"&gt;0.33695698&lt;/D&gt;&lt;D xsi:type="xsd:double"&gt;-3.6940277&lt;/D&gt;&lt;D xsi:type="xsd:double"&gt;2.8671026&lt;/D&gt;&lt;D xsi:type="xsd:double"&gt;4.5843244&lt;/D&gt;&lt;D xsi:type="xsd:double"&gt;-0.9803951&lt;/D&gt;&lt;D xsi:type="xsd:double"&gt;4.4737816&lt;/D&gt;&lt;D xsi:type="xsd:double"&gt;2.7729034&lt;/D&gt;&lt;D xsi:type="xsd:double"&gt;-0.78552365&lt;/D&gt;&lt;D xsi:type="xsd:double"&gt;0.4819274&lt;/D&gt;&lt;D xsi:type="xsd:double"&gt;4.889238&lt;/D&gt;&lt;D xsi:type="xsd:double"&gt;-6.4836206&lt;/D&gt;&lt;D xsi:type="xsd:double"&gt;-2.1223903&lt;/D&gt;&lt;D xsi:type="xsd:double"&gt;2.565956&lt;/D&gt;&lt;D xsi:type="xsd:double"&gt;2.6779413&lt;/D&gt;&lt;D xsi:type="xsd:double"&gt;-1.098144&lt;/D&gt;&lt;D xsi:type="xsd:double"&gt;1.0037899&lt;/D&gt;&lt;D xsi:type="xsd:double"&gt;0.24238825&lt;/D&gt;&lt;D xsi:type="xsd:double"&gt;-0.48359632&lt;/D&gt;&lt;D xsi:type="xsd:double"&gt;-5.9354362&lt;/D&gt;&lt;D xsi:type="xsd:double"&gt;-1.2915134&lt;/D&gt;&lt;D xsi:type="xsd:double"&gt;-7.067728&lt;/D&gt;&lt;D xsi:type="xsd:double"&gt;8.0572605&lt;/D&gt;&lt;D xsi:type="xsd:double"&gt;3.7471652&lt;/D&gt;&lt;D xsi:type="xsd:double"&gt;2.0065665&lt;/D&gt;&lt;D xsi:type="xsd:double"&gt;2.503574&lt;/D&gt;&lt;D xsi:type="xsd:double"&gt;-2.0237267&lt;/D&gt;&lt;D xsi:type="xsd:double"&gt;1.4835715&lt;/D&gt;&lt;D xsi:type="xsd:double"&gt;2.584982&lt;/D&gt;&lt;D xsi:type="xsd:double"&gt;-4.31481&lt;/D&gt;&lt;D xsi:type="xsd:double"&gt;4.7258377&lt;/D&gt;&lt;D xsi:type="xsd:double"&gt;-1.5156746&lt;/D&gt;&lt;D xsi:type="xsd:double"&gt;4.0923357&lt;/D&gt;&lt;D xsi:type="xsd:double"&gt;0.58573484&lt;/D&gt;&lt;D xsi:type="xsd:double"&gt;3.5206437&lt;/D&gt;&lt;D xsi:type="xsd:double"&gt;-0.19620657&lt;/D&gt;&lt;D xsi:type="xsd:double"&gt;-38.990826&lt;/D&gt;&lt;D xsi:type="xsd:double"&gt;25.563896&lt;/D&gt;&lt;D xsi:type="xsd:double"&gt;5.2609086&lt;/D&gt;&lt;D xsi:type="xsd:double"&gt;5.972755&lt;/D&gt;&lt;D xsi:type="xsd:double"&gt;4.1053414&lt;/D&gt;&lt;D xsi:type="xsd:double"&gt;6.398809&lt;/D&gt;&lt;D xsi:type="xsd:double"&gt;-3.111893&lt;/D&gt;&lt;D xsi:type="xsd:double"&gt;1.7683268&lt;/D&gt;&lt;D xsi:type="xsd:double"&gt;4.1489363&lt;/D&gt;&lt;D xsi:type="xsd:double"&gt;6.801915&lt;/D&gt;&lt;D xsi:type="xsd:double"&gt;2.743709&lt;/D&gt;&lt;D xsi:type="xsd:double"&gt;2.7332783&lt;/D&gt;&lt;D xsi:type="xsd:double"&gt;5.1681876&lt;/D&gt;&lt;D xsi:type="xsd:double"&gt;2.8787494&lt;/D&gt;&lt;D xsi:type="xsd:double"&gt;5.2854657&lt;/D&gt;&lt;D xsi:type="xsd:double"&gt;-0.41089058&lt;/D&gt;&lt;D xsi:type="xsd:double"&gt;-1.4645994&lt;/D&gt;&lt;D xsi:type="xsd:double"&gt;1.5414238&lt;/D&gt;&lt;D xsi:type="xsd:double"&gt;-0.35240054&lt;/D&gt;&lt;D xsi:type="xsd:double"&gt;6.2296033&lt;/D&gt;&lt;D xsi:type="xsd:double"&gt;1.4852762&lt;/D&gt;&lt;D xsi:type="xsd:double"&gt;-5.9646425&lt;/D&gt;&lt;D xsi:type="xsd:double"&gt;6.142974&lt;/D&gt;&lt;D xsi:type="xsd:double"&gt;-3.3290625&lt;/D&gt;&lt;D xsi:type="xsd:double"&gt;5.3774834&lt;/D&gt;&lt;D xsi:type="xsd:double"&gt;-0.17596483&lt;/D&gt;&lt;D xsi:type="xsd:double"&gt;-9.569377&lt;/D&gt;&lt;D xsi:type="xsd:double"&gt;-6.5488634&lt;/D&gt;&lt;D xsi:type="xsd:double"&gt;-1.2608886&lt;/D&gt;&lt;D xsi:type="xsd:double"&gt;9.394956&lt;/D&gt;&lt;D xsi:type="xsd:double"&gt;-6.725955&lt;/D&gt;&lt;D xsi:type="xsd:double"&gt;-5.9296846&lt;/D&gt;&lt;D xsi:type="xsd:double"&gt;9.407675&lt;/D&gt;&lt;D xsi:type="xsd:double"&gt;-4.7701178&lt;/D&gt;&lt;D xsi:type="xsd:double"&gt;6.6008687&lt;/D&gt;&lt;D xsi:type="xsd:double"&gt;1.2442112&lt;/D&gt;&lt;D xsi:type="xsd:double"&gt;-7.5164375&lt;/D&gt;&lt;D xsi:type="xsd:double"&gt;10.012352&lt;/D&gt;&lt;D xsi:type="xsd:double"&gt;-2.4719&lt;/D&gt;&lt;D xsi:type="xsd:double"&gt;1.0422826&lt;/D&gt;&lt;D xsi:type="xsd:double"&gt;2.447462&lt;/D&gt;&lt;D xsi:type="xsd:double"&gt;-5.1995573&lt;/D&gt;&lt;D xsi:type="xsd:double"&gt;4.2691946&lt;/D&gt;&lt;D xsi:type="xsd:double"&gt;-6.1700287&lt;/D&gt;&lt;D xsi:type="xsd:double"&gt;4.454553&lt;/D&gt;&lt;D xsi:type="xsd:double"&gt;4.7287464&lt;/D&gt;&lt;D xsi:type="xsd:double"&gt;0.15515089&lt;/D&gt;&lt;D xsi:type="xsd:double"&gt;2.8315187&lt;/D&gt;&lt;D xsi:type="xsd:double"&gt;2.8353333&lt;/D&gt;&lt;D xsi:type="xsd:double"&gt;-2.3064733&lt;/D&gt;&lt;/FQL&gt;&lt;FQL&gt;&lt;Q&gt;PLATI-FDS^MAX(FG_PRICE(0,-5AY))&lt;/Q&gt;&lt;R&gt;1&lt;/R&gt;&lt;C&gt;1&lt;/C&gt;&lt;D xsi:type="xsd:double"&gt;1272.59&lt;/D&gt;&lt;/FQL&gt;&lt;FQL&gt;&lt;Q&gt;SPY^FG_PRICE(0)&lt;/Q&gt;&lt;R&gt;1&lt;/R&gt;&lt;C&gt;1&lt;/C&gt;&lt;D xsi:type="xsd:double"&gt;499.52&lt;/D&gt;&lt;/FQL&gt;&lt;FQL&gt;&lt;Q&gt;ENZL^FG_PRICE_MAVG(0,,,,60)&lt;/Q&gt;&lt;R&gt;1&lt;/R&gt;&lt;C&gt;1&lt;/C&gt;&lt;D xsi:type="xsd:double"&gt;45.57663&lt;/D&gt;&lt;/FQL&gt;&lt;FQL&gt;&lt;Q&gt;EWJ^P_PRICE(0)/P_PRICE_LOW_PR(0,,,,,,"PRICE","INTRA","52W")-1&lt;/Q&gt;&lt;R&gt;1&lt;/R&gt;&lt;C&gt;1&lt;/C&gt;&lt;D xsi:type="xsd:double"&gt;0.16940558&lt;/D&gt;&lt;/FQL&gt;&lt;FQL&gt;&lt;Q&gt;VGK^FG_TOTAL_RETURNC(0,-12AM)&lt;/Q&gt;&lt;R&gt;1&lt;/R&gt;&lt;C&gt;1&lt;/C&gt;&lt;D xsi:type="xsd:double"&gt;5.7628155&lt;/D&gt;&lt;/FQL&gt;&lt;FQL&gt;&lt;Q&gt;EWD^PERCENT_CHANGE(FMA_EPS(+1,0,,,,"PORTAGG","MEAN"),FMA_EPS(+1,-3AM,,,,"PORTAGG","MEAN"))&lt;/Q&gt;&lt;R&gt;1&lt;/R&gt;&lt;C&gt;1&lt;/C&gt;&lt;D xsi:type="xsd:double"&gt;-2.21418026100768&lt;/D&gt;&lt;/FQL&gt;&lt;FQL&gt;&lt;Q&gt;EWG^PERCENT_CHANGE(FMA_EPS(+1,0,,,,"PORTAGG","MEAN"),FMA_EPS(+1,-1AM,,,,"PORTAGG","MEAN"))&lt;/Q&gt;&lt;R&gt;1&lt;/R&gt;&lt;C&gt;1&lt;/C&gt;&lt;D xsi:type="xsd:double"&gt;-2.76937721912335&lt;/D&gt;&lt;/FQL&gt;&lt;FQL&gt;&lt;Q&gt;ENZL^PERCENT_CHANGE(FMA_EPS(+1,0,,,,"PORTAGG","MEAN"),FMA_EPS(+1,-3AM,,,,"PORTAGG","MEAN"))&lt;/Q&gt;&lt;R&gt;1&lt;/R&gt;&lt;C&gt;1&lt;/C&gt;&lt;D xsi:type="xsd:double"&gt;-17.9248798622186&lt;/D&gt;&lt;/FQL&gt;&lt;FQL&gt;&lt;Q&gt;REFFFUND-FDS^FG_YIELD(NOW,,,0)&lt;/Q&gt;&lt;R&gt;1&lt;/R&gt;&lt;C&gt;1&lt;/C&gt;&lt;D xsi:type="xsd:double"&gt;5.5&lt;/D&gt;&lt;/FQL&gt;&lt;FQL&gt;&lt;Q&gt;REFNZOCR-FDS^(SUBARRAY(NOT_NA(NO_REPEAT_F(FG_YIELD(NOW,-10AY,D))),0,1)-SUBARRAY(NOT_NA(NO_REPEAT_F(FG_YIELD(NOW,-10AY,D))),1,1))*100&lt;/Q&gt;&lt;R&gt;1&lt;/R&gt;&lt;C&gt;1&lt;/C&gt;&lt;D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xsi:type="xsd:double"&gt;25&lt;/D&gt;&lt;/FQL&gt;&lt;FQL&gt;&lt;Q&gt;TRYDE10Y-FDS^PCTCHG(FG_YIELD(0,,,,"YTM"),FG_YIELD(-3AM,,,,"YTM"))&lt;/Q&gt;&lt;R&gt;1&lt;/R&gt;&lt;C&gt;1&lt;/C&gt;&lt;D xsi:type="xsd:double"&gt;6.832839&lt;/D&gt;&lt;/FQL&gt;&lt;FQL&gt;&lt;Q&gt;TRYUS10Y-FDS^FG_YIELD_NAME&lt;/Q&gt;&lt;R&gt;1&lt;/R&gt;&lt;C&gt;1&lt;/C&gt;&lt;D xsi:type="xsd:string"&gt;US Benchmark Bond - 10 Year&lt;/D&gt;&lt;/FQL&gt;&lt;FQL&gt;&lt;Q&gt;CC_CH^IMF_IFS_RCPI_Q(0)&lt;/Q&gt;&lt;R&gt;0&lt;/R&gt;&lt;C&gt;0&lt;/C&gt;&lt;/FQL&gt;&lt;FQL&gt;&lt;Q&gt;EWN^JULIAN(FMA_DIV_YLD(NTMA,NOW,NOW,M,"PORTAGG","MEANR").DATES)&lt;/Q&gt;&lt;R&gt;1&lt;/R&gt;&lt;C&gt;1&lt;/C&gt;&lt;D xsi:type="xsd:long"&gt;45379&lt;/D&gt;&lt;/FQL&gt;&lt;FQL&gt;&lt;Q&gt;EWU^FMA_EVAL_EBIT(LTMA,NOW,NOW,M,"PORTAGG","MEANR")&lt;/Q&gt;&lt;R&gt;1&lt;/R&gt;&lt;C&gt;1&lt;/C&gt;&lt;D xsi:type="xsd:double"&gt;10.4796859533219&lt;/D&gt;&lt;/FQL&gt;&lt;FQL&gt;&lt;Q&gt;EWA^FMA_PE(LTM,0,,,"PORTAGG","MEANR")&lt;/Q&gt;&lt;R&gt;1&lt;/R&gt;&lt;C&gt;1&lt;/C&gt;&lt;D xsi:type="xsd:double"&gt;18.2122699483333&lt;/D&gt;&lt;/FQL&gt;&lt;FQL&gt;&lt;Q&gt;EWJ^P_PRICE(0)/P_PRICE_HIGH_PR(0,,,USD,,,"PRICE","INTRA","52W")&lt;/Q&gt;&lt;R&gt;1&lt;/R&gt;&lt;C&gt;1&lt;/C&gt;&lt;D xsi:type="xsd:double"&gt;0.9281898&lt;/D&gt;&lt;/FQL&gt;&lt;FQL&gt;&lt;Q&gt;EWI^FMA_EVAL_EBITDA(NTMA,0,,,"PORTAGG","MEANR")&lt;/Q&gt;&lt;R&gt;1&lt;/R&gt;&lt;C&gt;1&lt;/C&gt;&lt;D xsi:type="xsd:double"&gt;7.21675324972617&lt;/D&gt;&lt;/FQL&gt;&lt;FQL&gt;&lt;Q&gt;EWG^FMA_EVAL_EBIT(LTMA,NOW,NOW,M,"PORTAGG","MEANR")&lt;/Q&gt;&lt;R&gt;1&lt;/R&gt;&lt;C&gt;1&lt;/C&gt;&lt;D xsi:type="xsd:double"&gt;13.3184845927212&lt;/D&gt;&lt;/FQL&gt;&lt;FQL&gt;&lt;Q&gt;QQQ^P_PRICE(0)/P_PRICE_HIGH_PR(0,,,USD,,,"PRICE","INTRA","52W")&lt;/Q&gt;&lt;R&gt;1&lt;/R&gt;&lt;C&gt;1&lt;/C&gt;&lt;D xsi:type="xsd:double"&gt;0.94229317&lt;/D&gt;&lt;/FQL&gt;&lt;FQL&gt;&lt;Q&gt;EWL^FG_TOTAL_RETURNC(0,-3AM)&lt;/Q&gt;&lt;R&gt;1&lt;/R&gt;&lt;C&gt;1&lt;/C&gt;&lt;D xsi:type="xsd:double"&gt;-3.6468327&lt;/D&gt;&lt;/FQL&gt;&lt;FQL&gt;&lt;Q&gt;EWD^SIZE(FG_CONSTITUENTS)&lt;/Q&gt;&lt;R&gt;1&lt;/R&gt;&lt;C&gt;1&lt;/C&gt;&lt;D xsi:type="xsd:long"&gt;44&lt;/D&gt;&lt;/FQL&gt;&lt;FQL&gt;&lt;Q&gt;EWA^FG_ROE(0)&lt;/Q&gt;&lt;R&gt;1&lt;/R&gt;&lt;C&gt;1&lt;/C&gt;&lt;D xsi:type="xsd:double"&gt;12.8527958975234&lt;/D&gt;&lt;/FQL&gt;&lt;FQL&gt;&lt;Q&gt;USDNZD^STD(FG_PRICE_CHANGE(0,-1AY,AM))&lt;/Q&gt;&lt;R&gt;1&lt;/R&gt;&lt;C&gt;1&lt;/C&gt;&lt;D xsi:type="xsd:double"&gt;2.32668411948324&lt;/D&gt;&lt;/FQL&gt;&lt;FQL&gt;&lt;Q&gt;COPP-FDS^FG_PRICE_CHANGE(0,-1AY)&lt;/Q&gt;&lt;R&gt;1&lt;/R&gt;&lt;C&gt;1&lt;/C&gt;&lt;D xsi:type="xsd:double"&gt;8.58295635163222&lt;/D&gt;&lt;/FQL&gt;&lt;FQL&gt;&lt;Q&gt;QQQ^FG_PRICE_MAVG(0,,,,60)&lt;/Q&gt;&lt;R&gt;1&lt;/R&gt;&lt;C&gt;1&lt;/C&gt;&lt;D xsi:type="xsd:double"&gt;435.76782&lt;/D&gt;&lt;/FQL&gt;&lt;FQL&gt;&lt;Q&gt;EWL^FG_TOTAL_RETURNC(0,-6AM)&lt;/Q&gt;&lt;R&gt;1&lt;/R&gt;&lt;C&gt;1&lt;/C&gt;&lt;D xsi:type="xsd:double"&gt;4.704511&lt;/D&gt;&lt;/FQL&gt;&lt;FQL&gt;&lt;Q&gt;EWI^FMA_COS_UP("EPS","1M",+1,0,,,"PORTAGG","MEANR")&lt;/Q&gt;&lt;R&gt;1&lt;/R&gt;&lt;C&gt;1&lt;/C&gt;&lt;D xsi:type="xsd:double"&gt;10&lt;/D&gt;&lt;/FQL&gt;&lt;FQL&gt;&lt;Q&gt;EWG^FMA_COS_DOWN("EPS","1M",+1,0,,,"PORTAGG","MEANR")&lt;/Q&gt;&lt;R&gt;1&lt;/R&gt;&lt;C&gt;1&lt;/C&gt;&lt;D xsi:type="xsd:double"&gt;25&lt;/D&gt;&lt;/FQL&gt;&lt;FQL&gt;&lt;Q&gt;EWC^FG_ROE(0)&lt;/Q&gt;&lt;R&gt;1&lt;/R&gt;&lt;C&gt;1&lt;/C&gt;&lt;D xsi:type="xsd:double"&gt;11.3506378095427&lt;/D&gt;&lt;/FQL&gt;&lt;FQL&gt;&lt;Q&gt;TRYGB10Y-FDS^FG_YIELD(0,,,,"YTM")&lt;/Q&gt;&lt;R&gt;1&lt;/R&gt;&lt;C&gt;1&lt;/C&gt;&lt;D xsi:type="xsd:double"&gt;4.26&lt;/D&gt;&lt;/FQL&gt;&lt;FQL&gt;&lt;Q&gt;EWQ^FMA_EVAL_EBIT(LTMA,NOW,NOW,M,"PORTAGG","MEANR")&lt;/Q&gt;&lt;R&gt;1&lt;/R&gt;&lt;C&gt;1&lt;/C&gt;&lt;D xsi:type="xsd:double"&gt;13.2966751583548&lt;/D&gt;&lt;/FQL&gt;&lt;FQL&gt;&lt;Q&gt;CAGDPY@SE^EE_ACTUAL_ANNUAL(MED,0)&lt;/Q&gt;&lt;R&gt;1&lt;/R&gt;&lt;C&gt;1&lt;/C&gt;&lt;D xsi:type="xsd:double"&gt;6.76905401199225&lt;/D&gt;&lt;/FQL&gt;&lt;FQL&gt;&lt;Q&gt;USDCHF^FG_PRICE_CHANGE(0,-1AM)&lt;/Q&gt;&lt;R&gt;1&lt;/R&gt;&lt;C&gt;1&lt;/C&gt;&lt;D xsi:type="xsd:double"&gt;2.905178&lt;/D&gt;&lt;/FQL&gt;&lt;FQL&gt;&lt;Q&gt;DDR3512M-FDS^MAX(FG_PRICE(0,-5AY))&lt;/Q&gt;&lt;R&gt;1&lt;/R&gt;&lt;C&gt;1&lt;/C&gt;&lt;D xsi:type="xsd:double"&gt;3.3053632&lt;/D&gt;&lt;/FQL&gt;&lt;FQL&gt;&lt;Q&gt;PLATI-FDS^FG_PRICE_CHANGE(0,-1AY)&lt;/Q&gt;&lt;R&gt;1&lt;/R&gt;&lt;C&gt;1&lt;/C&gt;&lt;D xsi:type="xsd:double"&gt;-12.5&lt;/D&gt;&lt;/FQL&gt;&lt;FQL&gt;&lt;Q&gt;ENZL^FG_PRICE_MAVG(0,,,,30)&lt;/Q&gt;&lt;R&gt;1&lt;/R&gt;&lt;C&gt;1&lt;/C&gt;&lt;D xsi:type="xsd:double"&gt;45.28459&lt;/D&gt;&lt;/FQL&gt;&lt;FQL&gt;&lt;Q&gt;VGK^P_PRICE(0)/P_PRICE_LOW_PR(0,,,,,,"PRICE","INTRA","52W")-1&lt;/Q&gt;&lt;R&gt;1&lt;/R&gt;&lt;C&gt;1&lt;/C&gt;&lt;D xsi:type="xsd:double"&gt;0.17181253&lt;/D&gt;&lt;/FQL&gt;&lt;FQL&gt;&lt;Q&gt;EWN^FG_TOTAL_RETURNC(0,-12AM)&lt;/Q&gt;&lt;R&gt;1&lt;/R&gt;&lt;C&gt;1&lt;/C&gt;&lt;D xsi:type="xsd:double"&gt;13.334346&lt;/D&gt;&lt;/FQL&gt;&lt;FQL&gt;&lt;Q&gt;EWG^FMA_PCT_ABOVE_MAVG(200,0,,,,"PORTAGG")&lt;/Q&gt;&lt;R&gt;1&lt;/R&gt;&lt;C&gt;1&lt;/C&gt;&lt;D xsi:type="xsd:double"&gt;75.4385964912281&lt;/D&gt;&lt;/FQL&gt;&lt;FQL&gt;&lt;Q&gt;ENZL^PERCENT_CHANGE(FMA_EPS(+1,0,,,,"PORTAGG","MEAN"),FMA_EPS(+1,-1AM,,,,"PORTAGG","MEAN"))&lt;/Q&gt;&lt;R&gt;1&lt;/R&gt;&lt;C&gt;1&lt;/C&gt;&lt;D xsi:type="xsd:double"&gt;-3.49829855308092&lt;/D&gt;&lt;/FQL&gt;&lt;FQL&gt;&lt;Q&gt;REFFFUND-FDS^(SUBARRAY(NOT_NA(NO_REPEAT_F(FG_YIELD(NOW,-10AY,D))),0,1)-SUBARRAY(NOT_NA(NO_REPEAT_F(FG_YIELD(NOW,-10AY,D))),1,1))*100&lt;/Q&gt;&lt;R&gt;1&lt;/R&gt;&lt;C&gt;1&lt;/C&gt;&lt;D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xsi:type="xsd:double"&gt;25&lt;/D&gt;&lt;/FQL&gt;&lt;FQL&gt;&lt;Q&gt;REFNZOCR-FDS^FG_YIELD(NOW,,,0)&lt;/Q&gt;&lt;R&gt;1&lt;/R&gt;&lt;C&gt;1&lt;/C&gt;&lt;D xsi:type="xsd:double"&gt;5.5&lt;/D&gt;&lt;/FQL&gt;&lt;FQL&gt;&lt;Q&gt;TRYDE10Y-FDS^PCTCHG(FG_YIELD(0,,,,"YTM"),FG_YIELD(-1AM,,,,"YTM"))&lt;/Q&gt;&lt;R&gt;1&lt;/R&gt;&lt;C&gt;1&lt;/C&gt;&lt;D xsi:type="xsd:double"&gt;1.2214972&lt;/D&gt;&lt;/FQL&gt;&lt;FQL&gt;&lt;Q&gt;CC_JP^IMF_IFS_RCPI_Q(0)&lt;/Q&gt;&lt;R&gt;0&lt;/R&gt;&lt;C&gt;0&lt;/C&gt;&lt;/FQL&gt;&lt;FQL&gt;&lt;Q&gt;EWQ^FMA_EVAL_EBITDA(NTMA,0,,,"PORTAGG","MEANR")&lt;/Q&gt;&lt;R&gt;1&lt;/R&gt;&lt;C&gt;1&lt;/C&gt;&lt;D xsi:type="xsd:double"&gt;9.2358039897549&lt;/D&gt;&lt;/FQL&gt;&lt;FQL&gt;&lt;Q&gt;EWU^FMA_EVAL_EBITDA(NTMA,0,,,"PORTAGG","MEANR")&lt;/Q&gt;&lt;R&gt;1&lt;/R&gt;&lt;C&gt;1&lt;/C&gt;&lt;D xsi:type="xsd:double"&gt;7.44394048214559&lt;/D&gt;&lt;/FQL&gt;&lt;FQL&gt;&lt;Q&gt;EWA^JULIAN(FMA_DIV_YLD(NTMA,NOW,NOW,M,"PORTAGG","MEANR").DATES)&lt;/Q&gt;&lt;R&gt;1&lt;/R&gt;&lt;C&gt;1&lt;/C&gt;&lt;D xsi:type="xsd:long"&gt;45379&lt;/D&gt;&lt;/FQL&gt;&lt;FQL&gt;&lt;Q&gt;EWU^FG_PRICE_MAVG(0,,,,30)&lt;/Q&gt;&lt;R&gt;1&lt;/R&gt;&lt;C&gt;1&lt;/C&gt;&lt;D xsi:type="xsd:double"&gt;33.778&lt;/D&gt;&lt;/FQL&gt;&lt;FQL&gt;&lt;Q&gt;EWG^FMA_COS_UP("EPS","1M",+1,0,,,"PORTAGG","MEANR")&lt;/Q&gt;&lt;R&gt;1&lt;/R&gt;&lt;C&gt;1&lt;/C&gt;&lt;D xsi:type="xsd:double"&gt;29&lt;/D&gt;&lt;/FQL&gt;&lt;FQL&gt;&lt;Q&gt;TRYCH10Y-FDS^FG_YIELD(0,,,,"YTM")&lt;/Q&gt;&lt;R&gt;1&lt;/R&gt;&lt;C&gt;1&lt;/C&gt;&lt;D xsi:type="xsd:double"&gt;0.764&lt;/D&gt;&lt;/FQL&gt;&lt;FQL&gt;&lt;Q&gt;EWI^FG_FCF_YIELD_NTM(0)&lt;/Q&gt;&lt;R&gt;1&lt;/R&gt;&lt;C&gt;1&lt;/C&gt;&lt;D xsi:type="xsd:double"&gt;6.31754025428317&lt;/D&gt;&lt;/FQL&gt;&lt;FQL&gt;&lt;Q&gt;USDANG^STD(FG_PRICE_CHANGE(0,-3AY,M))&lt;/Q&gt;&lt;R&gt;1&lt;/R&gt;&lt;C&gt;1&lt;/C&gt;&lt;D xsi:type="xsd:double"&gt;0.0414043666666667&lt;/D&gt;&lt;/FQL&gt;&lt;FQL&gt;&lt;Q&gt;USDNZD^FG_PRICE_CHANGE(0,-6AM)&lt;/Q&gt;&lt;R&gt;1&lt;/R&gt;&lt;C&gt;1&lt;/C&gt;&lt;D xsi:type="xsd:double"&gt;-0.8285403&lt;/D&gt;&lt;/FQL&gt;&lt;FQL&gt;&lt;Q&gt;ENZL^FG_TOTAL_RETURNC(-10AY,0,AM)&lt;/Q&gt;&lt;R&gt;121&lt;/R&gt;&lt;C&gt;1&lt;/C&gt;&lt;D xsi:type="xsd:double"&gt;-1.3781846&lt;/D&gt;&lt;D xsi:type="xsd:double"&gt;2.3922324&lt;/D&gt;&lt;D xsi:type="xsd:double"&gt;0.13879538&lt;/D&gt;&lt;D xsi:type="xsd:double"&gt;-2.0977974&lt;/D&gt;&lt;D xsi:type="xsd:double"&gt;-2.869898&lt;/D&gt;&lt;D xsi:type="xsd:double"&gt;-2.4626672&lt;/D&gt;&lt;D xsi:type="xsd:double"&gt;-1.9617856&lt;/D&gt;&lt;D xsi:type="xsd:double"&gt;7.510388&lt;/D&gt;&lt;D xsi:type="xsd:double"&gt;-1.121068&lt;/D&gt;&lt;D xsi:type="xsd:double"&gt;2.337277&lt;/D&gt;&lt;D xsi:type="xsd:double"&gt;-1.7927289&lt;/D&gt;&lt;D xsi:type="xsd:double"&gt;1.4003396&lt;/D&gt;&lt;D xsi:type="xsd:double"&gt;1.8495679&lt;/D&gt;&lt;D xsi:type="xsd:double"&gt;-4.479414&lt;/D&gt;&lt;D xsi:type="xsd:double"&gt;-6.5906286&lt;/D&gt;&lt;D xsi:type="xsd:double"&gt;-5.1518917&lt;/D&gt;&lt;D xsi:type="xsd:double"&gt;-1.6436815&lt;/D&gt;&lt;D xsi:type="xsd:double"&gt;-2.7156055&lt;/D&gt;&lt;D xsi:type="xsd:double"&gt;8.852768&lt;/D&gt;&lt;D xsi:type="xsd:double"&gt;-2.3558557&lt;/D&gt;&lt;D xsi:type="xsd:double"&gt;5.8585763&lt;/D&gt;&lt;D xsi:type="xsd:double"&gt;-4.2671385&lt;/D&gt;&lt;D xsi:type="xsd:double"&gt;2.9138565&lt;/D&gt;&lt;D xsi:type="xsd:double"&gt;11.280322&lt;/D&gt;&lt;D xsi:type="xsd:double"&gt;6.9183946&lt;/D&gt;&lt;D xsi:type="xsd:double"&gt;-1.9909918&lt;/D&gt;&lt;D xsi:type="xsd:double"&gt;3.772676&lt;/D&gt;&lt;D xsi:type="xsd:double"&gt;4.5322895&lt;/D&gt;&lt;D xsi:type="xsd:double"&gt;6.547749&lt;/D&gt;&lt;D xsi:type="xsd:double"&gt;-2.6700556&lt;/D&gt;&lt;D xsi:type="xsd:double"&gt;-5.682564&lt;/D&gt;&lt;D xsi:type="xsd:double"&gt;-3.808868&lt;/D&gt;&lt;D xsi:type="xsd:double"&gt;-2.5437891&lt;/D&gt;&lt;D xsi:type="xsd:double"&gt;7.174039&lt;/D&gt;&lt;D xsi:type="xsd:double"&gt;1.2835741&lt;/D&gt;&lt;D xsi:type="xsd:double"&gt;-1.7366827&lt;/D&gt;&lt;D xsi:type="xsd:double"&gt;1.7912626&lt;/D&gt;&lt;D xsi:type="xsd:double"&gt;0.44580698&lt;/D&gt;&lt;D xsi:type="xsd:double"&gt;8.315813&lt;/D&gt;&lt;D xsi:type="xsd:double"&gt;2.9440284&lt;/D&gt;&lt;D xsi:type="xsd:double"&gt;1.3657689&lt;/D&gt;&lt;D xsi:type="xsd:double"&gt;-2.463156&lt;/D&gt;&lt;D xsi:type="xsd:double"&gt;2.8707027&lt;/D&gt;&lt;D xsi:type="xsd:double"&gt;-5.772978&lt;/D&gt;&lt;D xsi:type="xsd:double"&gt;6.8169594&lt;/D&gt;&lt;D xsi:type="xsd:double"&gt;2.5583148&lt;/D&gt;&lt;D xsi:type="xsd:double"&gt;-0.5386412&lt;/D&gt;&lt;D xsi:type="xsd:double"&gt;2.7286053&lt;/D&gt;&lt;D xsi:type="xsd:double"&gt;-0.08110404&lt;/D&gt;&lt;D xsi:type="xsd:double"&gt;-2.9017866&lt;/D&gt;&lt;D xsi:type="xsd:double"&gt;5.2664638&lt;/D&gt;&lt;D xsi:type="xsd:double"&gt;-2.8386414&lt;/D&gt;&lt;D xsi:type="xsd:double"&gt;-0.9349704&lt;/D&gt;&lt;D xsi:type="xsd:double"&gt;2.0763397&lt;/D&gt;&lt;D xsi:type="xsd:double"&gt;-5.711937&lt;/D&gt;&lt;D xsi:type="xsd:double"&gt;4.75049&lt;/D&gt;&lt;D xsi:type="xsd:double"&gt;-1.8862069&lt;/D&gt;&lt;D xsi:type="xsd:double"&gt;4.014671&lt;/D&gt;&lt;D xsi:type="xsd:double"&gt;3.2786965&lt;/D&gt;&lt;D xsi:type="xsd:double"&gt;2.1699786&lt;/D&gt;&lt;D xsi:type="xsd:double"&gt;1.8879056&lt;/D&gt;&lt;D xsi:type="xsd:double"&gt;-0.4825294&lt;/D&gt;&lt;D xsi:type="xsd:double"&gt;-0.41757822&lt;/D&gt;&lt;D xsi:type="xsd:double"&gt;9.964407&lt;/D&gt;&lt;D xsi:type="xsd:double"&gt;-6.2747183&lt;/D&gt;&lt;D xsi:type="xsd:double"&gt;-0.70017576&lt;/D&gt;&lt;D xsi:type="xsd:double"&gt;3.9408922&lt;/D&gt;&lt;D xsi:type="xsd:double"&gt;-1.1708975&lt;/D&gt;&lt;D xsi:type="xsd:double"&gt;7.1728587&lt;/D&gt;&lt;D xsi:type="xsd:double"&gt;4.7491074&lt;/D&gt;&lt;D xsi:type="xsd:double"&gt;-2.2497892&lt;/D&gt;&lt;D xsi:type="xsd:double"&gt;-28.598404&lt;/D&gt;&lt;D xsi:type="xsd:double"&gt;20.57761&lt;/D&gt;&lt;D xsi:type="xsd:double"&gt;3.2730222&lt;/D&gt;&lt;D xsi:type="xsd:double"&gt;8.149921&lt;/D&gt;&lt;D xsi:type="xsd:double"&gt;5.9556484&lt;/D&gt;&lt;D xsi:type="xsd:double"&gt;3.5108924&lt;/D&gt;&lt;D xsi:type="xsd:double"&gt;-2.205515&lt;/D&gt;&lt;D xsi:type="xsd:double"&gt;4.9034715&lt;/D&gt;&lt;D xsi:type="xsd:double"&gt;5.4234505&lt;/D&gt;&lt;D xsi:type="xsd:double"&gt;2.3424983&lt;/D&gt;&lt;D xsi:type="xsd:double"&gt;1.465869&lt;/D&gt;&lt;D xsi:type="xsd:double"&gt;-2.407825&lt;/D&gt;&lt;D xsi:type="xsd:double"&gt;-1.4340818&lt;/D&gt;&lt;D xsi:type="xsd:double"&gt;0.8917451&lt;/D&gt;&lt;D xsi:type="xsd:double"&gt;-2.744609&lt;/D&gt;&lt;D xsi:type="xsd:double"&gt;-3.6157727&lt;/D&gt;&lt;D xsi:type="xsd:double"&gt;2.5538325&lt;/D&gt;&lt;D xsi:type="xsd:double"&gt;-2.360022&lt;/D&gt;&lt;D xsi:type="xsd:double"&gt;5.5342555&lt;/D&gt;&lt;D xsi:type="xsd:double"&gt;-1.2004435&lt;/D&gt;&lt;D xsi:type="xsd:double"&gt;-2.3661077&lt;/D&gt;&lt;D xsi:type="xsd:double"&gt;-5.844241&lt;/D&gt;&lt;D xsi:type="xsd:double"&gt;0.39994717&lt;/D&gt;&lt;D xsi:type="xsd:double"&gt;-5.7861447&lt;/D&gt;&lt;D xsi:type="xsd:double"&gt;5.8241487&lt;/D&gt;&lt;D xsi:type="xsd:double"&gt;-7.373434&lt;/D&gt;&lt;D xsi:type="xsd:double"&gt;-11.597795&lt;/D&gt;&lt;D xsi:type="xsd:double"&gt;-5.4959955&lt;/D&gt;&lt;D xsi:type="xsd:double"&gt;4.249537&lt;/D&gt;&lt;D xsi:type="xsd:double"&gt;8.865416&lt;/D&gt;&lt;D xsi:type="xsd:double"&gt;-6.5637054&lt;/D&gt;&lt;D xsi:type="xsd:double"&gt;-11.004787&lt;/D&gt;&lt;D xsi:type="xsd:double"&gt;13.856316&lt;/D&gt;&lt;D xsi:type="xsd:double"&gt;5.143535&lt;/D&gt;&lt;D xsi:type="xsd:double"&gt;5.046153&lt;/D&gt;&lt;D xsi:type="xsd:double"&gt;-0.410074&lt;/D&gt;&lt;D xsi:type="xsd:double"&gt;-4.2352915&lt;/D&gt;&lt;D xsi:type="xsd:double"&gt;1.2592196&lt;/D&gt;&lt;D xsi:type="xsd:double"&gt;2.0725846&lt;/D&gt;&lt;D xsi:type="xsd:double"&gt;-2.2402942&lt;/D&gt;&lt;D xsi:type="xsd:double"&gt;2.2308588&lt;/D&gt;&lt;D xsi:type="xsd:double"&gt;-9.029031&lt;/D&gt;&lt;D xsi:type="xsd:double"&gt;-2.0466566&lt;/D&gt;&lt;D xsi:type="xsd:double"&gt;-3.3250928&lt;/D&gt;&lt;D xsi:type="xsd:double"&gt;2.997911&lt;/D&gt;&lt;D xsi:type="xsd:double"&gt;7.8181386&lt;/D&gt;&lt;D xsi:type="xsd:double"&gt;-0.8136153&lt;/D&gt;&lt;D xsi:type="xsd:double"&gt;-1.7230213&lt;/D&gt;&lt;D xsi:type="xsd:double"&gt;-1.4245033&lt;/D&gt;&lt;D xsi:type="xsd:double"&gt;-2.1787465&lt;/D&gt;&lt;/FQL&gt;&lt;FQL&gt;&lt;Q&gt;EWG^FMA_EVAL_EBITDA(NTMA,0,,,"PORTAGG","MEANR")&lt;/Q&gt;&lt;R&gt;1&lt;/R&gt;&lt;C&gt;1&lt;/C&gt;&lt;D xsi:type="xsd:double"&gt;8.46241302801039&lt;/D&gt;&lt;/FQL&gt;&lt;FQL&gt;&lt;Q&gt;COPP-FDS^FG_PRICE_CHANGE(0,-3AM)&lt;/Q&gt;&lt;R&gt;1&lt;/R&gt;&lt;C&gt;1&lt;/C&gt;&lt;D xsi:type="xsd:double"&gt;18.5714285714286&lt;/D&gt;&lt;/FQL&gt;&lt;FQL&gt;&lt;Q&gt;TRYBR10Y-FDS^FG_YIELD(-10AY,0,Y,,"YTM")&lt;/Q&gt;&lt;R&gt;10&lt;/R&gt;&lt;C&gt;1&lt;/C&gt;&lt;D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xsi:type="xsd:double"&gt;10.455909&lt;/D&gt;&lt;/FQL&gt;&lt;FQL&gt;&lt;Q&gt;CAGDPY@NL^EE_ACTUAL_ANNUAL(MED,+1)&lt;/Q&gt;&lt;R&gt;1&lt;/R&gt;&lt;C&gt;1&lt;/C&gt;&lt;D xsi:type="xsd:double"&gt;7.6&lt;/D&gt;&lt;/FQL&gt;&lt;FQL&gt;&lt;Q&gt;USDCHF^FG_PRICE(0)&lt;/Q&gt;&lt;R&gt;1&lt;/R&gt;&lt;C&gt;1&lt;/C&gt;&lt;D xsi:type="xsd:double"&gt;0.9121&lt;/D&gt;&lt;/FQL&gt;&lt;FQL&gt;&lt;Q&gt;DDR3512M-FDS^FG_PRICE_CHANGE(0,-1AY)&lt;/Q&gt;&lt;R&gt;1&lt;/R&gt;&lt;C&gt;1&lt;/C&gt;&lt;D xsi:type="xsd:double"&gt;-11.8436036363637&lt;/D&gt;&lt;/FQL&gt;&lt;FQL&gt;&lt;Q&gt;USDANG^STD(FG_PRICE_CHANGE(0,-1AY,AM))&lt;/Q&gt;&lt;R&gt;1&lt;/R&gt;&lt;C&gt;1&lt;/C&gt;&lt;D xsi:type="xsd:double"&gt;0&lt;/D&gt;&lt;/FQL&gt;&lt;FQL&gt;&lt;Q&gt;ENZL^JULIAN(FG_TOTAL_RETURNC(-10AY,0,AM).DATES)&lt;/Q&gt;&lt;R&gt;121&lt;/R&gt;&lt;C&gt;1&lt;/C&gt;&lt;D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xsi:type="xsd:long"&gt;45400&lt;/D&gt;&lt;/FQL&gt;&lt;FQL&gt;&lt;Q&gt;PLATI-FDS^FG_PRICE_CHANGE(0,-3AM)&lt;/Q&gt;&lt;R&gt;1&lt;/R&gt;&lt;C&gt;1&lt;/C&gt;&lt;D xsi:type="xsd:double"&gt;5&lt;/D&gt;&lt;/FQL&gt;&lt;FQL&gt;&lt;Q&gt;EWU^FG_PRICE(0)&lt;/Q&gt;&lt;R&gt;1&lt;/R&gt;&lt;C&gt;1&lt;/C&gt;&lt;D xsi:type="xsd:double"&gt;33.33&lt;/D&gt;&lt;/FQL&gt;&lt;FQL&gt;&lt;Q&gt;EWL^FG_TOTAL_RETURNC(0,-1AM)&lt;/Q&gt;&lt;R&gt;1&lt;/R&gt;&lt;C&gt;1&lt;/C&gt;&lt;D xsi:type="xsd:double"&gt;-5.263156&lt;/D&gt;&lt;/FQL&gt;&lt;FQL&gt;&lt;Q&gt;EWD^FMA_COS_DOWN("EPS","1M",+1,0,,,"PORTAGG","MEANR")&lt;/Q&gt;&lt;R&gt;1&lt;/R&gt;&lt;C&gt;1&lt;/C&gt;&lt;D xsi:type="xsd:double"&gt;9&lt;/D&gt;&lt;/FQL&gt;&lt;FQL&gt;&lt;Q&gt;EWC^FMA_COS_DOWN("EPS","1M",+1,0,,,"PORTAGG","MEANR")&lt;/Q&gt;&lt;R&gt;1&lt;/R&gt;&lt;C&gt;1&lt;/C&gt;&lt;D xsi:type="xsd:double"&gt;26&lt;/D&gt;&lt;/FQL&gt;&lt;FQL&gt;&lt;Q&gt;EWD^FMA_RBICS_REV_CURRENT(30, LOC, "PORTAGG")&lt;/Q&gt;&lt;R&gt;1&lt;/R&gt;&lt;C&gt;1&lt;/C&gt;&lt;D xsi:type="xsd:double"&gt;27.1998242779552&lt;/D&gt;&lt;/FQL&gt;&lt;FQL&gt;&lt;Q&gt;ENZL^FG_ROE(0)&lt;/Q&gt;&lt;R&gt;1&lt;/R&gt;&lt;C&gt;1&lt;/C&gt;&lt;D xsi:type="xsd:double"&gt;5.61775799865401&lt;/D&gt;&lt;/FQL&gt;&lt;FQL&gt;&lt;Q&gt;EWI^FMA_DIV_YLD(NTMA,NOW,NOW,M,"PORTAGG","MEANR")&lt;/Q&gt;&lt;R&gt;1&lt;/R&gt;&lt;C&gt;1&lt;/C&gt;&lt;D xsi:type="xsd:double"&gt;5.07522241707554&lt;/D&gt;&lt;/FQL&gt;&lt;FQL&gt;&lt;Q&gt;EWQ^FMA_DIV_YLD(NTMA,NOW,NOW,M,"PORTAGG","MEANR")&lt;/Q&gt;&lt;R&gt;1&lt;/R&gt;&lt;C&gt;1&lt;/C&gt;&lt;D xsi:type="xsd:double"&gt;3.05306958669706&lt;/D&gt;&lt;/FQL&gt;&lt;FQL&gt;&lt;Q&gt;EWG^FG_FCF_YIELD_NTM(0)&lt;/Q&gt;&lt;R&gt;1&lt;/R&gt;&lt;C&gt;1&lt;/C&gt;&lt;D xsi:type="xsd:double"&gt;6.12118595497171&lt;/D&gt;&lt;/FQL&gt;&lt;FQL&gt;&lt;Q&gt;ENZL^FMA_EVAL_EBITDA(NTMA,0,,,"PORTAGG","MEANR")&lt;/Q&gt;&lt;R&gt;1&lt;/R&gt;&lt;C&gt;1&lt;/C&gt;&lt;D xsi:type="xsd:double"&gt;12.2715058053029&lt;/D&gt;&lt;/FQL&gt;&lt;FQL&gt;&lt;Q&gt;EWI^FMA_PE(NTMA,0,,,"PORTAGG","MEANR")&lt;/Q&gt;&lt;R&gt;1&lt;/R&gt;&lt;C&gt;1&lt;/C&gt;&lt;D xsi:type="xsd:double"&gt;9.4499010594736&lt;/D&gt;&lt;/FQL&gt;&lt;FQL&gt;&lt;Q&gt;EWG^FMA_DIV_YLD(NTMA,NOW,NOW,M,"PORTAGG","MEANR")&lt;/Q&gt;&lt;R&gt;1&lt;/R&gt;&lt;C&gt;1&lt;/C&gt;&lt;D xsi:type="xsd:double"&gt;3.24833813009107&lt;/D&gt;&lt;/FQL&gt;&lt;FQL&gt;&lt;Q&gt;COPP-FDS^FG_PRICE_MAVG(0,,,,30)&lt;/Q&gt;&lt;R&gt;1&lt;/R&gt;&lt;C&gt;1&lt;/C&gt;&lt;D xsi:type="xsd:double"&gt;4.124133&lt;/D&gt;&lt;/FQL&gt;&lt;FQL&gt;&lt;Q&gt;VGK^FG_TOTAL_RETURNC(0,-3AM)&lt;/Q&gt;&lt;R&gt;1&lt;/R&gt;&lt;C&gt;1&lt;/C&gt;&lt;D xsi:type="xsd:double"&gt;3.8551927&lt;/D&gt;&lt;/FQL&gt;&lt;FQL&gt;&lt;Q&gt;EWN^FG_TOTAL_RETURNC(0,-3AM)&lt;/Q&gt;&lt;R&gt;1&lt;/R&gt;&lt;C&gt;1&lt;/C&gt;&lt;D xsi:type="xsd:double"&gt;8.429027&lt;/D&gt;&lt;/FQL&gt;&lt;FQL&gt;&lt;Q&gt;EWC^FG_TOTAL_RETURNC(0,-6AM)&lt;/Q&gt;&lt;R&gt;1&lt;/R&gt;&lt;C&gt;1&lt;/C&gt;&lt;D xsi:type="xsd:double"&gt;13.188148&lt;/D&gt;&lt;/FQL&gt;&lt;FQL&gt;&lt;Q&gt;FXI^FMA_COS_UP("EPS","1M",+1,0,,,"PORTAGG","MEANR")&lt;/Q&gt;&lt;R&gt;1&lt;/R&gt;&lt;C&gt;1&lt;/C&gt;&lt;D xsi:type="xsd:double"&gt;12&lt;/D&gt;&lt;/FQL&gt;&lt;FQL&gt;&lt;Q&gt;TRYSE10Y-FDS^PCTCHG(FG_YIELD(0,,,,"YTM"),FG_YIELD(-3AM,,,,"YTM"))&lt;/Q&gt;&lt;R&gt;1&lt;/R&gt;&lt;C&gt;1&lt;/C&gt;&lt;D xsi:type="xsd:double"&gt;8.923884&lt;/D&gt;&lt;/FQL&gt;&lt;FQL&gt;&lt;Q&gt;EWI^FMA_PE(LTM,0,,,"PORTAGG","MEANR")&lt;/Q&gt;&lt;R&gt;1&lt;/R&gt;&lt;C&gt;1&lt;/C&gt;&lt;D xsi:type="xsd:double"&gt;10.3560882418401&lt;/D&gt;&lt;/FQL&gt;&lt;FQL&gt;&lt;Q&gt;VGK^P_PRICE(0)/P_PRICE_HIGH_PR(0,,,USD,,,"PRICE","INTRA","52W")&lt;/Q&gt;&lt;R&gt;1&lt;/R&gt;&lt;C&gt;1&lt;/C&gt;&lt;D xsi:type="xsd:double"&gt;0.95190316&lt;/D&gt;&lt;/FQL&gt;&lt;FQL&gt;&lt;Q&gt;EWA^SIZE(FG_CONSTITUENTS)&lt;/Q&gt;&lt;R&gt;1&lt;/R&gt;&lt;C&gt;1&lt;/C&gt;&lt;D xsi:type="xsd:long"&gt;59&lt;/D&gt;&lt;/FQL&gt;&lt;FQL&gt;&lt;Q&gt;EWI^JULIAN(FMA_DIV_YLD(NTMA,NOW,NOW,M,"PORTAGG","MEANR").DATES)&lt;/Q&gt;&lt;R&gt;1&lt;/R&gt;&lt;C&gt;1&lt;/C&gt;&lt;D xsi:type="xsd:long"&gt;45379&lt;/D&gt;&lt;/FQL&gt;&lt;FQL&gt;&lt;Q&gt;EWQ^JULIAN(FMA_DIV_YLD(NTMA,NOW,NOW,M,"PORTAGG","MEANR").DATES)&lt;/Q&gt;&lt;R&gt;1&lt;/R&gt;&lt;C&gt;1&lt;/C&gt;&lt;D xsi:type="xsd:long"&gt;45379&lt;/D&gt;&lt;/FQL&gt;&lt;FQL&gt;&lt;Q&gt;TRYVN10Y-FDS^FG_YIELD(-10AY,0,Y,,"YTM")&lt;/Q&gt;&lt;R&gt;10&lt;/R&gt;&lt;C&gt;1&lt;/C&gt;&lt;D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xsi:type="xsd:double"&gt;2.9473283&lt;/D&gt;&lt;/FQL&gt;&lt;FQL&gt;&lt;Q&gt;CAGDPY@NL^EE_ACTUAL_ANNUAL(MED,0)&lt;/Q&gt;&lt;R&gt;1&lt;/R&gt;&lt;C&gt;1&lt;/C&gt;&lt;D xsi:type="xsd:double"&gt;10.0892019550425&lt;/D&gt;&lt;/FQL&gt;&lt;FQL&gt;&lt;Q&gt;SPY^FMA_EPS(NTMA,-20AY,0,CY,,"PORTAGG","MEANR")&lt;/Q&gt;&lt;R&gt;20&lt;/R&gt;&lt;C&gt;1&lt;/C&gt;&lt;D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xsi:type="xsd:double"&gt;22.9688510974762&lt;/D&gt;&lt;D xsi:type="xsd:double"&gt;24.3449681592733&lt;/D&gt;&lt;/FQL&gt;&lt;FQL&gt;&lt;Q&gt;COPP-FDS^FG_PRICE_CHANGE(0,-1AM)&lt;/Q&gt;&lt;R&gt;1&lt;/R&gt;&lt;C&gt;1&lt;/C&gt;&lt;D xsi:type="xsd:double"&gt;7.92319844452547&lt;/D&gt;&lt;/FQL&gt;&lt;FQL&gt;&lt;Q&gt;VGK^FG_TOTAL_RETURNC(0,-6AM)&lt;/Q&gt;&lt;R&gt;1&lt;/R&gt;&lt;C&gt;1&lt;/C&gt;&lt;D xsi:type="xsd:double"&gt;14.664877&lt;/D&gt;&lt;/FQL&gt;&lt;FQL&gt;&lt;Q&gt;EWN^P_PRICE(0)/P_PRICE_HIGH_PR(0,,,,,,"PRICE","INTRA","52W")&lt;/Q&gt;&lt;R&gt;1&lt;/R&gt;&lt;C&gt;1&lt;/C&gt;&lt;D xsi:type="xsd:double"&gt;0.9385686&lt;/D&gt;&lt;/FQL&gt;&lt;FQL&gt;&lt;Q&gt;EWC^P_PRICE(0)/P_PRICE_LOW_PR(0,,,,,,"PRICE","INTRA","52W")-1&lt;/Q&gt;&lt;R&gt;1&lt;/R&gt;&lt;C&gt;1&lt;/C&gt;&lt;D xsi:type="xsd:double"&gt;0.17319322&lt;/D&gt;&lt;/FQL&gt;&lt;FQL&gt;&lt;Q&gt;FXI^FMA_COS_DOWN("EPS","1M",+1,0,,,"PORTAGG","MEANR")&lt;/Q&gt;&lt;R&gt;1&lt;/R&gt;&lt;C&gt;1&lt;/C&gt;&lt;D xsi:type="xsd:double"&gt;36&lt;/D&gt;&lt;/FQL&gt;&lt;FQL&gt;&lt;Q&gt;EWD^FMA_COS_UP("EPS","1M",+1,0,,,"PORTAGG","MEANR")&lt;/Q&gt;&lt;R&gt;1&lt;/R&gt;&lt;C&gt;1&lt;/C&gt;&lt;D xsi:type="xsd:double"&gt;21&lt;/D&gt;&lt;/FQL&gt;&lt;FQL&gt;&lt;Q&gt;EWN^FMA_RBICS_REV_CURRENT(30, LOC, "PORTAGG")&lt;/Q&gt;&lt;R&gt;1&lt;/R&gt;&lt;C&gt;1&lt;/C&gt;&lt;D xsi:type="xsd:double"&gt;24.7200394051192&lt;/D&gt;&lt;/FQL&gt;&lt;FQL&gt;&lt;Q&gt;REFGBBANK-FDS^FG_YIELD(NOW,,,0)&lt;/Q&gt;&lt;R&gt;1&lt;/R&gt;&lt;C&gt;1&lt;/C&gt;&lt;D xsi:type="xsd:double"&gt;5.25&lt;/D&gt;&lt;/FQL&gt;&lt;FQL&gt;&lt;Q&gt;TRYIT10Y-FDS^PCTCHG(FG_YIELD(0,,,,"YTM"),FG_YIELD(-1AM,,,,"YTM"))&lt;/Q&gt;&lt;R&gt;1&lt;/R&gt;&lt;C&gt;1&lt;/C&gt;&lt;D xsi:type="xsd:double"&gt;5.2960396&lt;/D&gt;&lt;/FQL&gt;&lt;FQL&gt;&lt;Q&gt;TRYCA10Y-FDS^PCTCHG(FG_YIELD(0,,,,"YTM"),FG_YIELD(-1AM,,,,"YTM"))&lt;/Q&gt;&lt;R&gt;1&lt;/R&gt;&lt;C&gt;1&lt;/C&gt;&lt;D xsi:type="xsd:double"&gt;4.2826605&lt;/D&gt;&lt;/FQL&gt;&lt;FQL&gt;&lt;Q&gt;TRYJP10Y-FDS^FG_YIELD(0,,,,"YTM")&lt;/Q&gt;&lt;R&gt;1&lt;/R&gt;&lt;C&gt;1&lt;/C&gt;&lt;D xsi:type="xsd:double"&gt;0.8725&lt;/D&gt;&lt;/FQL&gt;&lt;FQL&gt;&lt;Q&gt;CC_AU^IMF_IFS_RCPI_Q(0)&lt;/Q&gt;&lt;R&gt;0&lt;/R&gt;&lt;C&gt;0&lt;/C&gt;&lt;/FQL&gt;&lt;FQL&gt;&lt;Q&gt;EWQ^FMA_PE(NTMA,0,,,"PORTAGG","MEANR")&lt;/Q&gt;&lt;R&gt;1&lt;/R&gt;&lt;C&gt;1&lt;/C&gt;&lt;D xsi:type="xsd:double"&gt;14.3742650847746&lt;/D&gt;&lt;/FQL&gt;&lt;FQL&gt;&lt;Q&gt;EWU^FMA_DIV_YLD(NTMA,NOW,NOW,M,"PORTAGG","MEANR")&lt;/Q&gt;&lt;R&gt;1&lt;/R&gt;&lt;C&gt;1&lt;/C&gt;&lt;D xsi:type="xsd:double"&gt;4.02267445589315&lt;/D&gt;&lt;/FQL&gt;&lt;FQL&gt;&lt;Q&gt;ENZL^FG_FCF_YIELD_NTM(0)&lt;/Q&gt;&lt;R&gt;1&lt;/R&gt;&lt;C&gt;1&lt;/C&gt;&lt;D xsi:type="xsd:double"&gt;0.337419783131455&lt;/D&gt;&lt;/FQL&gt;&lt;FQL&gt;&lt;Q&gt;QQQ^FG_TOTAL_RETURNC(0,-1AM)&lt;/Q&gt;&lt;R&gt;1&lt;/R&gt;&lt;C&gt;1&lt;/C&gt;&lt;D xsi:type="xsd:double"&gt;-3.2161474&lt;/D&gt;&lt;/FQL&gt;&lt;FQL&gt;&lt;Q&gt;TRYUS10Y-FDS^FG_YIELD(-10AY,0,Y,,"YTM")&lt;/Q&gt;&lt;R&gt;10&lt;/R&gt;&lt;C&gt;1&lt;/C&gt;&lt;D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xsi:type="xsd:double"&gt;3.8791&lt;/D&gt;&lt;/FQL&gt;&lt;FQL&gt;&lt;Q&gt;USDANG^FG_PRICE_CHANGE(0,-6AM)&lt;/Q&gt;&lt;R&gt;1&lt;/R&gt;&lt;C&gt;1&lt;/C&gt;&lt;D xsi:type="xsd:double"&gt;0&lt;/D&gt;&lt;/FQL&gt;&lt;FQL&gt;&lt;Q&gt;USDJPY^STD(FG_PRICE_CHANGE(0,-3AY,M))&lt;/Q&gt;&lt;R&gt;1&lt;/R&gt;&lt;C&gt;1&lt;/C&gt;&lt;D xsi:type="xsd:double"&gt;3.01948152393537&lt;/D&gt;&lt;/FQL&gt;&lt;FQL&gt;&lt;Q&gt;EWI^FMA_DIV_YLD(NTMA,-10AY,0,AM,"PORTAGG","MEANR")&lt;/Q&gt;&lt;R&gt;121&lt;/R&gt;&lt;C&gt;1&lt;/C&gt;&lt;D xsi:type="xsd:double"&gt;3.42341169350465&lt;/D&gt;&lt;D xsi:type="xsd:double"&gt;3.58048748172727&lt;/D&gt;&lt;D xsi:type="xsd:double"&gt;3.39973240930763&lt;/D&gt;&lt;D xsi:type="xsd:double"&gt;3.48519459925562&lt;/D&gt;&lt;D xsi:type="xsd:double"&gt;3.71616283065742&lt;/D&gt;&lt;D xsi:type="xsd:double"&gt;3.51924915956084&lt;/D&gt;&lt;D xsi:type="xsd:double"&gt;4.08857713429136&lt;/D&gt;&lt;D xsi:type="xsd:double"&gt;3.95670030768122&lt;/D&gt;&lt;D xsi:type="xsd:double"&gt;4.04591559274003&lt;/D&gt;&lt;D xsi:type="xsd:double"&gt;4.04382352170221&lt;/D&gt;&lt;D xsi:type="xsd:double"&gt;3.51855245144576&lt;/D&gt;&lt;D xsi:type="xsd:double"&gt;3.20481426593504&lt;/D&gt;&lt;D xsi:type="xsd:double"&gt;3.16458340530868&lt;/D&gt;&lt;D xsi:type="xsd:double"&gt;3.2073565135227&lt;/D&gt;&lt;D xsi:type="xsd:double"&gt;3.3747119323474&lt;/D&gt;&lt;D xsi:type="xsd:double"&gt;3.1554905469398&lt;/D&gt;&lt;D xsi:type="xsd:double"&gt;3.14940029098058&lt;/D&gt;&lt;D xsi:type="xsd:double"&gt;3.46852254345392&lt;/D&gt;&lt;D xsi:type="xsd:double"&gt;3.55207073737418&lt;/D&gt;&lt;D xsi:type="xsd:double"&gt;3.64272232206201&lt;/D&gt;&lt;D xsi:type="xsd:double"&gt;3.84886814215635&lt;/D&gt;&lt;D xsi:type="xsd:double"&gt;4.30985214745065&lt;/D&gt;&lt;D xsi:type="xsd:double"&gt;4.65445340435889&lt;/D&gt;&lt;D xsi:type="xsd:double"&gt;4.25994178135223&lt;/D&gt;&lt;D xsi:type="xsd:double"&gt;4.37673608520483&lt;/D&gt;&lt;D xsi:type="xsd:double"&gt;4.54468893858671&lt;/D&gt;&lt;D xsi:type="xsd:double"&gt;4.8366151161657&lt;/D&gt;&lt;D xsi:type="xsd:double"&gt;4.76228333906135&lt;/D&gt;&lt;D xsi:type="xsd:double"&gt;4.77295699418237&lt;/D&gt;&lt;D xsi:type="xsd:double"&gt;5.01482055046861&lt;/D&gt;&lt;D xsi:type="xsd:double"&gt;4.84665594127021&lt;/D&gt;&lt;D xsi:type="xsd:double"&gt;4.89782628578067&lt;/D&gt;&lt;D xsi:type="xsd:double"&gt;4.33500027503235&lt;/D&gt;&lt;D xsi:type="xsd:double"&gt;4.33217484498994&lt;/D&gt;&lt;D xsi:type="xsd:double"&gt;4.43891666415069&lt;/D&gt;&lt;D xsi:type="xsd:double"&gt;3.9863165802137&lt;/D&gt;&lt;D xsi:type="xsd:double"&gt;4.12601387645854&lt;/D&gt;&lt;D xsi:type="xsd:double"&gt;3.80973121205636&lt;/D&gt;&lt;D xsi:type="xsd:double"&gt;3.7853080044945&lt;/D&gt;&lt;D xsi:type="xsd:double"&gt;3.76468447782024&lt;/D&gt;&lt;D xsi:type="xsd:double"&gt;3.76372439793915&lt;/D&gt;&lt;D xsi:type="xsd:double"&gt;3.70665795433972&lt;/D&gt;&lt;D xsi:type="xsd:double"&gt;3.83142448340642&lt;/D&gt;&lt;D xsi:type="xsd:double"&gt;3.92266861476023&lt;/D&gt;&lt;D xsi:type="xsd:double"&gt;3.87702585838985&lt;/D&gt;&lt;D xsi:type="xsd:double"&gt;3.73747517532804&lt;/D&gt;&lt;D xsi:type="xsd:double"&gt;3.92503073918298&lt;/D&gt;&lt;D xsi:type="xsd:double"&gt;4.01384244607288&lt;/D&gt;&lt;D xsi:type="xsd:double"&gt;3.91327911618714&lt;/D&gt;&lt;D xsi:type="xsd:double"&gt;4.02712981032919&lt;/D&gt;&lt;D xsi:type="xsd:double"&gt;4.39188166948059&lt;/D&gt;&lt;D xsi:type="xsd:double"&gt;4.46401139120189&lt;/D&gt;&lt;D xsi:type="xsd:double"&gt;4.70533723590552&lt;/D&gt;&lt;D xsi:type="xsd:double"&gt;4.57409903242044&lt;/D&gt;&lt;D xsi:type="xsd:double"&gt;5.09041400903525&lt;/D&gt;&lt;D xsi:type="xsd:double"&gt;5.17219035349407&lt;/D&gt;&lt;D xsi:type="xsd:double"&gt;5.31942751395732&lt;/D&gt;&lt;D xsi:type="xsd:double"&gt;5.07212143979012&lt;/D&gt;&lt;D xsi:type="xsd:double"&gt;4.919361234089&lt;/D&gt;&lt;D xsi:ty</t>
        </r>
      </text>
    </comment>
    <comment ref="A14" authorId="0" shapeId="0" xr:uid="{C7652C02-B561-4B6A-92AB-7DAC1AB6E658}">
      <text>
        <r>
          <rPr>
            <b/>
            <sz val="9"/>
            <color indexed="81"/>
            <rFont val="Tahoma"/>
            <charset val="1"/>
          </rPr>
          <t>pe="xsd:double"&gt;4.70143356398454&lt;/D&gt;&lt;D xsi:type="xsd:double"&gt;4.60895623624655&lt;/D&gt;&lt;D xsi:type="xsd:double"&gt;4.82135189210368&lt;/D&gt;&lt;D xsi:type="xsd:double"&gt;4.84599681767759&lt;/D&gt;&lt;D xsi:type="xsd:double"&gt;4.66535107729266&lt;/D&gt;&lt;D xsi:type="xsd:double"&gt;5.10238955572681&lt;/D&gt;&lt;D xsi:type="xsd:double"&gt;4.76487166176215&lt;/D&gt;&lt;D xsi:type="xsd:double"&gt;4.70944685406451&lt;/D&gt;&lt;D xsi:type="xsd:double"&gt;4.53299130976608&lt;/D&gt;&lt;D xsi:type="xsd:double"&gt;4.46580460180627&lt;/D&gt;&lt;D xsi:type="xsd:double"&gt;4.40434774007868&lt;/D&gt;&lt;D xsi:type="xsd:double"&gt;4.39223103378862&lt;/D&gt;&lt;D xsi:type="xsd:double"&gt;7.01484104424483&lt;/D&gt;&lt;D xsi:type="xsd:double"&gt;5.83046663565817&lt;/D&gt;&lt;D xsi:type="xsd:double"&gt;4.95432522947276&lt;/D&gt;&lt;D xsi:type="xsd:double"&gt;4.29071472835944&lt;/D&gt;&lt;D xsi:type="xsd:double"&gt;4.19572870807577&lt;/D&gt;&lt;D xsi:type="xsd:double"&gt;3.97184911104098&lt;/D&gt;&lt;D xsi:type="xsd:double"&gt;4.09721807676856&lt;/D&gt;&lt;D xsi:type="xsd:double"&gt;4.13893151430475&lt;/D&gt;&lt;D xsi:type="xsd:double"&gt;3.94143905936604&lt;/D&gt;&lt;D xsi:type="xsd:double"&gt;3.95761846991395&lt;/D&gt;&lt;D xsi:type="xsd:double"&gt;3.9855176020305&lt;/D&gt;&lt;D xsi:type="xsd:double"&gt;4.04064660011001&lt;/D&gt;&lt;D xsi:type="xsd:double"&gt;4.01346324371235&lt;/D&gt;&lt;D xsi:type="xsd:double"&gt;4.06134480810066&lt;/D&gt;&lt;D xsi:type="xsd:double"&gt;4.16168156298897&lt;/D&gt;&lt;D xsi:type="xsd:double"&gt;4.11617877378006&lt;/D&gt;&lt;D xsi:type="xsd:double"&gt;4.24017078880966&lt;/D&gt;&lt;D xsi:type="xsd:double"&gt;4.30606917476732&lt;/D&gt;&lt;D xsi:type="xsd:double"&gt;4.54412784350503&lt;/D&gt;&lt;D xsi:type="xsd:double"&gt;4.43282955151366&lt;/D&gt;&lt;D xsi:type="xsd:double"&gt;4.32627135466019&lt;/D&gt;&lt;D xsi:type="xsd:double"&gt;4.69808614891234&lt;/D&gt;&lt;D xsi:type="xsd:double"&gt;4.63532129002097&lt;/D&gt;&lt;D xsi:type="xsd:double"&gt;4.87962721588193&lt;/D&gt;&lt;D xsi:type="xsd:double"&gt;5.22677517032136&lt;/D&gt;&lt;D xsi:type="xsd:double"&gt;5.0394935013942&lt;/D&gt;&lt;D xsi:type="xsd:double"&gt;5.18536891598791&lt;/D&gt;&lt;D xsi:type="xsd:double"&gt;5.82744226824427&lt;/D&gt;&lt;D xsi:type="xsd:double"&gt;6.01960655869&lt;/D&gt;&lt;D xsi:type="xsd:double"&gt;5.54060031260596&lt;/D&gt;&lt;D xsi:type="xsd:double"&gt;5.64208214212667&lt;/D&gt;&lt;D xsi:type="xsd:double"&gt;5.99201569674036&lt;/D&gt;&lt;D xsi:type="xsd:double"&gt;5.43678694208399&lt;/D&gt;&lt;D xsi:type="xsd:double"&gt;5.93596553972739&lt;/D&gt;&lt;D xsi:type="xsd:double"&gt;5.42606814180322&lt;/D&gt;&lt;D xsi:type="xsd:double"&gt;5.39714647360119&lt;/D&gt;&lt;D xsi:type="xsd:double"&gt;5.76033624159116&lt;/D&gt;&lt;D xsi:type="xsd:double"&gt;5.29539547280831&lt;/D&gt;&lt;D xsi:type="xsd:double"&gt;5.58334893437973&lt;/D&gt;&lt;D xsi:type="xsd:double"&gt;5.31858362174296&lt;/D&gt;&lt;D xsi:type="xsd:double"&gt;5.24476526334454&lt;/D&gt;&lt;D xsi:type="xsd:double"&gt;5.66858929225068&lt;/D&gt;&lt;D xsi:type="xsd:double"&gt;5.42534088365737&lt;/D&gt;&lt;D xsi:type="xsd:double"&gt;5.60038417148665&lt;/D&gt;&lt;D xsi:type="xsd:double"&gt;5.48695311589732&lt;/D&gt;&lt;D xsi:type="xsd:double"&gt;5.49693415118855&lt;/D&gt;&lt;D xsi:type="xsd:double"&gt;5.42856697348363&lt;/D&gt;&lt;D xsi:type="xsd:double"&gt;5.44131822946714&lt;/D&gt;&lt;D xsi:type="xsd:double"&gt;5.16546177552597&lt;/D&gt;&lt;D xsi:type="xsd:double"&gt;5.31785998768009&lt;/D&gt;&lt;/FQL&gt;&lt;FQL&gt;&lt;Q&gt;DDR3512M-FDS^FG_PRICE_CHANGE(0,-3AM)&lt;/Q&gt;&lt;R&gt;1&lt;/R&gt;&lt;C&gt;1&lt;/C&gt;&lt;D xsi:type="xsd:double"&gt;-1.74832435118224&lt;/D&gt;&lt;/FQL&gt;&lt;FQL&gt;&lt;Q&gt;PLATI-FDS^FG_PRICE_CHANGE(0,-1AM)&lt;/Q&gt;&lt;R&gt;1&lt;/R&gt;&lt;C&gt;1&lt;/C&gt;&lt;D xsi:type="xsd:double"&gt;1.06951871657754&lt;/D&gt;&lt;/FQL&gt;&lt;FQL&gt;&lt;Q&gt;EWL^FG_PRICE_MAVG(0,,,,200)&lt;/Q&gt;&lt;R&gt;1&lt;/R&gt;&lt;C&gt;1&lt;/C&gt;&lt;D xsi:type="xsd:double"&gt;45.9514&lt;/D&gt;&lt;/FQL&gt;&lt;FQL&gt;&lt;Q&gt;EWL^PERCENT_CHANGE(FMA_EPS(+1,0,,,,"PORTAGG","MEAN"),FMA_EPS(+1,-1AM,,,,"PORTAGG","MEAN"))&lt;/Q&gt;&lt;R&gt;1&lt;/R&gt;&lt;C&gt;1&lt;/C&gt;&lt;D xsi:type="xsd:double"&gt;-1.47205448787202&lt;/D&gt;&lt;/FQL&gt;&lt;FQL&gt;&lt;Q&gt;EWC^P_PRICE(0)/P_PRICE_HIGH_PR(0,,,,,,"PRICE","INTRA","52W")&lt;/Q&gt;&lt;R&gt;1&lt;/R&gt;&lt;C&gt;1&lt;/C&gt;&lt;D xsi:type="xsd:double"&gt;0.9541688&lt;/D&gt;&lt;/FQL&gt;&lt;FQL&gt;&lt;Q&gt;EWN^SIZE(FG_CONSTITUENTS)&lt;/Q&gt;&lt;R&gt;1&lt;/R&gt;&lt;C&gt;1&lt;/C&gt;&lt;D xsi:type="xsd:long"&gt;54&lt;/D&gt;&lt;/FQL&gt;&lt;FQL&gt;&lt;Q&gt;EWC^FMA_COS_UP("EPS","1M",+1,0,,,"PORTAGG","MEANR")&lt;/Q&gt;&lt;R&gt;1&lt;/R&gt;&lt;C&gt;1&lt;/C&gt;&lt;D xsi:type="xsd:double"&gt;34&lt;/D&gt;&lt;/FQL&gt;&lt;FQL&gt;&lt;Q&gt;EWQ^FMA_RBICS_REV_CURRENT(30, LOC, "PORTAGG")&lt;/Q&gt;&lt;R&gt;1&lt;/R&gt;&lt;C&gt;1&lt;/C&gt;&lt;D xsi:type="xsd:double"&gt;10.7938787406678&lt;/D&gt;&lt;/FQL&gt;&lt;FQL&gt;&lt;Q&gt;TRYAU10Y-FDS^PCTCHG(FG_YIELD(0,,,,"YTM"),FG_YIELD(-3AM,,,,"YTM"))&lt;/Q&gt;&lt;R&gt;1&lt;/R&gt;&lt;C&gt;1&lt;/C&gt;&lt;D xsi:type="xsd:double"&gt;0.37524086&lt;/D&gt;&lt;/FQL&gt;&lt;FQL&gt;&lt;Q&gt;EWQ^FMA_PE(LTM,0,,,"PORTAGG","MEANR")&lt;/Q&gt;&lt;R&gt;1&lt;/R&gt;&lt;C&gt;1&lt;/C&gt;&lt;D xsi:type="xsd:double"&gt;16.2108611115573&lt;/D&gt;&lt;/FQL&gt;&lt;FQL&gt;&lt;Q&gt;UUP^P_PRICE(0)/P_PRICE_HIGH_PR(0,,,USD,,,"PRICE","INTRA","52W")&lt;/Q&gt;&lt;R&gt;1&lt;/R&gt;&lt;C&gt;1&lt;/C&gt;&lt;D xsi:type="xsd:double"&gt;0.95806396&lt;/D&gt;&lt;/FQL&gt;&lt;FQL&gt;&lt;Q&gt;URTH^P_PRICE(0)/P_PRICE_LOW_PR(0,,,,,,"PRICE","INTRA","52W")-1&lt;/Q&gt;&lt;R&gt;1&lt;/R&gt;&lt;C&gt;1&lt;/C&gt;&lt;D xsi:type="xsd:double"&gt;0.20409763&lt;/D&gt;&lt;/FQL&gt;&lt;FQL&gt;&lt;Q&gt;VGK^FG_TOTAL_RETURNC(0,-1AM)&lt;/Q&gt;&lt;R&gt;1&lt;/R&gt;&lt;C&gt;1&lt;/C&gt;&lt;D xsi:type="xsd:double"&gt;-2.684778&lt;/D&gt;&lt;/FQL&gt;&lt;FQL&gt;&lt;Q&gt;EWL^FMA_PCT_ABOVE_MAVG(200,0,,,,"PORTAGG")&lt;/Q&gt;&lt;R&gt;1&lt;/R&gt;&lt;C&gt;1&lt;/C&gt;&lt;D xsi:type="xsd:double"&gt;57.7777777777778&lt;/D&gt;&lt;/FQL&gt;&lt;FQL&gt;&lt;Q&gt;TRYDE10Y-FDS^FG_YIELD(0,,,,"YTM")&lt;/Q&gt;&lt;R&gt;1&lt;/R&gt;&lt;C&gt;1&lt;/C&gt;&lt;D xsi:type="xsd:double"&gt;2.486&lt;/D&gt;&lt;/FQL&gt;&lt;FQL&gt;&lt;Q&gt;URTH^P_PRICE(0)/P_PRICE_HIGH_PR(0,,,,,,"PRICE","INTRA","52W")&lt;/Q&gt;&lt;R&gt;1&lt;/R&gt;&lt;C&gt;1&lt;/C&gt;&lt;D xsi:type="xsd:double"&gt;0.9512363&lt;/D&gt;&lt;/FQL&gt;&lt;FQL&gt;&lt;Q&gt;VGK^FMA_PCT_ABOVE_MAVG(200,0,,,,"PORTAGG")&lt;/Q&gt;&lt;R&gt;1&lt;/R&gt;&lt;C&gt;1&lt;/C&gt;&lt;D xsi:type="xsd:double"&gt;58.4313725490196&lt;/D&gt;&lt;/FQL&gt;&lt;FQL&gt;&lt;Q&gt;EWJ^FG_TOTAL_RETURNC(0,-12AM)&lt;/Q&gt;&lt;R&gt;1&lt;/R&gt;&lt;C&gt;1&lt;/C&gt;&lt;D xsi:type="xsd:double"&gt;15.861082&lt;/D&gt;&lt;/FQL&gt;&lt;FQL&gt;&lt;Q&gt;EWC^FMA_PCT_ABOVE_MAVG(200,0,,,,"PORTAGG")&lt;/Q&gt;&lt;R&gt;1&lt;/R&gt;&lt;C&gt;1&lt;/C&gt;&lt;D xsi:type="xsd:double"&gt;61.3636363636364&lt;/D&gt;&lt;/FQL&gt;&lt;FQL&gt;&lt;Q&gt;EWA^FMA_COS_DOWN("EPS","1M",+1,0,,,"PORTAGG","MEANR")&lt;/Q&gt;&lt;R&gt;1&lt;/R&gt;&lt;C&gt;1&lt;/C&gt;&lt;D xsi:type="xsd:double"&gt;20&lt;/D&gt;&lt;/FQL&gt;&lt;FQL&gt;&lt;Q&gt;TRYFR10Y-FDS^FG_YIELD_NAME&lt;/Q&gt;&lt;R&gt;1&lt;/R&gt;&lt;C&gt;1&lt;/C&gt;&lt;D xsi:type="xsd:string"&gt;France Benchmark Bond - 10 Year&lt;/D&gt;&lt;/FQL&gt;&lt;FQL&gt;&lt;Q&gt;FXI^FG_TOTAL_RETURNC(0,-12AM)&lt;/Q&gt;&lt;R&gt;1&lt;/R&gt;&lt;C&gt;1&lt;/C&gt;&lt;D xsi:type="xsd:double"&gt;-15.365267&lt;/D&gt;&lt;/FQL&gt;&lt;FQL&gt;&lt;Q&gt;DDR3512M-FDS^FG_PRICE_CHANGE(0,-1AM)&lt;/Q&gt;&lt;R&gt;1&lt;/R&gt;&lt;C&gt;1&lt;/C&gt;&lt;D xsi:type="xsd:double"&gt;0.697773044425287&lt;/D&gt;&lt;/FQL&gt;&lt;FQL&gt;&lt;Q&gt;EWL^FG_PRICE_MAVG(0,,,,30)&lt;/Q&gt;&lt;R&gt;1&lt;/R&gt;&lt;C&gt;1&lt;/C&gt;&lt;D xsi:type="xsd:double"&gt;47.114&lt;/D&gt;&lt;/FQL&gt;&lt;FQL&gt;&lt;Q&gt;QQQ^FG_TOTAL_RETURNC(0,-12AM)&lt;/Q&gt;&lt;R&gt;1&lt;/R&gt;&lt;C&gt;1&lt;/C&gt;&lt;D xsi:type="xsd:double"&gt;33.672558&lt;/D&gt;&lt;/FQL&gt;&lt;FQL&gt;&lt;Q&gt;TRYNZ10Y-FDS^PCTCHG(FG_YIELD(0,,,,"YTM"),FG_YIELD(-3AM,,,,"YTM"))&lt;/Q&gt;&lt;R&gt;1&lt;/R&gt;&lt;C&gt;1&lt;/C&gt;&lt;D xsi:type="xsd:double"&gt;4.317104&lt;/D&gt;&lt;/FQL&gt;&lt;FQL&gt;&lt;Q&gt;VGK^PERCENT_CHANGE(FMA_EPS(+1,0,,,,"PORTAGG","MEAN"),FMA_EPS(+1,-3AM,,,,"PORTAGG","MEAN"))&lt;/Q&gt;&lt;R&gt;1&lt;/R&gt;&lt;C&gt;1&lt;/C&gt;&lt;D xsi:type="xsd:double"&gt;-8.71714152710512&lt;/D&gt;&lt;/FQL&gt;&lt;FQL&gt;&lt;Q&gt;SPY^SIZE(FG_CONSTITUENTS)&lt;/Q&gt;&lt;R&gt;1&lt;/R&gt;&lt;C&gt;1&lt;/C&gt;&lt;D xsi:type="xsd:long"&gt;504&lt;/D&gt;&lt;/FQL&gt;&lt;FQL&gt;&lt;Q&gt;EWQ^FMA_COS_UP("EPS","1M",+1,0,,,"PORTAGG","MEANR")&lt;/Q&gt;&lt;R&gt;1&lt;/R&gt;&lt;C&gt;1&lt;/C&gt;&lt;D xsi:type="xsd:double"&gt;16&lt;/D&gt;&lt;/FQL&gt;&lt;FQL&gt;&lt;Q&gt;EWL^FMA_RBICS_REV_CURRENT(30, LOC, "PORTAGG")&lt;/Q&gt;&lt;R&gt;1&lt;/R&gt;&lt;C&gt;1&lt;/C&gt;&lt;D xsi:type="xsd:double"&gt;18.5381872854438&lt;/D&gt;&lt;/FQL&gt;&lt;FQL&gt;&lt;Q&gt;EWU^FMA_EPS(NTMA,-20AY,0,CY,,"PORTAGG","MEANR")&lt;/Q&gt;&lt;R&gt;20&lt;/R&gt;&lt;C&gt;1&lt;/C&gt;&lt;D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xsi:type="xsd:double"&gt;3.00280442513288&lt;/D&gt;&lt;/FQL&gt;&lt;FQL&gt;&lt;Q&gt;EWI^FG_PRICE_MAVG(0,,,,200)&lt;/Q&gt;&lt;R&gt;1&lt;/R&gt;&lt;C&gt;1&lt;/C&gt;&lt;D xsi:type="xsd:double"&gt;33.12385&lt;/D&gt;&lt;/FQL&gt;&lt;FQL&gt;&lt;Q&gt;EWN^FMA_COS_UP("EPS","1M",+1,0,,,"PORTAGG","MEANR")&lt;/Q&gt;&lt;R&gt;1&lt;/R&gt;&lt;C&gt;1&lt;/C&gt;&lt;D xsi:type="xsd:double"&gt;19&lt;/D&gt;&lt;/FQL&gt;&lt;FQL&gt;&lt;Q&gt;SPY^FMA_RBICS_REV_CURRENT(30, LOC, "PORTAGG")&lt;/Q&gt;&lt;R&gt;1&lt;/R&gt;&lt;C&gt;1&lt;/C&gt;&lt;D xsi:type="xsd:double"&gt;12.5169610337794&lt;/D&gt;&lt;/FQL&gt;&lt;FQL&gt;&lt;Q&gt;REFGBBANK-FDS^PROPER_NAME(0,,,"SECURITY","NAME")&lt;/Q&gt;&lt;R&gt;1&lt;/R&gt;&lt;C&gt;1&lt;/C&gt;&lt;D xsi:type="xsd:string"&gt;UK Bank Rate&lt;/D&gt;&lt;/FQL&gt;&lt;FQL&gt;&lt;Q&gt;TRYAU10Y-FDS^PCTCHG(FG_YIELD(0,,,,"YTM"),FG_YIELD(-1AM,,,,"YTM"))&lt;/Q&gt;&lt;R&gt;1&lt;/R&gt;&lt;C&gt;1&lt;/C&gt;&lt;D xsi:type="xsd:double"&gt;4.0603037&lt;/D&gt;&lt;/FQL&gt;&lt;FQL&gt;&lt;Q&gt;CC_NZ^IMF_IFS_RCPI_Q(0)&lt;/Q&gt;&lt;R&gt;0&lt;/R&gt;&lt;C&gt;0&lt;/C&gt;&lt;/FQL&gt;&lt;FQL&gt;&lt;Q&gt;EWU^FMA_PE(LTM,0,,,"PORTAGG","MEANR")&lt;/Q&gt;&lt;R&gt;1&lt;/R&gt;&lt;C&gt;1&lt;/C&gt;&lt;D xsi:type="xsd:double"&gt;10.6549444836087&lt;/D&gt;&lt;/FQL&gt;&lt;FQL&gt;&lt;Q&gt;ENZL^FMA_DIV_YLD(NTMA,NOW,NOW,M,"PORTAGG","MEANR")&lt;/Q&gt;&lt;R&gt;1&lt;/R&gt;&lt;C&gt;1&lt;/C&gt;&lt;D xsi:type="xsd:double"&gt;2.74326885778498&lt;/D&gt;&lt;/FQL&gt;&lt;FQL&gt;&lt;Q&gt;UUP^FG_TOTAL_RETURNC(0,-6AM)&lt;/Q&gt;&lt;R&gt;1&lt;/R&gt;&lt;C&gt;1&lt;/C&gt;&lt;D xsi:type="xsd:double"&gt;2.7577877&lt;/D&gt;&lt;/FQL&gt;&lt;FQL&gt;&lt;Q&gt;PLATI-FDS^FG_PRICE_MAVG(0,,,,30)&lt;/Q&gt;&lt;R&gt;1&lt;/R&gt;&lt;C&gt;1&lt;/C&gt;&lt;D xsi:type="xsd:double"&gt;938.13336&lt;/D&gt;&lt;/FQL&gt;&lt;FQL&gt;&lt;Q&gt;EWC^FG_TOTAL_RETURNC(0,-1AM)&lt;/Q&gt;&lt;R&gt;1&lt;/R&gt;&lt;C&gt;1&lt;/C&gt;&lt;D xsi:type="xsd:double"&gt;-2.3064733&lt;/D&gt;&lt;/FQL&gt;&lt;FQL&gt;&lt;Q&gt;EWG^FMA_PE(NTMA,0,,,"PORTAGG","MEANR")&lt;/Q&gt;&lt;R&gt;1&lt;/R&gt;&lt;C&gt;1&lt;/C&gt;&lt;D xsi:type="xsd:double"&gt;12.0194879084315&lt;/D&gt;&lt;/FQL&gt;&lt;FQL&gt;&lt;Q&gt;UUP^FG_TOTAL_RETURNC(0,-3AM)&lt;/Q&gt;&lt;R&gt;1&lt;/R&gt;&lt;C&gt;1&lt;/C&gt;&lt;D xsi:type="xsd:double"&gt;4.181683&lt;/D&gt;&lt;/FQL&gt;&lt;FQL&gt;&lt;Q&gt;EWN^FG_TOTAL_RETURNC(0,-1AM)&lt;/Q&gt;&lt;R&gt;1&lt;/R&gt;&lt;C&gt;1&lt;/C&gt;&lt;D xsi:type="xsd:double"&gt;-1.7481804&lt;/D&gt;&lt;/FQL&gt;&lt;FQL&gt;&lt;Q&gt;REFCHMPR-FDS^(SUBARRAY(NOT_NA(NO_REPEAT_F(FG_YIELD(NOW,-10AY,D))),0,1)-SUBARRAY(NOT_NA(NO_REPEAT_F(FG_YIELD(NOW,-10AY,D))),1,1))*100&lt;/Q&gt;&lt;R&gt;1&lt;/R&gt;&lt;C&gt;1&lt;/C&gt;&lt;D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xsi:type="xsd:double"&gt;-25&lt;/D&gt;&lt;/FQL&gt;&lt;FQL&gt;&lt;Q&gt;TRYNZ10Y-FDS^PCTCHG(FG_YIELD(0,,,,"YTM"),FG_YIELD(-1AM,,,,"YTM"))&lt;/Q&gt;&lt;R&gt;1&lt;/R&gt;&lt;C&gt;1&lt;/C&gt;&lt;D xsi:type="xsd:double"&gt;4.5463266&lt;/D&gt;&lt;/FQL&gt;&lt;FQL&gt;&lt;Q&gt;VWO^FMA_EVAL_EBIT(LTMA,NOW,NOW,M,"PORTAGG","MEANR")&lt;/Q&gt;&lt;R&gt;1&lt;/R&gt;&lt;C&gt;1&lt;/C&gt;&lt;D xsi:type="xsd:double"&gt;14.3869386780299&lt;/D&gt;&lt;/FQL&gt;&lt;FQL&gt;&lt;Q&gt;EWU^JULIAN(FMA_DIV_YLD(NTMA,NOW,NOW,M,"PORTAGG","MEANR").DATES)&lt;/Q&gt;&lt;R&gt;1&lt;/R&gt;&lt;C&gt;1&lt;/C&gt;&lt;D xsi:type="xsd:long"&gt;45379&lt;/D&gt;&lt;/FQL&gt;&lt;FQL&gt;&lt;Q&gt;ENZL^FMA_PE(LTM,0,,,"PORTAGG","MEANR")&lt;/Q&gt;&lt;R&gt;1&lt;/R&gt;&lt;C&gt;1&lt;/C&gt;&lt;D xsi:type="xsd:double"&gt;29.3191143754297&lt;/D&gt;&lt;/FQL&gt;&lt;FQL&gt;&lt;Q&gt;CAGDPY@CH^EE_ACTUAL_ANNUAL(MED,0)&lt;/Q&gt;&lt;R&gt;1&lt;/R&gt;&lt;C&gt;1&lt;/C&gt;&lt;D xsi:type="xsd:double"&gt;7.64151941312264&lt;/D&gt;&lt;/FQL&gt;&lt;FQL&gt;&lt;Q&gt;USDJPY^STD(FG_PRICE_CHANGE(0,-1AY,AM))&lt;/Q&gt;&lt;R&gt;1&lt;/R&gt;&lt;C&gt;1&lt;/C&gt;&lt;D xsi:type="xsd:double"&gt;2.53537331197111&lt;/D&gt;&lt;/FQL&gt;&lt;FQL&gt;&lt;Q&gt;ENZL^FMA_PE(NTMA,0,,,"PORTAGG","MEANR")&lt;/Q&gt;&lt;R&gt;1&lt;/R&gt;&lt;C&gt;1&lt;/C&gt;&lt;D xsi:type="xsd:double"&gt;24.9890945740817&lt;/D&gt;&lt;/FQL&gt;&lt;FQL&gt;&lt;Q&gt;EWI^FG_PRICE_MAVG(0,,,,60)&lt;/Q&gt;&lt;R&gt;1&lt;/R&gt;&lt;C&gt;1&lt;/C&gt;&lt;D xsi:type="xsd:double"&gt;35.7725&lt;/D&gt;&lt;/FQL&gt;&lt;FQL&gt;&lt;Q&gt;FXI^P_PRICE(0)/P_PRICE_LOW_PR(0,,,,,,"PRICE","INTRA","52W")-1&lt;/Q&gt;&lt;R&gt;1&lt;/R&gt;&lt;C&gt;1&lt;/C&gt;&lt;D xsi:type="xsd:double"&gt;0.15436232&lt;/D&gt;&lt;/FQL&gt;&lt;FQL&gt;&lt;Q&gt;QQQ^P_PRICE(0)/P_PRICE_HIGH_PR(0,,,,,,"PRICE","INTRA","52W")&lt;/Q&gt;&lt;R&gt;1&lt;/R&gt;&lt;C&gt;1&lt;/C&gt;&lt;D xsi:type="xsd:double"&gt;0.94229317&lt;/D&gt;&lt;/FQL&gt;&lt;FQL&gt;&lt;Q&gt;FXI^FG_TOTAL_RETURNC(0,-6AM)&lt;/Q&gt;&lt;R&gt;1&lt;/R&gt;&lt;C&gt;1&lt;/C&gt;&lt;D xsi:type="xsd:double"&gt;-4.9655495&lt;/D&gt;&lt;/FQL&gt;&lt;FQL&gt;&lt;Q&gt;EWC^FMA_DIV_YLD(NTMA,-10AY,0,AM,"PORTAGG","MEANR")&lt;/Q&gt;&lt;R&gt;121&lt;/R&gt;&lt;C&gt;1&lt;/C&gt;&lt;D xsi:type="xsd:double"&gt;2.89881921790283&lt;/D&gt;&lt;D xsi:type="xsd:double"&gt;2.904279209262&lt;/D&gt;&lt;D xsi:type="xsd:double"&gt;2.81129355813891&lt;/D&gt;&lt;D xsi:type="xsd:double"&gt;2.77506659534675&lt;/D&gt;&lt;D xsi:type="xsd:double"&gt;2.79263763244919&lt;/D&gt;&lt;D xsi:type="xsd:double"&gt;2.77022217824744&lt;/D&gt;&lt;D xsi:type="xsd:double"&gt;3.04579480898147&lt;/D&gt;&lt;D xsi:type="xsd:double"&gt;2.90419296432011&lt;/D&gt;&lt;D xsi:type="xsd:double"&gt;2.99971628089149&lt;/D&gt;&lt;D xsi:type="xsd:double"&gt;3.02490215774651&lt;/D&gt;&lt;D xsi:type="xsd:double"&gt;2.85448162851626&lt;/D&gt;&lt;D xsi:type="xsd:double"&gt;2.90202090771268&lt;/D&gt;&lt;D xsi:type="xsd:double"&gt;2.83053741302833&lt;/D&gt;&lt;D xsi:type="xsd:double"&gt;2.87644855134732&lt;/D&gt;&lt;D xsi:type="xsd:double"&gt;2.95367546889931&lt;/D&gt;&lt;D xsi:type="xsd:double"&gt;3.00539281565567&lt;/D&gt;&lt;D xsi:type="xsd:double"&gt;3.09073106527157&lt;/D&gt;&lt;D xsi:type="xsd:double"&gt;3.21983972855359&lt;/D&gt;&lt;D xsi:type="xsd:double"&gt;3.17867320621897&lt;/D&gt;&lt;D xsi:type="xsd:double"&gt;3.29813836001413&lt;/D&gt;&lt;D xsi:type="xsd:double"&gt;3.38316276804437&lt;/D&gt;&lt;D xsi:type="xsd:double"&gt;3.64412404871095&lt;/D&gt;&lt;D xsi:type="xsd:double"&gt;3.30930861964524&lt;/D&gt;&lt;D xsi:type="xsd:double"&gt;3.14164519980974&lt;/D&gt;&lt;D xsi:type="xsd:double"&gt;3.09993812559022&lt;/D&gt;&lt;D xsi:type="xsd:double"&gt;3.07292009351019&lt;/D&gt;&lt;D xsi:type="xsd:double"&gt;3.0980306284358&lt;/D&gt;&lt;D xsi:type="xsd:double"&gt;2.98700031790168&lt;/D&gt;&lt;D xsi:type="xsd:double"&gt;2.95567481480653&lt;/D&gt;&lt;D xsi:type="xsd:double"&gt;3.00052497913214&lt;/D&gt;&lt;D xsi:type="xsd:double"&gt;2.93486998414884&lt;/D&gt;&lt;D xsi:type="xsd:double"&gt;2.90861573950751&lt;/D&gt;&lt;D xsi:type="xsd:double"&gt;2.8392288205718&lt;/D&gt;&lt;D xsi:type="xsd:double"&gt;2.83107301605413&lt;/D&gt;&lt;D xsi:type="xsd:double"&gt;2.7799235385461&lt;/D&gt;&lt;D xsi:type="xsd:double"&gt;2.91681891170469&lt;/D&gt;&lt;D xsi:type="xsd:double"&gt;2.92164313635441&lt;/D&gt;&lt;D xsi:type="xsd:double"&gt;3.01294781425565&lt;/D&gt;&lt;D xsi:type="xsd:double"&gt;3.03561012837462&lt;/D&gt;&lt;D xsi:type="xsd:double"&gt;3.04708869850316&lt;/D&gt;&lt;D xsi:type="xsd:double"&gt;3.09023776149447&lt;/D&gt;&lt;D xsi:type="xsd:double"&gt;3.06305262300815&lt;/D&gt;&lt;D xsi:type="xsd:double"&gt;2.95453118688667&lt;/D&gt;&lt;D xsi:type="xsd:double"&gt;2.92741102375636&lt;/D&gt;&lt;D xsi:type="xsd:double"&gt;2.91178706250022&lt;/D&gt;&lt;D xsi:type="xsd:double"&gt;2.90264749799026&lt;/D&gt;&lt;D xsi:type="xsd:double"&gt;3.11203558435758&lt;/D&gt;&lt;D xsi:type="xsd:double"&gt;3.10563011661686&lt;/D&gt;&lt;D xsi:type="xsd:double"&gt;3.16663565156527&lt;/D&gt;&lt;D xsi:type="xsd:double"&gt;3.0510189842002&lt;/D&gt;&lt;D xsi:type="xsd:double"&gt;3.0425261356792&lt;/D&gt;&lt;D xsi:type="xsd:double"&gt;3.04873652785464&lt;/D&gt;&lt;D xsi:type="xsd:double"&gt;3.0875653910289&lt;/D&gt;&lt;D xsi:type="xsd:double"&gt;3.14686994112018&lt;/D&gt;&lt;D xsi:type="xsd:double"&gt;3.34268182880634&lt;/D&gt;&lt;D xsi:type="xsd:double"&gt;3.39395448359306&lt;/D&gt;&lt;D xsi:type="xsd:double"&gt;3.57252846107522&lt;/D&gt;&lt;D xsi:type="xsd:double"&gt;3.36494241515796&lt;/D&gt;&lt;D xsi:type="xsd:double"&gt;3.30233583513369&lt;/D&gt;&lt;D xsi:type="xsd:double"&gt;3.23867018644986&lt;/D&gt;&lt;D xsi:type="xsd:double"&gt;3.17814092642641&lt;/D&gt;&lt;D xsi:type="xsd:double"&gt;3.29691206358231&lt;/D&gt;&lt;D xsi:type="xsd:double"&gt;3.29317487992407&lt;/D&gt;&lt;D xsi:type="xsd:double"&gt;3.31695780676376&lt;/D&gt;&lt;D xsi:type="xsd:double"&gt;3.43608433709242&lt;/D&gt;&lt;D xsi:type="xsd:double"&gt;3.29903661802114&lt;/D&gt;&lt;D xsi:type="xsd:double"&gt;3.37987352592529&lt;/D&gt;&lt;D xsi:type="xsd:double"&gt;3.24560170914196&lt;/D&gt;&lt;D xsi:type="xsd:double"&gt;3.25794074943528&lt;/D&gt;&lt;D xsi:type="xsd:double"&gt;3.21137301370799&lt;/D&gt;&lt;D xsi:type="xsd:double"&gt;3.21508857350989&lt;/D&gt;&lt;D xsi:type="xsd:double"&gt;4.96064041747577&lt;/D&gt;&lt;D xsi:type="xsd:double"&gt;4.01732741148533&lt;/D&gt;&lt;D xsi:type="xsd:double"&gt;3.80064283565453&lt;/D&gt;&lt;D xsi:type="xsd:double"&gt;3.54725854435901&lt;/D&gt;&lt;D xsi:type="xsd:double"&gt;3.42392078339805&lt;/D&gt;&lt;D xsi:type="xsd:double"&gt;3.3313192043873&lt;/D&gt;&lt;D xsi:type="xsd:double"&gt;3.43870432803185&lt;/D&gt;&lt;D xsi:type="xsd:double"&gt;3.39720943577472&lt;/D&gt;&lt;D xsi:type="xsd:double"&gt;3.26518080529952&lt;/D&gt;&lt;D xsi:type="xsd:double"&gt;3.11430158737742&lt;/D&gt;&lt;D xsi:type="xsd:double"&gt;3.03471458206327&lt;/D&gt;&lt;D xsi:type="xsd:double"&gt;2.95102456058504&lt;/D&gt;&lt;D xsi:type="xsd:double"&gt;2.83896333533758&lt;/D&gt;&lt;D xsi:type="xsd:double"&gt;2.7377678768976&lt;/D&gt;&lt;D xsi:type="xsd:double"&gt;2.71183330959312&lt;/D&gt;&lt;D xsi:type="xsd:double"&gt;2.58418415932303&lt;/D&gt;&lt;D xsi:type="xsd:double"&gt;2.7423913748421&lt;/D&gt;&lt;D xsi:type="xsd:double"&gt;2.71837487972904&lt;/D&gt;&lt;D xsi:type="xsd:double"&gt;2.77061552746887&lt;/D&gt;&lt;D xsi:type="xsd:double"&gt;2.7046106333746&lt;/D&gt;&lt;D xsi:type="xsd:double"&gt;2.69321600479931&lt;/D&gt;&lt;D xsi:type="xsd:double"&gt;2.84314354829194&lt;/D&gt;&lt;D xsi:type="xsd:double"&gt;2.78715922832039&lt;/D&gt;&lt;D xsi:type="xsd:double"&gt;2.87182801541012&lt;/D&gt;&lt;D xsi:type="xsd:double"&gt;2.80596353088321&lt;/D&gt;&lt;D xsi:type="xsd:double"&gt;2.84048510177326&lt;/D&gt;&lt;D xsi:type="xsd:double"&gt;3.19617319863753&lt;/D&gt;&lt;D xsi:type="xsd:double"&gt;3.41604206723269&lt;/D&gt;&lt;D xsi:type="xsd:double"&gt;3.48969985200047&lt;/D&gt;&lt;D xsi:type="xsd:double"&gt;3.28785428157743&lt;/D&gt;&lt;D xsi:type="xsd:double"&gt;3.45322396694688&lt;/D&gt;&lt;D xsi:type="xsd:double"&gt;3.56791216224051&lt;/D&gt;&lt;D xsi:type="xsd:double"&gt;3.33109033600443&lt;/D&gt;&lt;D xsi:type="xsd:double"&gt;3.46249639725673&lt;/D&gt;&lt;D xsi:type="xsd:double"&gt;3.34605708292771&lt;/D&gt;&lt;D xsi:type="xsd:double"&gt;3.29751361090514&lt;/D&gt;&lt;D xsi:type="xsd:double"&gt;3.49150030663514&lt;/D&gt;&lt;D xsi:type="xsd:double"&gt;3.23264320891124&lt;/D&gt;&lt;D xsi:type="xsd:double"&gt;3.28129309481623&lt;/D&gt;&lt;D xsi:type="xsd:double"&gt;3.29944235753295&lt;/D&gt;&lt;D xsi:type="xsd:double"&gt;3.19886250810687&lt;/D&gt;&lt;D xsi:type="xsd:double"&gt;3.57792444435093&lt;/D&gt;&lt;D xsi:type="xsd:double"&gt;3.46110267079736&lt;/D&gt;&lt;D xsi:type="xsd:double"&gt;3.65837966414352&lt;/D&gt;&lt;D xsi:type="xsd:double"&gt;3.50362291855412&lt;/D&gt;&lt;D xsi:type="xsd:double"&gt;3.41717267740253&lt;/D&gt;&lt;D xsi:type="xsd:double"&gt;3.38717262383872&lt;/D&gt;&lt;D xsi:type="xsd:double"&gt;3.28420160477217&lt;/D&gt;&lt;D xsi:type="xsd:double"&gt;3.15120075809683&lt;/D&gt;&lt;D xsi:type="xsd:double"&gt;3.16707993282987&lt;/D&gt;&lt;/FQL&gt;&lt;FQL&gt;&lt;Q&gt;COPP-FDS^FG_PRICE(0)&lt;/Q&gt;&lt;R&gt;1&lt;/R&gt;&lt;C&gt;1&lt;/C&gt;&lt;D xsi:type="xsd:double"&gt;4.4405&lt;/D&gt;&lt;/FQL&gt;&lt;FQL&gt;&lt;Q&gt;TRYSE10Y-FDS^PCTCHG(FG_YIELD(0,,,,"YTM"),FG_YIELD(-1AM,,,,"YTM"))&lt;/Q&gt;&lt;R&gt;1&lt;/R&gt;&lt;C&gt;1&lt;/C&gt;&lt;D xsi:type="xsd:double"&gt;1.9238613&lt;/D&gt;&lt;/FQL&gt;&lt;FQL&gt;&lt;Q&gt;TRYPH10Y-FDS^FG_YIELD(-10AY,0,Y,,"YTM")&lt;/Q&gt;&lt;R&gt;10&lt;/R&gt;&lt;C&gt;1&lt;/C&gt;&lt;D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xsi:type="xsd:double"&gt;6.0028777&lt;/D&gt;&lt;/FQL&gt;&lt;FQL&gt;&lt;Q&gt;USDJPY^FG_PRICE_CHANGE(0,-6AM)&lt;/Q&gt;&lt;R&gt;1&lt;/R&gt;&lt;C&gt;1&lt;/C&gt;&lt;D xsi:type="xsd:double"&gt;3.2381892&lt;/D&gt;&lt;/FQL&gt;&lt;FQL&gt;&lt;Q&gt;EWJ^FMA_EPS(NTMA,-20AY,0,CY,,"PORTAGG","MEANR")&lt;/Q&gt;&lt;R&gt;20&lt;/R&gt;&lt;C&gt;1&lt;/C&gt;&lt;D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xsi:type="xsd:double"&gt;4.07638230841649&lt;/D&gt;&lt;D xsi:type="xsd:double"&gt;3.67789542170035&lt;/D&gt;&lt;D xsi:type="xsd:double"&gt;4.61613856580543&lt;/D&gt;&lt;D xsi:type="xsd:double"&gt;4.46089542957005&lt;/D&gt;&lt;D xsi:type="xsd:double"&gt;4.56547558721348&lt;/D&gt;&lt;/FQL&gt;&lt;FQL&gt;&lt;Q&gt;DDR3512M-FDS^FG_PRICE_MAVG(0,,,,30)&lt;/Q&gt;&lt;R&gt;1&lt;/R&gt;&lt;C&gt;1&lt;/C&gt;&lt;D xsi:type="xsd:double"&gt;0.9640818&lt;/D&gt;&lt;/FQL&gt;&lt;FQL&gt;&lt;Q&gt;ENZL^FMA_DIV_YLD(NTMA,-10AY,0,AM,"PORTAGG","MEANR")&lt;/Q&gt;&lt;R&gt;121&lt;/R&gt;&lt;C&gt;1&lt;/C&gt;&lt;D xsi:type="xsd:double"&gt;4.12045222162689&lt;/D&gt;&lt;D xsi:type="xsd:double"&gt;4.09911717663737&lt;/D&gt;&lt;D xsi:type="xsd:double"&gt;4.21959116178656&lt;/D&gt;&lt;D xsi:type="xsd:double"&gt;4.47656021800812&lt;/D&gt;&lt;D xsi:type="xsd:double"&gt;4.560574012051&lt;/D&gt;&lt;D xsi:type="xsd:double"&gt;4.64610721721936&lt;/D&gt;&lt;D xsi:type="xsd:double"&gt;4.69560903056722&lt;/D&gt;&lt;D xsi:type="xsd:double"&gt;4.4214508398475&lt;/D&gt;&lt;D xsi:type="xsd:double"&gt;4.47131171207156&lt;/D&gt;&lt;D xsi:type="xsd:double"&gt;4.37563125257406&lt;/D&gt;&lt;D xsi:type="xsd:double"&gt;4.27718286118272&lt;/D&gt;&lt;D xsi:type="xsd:double"&gt;4.37444630980212&lt;/D&gt;&lt;D xsi:type="xsd:double"&gt;4.42228280190139&lt;/D&gt;&lt;D xsi:type="xsd:double"&gt;4.44036397284699&lt;/D&gt;&lt;D xsi:type="xsd:double"&gt;4.52862030262567&lt;/D&gt;&lt;D xsi:type="xsd:double"&gt;4.60652623675071&lt;/D&gt;&lt;D xsi:type="xsd:double"&gt;4.7354061583613&lt;/D&gt;&lt;D xsi:type="xsd:double"&gt;5.08593339251988&lt;/D&gt;&lt;D xsi:type="xsd:double"&gt;5.06854880395035&lt;/D&gt;&lt;D xsi:type="xsd:double"&gt;4.92439415185822&lt;/D&gt;&lt;D xsi:type="xsd:double"&gt;4.84298309557243&lt;/D&gt;&lt;D xsi:type="xsd:double"&gt;4.85114730430349&lt;/D&gt;&lt;D xsi:type="xsd:double"&gt;4.89201941149249&lt;/D&gt;&lt;D xsi:type="xsd:double"&gt;4.62595868066457&lt;/D&gt;&lt;D xsi:type="xsd:double"&gt;4.5291619067172&lt;/D&gt;&lt;D xsi:type="xsd:double"&gt;4.42682069420825&lt;/D&gt;&lt;D xsi:type="xsd:double"&gt;4.44974880459988&lt;/D&gt;&lt;D xsi:type="xsd:double"&gt;4.26090969733327&lt;/D&gt;&lt;D xsi:type="xsd:double"&gt;4.14067548658848&lt;/D&gt;&lt;D xsi:type="xsd:double"&gt;4.32404130987216&lt;/D&gt;&lt;D xsi:type="xsd:double"&gt;4.57126788554229&lt;/D&gt;&lt;D xsi:type="xsd:double"&gt;4.62691666103602&lt;/D&gt;&lt;D xsi:type="xsd:double"&gt;4.71264125286212&lt;/D&gt;&lt;D xsi:type="xsd:double"&gt;4.51181235308481&lt;/D&gt;&lt;D xsi:type="xsd:double"&gt;4.55040528891217&lt;/D&gt;&lt;D xsi:type="xsd:double"&gt;4.59630881481287&lt;/D&gt;&lt;D xsi:type="xsd:double"&gt;4.56468454391643&lt;/D&gt;&lt;D xsi:type="xsd:double"&gt;4.51349268215281&lt;/D&gt;&lt;D xsi:type="xsd:double"&gt;4.3972567422724&lt;/D&gt;&lt;D xsi:type="xsd:double"&gt;4.39354774649853&lt;/D&gt;&lt;D xsi:type="xsd:double"&gt;4.31642407887395&lt;/D&gt;&lt;D xsi:type="xsd:double"&gt;4.45201711419674&lt;/D&gt;&lt;D xsi:type="xsd:double"&gt;4.3474669913041&lt;/D&gt;&lt;D xsi:type="xsd:double"&gt;4.41094947834673&lt;/D&gt;&lt;D xsi:type="xsd:double"&gt;4.22792260256751&lt;/D&gt;&lt;D xsi:type="xsd:double"&gt;4.28464693918502&lt;/D&gt;&lt;D xsi:type="xsd:double"&gt;4.39585866613761&lt;/D&gt;&lt;D xsi:type="xsd:double"&gt;4.22365478740251&lt;/D&gt;&lt;D xsi:type="xsd:double"&gt;4.28869518468489&lt;/D&gt;&lt;D xsi:type="xsd:double"&gt;4.20793796919471&lt;/D&gt;&lt;D xsi:type="xsd:double"&gt;4.00471625117642&lt;/D&gt;&lt;D xsi:type="xsd:double"&gt;4.07496156772523&lt;/D&gt;&lt;D xsi:type="xsd:double"&gt;4.02999009094997&lt;/D&gt;&lt;D xsi:type="xsd:double"&gt;3.94606340730041&lt;/D&gt;&lt;D xsi:type="xsd:double"&gt;4.20168619858462&lt;/D&gt;&lt;D xsi:type="xsd:double"&gt;4.23580567805645&lt;/D&gt;&lt;D xsi:type="xsd:double"&gt;4.22915756435075&lt;/D&gt;&lt;D xsi:type="xsd:double"&gt;4.03738344663791&lt;/D&gt;&lt;D xsi:type="xsd:double"&gt;4.02858216118949&lt;/D&gt;&lt;D xsi:type="xsd:double"&gt;3.87259080521858&lt;/D&gt;&lt;D xsi:type="xsd:double"&gt;3.70535227064247&lt;/D&gt;&lt;D xsi:type="xsd:double"&gt;3.66575340239948&lt;/D&gt;&lt;D xsi:type="xsd:double"&gt;3.66335689286533&lt;/D&gt;&lt;D xsi:type="xsd:double"&gt;3.43023357326797&lt;/D&gt;&lt;D xsi:type="xsd:double"&gt;3.48061867404903&lt;/D&gt;&lt;D xsi:type="xsd:double"&gt;3.37757816372345&lt;/D&gt;&lt;D xsi:type="xsd:double"&gt;3.29550963284463&lt;/D&gt;&lt;D xsi:type="xsd:double"&gt;3.35291028848066&lt;/D&gt;&lt;D xsi:type="xsd:double"&gt;3.2030271555742&lt;/D&gt;&lt;D xsi:type="xsd:double"&gt;3.08828197843223&lt;/D&gt;&lt;D xsi:type="xsd:double"&gt;3.04071358778958&lt;/D&gt;&lt;D xsi:type="xsd:double"&gt;3.76471332409713&lt;/D&gt;&lt;D xsi:type="xsd:double"&gt;2.69678493501565&lt;/D&gt;&lt;D xsi:type="xsd:double"&gt;2.61427378938233&lt;/D&gt;&lt;D xsi:type="xsd:double"&gt;2.51257340212453&lt;/D&gt;&lt;D xsi:type="xsd:double"&gt;2.44301742072781&lt;/D&gt;&lt;D xsi:type="xsd:double"&gt;2.37641153055256&lt;/D&gt;&lt;D xsi:type="xsd:double"&gt;2.46696320542082&lt;/D&gt;&lt;D xsi:type="xsd:double"&gt;2.35087358014792&lt;/D&gt;&lt;D xsi:type="xsd:double"&gt;2.37432762059413&lt;/D&gt;&lt;D xsi:type="xsd:double"&gt;2.45707209666718&lt;/D&gt;&lt;D xsi:type="xsd:double"&gt;2.45487748039979&lt;/D&gt;&lt;D xsi:type="xsd:double"&gt;2.54556812504865&lt;/D&gt;&lt;D xsi:type="xsd:double"&gt;2.56346356657746&lt;/D&gt;&lt;D xsi:type="xsd:double"&gt;2.56196760003025&lt;/D&gt;&lt;D xsi:type="xsd:double"&gt;2.67554768283422&lt;/D&gt;&lt;D xsi:type="xsd:double"&gt;2.68001705021394&lt;/D&gt;&lt;D xsi:type="xsd:double"&gt;2.61688842745586&lt;/D&gt;&lt;D xsi:type="xsd:double"&gt;2.68214961619535&lt;/D&gt;&lt;D xsi:type="xsd:double"&gt;2.58712724077911&lt;/D&gt;&lt;D xsi:type="xsd:double"&gt;2.68238820851639&lt;/D&gt;&lt;D xsi:type="xsd:double"&gt;2.73975737540522&lt;/D&gt;&lt;D xsi:type="xsd:double"&gt;2.80549711955461&lt;/D&gt;&lt;D xsi:type="xsd:double"&gt;2.84238470055222&lt;/D&gt;&lt;D xsi:type="xsd:double"&gt;2.99524905450863&lt;/D&gt;&lt;D xsi:type="xsd:double"&gt;3.01890987796656&lt;/D&gt;&lt;D xsi:type="xsd:double"&gt;3.13812170092085&lt;/D&gt;&lt;D xsi:type="xsd:double"&gt;3.21473660584327&lt;/D&gt;&lt;D xsi:type="xsd:double"&gt;3.46124124041875&lt;/D&gt;&lt;D xsi:type="xsd:double"&gt;3.32956352694224&lt;/D&gt;&lt;D xsi:type="xsd:double"&gt;3.12600000015653&lt;/D&gt;&lt;D xsi:type="xsd:double"&gt;3.26159331495112&lt;/D&gt;&lt;D xsi:type="xsd:double"&gt;3.4751099196892&lt;/D&gt;&lt;D xsi:type="xsd:double"&gt;3.35315638026749&lt;/D&gt;&lt;D xsi:type="xsd:double"&gt;3.43013813231712&lt;/D&gt;&lt;D xsi:type="xsd:double"&gt;3.34538306107927&lt;/D&gt;&lt;D xsi:type="xsd:double"&gt;3.23639464544743&lt;/D&gt;&lt;D xsi:type="xsd:double"&gt;3.50053697761812&lt;/D&gt;&lt;D xsi:type="xsd:double"&gt;3.41887945281716&lt;/D&gt;&lt;D xsi:type="xsd:double"&gt;3.47438727384919&lt;/D&gt;&lt;D xsi:type="xsd:double"&gt;3.46761371741946&lt;/D&gt;&lt;D xsi:type="xsd:double"&gt;3.43601775427463&lt;/D&gt;&lt;D xsi:type="xsd:double"&gt;3.48658080809243&lt;/D&gt;&lt;D xsi:type="xsd:double"&gt;3.40403884953468&lt;/D&gt;&lt;D xsi:type="xsd:double"&gt;3.46034650612121&lt;/D&gt;&lt;D xsi:type="xsd:double"&gt;3.4648363430824&lt;/D&gt;&lt;D xsi:type="xsd:double"&gt;3.01924003008224&lt;/D&gt;&lt;D xsi:type="xsd:double"&gt;3.03436715014194&lt;/D&gt;&lt;D xsi:type="xsd:double"&gt;2.90899463866917&lt;/D&gt;&lt;D xsi:type="xsd:double"&gt;2.80284778537959&lt;/D&gt;&lt;D xsi:type="xsd:double"&gt;2.77582154185092&lt;/D&gt;&lt;/FQL&gt;&lt;FQL&gt;&lt;Q&gt;CPALM-FDS^FG_PRICE_MAVG(0,,,,30)&lt;/Q&gt;&lt;R&gt;1&lt;/R&gt;&lt;C&gt;1&lt;/C&gt;&lt;D xsi:type="xsd:double"&gt;4351.533&lt;/D&gt;&lt;/FQL&gt;&lt;FQL&gt;&lt;Q&gt;TIOS-FDS^FG_PRICE_MAVG(0,,,,30)&lt;/Q&gt;&lt;R&gt;1&lt;/R&gt;&lt;C&gt;1&lt;/C&gt;&lt;D xsi:type="xsd:double"&gt;108.05067&lt;/D&gt;&lt;/FQL&gt;&lt;FQL&gt;&lt;Q&gt;EWI^FG_PRICE_MAVG(0,,,,30)&lt;/Q&gt;&lt;R&gt;1&lt;/R&gt;&lt;C&gt;1&lt;/C&gt;&lt;D xsi:type="xsd:double"&gt;37.03533&lt;/D&gt;&lt;/FQL&gt;&lt;FQL&gt;&lt;Q&gt;EWJ^FG_PRICE_MAVG(0,,,,200)&lt;/Q&gt;&lt;R&gt;1&lt;/R&gt;&lt;C&gt;1&lt;/C&gt;&lt;D xsi:type="xsd:double"&gt;63.91735&lt;/D&gt;&lt;/FQL&gt;&lt;FQL&gt;&lt;Q&gt;FXI^FG_TOTAL_RETURNC(0,-1AM)&lt;/Q&gt;&lt;R&gt;1&lt;/R&gt;&lt;C&gt;1&lt;/C&gt;&lt;D xsi:type="xsd:double"&gt;0.2080679&lt;/D&gt;&lt;/FQL&gt;&lt;FQL&gt;&lt;Q&gt;CAGDPY@DE^EE_ACTUAL_ANNUAL(MED,0)&lt;/Q&gt;&lt;R&gt;1&lt;/R&gt;&lt;C&gt;1&lt;/C&gt;&lt;D xsi:type="xsd:double"&gt;6.10157214967637&lt;/D&gt;&lt;/FQL&gt;&lt;FQL&gt;&lt;Q&gt;EWG^FMA_EPS(NTMA,-20AY,0,CY,,"PORTAGG","MEANR")&lt;/Q&gt;&lt;R&gt;20&lt;/R&gt;&lt;C&gt;1&lt;/C&gt;&lt;D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xsi:type="xsd:double"&gt;2.65662621403284&lt;/D&gt;&lt;/FQL&gt;&lt;FQL&gt;&lt;Q&gt;CPALM-FDS^FG_PRICE(0)&lt;/Q&gt;&lt;R&gt;1&lt;/R&gt;&lt;C&gt;1&lt;/C&gt;&lt;D xsi:type="xsd:double"&gt;4125&lt;/D&gt;&lt;/FQL&gt;&lt;FQL&gt;&lt;Q&gt;TIOS-FDS^FG_PRICE(0)&lt;/Q&gt;&lt;R&gt;1&lt;/R&gt;&lt;C&gt;1&lt;/C&gt;&lt;D xsi:type="xsd:double"&gt;107.95&lt;/D&gt;&lt;/FQL&gt;&lt;FQL&gt;&lt;Q&gt;URTH^FG_TOTAL_RETURNC(0,-6AM)&lt;/Q&gt;&lt;R&gt;1&lt;/R&gt;&lt;C&gt;1&lt;/C&gt;&lt;D xsi:type="xsd:double"&gt;15.9934635&lt;/D&gt;&lt;/FQL&gt;&lt;FQL&gt;&lt;Q&gt;USDEUR^FG_PRICE_CHANGE(0,-1AM)&lt;/Q&gt;&lt;R&gt;1&lt;/R&gt;&lt;C&gt;1&lt;/C&gt;&lt;D xsi:type="xsd:double"&gt;2.1585107&lt;/D&gt;&lt;/FQL&gt;&lt;FQL&gt;&lt;Q&gt;WL-FDS^FG_PRICE_MAVG(0,,,,30)&lt;/Q&gt;&lt;R&gt;1&lt;/R&gt;&lt;C&gt;1&lt;/C&gt;&lt;D xsi:type="xsd:double"&gt;625.09&lt;/D&gt;&lt;/FQL&gt;&lt;FQL&gt;&lt;Q&gt;EWI^FG_PRICE(0)&lt;/Q&gt;&lt;R&gt;1&lt;/R&gt;&lt;C&gt;1&lt;/C&gt;&lt;D xsi:type="xsd:double"&gt;36.1&lt;/D&gt;&lt;/FQL&gt;&lt;FQL&gt;&lt;Q&gt;EWJ^FG_PRICE_MAVG(0,,,,60)&lt;/Q&gt;&lt;R&gt;1&lt;/R&gt;&lt;C&gt;1&lt;/C&gt;&lt;D xsi:type="xsd:double"&gt;68.84233&lt;/D&gt;&lt;/FQL&gt;&lt;FQL&gt;&lt;Q&gt;FXI^FMA_PCT_ABOVE_MAVG(200,0,,,,"PORTAGG")&lt;/Q&gt;&lt;R&gt;1&lt;/R&gt;&lt;C&gt;1&lt;/C&gt;&lt;D xsi:type="xsd:double"&gt;47.0588235294118&lt;/D&gt;&lt;/FQL&gt;&lt;FQL&gt;&lt;Q&gt;EWN^PERCENT_CHANGE(FMA_EPS(+1,0,,,,"PORTAGG","MEAN"),FMA_EPS(+1,-1AM,,,,"PORTAGG","MEAN"))&lt;/Q&gt;&lt;R&gt;1&lt;/R&gt;&lt;C&gt;1&lt;/C&gt;&lt;D xsi:type="xsd:double"&gt;-0.597518938290009&lt;/D&gt;&lt;/FQL&gt;&lt;FQL&gt;&lt;Q&gt;QQQ^PERCENT_CHANGE(FMA_EPS(+1,0,,,,"PORTAGG","MEAN"),FMA_EPS(+1,-3AM,,,,"PORTAGG","MEAN"))&lt;/Q&gt;&lt;R&gt;1&lt;/R&gt;&lt;C&gt;1&lt;/C&gt;&lt;D xsi:type="xsd:double"&gt;0.207229334062182&lt;/D&gt;&lt;/FQL&gt;&lt;FQL&gt;&lt;Q&gt;SPY^FMA_COS_DOWN("EPS","1M",+1,0,,,"PORTAGG","MEANR")&lt;/Q&gt;&lt;R&gt;1&lt;/R&gt;&lt;C&gt;1&lt;/C&gt;&lt;D xsi:type="xsd:double"&gt;189&lt;/D&gt;&lt;/FQL&gt;&lt;FQL&gt;&lt;Q&gt;EWG^FMA_RBICS_REV_CURRENT(30, LOC, "PORTAGG")&lt;/Q&gt;&lt;R&gt;1&lt;/R&gt;&lt;C&gt;1&lt;/C&gt;&lt;D xsi:type="xsd:double"&gt;22.665656730962&lt;/D&gt;&lt;/FQL&gt;&lt;FQL&gt;&lt;Q&gt;CAGDPY@CA^EE_ACTUAL_ANNUAL(MED,+1)&lt;/Q&gt;&lt;R&gt;1&lt;/R&gt;&lt;C&gt;1&lt;/C&gt;&lt;D xsi:type="xsd:double"&gt;-0.6&lt;/D&gt;&lt;/FQL&gt;&lt;FQL&gt;&lt;Q&gt;EWC^FMA_EPS(NTMA,-20AY,0,CY,,"PORTAGG","MEANR")&lt;/Q&gt;&lt;R&gt;20&lt;/R&gt;&lt;C&gt;1&lt;/C&gt;&lt;D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xsi:type="xsd:double"&gt;2.68263358415049&lt;/D&gt;&lt;/FQL&gt;&lt;FQL&gt;&lt;Q&gt;EWI^FMA_PE(NTMA,-10AY,0,AM,"PORTAGG","MEANR")&lt;/Q&gt;&lt;R&gt;121&lt;/R&gt;&lt;C&gt;1&lt;/C&gt;&lt;D xsi:type="xsd:double"&gt;13.7270420768559&lt;/D&gt;&lt;D xsi:type="xsd:double"&gt;13.5752952232511&lt;/D&gt;&lt;D xsi:type="xsd:double"&gt;14.535583150797&lt;/D&gt;&lt;D xsi:type="xsd:double"&gt;13.920751101942&lt;/D&gt;&lt;D xsi:type="xsd:double"&gt;13.1269566177343&lt;/D&gt;&lt;D xsi:type="xsd:double"&gt;14.0202619769476&lt;/D&gt;&lt;D xsi:type="xsd:double"&gt;12.1588940617381&lt;/D&gt;&lt;D xsi:type="xsd:double"&gt;12.8153009020994&lt;/D&gt;&lt;D xsi:type="xsd:double"&gt;12.5001036411923&lt;/D&gt;&lt;D xsi:type="xsd:double"&gt;12.9713912814776&lt;/D&gt;&lt;D xsi:type="xsd:double"&gt;15.0206033469595&lt;/D&gt;&lt;D xsi:type="xsd:double"&gt;15.4252538324667&lt;/D&gt;&lt;D xsi:type="xsd:double"&gt;15.6874618983984&lt;/D&gt;&lt;D xsi:type="xsd:double"&gt;15.5938598795598&lt;/D&gt;&lt;D xsi:type="xsd:double"&gt;14.8710142332207&lt;/D&gt;&lt;D xsi:type="xsd:double"&gt;15.5309850173596&lt;/D&gt;&lt;D xsi:type="xsd:double"&gt;15.344219376504&lt;/D&gt;&lt;D xsi:type="xsd:double"&gt;14.1646910539726&lt;/D&gt;&lt;D xsi:type="xsd:double"&gt;14.6660591370084&lt;/D&gt;&lt;D xsi:type="xsd:double"&gt;14.7406462035595&lt;/D&gt;&lt;D xsi:type="xsd:double"&gt;13.9898757845437&lt;/D&gt;&lt;D xsi:type="xsd:double"&gt;12.9375630811572&lt;/D&gt;&lt;D xsi:type="xsd:double"&gt;12.2935694432065&lt;/D&gt;&lt;D xsi:type="xsd:double"&gt;13.5470497345791&lt;/D&gt;&lt;D xsi:type="xsd:double"&gt;13.3715412682516&lt;/D&gt;&lt;D xsi:type="xsd:double"&gt;13.5228899279811&lt;/D&gt;&lt;D xsi:type="xsd:double"&gt;12.3419643320221&lt;/D&gt;&lt;D xsi:type="xsd:double"&gt;12.356688395981&lt;/D&gt;&lt;D xsi:type="xsd:double"&gt;12.5225482050175&lt;/D&gt;&lt;D xsi:type="xsd:double"&gt;11.6759630743512&lt;/D&gt;&lt;D xsi:type="xsd:double"&gt;12.0596888681987&lt;/D&gt;&lt;D xsi:type="xsd:double"&gt;11.3868950540017&lt;/D&gt;&lt;D xsi:type="xsd:double"&gt;13.4700170878655&lt;/D&gt;&lt;D xsi:type="xsd:double"&gt;13.3095896859618&lt;/D&gt;&lt;D xsi:type="xsd:double"&gt;13.0803427844456&lt;/D&gt;&lt;D xsi:type="xsd:double"&gt;13.5188472491037&lt;/D&gt;&lt;D xsi:type="xsd:double"&gt;12.7664275348768&lt;/D&gt;&lt;D xsi:type="xsd:double"&gt;13.6950362976949&lt;/D&gt;&lt;D xsi:type="xsd:double"&gt;13.356857243235&lt;/D&gt;&lt;D xsi:type="xsd:double"&gt;13.4978236373046&lt;/D&gt;&lt;D xsi:type="xsd:double"&gt;13.3710631675309&lt;/D&gt;&lt;D xsi:type="xsd:double"&gt;13.4853804971745&lt;/D&gt;&lt;D xsi:type="xsd:double"&gt;13.4925233557706&lt;/D&gt;&lt;D xsi:type="xsd:double"&gt;13.1060458015238&lt;/D&gt;&lt;D xsi:type="xsd:double"&gt;13.3743156154261&lt;/D&gt;&lt;D xsi:type="xsd:double"&gt;13.6615687520611&lt;/D&gt;&lt;D xsi:type="xsd:double"&gt;12.7056101915544&lt;/D&gt;&lt;D xsi:type="xsd:double"&gt;12.70020595427&lt;/D&gt;&lt;D xsi:type="xsd:double"&gt;13.0114497089385&lt;/D&gt;&lt;D xsi:type="xsd:double"&gt;12.4936803291754&lt;/D&gt;&lt;D xsi:type="xsd:double"&gt;11.6199747750822&lt;/D&gt;&lt;D xsi:type="xsd:double"&gt;11.4184876776307&lt;/D&gt;&lt;D xsi:type="xsd:double"&gt;10.7085908329166&lt;/D&gt;&lt;D xsi:type="xsd:double"&gt;10.9139569561109&lt;/D&gt;&lt;D xsi:type="xsd:double"&gt;9.80396538323621&lt;/D&gt;&lt;D xsi:type="xsd:double"&gt;9.58884661010097&lt;/D&gt;&lt;D xsi:type="xsd:double"&gt;9.35864251314301&lt;/D&gt;&lt;D xsi:type="xsd:double"&gt;9.89856193864263&lt;/D&gt;&lt;D xsi:type="xsd:double"&gt;10.3589539345726&lt;/D&gt;&lt;D xsi:type="xsd:double"&gt;10.7479145788376&lt;/D&gt;&lt;D xsi:type="xsd:double"&gt;10.9743371254587&lt;/D&gt;&lt;D xsi:type="xsd:double"&gt;10.4634374155735&lt;/D&gt;&lt;D xsi:type="xsd:double"&gt;10.4526448633091&lt;/D&gt;&lt;D xsi:type="xsd:double"&gt;10.8956673297726&lt;/D&gt;&lt;D xsi:type="xsd:double"&gt;10.0166494519419&lt;/D&gt;&lt;D xsi:type="xsd:double"&gt;10.7503470740274&lt;/D&gt;&lt;D xsi:type="xsd:double"&gt;10.8774998519313&lt;/D&gt;&lt;D xsi:type="xsd:double"&gt;11.3174221241967&lt;/D&gt;&lt;D xsi:type="xsd:double"&gt;11.5032510299579&lt;/D&gt;&lt;D xsi:type="xsd:double"&gt;11.6649048548083&lt;/D&gt;&lt;D xsi:type="xsd:double"&gt;12.0400292459556&lt;/D&gt;&lt;D xsi:type="xsd:double"&gt;7.93320814879931&lt;/D&gt;&lt;D xsi:type="xsd:double"&gt;11.1768083775679&lt;/D&gt;&lt;D xsi:type="xsd:double"&gt;14.8666070686213&lt;/D&gt;&lt;D xsi:type="xsd:double"&gt;17.3047065361465&lt;/D&gt;&lt;D xsi:type="xsd:double"&gt;17.8707721558781&lt;/D&gt;&lt;D xsi:type="xsd:double"&gt;16.1391160297499&lt;/D&gt;&lt;D xsi:type="xsd:double"&gt;15.3195401908117&lt;/D&gt;&lt;D xsi:type="xsd:double"&gt;14.6175666502017&lt;/D&gt;&lt;D xsi:type="xsd:double"&gt;15.0887840831674&lt;/D&gt;&lt;D xsi:type="xsd:double"&gt;14.8722536469434&lt;/D&gt;&lt;D xsi:type="xsd:double"&gt;14.5483480324116&lt;/D&gt;&lt;D xsi:type="xsd:double"&gt;13.8582571794223&lt;/D&gt;&lt;D xsi:type="xsd:double"&gt;14.1083360061198&lt;/D&gt;&lt;D xsi:type="xsd:double"&gt;13.9800235170131&lt;/D&gt;&lt;D xsi:type="xsd:double"&gt;13.3553271800491&lt;/D&gt;&lt;D xsi:type="xsd:double"&gt;13.5227577334767&lt;/D&gt;&lt;D xsi:type="xsd:double"&gt;12.968662598616&lt;/D&gt;&lt;D xsi:type="xsd:double"&gt;12.2811328706567&lt;/D&gt;&lt;D xsi:type="xsd:double"&gt;11.6240744240396&lt;/D&gt;&lt;D xsi:type="xsd:double"&gt;11.6255399174005&lt;/D&gt;&lt;D xsi:type="xsd:double"&gt;11.7490220296875&lt;/D&gt;&lt;D xsi:type="xsd:double"&gt;10.8266698176851&lt;/D&gt;&lt;D xsi:type="xsd:double"&gt;11.0330437246941&lt;/D&gt;&lt;D xsi:type="xsd:double"&gt;10.444037929157&lt;/D&gt;&lt;D xsi:type="xsd:double"&gt;9.51395946272015&lt;/D&gt;&lt;D xsi:type="xsd:double"&gt;9.69959603049536&lt;/D&gt;&lt;D xsi:type="xsd:double"&gt;8.92947741435485&lt;/D&gt;&lt;D xsi:type="xsd:double"&gt;7.87479265573353&lt;/D&gt;&lt;D xsi:type="xsd:double"&gt;7.50904157348756&lt;/D&gt;&lt;D xsi:type="xsd:double"&gt;7.77003484400483&lt;/D&gt;&lt;D xsi:type="xsd:double"&gt;7.68022288790052&lt;/D&gt;&lt;D xsi:type="xsd:double"&gt;7.48884618113005&lt;/D&gt;&lt;D xsi:type="xsd:double"&gt;8.29382642808285&lt;/D&gt;&lt;D xsi:type="xsd:double"&gt;7.59605159606092&lt;/D&gt;&lt;D xsi:type="xsd:double"&gt;8.29410619604822&lt;/D&gt;&lt;D xsi:type="xsd:double"&gt;8.4859409152171&lt;/D&gt;&lt;D xsi:type="xsd:double"&gt;7.98715991283366&lt;/D&gt;&lt;D xsi:type="xsd:double"&gt;8.76866141065281&lt;/D&gt;&lt;D xsi:type="xsd:double"&gt;8.26795603486515&lt;/D&gt;&lt;D xsi:type="xsd:double"&gt;8.79828247641717&lt;/D&gt;&lt;D xsi:type="xsd:double"&gt;8.82899189658471&lt;/D&gt;&lt;D xsi:type="xsd:double"&gt;8.09342166617299&lt;/D&gt;&lt;D xsi:type="xsd:double"&gt;8.41488786953007&lt;/D&gt;&lt;D xsi:type="xsd:double"&gt;8.13279334120108&lt;/D&gt;&lt;D xsi:type="xsd:double"&gt;8.32444449997972&lt;/D&gt;&lt;D xsi:type="xsd:double"&gt;8.82996408319547&lt;/D&gt;&lt;D xsi:type="xsd:double"&gt;8.95739608319099&lt;/D&gt;&lt;D xsi:type="xsd:double"&gt;9.00171601396808&lt;/D&gt;&lt;D xsi:type="xsd:double"&gt;9.63487266193369&lt;/D&gt;&lt;</t>
        </r>
      </text>
    </comment>
    <comment ref="A15" authorId="0" shapeId="0" xr:uid="{CB91BDF4-B212-433D-B7B3-D3350AD3B778}">
      <text>
        <r>
          <rPr>
            <b/>
            <sz val="9"/>
            <color indexed="81"/>
            <rFont val="Tahoma"/>
            <charset val="1"/>
          </rPr>
          <t>D xsi:type="xsd:double"&gt;9.4499010594736&lt;/D&gt;&lt;/FQL&gt;&lt;FQL&gt;&lt;Q&gt;WL-FDS^FG_PRICE(0)&lt;/Q&gt;&lt;R&gt;1&lt;/R&gt;&lt;C&gt;1&lt;/C&gt;&lt;D xsi:type="xsd:double"&gt;568.9&lt;/D&gt;&lt;/FQL&gt;&lt;FQL&gt;&lt;Q&gt;W-FDS^MAX(FG_PRICE(0,-5AY))&lt;/Q&gt;&lt;R&gt;1&lt;/R&gt;&lt;C&gt;1&lt;/C&gt;&lt;D xsi:type="xsd:double"&gt;14.2525&lt;/D&gt;&lt;/FQL&gt;&lt;FQL&gt;&lt;Q&gt;EWD^FG_PRICE_MAVG(0,,,,60)&lt;/Q&gt;&lt;R&gt;1&lt;/R&gt;&lt;C&gt;1&lt;/C&gt;&lt;D xsi:type="xsd:double"&gt;39.19533&lt;/D&gt;&lt;/FQL&gt;&lt;FQL&gt;&lt;Q&gt;URTH^FG_TOTAL_RETURNC(0,-3AM)&lt;/Q&gt;&lt;R&gt;1&lt;/R&gt;&lt;C&gt;1&lt;/C&gt;&lt;D xsi:type="xsd:double"&gt;4.4309974&lt;/D&gt;&lt;/FQL&gt;&lt;FQL&gt;&lt;Q&gt;EWI^FG_TOTAL_RETURNC(0,-6AM)&lt;/Q&gt;&lt;R&gt;1&lt;/R&gt;&lt;C&gt;1&lt;/C&gt;&lt;D xsi:type="xsd:double"&gt;21.648716&lt;/D&gt;&lt;/FQL&gt;&lt;FQL&gt;&lt;Q&gt;EWA^P_PRICE(0)/P_PRICE_LOW_PR(0,,,,,,"PRICE","INTRA","52W")-1&lt;/Q&gt;&lt;R&gt;1&lt;/R&gt;&lt;C&gt;1&lt;/C&gt;&lt;D xsi:type="xsd:double"&gt;0.13880742&lt;/D&gt;&lt;/FQL&gt;&lt;FQL&gt;&lt;Q&gt;ENZL^SIZE(FG_CONSTITUENTS)&lt;/Q&gt;&lt;R&gt;1&lt;/R&gt;&lt;C&gt;1&lt;/C&gt;&lt;D xsi:type="xsd:long"&gt;14&lt;/D&gt;&lt;/FQL&gt;&lt;FQL&gt;&lt;Q&gt;REFSEREPO-FDS^(SUBARRAY(NOT_NA(NO_REPEAT_F(FG_YIELD(NOW,-10AY,D))),0,1)-SUBARRAY(NOT_NA(NO_REPEAT_F(FG_YIELD(NOW,-10AY,D))),1,1))*100&lt;/Q&gt;&lt;R&gt;1&lt;/R&gt;&lt;C&gt;1&lt;/C&gt;&lt;D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xsi:type="xsd:double"&gt;25&lt;/D&gt;&lt;/FQL&gt;&lt;FQL&gt;&lt;Q&gt;TRYFR10Y-FDS^PCTCHG(FG_YIELD(0,,,,"YTM"),FG_YIELD(-3AM,,,,"YTM"))&lt;/Q&gt;&lt;R&gt;1&lt;/R&gt;&lt;C&gt;1&lt;/C&gt;&lt;D xsi:type="xsd:double"&gt;5.9363956&lt;/D&gt;&lt;/FQL&gt;&lt;FQL&gt;&lt;Q&gt;VWO^FMA_DIV_YLD(NTMA,NOW,NOW,M,"PORTAGG","MEANR")&lt;/Q&gt;&lt;R&gt;1&lt;/R&gt;&lt;C&gt;1&lt;/C&gt;&lt;D xsi:type="xsd:double"&gt;3.0627682456432&lt;/D&gt;&lt;/FQL&gt;&lt;FQL&gt;&lt;Q&gt;SPY^FMA_DIV_YLD(NTMA,NOW,NOW,M,"PORTAGG","MEANR")&lt;/Q&gt;&lt;R&gt;1&lt;/R&gt;&lt;C&gt;1&lt;/C&gt;&lt;D xsi:type="xsd:double"&gt;1.42735417104272&lt;/D&gt;&lt;/FQL&gt;&lt;FQL&gt;&lt;Q&gt;EWC^FMA_EVAL_EBITDA(NTMA,0,,,"PORTAGG","MEANR")&lt;/Q&gt;&lt;R&gt;1&lt;/R&gt;&lt;C&gt;1&lt;/C&gt;&lt;D xsi:type="xsd:double"&gt;9.79487412968778&lt;/D&gt;&lt;/FQL&gt;&lt;FQL&gt;&lt;Q&gt;TLT^FG_TOTAL_RETURNC(0,-3AM)&lt;/Q&gt;&lt;R&gt;1&lt;/R&gt;&lt;C&gt;1&lt;/C&gt;&lt;D xsi:type="xsd:double"&gt;-4.370773&lt;/D&gt;&lt;/FQL&gt;&lt;FQL&gt;&lt;Q&gt;USDEUR^FG_PRICE(0)&lt;/Q&gt;&lt;R&gt;1&lt;/R&gt;&lt;C&gt;1&lt;/C&gt;&lt;D xsi:type="xsd:double"&gt;0.93848246&lt;/D&gt;&lt;/FQL&gt;&lt;FQL&gt;&lt;Q&gt;EWJ^FG_PRICE_MAVG(0,,,,30)&lt;/Q&gt;&lt;R&gt;1&lt;/R&gt;&lt;C&gt;1&lt;/C&gt;&lt;D xsi:type="xsd:double"&gt;70.06233&lt;/D&gt;&lt;/FQL&gt;&lt;FQL&gt;&lt;Q&gt;EWN^FMA_PCT_ABOVE_MAVG(200,0,,,,"PORTAGG")&lt;/Q&gt;&lt;R&gt;1&lt;/R&gt;&lt;C&gt;1&lt;/C&gt;&lt;D xsi:type="xsd:double"&gt;61.1111111111111&lt;/D&gt;&lt;/FQL&gt;&lt;FQL&gt;&lt;Q&gt;QQQ^PERCENT_CHANGE(FMA_EPS(+1,0,,,,"PORTAGG","MEAN"),FMA_EPS(+1,-1AM,,,,"PORTAGG","MEAN"))&lt;/Q&gt;&lt;R&gt;1&lt;/R&gt;&lt;C&gt;1&lt;/C&gt;&lt;D xsi:type="xsd:double"&gt;0.26802734538025&lt;/D&gt;&lt;/FQL&gt;&lt;FQL&gt;&lt;Q&gt;EWJ^SIZE(FG_CONSTITUENTS)&lt;/Q&gt;&lt;R&gt;1&lt;/R&gt;&lt;C&gt;1&lt;/C&gt;&lt;D xsi:type="xsd:long"&gt;219&lt;/D&gt;&lt;/FQL&gt;&lt;FQL&gt;&lt;Q&gt;QQQ^SIZE(FG_CONSTITUENTS)&lt;/Q&gt;&lt;R&gt;1&lt;/R&gt;&lt;C&gt;1&lt;/C&gt;&lt;D xsi:type="xsd:long"&gt;102&lt;/D&gt;&lt;/FQL&gt;&lt;FQL&gt;&lt;Q&gt;ENZL^FMA_COS_DOWN("EPS","1M",+1,0,,,"PORTAGG","MEANR")&lt;/Q&gt;&lt;R&gt;1&lt;/R&gt;&lt;C&gt;1&lt;/C&gt;&lt;D xsi:type="xsd:double"&gt;0&lt;/D&gt;&lt;/FQL&gt;&lt;FQL&gt;&lt;Q&gt;EWA^FMA_RBICS_REV_CURRENT(30, LOC, "PORTAGG")&lt;/Q&gt;&lt;R&gt;1&lt;/R&gt;&lt;C&gt;1&lt;/C&gt;&lt;D xsi:type="xsd:double"&gt;40.7151096463948&lt;/D&gt;&lt;/FQL&gt;&lt;FQL&gt;&lt;Q&gt;REFJPTON-FDS^FG_YIELD(NOW,,,0)&lt;/Q&gt;&lt;R&gt;1&lt;/R&gt;&lt;C&gt;1&lt;/C&gt;&lt;D xsi:type="xsd:double"&gt;0.1&lt;/D&gt;&lt;/FQL&gt;&lt;FQL&gt;&lt;Q&gt;TRYFR10Y-FDS^PCTCHG(FG_YIELD(0,,,,"YTM"),FG_YIELD(-1AM,,,,"YTM"))&lt;/Q&gt;&lt;R&gt;1&lt;/R&gt;&lt;C&gt;1&lt;/C&gt;&lt;D xsi:type="xsd:double"&gt;3.629451&lt;/D&gt;&lt;/FQL&gt;&lt;FQL&gt;&lt;Q&gt;TRYAU10Y-FDS^FG_YIELD(0,,,,"YTM")&lt;/Q&gt;&lt;R&gt;1&lt;/R&gt;&lt;C&gt;1&lt;/C&gt;&lt;D xsi:type="xsd:double"&gt;4.28&lt;/D&gt;&lt;/FQL&gt;&lt;FQL&gt;&lt;Q&gt;VWO^FG_PE_NTM(0,,,90,0)&lt;/Q&gt;&lt;R&gt;1&lt;/R&gt;&lt;C&gt;1&lt;/C&gt;&lt;D xsi:type="xsd:double"&gt;14.2345516611312&lt;/D&gt;&lt;/FQL&gt;&lt;FQL&gt;&lt;Q&gt;EWD^FMA_PE(NTMA,0,,,"PORTAGG","MEANR")&lt;/Q&gt;&lt;R&gt;1&lt;/R&gt;&lt;C&gt;1&lt;/C&gt;&lt;D xsi:type="xsd:double"&gt;16.2567726360342&lt;/D&gt;&lt;/FQL&gt;&lt;FQL&gt;&lt;Q&gt;EWL^FG_FCF_YIELD_NTM(0)&lt;/Q&gt;&lt;R&gt;1&lt;/R&gt;&lt;C&gt;1&lt;/C&gt;&lt;D xsi:type="xsd:double"&gt;5.08375353558046&lt;/D&gt;&lt;/FQL&gt;&lt;FQL&gt;&lt;Q&gt;USDGBP^FG_PRICE_CHANGE(0,-6AM)&lt;/Q&gt;&lt;R&gt;1&lt;/R&gt;&lt;C&gt;1&lt;/C&gt;&lt;D xsi:type="xsd:double"&gt;-2.4064958&lt;/D&gt;&lt;/FQL&gt;&lt;FQL&gt;&lt;Q&gt;EWA^PERCENT_CHANGE(FMA_EPS(+1,0,,,,"PORTAGG","MEAN"),FMA_EPS(+1,-1AM,,,,"PORTAGG","MEAN"))&lt;/Q&gt;&lt;R&gt;1&lt;/R&gt;&lt;C&gt;1&lt;/C&gt;&lt;D xsi:type="xsd:double"&gt;-2.17505509709052&lt;/D&gt;&lt;/FQL&gt;&lt;FQL&gt;&lt;Q&gt;EWU^FG_ROE(0)&lt;/Q&gt;&lt;R&gt;1&lt;/R&gt;&lt;C&gt;1&lt;/C&gt;&lt;D xsi:type="xsd:double"&gt;17.0428858198266&lt;/D&gt;&lt;/FQL&gt;&lt;FQL&gt;&lt;Q&gt;VGK^FMA_DIV_YLD(NTMA,NOW,NOW,M,"PORTAGG","MEANR")&lt;/Q&gt;&lt;R&gt;1&lt;/R&gt;&lt;C&gt;1&lt;/C&gt;&lt;D xsi:type="xsd:double"&gt;3.58646501222304&lt;/D&gt;&lt;/FQL&gt;&lt;FQL&gt;&lt;Q&gt;USDNZD^STD(FG_PRICE_CHANGE(0,-3AY,M))&lt;/Q&gt;&lt;R&gt;1&lt;/R&gt;&lt;C&gt;1&lt;/C&gt;&lt;D xsi:type="xsd:double"&gt;3.49434304497674&lt;/D&gt;&lt;/FQL&gt;&lt;FQL&gt;&lt;Q&gt;ENZL^P_PRICE(0)/P_PRICE_LOW_PR(0,,,,,,"PRICE","INTRA","52W")-1&lt;/Q&gt;&lt;R&gt;1&lt;/R&gt;&lt;C&gt;1&lt;/C&gt;&lt;D xsi:type="xsd:double"&gt;0.072383404&lt;/D&gt;&lt;/FQL&gt;&lt;FQL&gt;&lt;Q&gt;EWG^FG_ROE(0)&lt;/Q&gt;&lt;R&gt;1&lt;/R&gt;&lt;C&gt;1&lt;/C&gt;&lt;D xsi:type="xsd:double"&gt;12.4231931337635&lt;/D&gt;&lt;/FQL&gt;&lt;FQL&gt;&lt;Q&gt;TRYNL10Y-FDS^PCTCHG(FG_YIELD(0,,,,"YTM"),FG_YIELD(-1AM,,,,"YTM"))&lt;/Q&gt;&lt;R&gt;1&lt;/R&gt;&lt;C&gt;1&lt;/C&gt;&lt;D xsi:type="xsd:double"&gt;1.6064224&lt;/D&gt;&lt;/FQL&gt;&lt;FQL&gt;&lt;Q&gt;EWL^FMA_EVAL_EBIT(LTMA,NOW,NOW,M,"PORTAGG","MEANR")&lt;/Q&gt;&lt;R&gt;1&lt;/R&gt;&lt;C&gt;1&lt;/C&gt;&lt;D xsi:type="xsd:double"&gt;16.6905797975549&lt;/D&gt;&lt;/FQL&gt;&lt;FQL&gt;&lt;Q&gt;VGK^FG_PE_NTM(0,,,90,0)&lt;/Q&gt;&lt;R&gt;1&lt;/R&gt;&lt;C&gt;1&lt;/C&gt;&lt;D xsi:type="xsd:double"&gt;13.9986057326763&lt;/D&gt;&lt;/FQL&gt;&lt;FQL&gt;&lt;Q&gt;TLT^P_PRICE(0)/P_PRICE_HIGH_PR(0,,,USD,,,"PRICE","INTRA","52W")&lt;/Q&gt;&lt;R&gt;1&lt;/R&gt;&lt;C&gt;1&lt;/C&gt;&lt;D xsi:type="xsd:double"&gt;0.828329&lt;/D&gt;&lt;/FQL&gt;&lt;FQL&gt;&lt;Q&gt;SPY^FMA_PE(LTMA,-10AY,0,AM,"PORTAGG","MEANR")&lt;/Q&gt;&lt;R&gt;121&lt;/R&gt;&lt;C&gt;1&lt;/C&gt;&lt;D xsi:type="xsd:double"&gt;16.2696802727531&lt;/D&gt;&lt;D xsi:type="xsd:double"&gt;16.1805850851913&lt;/D&gt;&lt;D xsi:type="xsd:double"&gt;16.3801473393373&lt;/D&gt;&lt;D xsi:type="xsd:double"&gt;16.4300983525955&lt;/D&gt;&lt;D xsi:type="xsd:double"&gt;16.3555290735578&lt;/D&gt;&lt;D xsi:type="xsd:double"&gt;16.6090272822809&lt;/D&gt;&lt;D xsi:type="xsd:double"&gt;15.8473913586229&lt;/D&gt;&lt;D xsi:type="xsd:double"&gt;16.9839570321396&lt;/D&gt;&lt;D xsi:type="xsd:double"&gt;17.2765939902662&lt;/D&gt;&lt;D xsi:type="xsd:double"&gt;16.9591436776908&lt;/D&gt;&lt;D xsi:type="xsd:double"&gt;17.5575503992601&lt;/D&gt;&lt;D xsi:type="xsd:double"&gt;17.5683662017921&lt;/D&gt;&lt;D xsi:type="xsd:double"&gt;17.5202825073247&lt;/D&gt;&lt;D xsi:type="xsd:double"&gt;17.5924823243729&lt;/D&gt;&lt;D xsi:type="xsd:double"&gt;17.559150815921&lt;/D&gt;&lt;D xsi:type="xsd:double"&gt;17.6302497900012&lt;/D&gt;&lt;D xsi:type="xsd:double"&gt;17.4986249700203&lt;/D&gt;&lt;D xsi:type="xsd:double"&gt;16.7007234873084&lt;/D&gt;&lt;D xsi:type="xsd:double"&gt;17.1847933276884&lt;/D&gt;&lt;D xsi:type="xsd:double"&gt;17.4520700352513&lt;/D&gt;&lt;D xsi:type="xsd:double"&gt;16.8174984182461&lt;/D&gt;&lt;D xsi:type="xsd:double"&gt;15.7767110477485&lt;/D&gt;&lt;D xsi:type="xsd:double"&gt;16.2966838906097&lt;/D&gt;&lt;D xsi:type="xsd:double"&gt;16.18819342752&lt;/D&gt;&lt;D xsi:type="xsd:double"&gt;16.4452153070474&lt;/D&gt;&lt;D xsi:type="xsd:double"&gt;16.565182572191&lt;/D&gt;&lt;D xsi:type="xsd:double"&gt;16.7256261745427&lt;/D&gt;&lt;D xsi:type="xsd:double"&gt;17.2894754103028&lt;/D&gt;&lt;D xsi:type="xsd:double"&gt;17.5723674264573&lt;/D&gt;&lt;D xsi:type="xsd:double"&gt;17.4840399970967&lt;/D&gt;&lt;D xsi:type="xsd:double"&gt;17.6355201346223&lt;/D&gt;&lt;D xsi:type="xsd:double"&gt;18.0617103989256&lt;/D&gt;&lt;D xsi:type="xsd:double"&gt;18.8285687523753&lt;/D&gt;&lt;D xsi:type="xsd:double"&gt;18.9709463813224&lt;/D&gt;&lt;D xsi:type="xsd:double"&gt;19.4499488578833&lt;/D&gt;&lt;D xsi:type="xsd:double"&gt;19.4355308648251&lt;/D&gt;&lt;D xsi:type="xsd:double"&gt;19.2032882911726&lt;/D&gt;&lt;D xsi:type="xsd:double"&gt;19.0843829449953&lt;/D&gt;&lt;D xsi:type="xsd:double"&gt;19.1742879317122&lt;/D&gt;&lt;D xsi:type="xsd:double"&gt;19.1976785228623&lt;/D&gt;&lt;D xsi:type="xsd:double"&gt;18.8952078804336&lt;/D&gt;&lt;D xsi:type="xsd:double"&gt;19.243103066265&lt;/D&gt;&lt;D xsi:type="xsd:double"&gt;19.5748568147634&lt;/D&gt;&lt;D xsi:type="xsd:double"&gt;19.5710537212846&lt;/D&gt;&lt;D xsi:type="xsd:double"&gt;20.3668225624892&lt;/D&gt;&lt;D xsi:type="xsd:double"&gt;21.0171057257661&lt;/D&gt;&lt;D xsi:type="xsd:double"&gt;20.0308807036986&lt;/D&gt;&lt;D xsi:type="xsd:double"&gt;19.7085349609422&lt;/D&gt;&lt;D xsi:type="xsd:double"&gt;19.3628745059458&lt;/D&gt;&lt;D xsi:type="xsd:double"&gt;19.0089893537816&lt;/D&gt;&lt;D xsi:type="xsd:double"&gt;18.8869877058729&lt;/D&gt;&lt;D xsi:type="xsd:double"&gt;18.7474380549928&lt;/D&gt;&lt;D xsi:type="xsd:double"&gt;18.5936275063908&lt;/D&gt;&lt;D xsi:type="xsd:double"&gt;18.5906262493504&lt;/D&gt;&lt;D xsi:type="xsd:double"&gt;17.7663211759576&lt;/D&gt;&lt;D xsi:type="xsd:double"&gt;17.2553677944083&lt;/D&gt;&lt;D xsi:type="xsd:double"&gt;15.8526766815773&lt;/D&gt;&lt;D xsi:type="xsd:double"&gt;16.5224888589966&lt;/D&gt;&lt;D xsi:type="xsd:double"&gt;17.0772159171718&lt;/D&gt;&lt;D xsi:type="xsd:double"&gt;17.1452726974594&lt;/D&gt;&lt;D xsi:type="xsd:double"&gt;17.2409943389753&lt;/D&gt;&lt;D xsi:type="xsd:double"&gt;17.1403868413901&lt;/D&gt;&lt;D xsi:type="xsd:double"&gt;17.3069036988811&lt;/D&gt;&lt;D xsi:type="xsd:double"&gt;17.6734438119001&lt;/D&gt;&lt;D xsi:type="xsd:double"&gt;17.3653734218844&lt;/D&gt;&lt;D xsi:type="xsd:double"&gt;17.9191072328942&lt;/D&gt;&lt;D xsi:type="xsd:double"&gt;18.038296345791&lt;/D&gt;&lt;D xsi:type="xsd:double"&gt;18.8635414394761&lt;/D&gt;&lt;D xsi:type="xsd:double"&gt;19.5071165778472&lt;/D&gt;&lt;D xsi:type="xsd:double"&gt;20.4344994313111&lt;/D&gt;&lt;D xsi:type="xsd:double"&gt;20.4516343765189&lt;/D&gt;&lt;D xsi:type="xsd:double"&gt;17.2614711701058&lt;/D&gt;&lt;D xsi:type="xsd:double"&gt;18.7990608392291&lt;/D&gt;&lt;D xsi:type="xsd:double"&gt;19.9359888797017&lt;/D&gt;&lt;D xsi:type="xsd:double"&gt;21.0158794605381&lt;/D&gt;&lt;D xsi:type="xsd:double"&gt;22.0250043357081&lt;/D&gt;&lt;D xsi:type="xsd:double"&gt;22.917872531459&lt;/D&gt;&lt;D xsi:type="xsd:double"&gt;23.0510288900996&lt;/D&gt;&lt;D xsi:type="xsd:double"&gt;24.3645956616323&lt;/D&gt;&lt;D xsi:type="xsd:double"&gt;24.7765215780874&lt;/D&gt;&lt;D xsi:type="xsd:double"&gt;26.2505410035609&lt;/D&gt;&lt;D xsi:type="xsd:double"&gt;27.1287538784987&lt;/D&gt;&lt;D xsi:type="xsd:double"&gt;27.1849263844919&lt;/D&gt;&lt;D xsi:type="xsd:double"&gt;26.0994052952755&lt;/D&gt;&lt;D xsi:type="xsd:double"&gt;25.9954653409464&lt;/D&gt;&lt;D xsi:type="xsd:double"&gt;25.148344755142&lt;/D&gt;&lt;D xsi:type="xsd:double"&gt;24.6836795337567&lt;/D&gt;&lt;D xsi:type="xsd:double"&gt;24.5509958272906&lt;/D&gt;&lt;D xsi:type="xsd:double"&gt;23.8162222053526&lt;/D&gt;&lt;D xsi:type="xsd:double"&gt;23.4914808605602&lt;/D&gt;&lt;D xsi:type="xsd:double"&gt;23.1978581514067&lt;/D&gt;&lt;D xsi:type="xsd:double"&gt;23.4089291888741&lt;/D&gt;&lt;D xsi:type="xsd:double"&gt;22.6499125521586&lt;/D&gt;&lt;D xsi:type="xsd:double"&gt;22.1718817332378&lt;/D&gt;&lt;D xsi:type="xsd:double"&gt;20.6739851748108&lt;/D&gt;&lt;D xsi:type="xsd:double"&gt;20.6906520279676&lt;/D&gt;&lt;D xsi:type="xsd:double"&gt;20.4350246031018&lt;/D&gt;&lt;D xsi:type="xsd:double"&gt;19.5124768649439&lt;/D&gt;&lt;D xsi:type="xsd:double"&gt;18.6617659356113&lt;/D&gt;&lt;D xsi:type="xsd:double"&gt;18.6439568371794&lt;/D&gt;&lt;D xsi:type="xsd:double"&gt;19.6744202704331&lt;/D&gt;&lt;D xsi:type="xsd:double"&gt;18.2616896130597&lt;/D&gt;&lt;D xsi:type="xsd:double"&gt;17.5875473625571&lt;/D&gt;&lt;D xsi:type="xsd:double"&gt;18.29992528867&lt;/D&gt;&lt;D xsi:type="xsd:double"&gt;17.5851735716234&lt;/D&gt;&lt;D xsi:type="xsd:double"&gt;17.8283158022737&lt;/D&gt;&lt;D xsi:type="xsd:double"&gt;18.5242144474506&lt;/D&gt;&lt;D xsi:type="xsd:double"&gt;17.9933581308225&lt;/D&gt;&lt;D xsi:type="xsd:double"&gt;18.3187837246061&lt;/D&gt;&lt;D xsi:type="xsd:double"&gt;18.4354133271682&lt;/D&gt;&lt;D xsi:type="xsd:double"&gt;18.9218441950953&lt;/D&gt;&lt;D xsi:type="xsd:double"&gt;19.5983019485446&lt;/D&gt;&lt;D xsi:type="xsd:double"&gt;19.1147331818931&lt;/D&gt;&lt;D xsi:type="xsd:double"&gt;19.546335606268&lt;/D&gt;&lt;D xsi:type="xsd:double"&gt;19.2927044221707&lt;/D&gt;&lt;D xsi:type="xsd:double"&gt;20.1668508249389&lt;/D&gt;&lt;D xsi:type="xsd:double"&gt;21.4522770952765&lt;/D&gt;&lt;D xsi:type="xsd:double"&gt;21.8400156289055&lt;/D&gt;&lt;D xsi:type="xsd:double"&gt;22.4549181994537&lt;/D&gt;&lt;D xsi:type="xsd:double"&gt;22.719009130599&lt;/D&gt;&lt;D xsi:type="xsd:double"&gt;22.4604518402185&lt;/D&gt;&lt;/FQL&gt;&lt;FQL&gt;&lt;Q&gt;ENZL^FMA_PCT_ABOVE_MAVG(200,0,,,,"PORTAGG")&lt;/Q&gt;&lt;R&gt;1&lt;/R&gt;&lt;C&gt;1&lt;/C&gt;&lt;D xsi:type="xsd:double"&gt;42.8571428571429&lt;/D&gt;&lt;/FQL&gt;&lt;FQL&gt;&lt;Q&gt;TRYCH10Y-FDS^PCTCHG(FG_YIELD(0,,,,"YTM"),FG_YIELD(-3AM,,,,"YTM"))&lt;/Q&gt;&lt;R&gt;1&lt;/R&gt;&lt;C&gt;1&lt;/C&gt;&lt;D xsi:type="xsd:double"&gt;-15.486724&lt;/D&gt;&lt;/FQL&gt;&lt;FQL&gt;&lt;Q&gt;EWL^FMA_EVAL_EBITDA(NTMA,0,,,"PORTAGG","MEANR")&lt;/Q&gt;&lt;R&gt;1&lt;/R&gt;&lt;C&gt;1&lt;/C&gt;&lt;D xsi:type="xsd:double"&gt;12.6240076265329&lt;/D&gt;&lt;/FQL&gt;&lt;FQL&gt;&lt;Q&gt;TLT^FG_TOTAL_RETURNC(0,-6AM)&lt;/Q&gt;&lt;R&gt;1&lt;/R&gt;&lt;C&gt;1&lt;/C&gt;&lt;D xsi:type="xsd:double"&gt;7.165718&lt;/D&gt;&lt;/FQL&gt;&lt;FQL&gt;&lt;Q&gt;VGK^JULIAN(FMA_DIV_YLD(NTMA,NOW,NOW,M,"PORTAGG","MEANR").DATES)&lt;/Q&gt;&lt;R&gt;1&lt;/R&gt;&lt;C&gt;1&lt;/C&gt;&lt;D xsi:type="xsd:long"&gt;45351&lt;/D&gt;&lt;/FQL&gt;&lt;FQL&gt;&lt;Q&gt;EWJ^FG_FCF_YIELD_NTM(0)&lt;/Q&gt;&lt;R&gt;1&lt;/R&gt;&lt;C&gt;1&lt;/C&gt;&lt;D xsi:type="xsd:double"&gt;4.04087386254844&lt;/D&gt;&lt;/FQL&gt;&lt;FQL&gt;&lt;Q&gt;VGK^P_PRICE(0)/P_PRICE_HIGH_PR(0,,,,,,"PRICE","INTRA","52W")&lt;/Q&gt;&lt;R&gt;1&lt;/R&gt;&lt;C&gt;1&lt;/C&gt;&lt;D xsi:type="xsd:double"&gt;0.95190316&lt;/D&gt;&lt;/FQL&gt;&lt;FQL&gt;&lt;Q&gt;VGK^SIZE(FG_CONSTITUENTS)&lt;/Q&gt;&lt;R&gt;1&lt;/R&gt;&lt;C&gt;1&lt;/C&gt;&lt;D xsi:type="xsd:long"&gt;1280&lt;/D&gt;&lt;/FQL&gt;&lt;FQL&gt;&lt;Q&gt;TRYJP10Y-FDS^PCTCHG(FG_YIELD(0,,,,"YTM"),FG_YIELD(-1AM,,,,"YTM"))&lt;/Q&gt;&lt;R&gt;1&lt;/R&gt;&lt;C&gt;1&lt;/C&gt;&lt;D xsi:type="xsd:double"&gt;14.908469&lt;/D&gt;&lt;/FQL&gt;&lt;FQL&gt;&lt;Q&gt;EWI^FMA_EVAL_EBIT(LTMA,NOW,NOW,M,"PORTAGG","MEANR")&lt;/Q&gt;&lt;R&gt;1&lt;/R&gt;&lt;C&gt;1&lt;/C&gt;&lt;D xsi:type="xsd:double"&gt;11.1884805239824&lt;/D&gt;&lt;/FQL&gt;&lt;FQL&gt;&lt;Q&gt;EWJ^FMA_DIV_YLD(NTMA,NOW,NOW,M,"PORTAGG","MEANR")&lt;/Q&gt;&lt;R&gt;1&lt;/R&gt;&lt;C&gt;1&lt;/C&gt;&lt;D xsi:type="xsd:double"&gt;2.1573311018163&lt;/D&gt;&lt;/FQL&gt;&lt;FQL&gt;&lt;Q&gt;DBA^P_PRICE(0)/P_PRICE_HIGH_PR(0,,,USD,,,"PRICE","INTRA","52W")&lt;/Q&gt;&lt;R&gt;1&lt;/R&gt;&lt;C&gt;1&lt;/C&gt;&lt;D xsi:type="xsd:double"&gt;0.99884826&lt;/D&gt;&lt;/FQL&gt;&lt;FQL&gt;&lt;Q&gt;BRENT-FDS^FG_PRICE(0)&lt;/Q&gt;&lt;R&gt;1&lt;/R&gt;&lt;C&gt;1&lt;/C&gt;&lt;D xsi:type="xsd:double"&gt;85.86&lt;/D&gt;&lt;/FQL&gt;&lt;FQL&gt;&lt;Q&gt;EWI^P_PRICE(0)/P_PRICE_HIGH_PR(0,,,,,,"PRICE","INTRA","52W")&lt;/Q&gt;&lt;R&gt;1&lt;/R&gt;&lt;C&gt;1&lt;/C&gt;&lt;D xsi:type="xsd:double"&gt;0.95100105&lt;/D&gt;&lt;/FQL&gt;&lt;FQL&gt;&lt;Q&gt;VGK^FMA_COS_UP("EPS","1M",+1,0,,,"PORTAGG","MEANR")&lt;/Q&gt;&lt;R&gt;1&lt;/R&gt;&lt;C&gt;1&lt;/C&gt;&lt;D xsi:type="xsd:double"&gt;473&lt;/D&gt;&lt;/FQL&gt;&lt;FQL&gt;&lt;Q&gt;COPP-FDS^MAX(FG_PRICE(0,-5AY))&lt;/Q&gt;&lt;R&gt;1&lt;/R&gt;&lt;C&gt;1&lt;/C&gt;&lt;D xsi:type="xsd:double"&gt;4.929&lt;/D&gt;&lt;/FQL&gt;&lt;FQL&gt;&lt;Q&gt;EWD^FG_TOTAL_RETURNC(0,-12AM)&lt;/Q&gt;&lt;R&gt;1&lt;/R&gt;&lt;C&gt;1&lt;/C&gt;&lt;D xsi:type="xsd:double"&gt;7.2464943&lt;/D&gt;&lt;/FQL&gt;&lt;FQL&gt;&lt;Q&gt;EWI^SIZE(FG_CONSTITUENTS)&lt;/Q&gt;&lt;R&gt;1&lt;/R&gt;&lt;C&gt;1&lt;/C&gt;&lt;D xsi:type="xsd:long"&gt;27&lt;/D&gt;&lt;/FQL&gt;&lt;FQL&gt;&lt;Q&gt;TRYCA10Y-FDS^PCTCHG(FG_YIELD(0,,,,"YTM"),FG_YIELD(-3AM,,,,"YTM"))&lt;/Q&gt;&lt;R&gt;1&lt;/R&gt;&lt;C&gt;1&lt;/C&gt;&lt;D xsi:type="xsd:double"&gt;7.9190035&lt;/D&gt;&lt;/FQL&gt;&lt;FQL&gt;&lt;Q&gt;EWD^FMA_EVAL_EBIT(LTMA,NOW,NOW,M,"PORTAGG","MEANR")&lt;/Q&gt;&lt;R&gt;1&lt;/R&gt;&lt;C&gt;1&lt;/C&gt;&lt;D xsi:type="xsd:double"&gt;15.9521965032378&lt;/D&gt;&lt;/FQL&gt;&lt;FQL&gt;&lt;Q&gt;EWJ^FMA_PE(NTMA,0,,,"PORTAGG","MEANR")&lt;/Q&gt;&lt;R&gt;1&lt;/R&gt;&lt;C&gt;1&lt;/C&gt;&lt;D xsi:type="xsd:double"&gt;15.6457867150851&lt;/D&gt;&lt;/FQL&gt;&lt;FQL&gt;&lt;Q&gt;DBA^FG_TOTAL_RETURNC(0,-6AM)&lt;/Q&gt;&lt;R&gt;1&lt;/R&gt;&lt;C&gt;1&lt;/C&gt;&lt;D xsi:type="xsd:double"&gt;23.698902&lt;/D&gt;&lt;/FQL&gt;&lt;FQL&gt;&lt;Q&gt;EWD^P_PRICE(0)/P_PRICE_HIGH_PR(0,,,,,,"PRICE","INTRA","52W")&lt;/Q&gt;&lt;R&gt;1&lt;/R&gt;&lt;C&gt;1&lt;/C&gt;&lt;D xsi:type="xsd:double"&gt;0.9237247&lt;/D&gt;&lt;/FQL&gt;&lt;FQL&gt;&lt;Q&gt;EWI^FMA_COS_DOWN("EPS","1M",+1,0,,,"PORTAGG","MEANR")&lt;/Q&gt;&lt;R&gt;1&lt;/R&gt;&lt;C&gt;1&lt;/C&gt;&lt;D xsi:type="xsd:double"&gt;11&lt;/D&gt;&lt;/FQL&gt;&lt;FQL&gt;&lt;Q&gt;EWD^FMA_EVAL_EBITDA(NTMA,0,,,"PORTAGG","MEANR")&lt;/Q&gt;&lt;R&gt;1&lt;/R&gt;&lt;C&gt;1&lt;/C&gt;&lt;D xsi:type="xsd:double"&gt;11.1902054713883&lt;/D&gt;&lt;/FQL&gt;&lt;FQL&gt;&lt;Q&gt;EWD^FG_TOTAL_RETURNC(0,-3AM)&lt;/Q&gt;&lt;R&gt;1&lt;/R&gt;&lt;C&gt;1&lt;/C&gt;&lt;D xsi:type="xsd:double"&gt;5.2357435&lt;/D&gt;&lt;/FQL&gt;&lt;FQL&gt;&lt;Q&gt;EWD^FG_FCF_YIELD_NTM(0)&lt;/Q&gt;&lt;R&gt;1&lt;/R&gt;&lt;C&gt;1&lt;/C&gt;&lt;D xsi:type="xsd:double"&gt;5.12174207557088&lt;/D&gt;&lt;/FQL&gt;&lt;FQL&gt;&lt;Q&gt;EWJ^FMA_PE(LTM,0,,,"PORTAGG","MEANR")&lt;/Q&gt;&lt;R&gt;1&lt;/R&gt;&lt;C&gt;1&lt;/C&gt;&lt;D xsi:type="xsd:double"&gt;16.2964065627258&lt;/D&gt;&lt;/FQL&gt;&lt;FQL&gt;&lt;Q&gt;DBA^FG_TOTAL_RETURNC(0,-3AM)&lt;/Q&gt;&lt;R&gt;1&lt;/R&gt;&lt;C&gt;1&lt;/C&gt;&lt;D xsi:type="xsd:double"&gt;24.364508&lt;/D&gt;&lt;/FQL&gt;&lt;FQL&gt;&lt;Q&gt;EWN^P_PRICE(0)/P_PRICE_LOW_PR(0,,,,,,"PRICE","INTRA","52W")-1&lt;/Q&gt;&lt;R&gt;1&lt;/R&gt;&lt;C&gt;1&lt;/C&gt;&lt;D xsi:type="xsd:double"&gt;0.30090928&lt;/D&gt;&lt;/FQL&gt;&lt;FQL&gt;&lt;Q&gt;TRYIT10Y-FDS^FG_YIELD(0,,,,"YTM")&lt;/Q&gt;&lt;R&gt;1&lt;/R&gt;&lt;C&gt;1&lt;/C&gt;&lt;D xsi:type="xsd:double"&gt;3.877&lt;/D&gt;&lt;/FQL&gt;&lt;FQL&gt;&lt;Q&gt;EWG^SIZE(FG_CONSTITUENTS)&lt;/Q&gt;&lt;R&gt;1&lt;/R&gt;&lt;C&gt;1&lt;/C&gt;&lt;D xsi:type="xsd:long"&gt;57&lt;/D&gt;&lt;/FQL&gt;&lt;FQL&gt;&lt;Q&gt;EWN^FMA_PE(LTM,0,,,"PORTAGG","MEANR")&lt;/Q&gt;&lt;R&gt;1&lt;/R&gt;&lt;C&gt;1&lt;/C&gt;&lt;D xsi:type="xsd:double"&gt;19.2785921099779&lt;/D&gt;&lt;/FQL&gt;&lt;FQL&gt;&lt;Q&gt;EWA^FG_FCF_YIELD_NTM(0)&lt;/Q&gt;&lt;R&gt;1&lt;/R&gt;&lt;C&gt;1&lt;/C&gt;&lt;D xsi:type="xsd:double"&gt;4.92339708408311&lt;/D&gt;&lt;/FQL&gt;&lt;FQL&gt;&lt;Q&gt;GLD^FG_TOTAL_RETURNC(0,-6AM)&lt;/Q&gt;&lt;R&gt;1&lt;/R&gt;&lt;C&gt;1&lt;/C&gt;&lt;D xsi:type="xsd:double"&gt;21.82231&lt;/D&gt;&lt;/FQL&gt;&lt;FQL&gt;&lt;Q&gt;EWA^FG_PRICE_MAVG(0,,,,200)&lt;/Q&gt;&lt;R&gt;1&lt;/R&gt;&lt;C&gt;1&lt;/C&gt;&lt;D xsi:type="xsd:double"&gt;22.8481&lt;/D&gt;&lt;/FQL&gt;&lt;FQL&gt;&lt;Q&gt;EWU^PERCENT_CHANGE(FMA_EPS(+1,0,,,,"PORTAGG","MEAN"),FMA_EPS(+1,-3AM,,,,"PORTAGG","MEAN"))&lt;/Q&gt;&lt;R&gt;1&lt;/R&gt;&lt;C&gt;1&lt;/C&gt;&lt;D xsi:type="xsd:double"&gt;-3.55988695976719&lt;/D&gt;&lt;/FQL&gt;&lt;FQL&gt;&lt;Q&gt;REFCHMPR-FDS^PROPER_NAME(0,,,"SECURITY","NAME")&lt;/Q&gt;&lt;R&gt;1&lt;/R&gt;&lt;C&gt;1&lt;/C&gt;&lt;D xsi:type="xsd:string"&gt;Swiss Policy Rate - Sight Deposit Rate&lt;/D&gt;&lt;/FQL&gt;&lt;FQL&gt;&lt;Q&gt;VWO^P_PRICE(0)/P_PRICE_HIGH_PR(0,,,USD,,,"PRICE","INTRA","52W")&lt;/Q&gt;&lt;R&gt;1&lt;/R&gt;&lt;C&gt;1&lt;/C&gt;&lt;D xsi:type="xsd:double"&gt;0.9515081&lt;/D&gt;&lt;/FQL&gt;&lt;FQL&gt;&lt;Q&gt;ENZL^JULIAN(FMA_DIV_YLD(NTMA,NOW,NOW,M,"PORTAGG","MEANR").DATES)&lt;/Q&gt;&lt;R&gt;1&lt;/R&gt;&lt;C&gt;1&lt;/C&gt;&lt;D xsi:type="xsd:long"&gt;45379&lt;/D&gt;&lt;/FQL&gt;&lt;FQL&gt;&lt;Q&gt;EWI^FMA_RBICS_REV_CURRENT(30, LOC, "PORTAGG")&lt;/Q&gt;&lt;R&gt;1&lt;/R&gt;&lt;C&gt;1&lt;/C&gt;&lt;D xsi:type="xsd:double"&gt;34.5462492743982&lt;/D&gt;&lt;/FQL&gt;&lt;FQL&gt;&lt;Q&gt;QQQ^FMA_PE(LTM,0,,,"PORTAGG","MEANR")&lt;/Q&gt;&lt;R&gt;1&lt;/R&gt;&lt;C&gt;1&lt;/C&gt;&lt;D xsi:type="xsd:double"&gt;32.5761510525409&lt;/D&gt;&lt;/FQL&gt;&lt;FQL&gt;&lt;Q&gt;TRYIT10Y-FDS^PCTCHG(FG_YIELD(0,,,,"YTM"),FG_YIELD(-3AM,,,,"YTM"))&lt;/Q&gt;&lt;R&gt;1&lt;/R&gt;&lt;C&gt;1&lt;/C&gt;&lt;D xsi:type="xsd:double"&gt;-0.6661548&lt;/D&gt;&lt;/FQL&gt;&lt;FQL&gt;&lt;Q&gt;SPY^FG_ROE(0)&lt;/Q&gt;&lt;R&gt;1&lt;/R&gt;&lt;C&gt;1&lt;/C&gt;&lt;D xsi:type="xsd:double"&gt;18.1335627072545&lt;/D&gt;&lt;/FQL&gt;&lt;FQL&gt;&lt;Q&gt;EWU^FG_FCF_YIELD_NTM(0)&lt;/Q&gt;&lt;R&gt;1&lt;/R&gt;&lt;C&gt;1&lt;/C&gt;&lt;D xsi:type="xsd:double"&gt;6.22569746632296&lt;/D&gt;&lt;/FQL&gt;&lt;FQL&gt;&lt;Q&gt;EWL^FG_TOTAL_RETURNC(0,-12AM)&lt;/Q&gt;&lt;R&gt;1&lt;/R&gt;&lt;C&gt;1&lt;/C&gt;&lt;D xsi:type="xsd:double"&gt;-2.4202228&lt;/D&gt;&lt;/FQL&gt;&lt;FQL&gt;&lt;Q&gt;CC_NL^IMF_IFS_RCPI_Q(0)&lt;/Q&gt;&lt;R&gt;0&lt;/R&gt;&lt;C&gt;0&lt;/C&gt;&lt;/FQL&gt;&lt;FQL&gt;&lt;Q&gt;SPY^FMA_EVAL_EBITDA(NTMA,0,,,"PORTAGG","MEANR")&lt;/Q&gt;&lt;R&gt;1&lt;/R&gt;&lt;C&gt;1&lt;/C&gt;&lt;D xsi:type="xsd:double"&gt;13.7535286796239&lt;/D&gt;&lt;/FQL&gt;&lt;FQL&gt;&lt;Q&gt;EWA^FMA_PE(NTMA,0,,,"PORTAGG","MEANR")&lt;/Q&gt;&lt;R&gt;1&lt;/R&gt;&lt;C&gt;1&lt;/C&gt;&lt;D xsi:type="xsd:double"&gt;16.4762638259063&lt;/D&gt;&lt;/FQL&gt;&lt;FQL&gt;&lt;Q&gt;REFCATARG-FDS^PROPER_NAME(0,,,"SECURITY","NAME")&lt;/Q&gt;&lt;R&gt;1&lt;/R&gt;&lt;C&gt;1&lt;/C&gt;&lt;D xsi:type="xsd:string"&gt;Canada Target Rate&lt;/D&gt;&lt;/FQL&gt;&lt;FQL&gt;&lt;Q&gt;REFAUCASH-FDS^(SUBARRAY(NOT_NA(NO_REPEAT_F(FG_YIELD(NOW,-10AY,D))),0,1)-SUBARRAY(NOT_NA(NO_REPEAT_F(FG_YIELD(NOW,-10AY,D))),1,1))*100&lt;/Q&gt;&lt;R&gt;1&lt;/R&gt;&lt;C&gt;1&lt;/C&gt;&lt;D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xsi:type="xsd:double"&gt;25&lt;/D&gt;&lt;/FQL&gt;&lt;FQL&gt;&lt;Q&gt;QQQ^FMA_DIV_YLD(NTMA,NOW,NOW,M,"PORTAGG","MEANR")&lt;/Q&gt;&lt;R&gt;1&lt;/R&gt;&lt;C&gt;1&lt;/C&gt;&lt;D xsi:type="xsd:double"&gt;0.882975847453205&lt;/D&gt;&lt;/FQL&gt;&lt;FQL&gt;&lt;Q&gt;EWJ^FMA_RBICS_REV_CURRENT(30, LOC, "PORTAGG")&lt;/Q&gt;&lt;R&gt;1&lt;/R&gt;&lt;C&gt;1&lt;/C&gt;&lt;D xsi:type="xsd:double"&gt;17.7091909618779&lt;/D&gt;&lt;/FQL&gt;&lt;FQL&gt;&lt;Q&gt;CC_CA^IMF_IFS_RCPI_Q(0)&lt;/Q&gt;&lt;R&gt;0&lt;/R&gt;&lt;C&gt;0&lt;/C&gt;&lt;/FQL&gt;&lt;FQL&gt;&lt;Q&gt;QQQ^JULIAN(FMA_DIV_YLD(NTMA,NOW,NOW,M,"PORTAGG","MEANR").DATES)&lt;/Q&gt;&lt;R&gt;1&lt;/R&gt;&lt;C&gt;1&lt;/C&gt;&lt;D xsi:type="xsd:long"&gt;45379&lt;/D&gt;&lt;/FQL&gt;&lt;FQL&gt;&lt;Q&gt;EWD^FMA_DIV_YLD(NTMA,NOW,NOW,M,"PORTAGG","MEANR")&lt;/Q&gt;&lt;R&gt;1&lt;/R&gt;&lt;C&gt;1&lt;/C&gt;&lt;D xsi:type="xsd:double"&gt;3.22683009064656&lt;/D&gt;&lt;/FQL&gt;&lt;FQL&gt;&lt;Q&gt;REFJPTON-FDS^(SUBARRAY(NOT_NA(NO_REPEAT_F(FG_YIELD(NOW,-10AY,D))),0,1)-SUBARRAY(NOT_NA(NO_REPEAT_F(FG_YIELD(NOW,-10AY,D))),1,1))*100&lt;/Q&gt;&lt;R&gt;1&lt;/R&gt;&lt;C&gt;1&lt;/C&gt;&lt;D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xsi:type="xsd:double"&gt;20&lt;/D&gt;&lt;/FQL&gt;&lt;FQL&gt;&lt;Q&gt;CC_FR^IMF_IFS_RCPI_Q(0)&lt;/Q&gt;&lt;R&gt;0&lt;/R&gt;&lt;C&gt;0&lt;/C&gt;&lt;/FQL&gt;&lt;FQL&gt;&lt;Q&gt;QQQ^FMA_EVAL_EBITDA(NTMA,0,,,"PORTAGG","MEANR")&lt;/Q&gt;&lt;R&gt;1&lt;/R&gt;&lt;C&gt;1&lt;/C&gt;&lt;D xsi:type="xsd:double"&gt;15.5928473475795&lt;/D&gt;&lt;/FQL&gt;&lt;FQL&gt;&lt;Q&gt;ENZL^FMA_EVAL_EBIT(LTMA,NOW,NOW,M,"PORTAGG","MEANR")&lt;/Q&gt;&lt;R&gt;1&lt;/R&gt;&lt;C&gt;1&lt;/C&gt;&lt;D xsi:type="xsd:double"&gt;20.5144981216943&lt;/D&gt;&lt;/FQL&gt;&lt;FQL&gt;&lt;Q&gt;QQQ^FG_FCF_YIELD_NTM(0)&lt;/Q&gt;&lt;R&gt;1&lt;/R&gt;&lt;C&gt;1&lt;/C&gt;&lt;D xsi:type="xsd:double"&gt;3.83683089229911&lt;/D&gt;&lt;/FQL&gt;&lt;FQL&gt;&lt;Q&gt;CC_GB^IMF_IFS_RCPI_Q(0)&lt;/Q&gt;&lt;R&gt;0&lt;/R&gt;&lt;C&gt;0&lt;/C&gt;&lt;/FQL&gt;&lt;FQL&gt;&lt;Q&gt;REFAUCASH-FDS^PROPER_NAME(0,,,"SECURITY","NAME")&lt;/Q&gt;&lt;R&gt;1&lt;/R&gt;&lt;C&gt;1&lt;/C&gt;&lt;D xsi:type="xsd:string"&gt;Australia Target Cash Rate&lt;/D&gt;&lt;/FQL&gt;&lt;FQL&gt;&lt;Q&gt;QQQ^FMA_PE(NTMA,0,,,"PORTAGG","MEANR")&lt;/Q&gt;&lt;R&gt;1&lt;/R&gt;&lt;C&gt;1&lt;/C&gt;&lt;D xsi:type="xsd:double"&gt;24.9067985720621&lt;/D&gt;&lt;/FQL&gt;&lt;FQL&gt;&lt;Q&gt;EWC^FG_TOTAL_RETURNC(0,-12AM)&lt;/Q&gt;&lt;R&gt;1&lt;/R&gt;&lt;C&gt;1&lt;/C&gt;&lt;D xsi:type="xsd:double"&gt;5.984664&lt;/D&gt;&lt;/FQL&gt;&lt;FQL&gt;&lt;Q&gt;EWA^FG_TOTAL_RETURNC(0,-12AM)&lt;/Q&gt;&lt;R&gt;1&lt;/R&gt;&lt;C&gt;1&lt;/C&gt;&lt;D xsi:type="xsd:double"&gt;2.8855324&lt;/D&gt;&lt;/FQL&gt;&lt;FQL&gt;&lt;Q&gt;VWO^FG_FCF_YIELD_NTM(0)&lt;/Q&gt;&lt;R&gt;1&lt;/R&gt;&lt;C&gt;1&lt;/C&gt;&lt;D xsi:type="xsd:double"&gt;4.90642076521817&lt;/D&gt;&lt;/FQL&gt;&lt;FQL&gt;&lt;Q&gt;ENZL^FG_PRICE(0)&lt;/Q&gt;&lt;R&gt;1&lt;/R&gt;&lt;C&gt;1&lt;/C&gt;&lt;D xsi:type="xsd:double"&gt;44&lt;/D&gt;&lt;/FQL&gt;&lt;FQL&gt;&lt;Q&gt;REFCATARG-FDS^FG_YIELD(NOW,,,0)&lt;/Q&gt;&lt;R&gt;1&lt;/R&gt;&lt;C&gt;1&lt;/C&gt;&lt;D xsi:type="xsd:double"&gt;5&lt;/D&gt;&lt;/FQL&gt;&lt;FQL&gt;&lt;Q&gt;VWO^FMA_EVAL_EBITDA(NTMA,0,,,"PORTAGG","MEANR")&lt;/Q&gt;&lt;R&gt;1&lt;/R&gt;&lt;C&gt;1&lt;/C&gt;&lt;D xsi:type="xsd:double"&gt;9.61567290028743&lt;/D&gt;&lt;/FQL&gt;&lt;FQL&gt;&lt;Q&gt;EWQ^FG_ROE(0)&lt;/Q&gt;&lt;R&gt;1&lt;/R&gt;&lt;C&gt;1&lt;/C&gt;&lt;D xsi:type="xsd:double"&gt;12.7702761924941&lt;/D&gt;&lt;/FQL&gt;&lt;FQL&gt;&lt;Q&gt;TRYNL10Y-FDS^PCTCHG(FG_YIELD(0,,,,"YTM"),FG_YIELD(-3AM,,,,"YTM"))&lt;/Q&gt;&lt;R&gt;1&lt;/R&gt;&lt;C&gt;1&lt;/C&gt;&lt;D xsi:type="xsd:double"&gt;6.6283565&lt;/D&gt;&lt;/FQL&gt;&lt;FQL&gt;&lt;Q&gt;REFGBBANK-FDS^(SUBARRAY(NOT_NA(NO_REPEAT_F(FG_YIELD(NOW,-10AY,D))),0,1)-SUBARRAY(NOT_NA(NO_REPEAT_F(FG_YIELD(NOW,-10AY,D))),1,1))*100&lt;/Q&gt;&lt;R&gt;1&lt;/R&gt;&lt;C&gt;1&lt;/C&gt;&lt;D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xsi:type="xsd:double"&gt;25&lt;/D&gt;&lt;/FQL&gt;&lt;FQL&gt;&lt;Q&gt;GLD^P_PRICE(0)/P_PRICE_HIGH_PR(0,,,USD,,,"PRICE","INTRA","52W")&lt;/Q&gt;&lt;R&gt;1&lt;/R&gt;&lt;C&gt;1&lt;/C&gt;&lt;D xsi:type="xsd:double"&gt;0.97889733&lt;/D&gt;&lt;/FQL&gt;&lt;FQL&gt;&lt;Q&gt;EWN^FMA_DIV_YLD(NTMA,NOW,NOW,M,"PORTAGG","MEANR")&lt;/Q&gt;&lt;R&gt;1&lt;/R&gt;&lt;C&gt;1&lt;/C&gt;&lt;D xsi:type="xsd:double"&gt;2.51696007875019&lt;/D&gt;&lt;/FQL&gt;&lt;FQL&gt;&lt;Q&gt;EWN^FMA_PE(NTMA,0,,,"PORTAGG","MEANR")&lt;/Q&gt;&lt;R&gt;1&lt;/R&gt;&lt;C&gt;1&lt;/C&gt;&lt;D xsi:type="xsd:double"&gt;15.9064093026385&lt;/D&gt;&lt;/FQL&gt;&lt;FQL&gt;&lt;Q&gt;SPY^FMA_EVAL_EBIT(LTMA,NOW,NOW,M,"PORTAGG","MEANR")&lt;/Q&gt;&lt;R&gt;1&lt;/R&gt;&lt;C&gt;1&lt;/C&gt;&lt;D xsi:type="xsd:double"&gt;20.7393757551023&lt;/D&gt;&lt;/FQL&gt;&lt;FQL&gt;&lt;Q&gt;EWG^JULIAN(FMA_DIV_YLD(NTMA,NOW,NOW,M,"PORTAGG","MEANR").DATES)&lt;/Q&gt;&lt;R&gt;1&lt;/R&gt;&lt;C&gt;1&lt;/C&gt;&lt;D xsi:type="xsd:long"&gt;45379&lt;/D&gt;&lt;/FQL&gt;&lt;FQL&gt;&lt;Q&gt;EWC^FMA_EVAL_EBIT(LTMA,NOW,NOW,M,"PORTAGG","MEANR")&lt;/Q&gt;&lt;R&gt;1&lt;/R&gt;&lt;C&gt;1&lt;/C&gt;&lt;D xsi:type="xsd:double"&gt;16.3842497351411&lt;/D&gt;&lt;/FQL&gt;&lt;FQL&gt;&lt;Q&gt;EWC^FG_FCF_YIELD_NTM(0)&lt;/Q&gt;&lt;R&gt;1&lt;/R&gt;&lt;C&gt;1&lt;/C&gt;&lt;D xsi:type="xsd:double"&gt;5.19129106481394&lt;/D&gt;&lt;/FQL&gt;&lt;FQL&gt;&lt;Q&gt;EWU^FMA_COS_UP("EPS","1M",+1,0,,,"PORTAGG","MEANR")&lt;/Q&gt;&lt;R&gt;1&lt;/R&gt;&lt;C&gt;1&lt;/C&gt;&lt;D xsi:type="xsd:double"&gt;34&lt;/D&gt;&lt;/FQL&gt;&lt;FQL&gt;&lt;Q&gt;EWL^SIZE(FG_CONSTITUENTS)&lt;/Q&gt;&lt;R&gt;1&lt;/R&gt;&lt;C&gt;1&lt;/C&gt;&lt;D xsi:type="xsd:long"&gt;46&lt;/D&gt;&lt;/FQL&gt;&lt;FQL&gt;&lt;Q&gt;UUP^FG_TOTAL_RETURNC(0,-1AM)&lt;/Q&gt;&lt;R&gt;1&lt;/R&gt;&lt;C&gt;1&lt;/C&gt;&lt;D xsi:type="xsd:double"&gt;3.0670404&lt;/D&gt;&lt;/FQL&gt;&lt;FQL&gt;&lt;Q&gt;TRYCA10Y-FDS^FG_YIELD(0,,,,"YTM")&lt;/Q&gt;&lt;R&gt;1&lt;/R&gt;&lt;C&gt;1&lt;/C&gt;&lt;D xsi:type="xsd:double"&gt;3.7572&lt;/D&gt;&lt;/FQL&gt;&lt;FQL&gt;&lt;Q&gt;EWG^FMA_PE(LTM,0,,,"PORTAGG","MEANR")&lt;/Q&gt;&lt;R&gt;1&lt;/R&gt;&lt;C&gt;1&lt;/C&gt;&lt;D xsi:type="xsd:double"&gt;12.4368514527115&lt;/D&gt;&lt;/FQL&gt;&lt;FQL&gt;&lt;Q&gt;EWQ^FG_FCF_YIELD_NTM(0)&lt;/Q&gt;&lt;R&gt;1&lt;/R&gt;&lt;C&gt;1&lt;/C&gt;&lt;D xsi:type="xsd:double"&gt;5.62774549262572&lt;/D&gt;&lt;/FQL&gt;&lt;FQL&gt;&lt;Q&gt;EWN^PERCENT_CHANGE(FMA_EPS(+1,0,,,,"PORTAGG","MEAN"),FMA_EPS(+1,-3AM,,,,"PORTAGG","MEAN"))&lt;/Q&gt;&lt;R&gt;1&lt;/R&gt;&lt;C&gt;1&lt;/C&gt;&lt;D xsi:type="xsd:double"&gt;-0.664150237797888&lt;/D&gt;&lt;/FQL&gt;&lt;FQL&gt;&lt;Q&gt;EWQ^FMA_PCT_ABOVE_MAVG(200,0,,,,"PORTAGG")&lt;/Q&gt;&lt;R&gt;1&lt;/R&gt;&lt;C&gt;1&lt;/C&gt;&lt;D xsi:type="xsd:double"&gt;69.8412698412698&lt;/D&gt;&lt;/FQL&gt;&lt;FQL&gt;&lt;Q&gt;EWA^FMA_DIV_YLD(NTMA,NOW,NOW,M,"PORTAGG","MEANR")&lt;/Q&gt;&lt;R&gt;1&lt;/R&gt;&lt;C&gt;1&lt;/C&gt;&lt;D xsi:type="xsd:double"&gt;3.89931195372357&lt;/D&gt;&lt;/FQL&gt;&lt;FQL&gt;&lt;Q&gt;EWA^FMA_COS_UP("EPS","1M",+1,0,,,"PORTAGG","MEANR")&lt;/Q&gt;&lt;R&gt;1&lt;/R&gt;&lt;C&gt;1&lt;/C&gt;&lt;D xsi:type="xsd:double"&gt;20&lt;/D&gt;&lt;/FQL&gt;&lt;FQL&gt;&lt;Q&gt;DBA^FG_TOTAL_RETURNC(0,-1AM)&lt;/Q&gt;&lt;R&gt;1&lt;/R&gt;&lt;C&gt;1&lt;/C&gt;&lt;D xsi:type="xsd:double"&gt;9.31704&lt;/D&gt;&lt;/FQL&gt;&lt;FQL&gt;&lt;Q&gt;DUMMY^ECON_DATE(45279,,, 'MM/YYYY')&lt;/Q&gt;&lt;R&gt;1&lt;/R&gt;&lt;C&gt;1&lt;/C&gt;&lt;D xsi:type="xsd:string"&gt;12/2023&lt;/D&gt;&lt;/FQL&gt;&lt;FQL&gt;&lt;Q&gt;DUMMY^ECON_DATE(45370,,, 'MM/YYYY')&lt;/Q&gt;&lt;R&gt;1&lt;/R&gt;&lt;C&gt;1&lt;/C&gt;&lt;D xsi:type="xsd:string"&gt;03/2024&lt;/D&gt;&lt;/FQL&gt;&lt;FQL&gt;&lt;Q&gt;CC_US^IMF_IFS_RCPI_Q(-1AM)&lt;/Q&gt;&lt;R&gt;1&lt;/R&gt;&lt;C&gt;1&lt;/C&gt;&lt;D xsi:type="xsd:double"&gt;3.2433991&lt;/D&gt;&lt;/FQL&gt;&lt;FQL&gt;&lt;Q&gt;CC_NZ^IMF_IFS_RCPI_Q(-1AM)&lt;/Q&gt;&lt;R&gt;1&lt;/R&gt;&lt;C&gt;1&lt;/C&gt;&lt;D xsi:type="xsd:double"&gt;4.655029&lt;/D&gt;&lt;/FQL&gt;&lt;FQL&gt;&lt;Q&gt;CC_AU^IMF_IFS_RCPI_Q(-1AM)&lt;/Q&gt;&lt;R&gt;1&lt;/R&gt;&lt;C&gt;1&lt;/C&gt;&lt;D xsi:type="xsd:double"&gt;4.051988&lt;/D&gt;&lt;/FQL&gt;&lt;FQL&gt;&lt;Q&gt;CC_CA^IMF_IFS_RCPI_Q(-1AM)&lt;/Q&gt;&lt;R&gt;1&lt;/R&gt;&lt;C&gt;1&lt;/C&gt;&lt;D xsi:type="xsd:double"&gt;3.2111022&lt;/D&gt;&lt;/FQL&gt;&lt;FQL&gt;&lt;Q&gt;CC_DE^IMF_IFS_RCPI_Q(-1AM)&lt;/Q&gt;&lt;R&gt;1&lt;/R&gt;&lt;C&gt;1&lt;/C&gt;&lt;D xsi:type="xsd:double"&gt;3.5546436&lt;/D&gt;&lt;/FQL&gt;&lt;FQL&gt;&lt;Q&gt;CC_JP^IMF_IFS_RCPI_Q(-1AM)&lt;/Q&gt;&lt;R&gt;1&lt;/R&gt;&lt;C&gt;1&lt;/C&gt;&lt;D xsi:type="xsd:double"&gt;2.9194753&lt;/D&gt;&lt;/FQL&gt;&lt;FQL&gt;&lt;Q&gt;CC_CH^IMF_IFS_RCPI_Q(-1AM)&lt;/Q&gt;&lt;R&gt;1&lt;/R&gt;&lt;C&gt;1&lt;/C&gt;&lt;D xsi:type="xsd:double"&gt;1.6172575&lt;/D&gt;&lt;/FQL&gt;&lt;FQL&gt;&lt;Q&gt;CC_GB^IMF_IFS_RCPI_Q(-1AM)&lt;/Q&gt;&lt;R&gt;1&lt;/R&gt;&lt;C&gt;1&lt;/C&gt;&lt;D xsi:type="xsd:double"&gt;4.3536315&lt;/D&gt;&lt;/FQL&gt;&lt;FQL&gt;&lt;Q&gt;CC_FR^IMF_IFS_RCPI_Q(-1AM)&lt;/Q&gt;&lt;R&gt;1&lt;/R&gt;&lt;C&gt;1&lt;/C&gt;&lt;D xsi:type="xsd:double"&gt;3.7187452&lt;/D&gt;&lt;/FQL&gt;&lt;FQL&gt;&lt;Q&gt;CC_NL^IMF_IFS_RCPI_Q(-1AM)&lt;/Q&gt;&lt;R&gt;1&lt;/R&gt;&lt;C&gt;1&lt;/C&gt;&lt;D xsi:type="xsd:double"&gt;0.80520856&lt;/D&gt;&lt;/FQL&gt;&lt;FQL&gt;&lt;Q&gt;CC_SE^IMF_IFS_RCPI_Q(-1AM)&lt;/Q&gt;&lt;R&gt;1&lt;/R&gt;&lt;C&gt;1&lt;/C&gt;&lt;D xsi:type="xsd:double"&gt;5.550837&lt;/D&gt;&lt;/FQL&gt;&lt;FQL&gt;&lt;Q&gt;CC_IT^IMF_IFS_RCPI_Q(-1AM)&lt;/Q&gt;&lt;R&gt;1&lt;/R&gt;&lt;C&gt;1&lt;/C&gt;&lt;D xsi:type="xsd:double"&gt;0.98369783&lt;/D&gt;&lt;/FQL&gt;&lt;FQL&gt;&lt;Q&gt;DUMMY^ECON_EXPR_DATA('FDS_ECON[PMIDMMANHE]',03/2024,,Q)&lt;/Q&gt;&lt;R&gt;1&lt;/R&gt;&lt;C&gt;1&lt;/C&gt;&lt;D xsi:type="xsd:double"&gt;49.13533&lt;/D&gt;&lt;/FQL&gt;&lt;FQL&gt;&lt;Q&gt;DUMMY^ECON_EXPR_DATA('FDS_ECON[PMIDMMANHE]',12/2023,,Q)&lt;/Q&gt;&lt;R&gt;1&lt;/R&gt;&lt;C&gt;1&lt;/C&gt;&lt;D xsi:type="xsd:double"&gt;47.377975&lt;/D&gt;&lt;/FQL&gt;&lt;FQL&gt;&lt;Q&gt;DUMMY^ECON_EXPR_DATA('FDS_ECON[NTCPMIMFGSA@EME]',03/2024,,Q)&lt;/Q&gt;&lt;R&gt;1&lt;/R&gt;&lt;C&gt;1&lt;/C&gt;&lt;D xsi:type="xsd:double"&gt;51.51058&lt;/D&gt;&lt;/FQL&gt;&lt;FQL&gt;&lt;Q&gt;DUMMY^ECON_EXPR_DATA('FDS_ECON[NTCPMIMFGSA@EME]',12/2023,,Q)&lt;/Q&gt;&lt;R&gt;1&lt;/R&gt;&lt;C&gt;1&lt;/C&gt;&lt;D xsi:type="xsd:double"&gt;50.624123&lt;/D&gt;&lt;/FQL&gt;&lt;FQL&gt;&lt;Q&gt;DUMMY^ECON_EXPR_DATA('FDS_ECON[NTCPMIMFGSA@NZ]',03/2024,,Q)&lt;/Q&gt;&lt;R&gt;1&lt;/R&gt;&lt;C&gt;1&lt;/C&gt;&lt;D xsi:type="xsd:double"&gt;47.884563&lt;/D&gt;&lt;/FQL&gt;&lt;FQL&gt;&lt;Q&gt;DUMMY^ECON_EXPR_DATA('FDS_ECON[NTCPMIMFGSA@NZ]',12/2023,,Q)&lt;/Q&gt;&lt;R&gt;1&lt;/R&gt;&lt;C&gt;1&lt;/C&gt;&lt;D xsi:type="xsd:double"&gt;44.378197&lt;/D&gt;&lt;/FQL&gt;&lt;FQL&gt;&lt;Q&gt;DUMMY^ECON_EXPR_DATA('FDS_ECON[NTCPMIMFGSA@AU]',03/2024,,Q)&lt;/Q&gt;&lt;R&gt;1&lt;/R&gt;&lt;C&gt;1&lt;/C&gt;&lt;D xsi:type="xsd:double"&gt;48.39547&lt;/D&gt;&lt;/FQL&gt;&lt;FQL&gt;&lt;Q&gt;DUMMY^ECON_EXPR_DATA('FDS_ECON[NTCPMIMFGSA@AU]',12/2023,,Q)&lt;/Q&gt;&lt;R&gt;1&lt;/R&gt;&lt;C&gt;1&lt;/C&gt;&lt;D xsi:type="xsd:double"&gt;47.862293&lt;/D&gt;&lt;/FQL&gt;&lt;FQL&gt;&lt;Q&gt;DUMMY^ECON_EXPR_DATA('FDS_ECON[NTCPMIMFGSA@CA]',03/2024,,Q)&lt;/Q&gt;&lt;R&gt;1&lt;/R&gt;&lt;C&gt;1&lt;/C&gt;&lt;D xsi:type="xsd:double"&gt;49.30091&lt;/D&gt;&lt;/FQL&gt;&lt;FQL&gt;&lt;Q&gt;DUMMY^ECON_EXPR_DATA('FDS_ECON[NTCPMIMFGSA@CA]',12/2023,,Q)&lt;/Q&gt;&lt;R&gt;1&lt;/R&gt;&lt;C&gt;1&lt;/C&gt;&lt;D xsi:type="xsd:double"&gt;47.255585&lt;/D&gt;&lt;/FQL&gt;&lt;FQL&gt;&lt;Q&gt;DUMMY^ECON_EXPR_DATA('FDS_ECON[NTCPMIMFGSA@DE]',03/2024,,Q)&lt;/Q&gt;&lt;R&gt;1&lt;/R&gt;&lt;C&gt;1&lt;/C&gt;&lt;D xsi:type="xsd:double"&gt;43.319096&lt;/D&gt;&lt;/FQL&gt;&lt;FQL&gt;&lt;Q&gt;DUMMY^ECON_EXPR_DATA('FDS_ECON[NTCPMIMFGSA@DE]',12/2023,,Q)&lt;/Q&gt;&lt;R&gt;1&lt;/R&gt;&lt;C&gt;1&lt;/C&gt;&lt;D xsi:type="xsd:double"&gt;42.238945&lt;/D&gt;&lt;/FQL&gt;&lt;FQL&gt;&lt;Q&gt;DUMMY^ECON_EXPR_DATA('FDS_ECON[NTCPMIMFGSA@JP]',03/2024,,Q)&lt;/Q&gt;&lt;R&gt;1&lt;/R&gt;&lt;C&gt;1&lt;/C&gt;&lt;D xsi:type="xsd:double"&gt;47.808857&lt;/D&gt;&lt;/FQL&gt;&lt;FQL&gt;&lt;Q&gt;DUMMY^ECON_EXPR_DATA('FDS_ECON[NTCPMIMFGSA@JP]',12/2023,,Q)&lt;/Q&gt;&lt;R&gt;1&lt;/R&gt;&lt;C&gt;1&lt;/C&gt;&lt;D xsi:type="xsd:double"&gt;48.31877&lt;/D&gt;&lt;/FQL&gt;&lt;FQL&gt;&lt;Q&gt;DUMMY^ECON_EXPR_DATA('FDS_ECON[NTCPMIMFGSA@CH]',03/2024,,Q)&lt;/Q&gt;&lt;R&gt;1&lt;/R&gt;&lt;C&gt;1&lt;/C&gt;&lt;D xsi:type="xsd:double"&gt;44.08605&lt;/D&gt;&lt;/FQL&gt;&lt;FQL&gt;&lt;Q&gt;DUMMY^ECON_EXPR_DATA('FDS_ECON[NTCPMIMFGSA@CH]',12/2023,,Q)&lt;/Q&gt;&lt;R&gt;1&lt;/R&gt;&lt;C&gt;1&lt;/C&gt;&lt;D xsi:type="xsd:double"&gt;41.921543&lt;/D&gt;&lt;/FQL&gt;&lt;FQL&gt;&lt;Q&gt;DUMMY^ECON_EXPR_DATA('FDS_ECON[NTCPMIMFGSA@GB]',03/2024,,Q)&lt;/Q&gt;&lt;R&gt;1&lt;/R&gt;&lt;C&gt;1&lt;/C&gt;&lt;D xsi:type="xsd:double"&gt;48.24796&lt;/D&gt;&lt;/FQL&gt;&lt;FQL&gt;&lt;Q&gt;DUMMY^ECON_EXPR_DATA('FDS_ECON[NTCPMIMFGSA@GB]',12/2023,,Q)&lt;/Q&gt;&lt;R&gt;1&lt;/R&gt;&lt;C&gt;1&lt;/C&gt;&lt;D xsi:type="xsd:double"&gt;46.0587&lt;/D&gt;&lt;/FQL&gt;&lt;FQL&gt;&lt;Q&gt;DUMMY^ECON_EXPR_DATA('FDS_ECON[NTCPMIMFGMESA@US]',03/2024,,Q)&lt;/Q&gt;&lt;R&gt;1&lt;/R&gt;&lt;C&gt;1&lt;/C&gt;&lt;D xsi:type="xsd:double"&gt;51.582687&lt;/D&gt;&lt;/FQL&gt;&lt;FQL&gt;&lt;Q&gt;DUMMY^ECON_EXPR_DATA('FDS_ECON[NTCPMIMFGMESA@US]',12/2023,,Q)&lt;/Q&gt;&lt;R&gt;1&lt;/R&gt;&lt;C&gt;1&lt;/C&gt;&lt;D xsi:type="xsd:double"&gt;49.098827&lt;/D&gt;&lt;/FQL&gt;&lt;FQL&gt;&lt;Q&gt;DUMMY^ECON_EXPR_DATA('FDS_ECON[NTCPMIMFGSA@FR]',03/2024,,Q)&lt;/Q&gt;&lt;R&gt;1&lt;/R&gt;&lt;C&gt;1&lt;/C&gt;&lt;D xsi:type="xsd:double"&gt;45.498753&lt;/D&gt;&lt;/FQL&gt;&lt;FQL&gt;&lt;Q&gt;DUMMY^ECON_EXPR_DATA('FDS_ECON[NTCPMIMFGSA@FR]',12/2023,,Q)&lt;/Q&gt;&lt;R&gt;1&lt;/R&gt;&lt;C&gt;1&lt;/C&gt;&lt;D xsi:type="xsd:double"&gt;42.573967&lt;/D&gt;&lt;/FQL&gt;&lt;FQL&gt;&lt;Q&gt;DUMMY^ECON_EXPR_DATA('FDS_ECON[NTCPMIMFGSA@NL]',03/2024,,Q)&lt;/Q&gt;&lt;R&gt;1&lt;/R&gt;&lt;C&gt;1&lt;/C&gt;&lt;D xsi:type="xsd:double"&gt;49.325874&lt;/D&gt;&lt;/FQL&gt;&lt;FQL&gt;&lt;Q&gt;DUMMY^ECON_EXPR_DATA('FDS_ECON[NTCPMIMFGSA@NL]',12/2023,,Q)&lt;/Q&gt;&lt;R&gt;1&lt;/R&gt;&lt;C&gt;1&lt;/C&gt;&lt;D xsi:type="xsd:double"&gt;44.495136&lt;/D&gt;&lt;/FQL&gt;&lt;FQL&gt;&lt;Q&gt;DUMMY^ECON_EXPR_DATA('FDS_ECON[]',03/2024,,Q)&lt;/Q&gt;&lt;R&gt;0&lt;/R&gt;&lt;C&gt;0&lt;/C&gt;&lt;/FQL&gt;&lt;FQL&gt;&lt;Q&gt;DUMMY^ECON_EXPR_DATA('FDS_ECON[]',12/2023,,Q)&lt;/Q&gt;&lt;R&gt;0&lt;/R&gt;&lt;C&gt;0&lt;/C&gt;&lt;/FQL&gt;&lt;FQL&gt;&lt;Q&gt;DUMMY^ECON_EXPR_DATA('FDS_ECON[NTCPMIMFGSA@IT]',03/2024,,Q)&lt;/Q&gt;&lt;R&gt;1&lt;/R&gt;&lt;C&gt;1&lt;/C&gt;&lt;D xsi:type="xsd:double"&gt;49.208153&lt;/D&gt;&lt;/FQL&gt;&lt;FQL&gt;&lt;Q&gt;DUMMY^ECON_EXPR_DATA('FDS_ECON[NTCPMIMFGSA@IT]',12/2023,,Q)&lt;/Q&gt;&lt;R&gt;1&lt;/R&gt;&lt;C&gt;1&lt;/C&gt;&lt;D xsi:type="xsd:double"&gt;44.859455&lt;/D&gt;&lt;/FQL&gt;&lt;/Schema&gt;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<sst xmlns="http://schemas.openxmlformats.org/spreadsheetml/2006/main" count="2053" uniqueCount="915">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</sst>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4.9855989173559975E-2</v>
      </c>
      <c r="O13" s="55">
        <f>N13*(1+N9)</f>
        <v>5.2847348523973575E-2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4.0191072470768696E-2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4.6346999999999999E-2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-5.144010826440025E-3</v>
      </c>
      <c r="O21" s="57">
        <f>O13-O16</f>
        <v>7.8473485239735769E-3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3.508989173559976E-3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</v>
      </c>
    </row>
    <row r="10" spans="3:9" x14ac:dyDescent="0.35">
      <c r="C10" s="56" t="s">
        <v>888</v>
      </c>
      <c r="D10">
        <f>'Asset class'!S5</f>
        <v>2</v>
      </c>
      <c r="E10" s="58">
        <f t="shared" si="0"/>
        <v>2</v>
      </c>
      <c r="H10" s="56" t="s">
        <v>904</v>
      </c>
      <c r="I10" s="57">
        <f>Timing!M22</f>
        <v>0.15384615384615385</v>
      </c>
    </row>
    <row r="11" spans="3:9" ht="15" thickBot="1" x14ac:dyDescent="0.4">
      <c r="C11" s="56" t="s">
        <v>889</v>
      </c>
      <c r="D11">
        <f>'Asset class'!S6</f>
        <v>6</v>
      </c>
      <c r="E11" s="58">
        <f t="shared" si="0"/>
        <v>6</v>
      </c>
      <c r="H11" s="12" t="s">
        <v>905</v>
      </c>
      <c r="I11" s="59">
        <f>Timing!N22</f>
        <v>0.84615384615384615</v>
      </c>
    </row>
    <row r="12" spans="3:9" x14ac:dyDescent="0.35">
      <c r="C12" s="56" t="s">
        <v>51</v>
      </c>
      <c r="D12">
        <f>'Asset class'!S7</f>
        <v>7</v>
      </c>
      <c r="E12" s="58">
        <f t="shared" si="0"/>
        <v>7</v>
      </c>
    </row>
    <row r="13" spans="3:9" x14ac:dyDescent="0.35">
      <c r="C13" s="56" t="s">
        <v>890</v>
      </c>
      <c r="D13">
        <f>'Asset class'!S8</f>
        <v>1</v>
      </c>
      <c r="E13" s="58">
        <f t="shared" si="0"/>
        <v>1</v>
      </c>
    </row>
    <row r="14" spans="3:9" ht="15" thickBot="1" x14ac:dyDescent="0.4">
      <c r="C14" s="12" t="s">
        <v>457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8" t="s">
        <v>46</v>
      </c>
      <c r="D17">
        <f>'Asset class'!S12</f>
        <v>9</v>
      </c>
      <c r="E17" s="14">
        <f t="shared" si="0"/>
        <v>9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0.35714285714285715</v>
      </c>
      <c r="D23" s="170"/>
      <c r="E23" s="171">
        <f>'Momnetum ranking'!I22</f>
        <v>0.375</v>
      </c>
    </row>
    <row r="24" spans="2:15" x14ac:dyDescent="0.35">
      <c r="B24" s="56" t="s">
        <v>51</v>
      </c>
      <c r="C24" s="9">
        <f>'Momnetum ranking'!H10</f>
        <v>0.33333333333333331</v>
      </c>
      <c r="D24" s="9"/>
      <c r="E24" s="57">
        <f>'Momnetum ranking'!I10</f>
        <v>0.39215686274509803</v>
      </c>
    </row>
    <row r="25" spans="2:15" x14ac:dyDescent="0.35">
      <c r="B25" s="56" t="s">
        <v>895</v>
      </c>
      <c r="C25" s="9">
        <f>'Momnetum ranking'!H23</f>
        <v>0.23529411764705882</v>
      </c>
      <c r="D25" s="9"/>
      <c r="E25" s="57">
        <f>'Momnetum ranking'!I23</f>
        <v>0.70588235294117652</v>
      </c>
    </row>
    <row r="26" spans="2:15" x14ac:dyDescent="0.35">
      <c r="B26" s="56" t="s">
        <v>46</v>
      </c>
      <c r="C26" s="9">
        <f>'Momnetum ranking'!H21</f>
        <v>0.44292237442922372</v>
      </c>
      <c r="D26" s="9"/>
      <c r="E26" s="57">
        <f>'Momnetum ranking'!I21</f>
        <v>0.40182648401826482</v>
      </c>
    </row>
    <row r="27" spans="2:15" ht="15" thickBot="1" x14ac:dyDescent="0.4">
      <c r="B27" s="12" t="s">
        <v>536</v>
      </c>
      <c r="C27" s="172">
        <f>'Momnetum ranking'!H18</f>
        <v>0.36953124999999998</v>
      </c>
      <c r="D27" s="172"/>
      <c r="E27" s="59">
        <f>'Momnetum ranking'!I18</f>
        <v>0.35234375000000001</v>
      </c>
    </row>
    <row r="28" spans="2:15" x14ac:dyDescent="0.35">
      <c r="B28" s="62" t="s">
        <v>6</v>
      </c>
      <c r="C28" s="170">
        <f>'Momnetum ranking'!H19</f>
        <v>0.14960300877559549</v>
      </c>
      <c r="D28" s="170"/>
      <c r="E28" s="171">
        <f>'Momnetum ranking'!I19</f>
        <v>0.21834517342248225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1.7187499999999967E-2</v>
      </c>
      <c r="F35" s="5">
        <f>'Momnetum ranking'!K18</f>
        <v>0.584313725490196</v>
      </c>
      <c r="G35" s="9">
        <f>'Momnetum ranking'!Q18</f>
        <v>0.95190315999999997</v>
      </c>
      <c r="H35" s="3">
        <f>'Momnetum ranking'!O18</f>
        <v>3.8551926999999999</v>
      </c>
      <c r="K35">
        <f>_xlfn.RANK.EQ(E35,$E$35:$E$39)</f>
        <v>2</v>
      </c>
      <c r="L35">
        <f>_xlfn.RANK.EQ(F35,$F$35:$F$39)</f>
        <v>4</v>
      </c>
      <c r="M35">
        <f>_xlfn.RANK.EQ(G35,$G$35:$G$39)</f>
        <v>2</v>
      </c>
      <c r="N35">
        <f>_xlfn.RANK.EQ(H35,$H$35:$H$39)</f>
        <v>4</v>
      </c>
      <c r="O35" s="58">
        <f>MEDIAN(K35:N35)</f>
        <v>3</v>
      </c>
    </row>
    <row r="36" spans="3:15" x14ac:dyDescent="0.35">
      <c r="C36" s="56" t="s">
        <v>749</v>
      </c>
      <c r="E36" s="9">
        <f>'Momnetum ranking'!J19</f>
        <v>-6.8742164646886761E-2</v>
      </c>
      <c r="F36" s="5">
        <f>'Momnetum ranking'!K19</f>
        <v>0.40505777196424703</v>
      </c>
      <c r="G36" s="9">
        <f>'Momnetum ranking'!Q19</f>
        <v>0.95150809999999997</v>
      </c>
      <c r="H36" s="3">
        <f>'Momnetum ranking'!O19</f>
        <v>4.5274973000000003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2</v>
      </c>
      <c r="O36" s="58">
        <f t="shared" ref="O36:O39" si="5">MEDIAN(K36:N36)</f>
        <v>4</v>
      </c>
    </row>
    <row r="37" spans="3:15" x14ac:dyDescent="0.35">
      <c r="C37" s="56" t="s">
        <v>781</v>
      </c>
      <c r="E37" s="9">
        <f>'Momnetum ranking'!J20</f>
        <v>1.6337644656228723E-2</v>
      </c>
      <c r="F37" s="5">
        <f>'Momnetum ranking'!K20</f>
        <v>0.66393442622950805</v>
      </c>
      <c r="G37" s="9">
        <f>'Momnetum ranking'!Q20</f>
        <v>0.95123630000000003</v>
      </c>
      <c r="H37" s="3">
        <f>'Momnetum ranking'!O20</f>
        <v>4.4309973999999999</v>
      </c>
      <c r="K37">
        <f t="shared" si="1"/>
        <v>3</v>
      </c>
      <c r="L37">
        <f t="shared" si="2"/>
        <v>2</v>
      </c>
      <c r="M37">
        <f t="shared" si="3"/>
        <v>4</v>
      </c>
      <c r="N37">
        <f t="shared" si="4"/>
        <v>3</v>
      </c>
      <c r="O37" s="58">
        <f t="shared" si="5"/>
        <v>3</v>
      </c>
    </row>
    <row r="38" spans="3:15" x14ac:dyDescent="0.35">
      <c r="C38" s="56" t="s">
        <v>816</v>
      </c>
      <c r="E38" s="9">
        <f>'Momnetum ranking'!J21</f>
        <v>4.1095890410958902E-2</v>
      </c>
      <c r="F38" s="5">
        <f>'Momnetum ranking'!K21</f>
        <v>0.69406392694063901</v>
      </c>
      <c r="G38" s="9">
        <f>'Momnetum ranking'!Q21</f>
        <v>0.92818979999999995</v>
      </c>
      <c r="H38" s="3">
        <f>'Momnetum ranking'!O21</f>
        <v>1.7647862000000001</v>
      </c>
      <c r="K38">
        <f t="shared" si="1"/>
        <v>1</v>
      </c>
      <c r="L38">
        <f t="shared" si="2"/>
        <v>1</v>
      </c>
      <c r="M38">
        <f t="shared" si="3"/>
        <v>5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-1.7857142857142849E-2</v>
      </c>
      <c r="F39" s="17">
        <f>'Momnetum ranking'!K22</f>
        <v>0.65069860279441105</v>
      </c>
      <c r="G39" s="172">
        <f>'Momnetum ranking'!Q22</f>
        <v>0.95217399999999996</v>
      </c>
      <c r="H39" s="175">
        <f>'Momnetum ranking'!O22</f>
        <v>5.1612140000000002</v>
      </c>
      <c r="I39" s="13"/>
      <c r="J39" s="13"/>
      <c r="K39" s="13">
        <f t="shared" si="1"/>
        <v>4</v>
      </c>
      <c r="L39" s="13">
        <f t="shared" si="2"/>
        <v>3</v>
      </c>
      <c r="M39" s="13">
        <f t="shared" si="3"/>
        <v>1</v>
      </c>
      <c r="N39" s="13">
        <f t="shared" si="4"/>
        <v>1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-1.6310871</v>
      </c>
      <c r="F3" s="3" cm="1">
        <f t="array" ref="F3">_xll.FDS(C3,"FG_TOTAL_RETURNC(0,-3AM)")</f>
        <v>4.5274973000000003</v>
      </c>
      <c r="G3" s="3" cm="1">
        <f t="array" ref="G3">_xll.FDS(C3,"FG_TOTAL_RETURNC(0,-6AM)")</f>
        <v>8.9119320000000002</v>
      </c>
      <c r="H3" s="9" cm="1">
        <f t="array" ref="H3">_xll.FDS(C3,"P_PRICE(0)/P_PRICE_HIGH_PR(0,,,USD,,,""PRICE"",""INTRA"",""52W"")")</f>
        <v>0.95150809999999997</v>
      </c>
      <c r="K3" s="4">
        <f>_xlfn.RANK.EQ(H3,H$3:H$12)</f>
        <v>6</v>
      </c>
      <c r="L3" s="4">
        <f>_xlfn.RANK.EQ(F3,F$3:F$12)</f>
        <v>5</v>
      </c>
      <c r="M3" s="4">
        <f>_xlfn.RANK.EQ(G3,G$3:G$12)</f>
        <v>7</v>
      </c>
      <c r="N3" s="4"/>
      <c r="P3" s="3">
        <f t="shared" ref="P3:P12" si="0">SUMPRODUCT($K$2:$M$2,K3:M3)</f>
        <v>5.9399999999999995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-2.601099</v>
      </c>
      <c r="F4" s="3" cm="1">
        <f t="array" ref="F4">_xll.FDS(C4,"FG_TOTAL_RETURNC(0,-3AM)")</f>
        <v>5.1612140000000002</v>
      </c>
      <c r="G4" s="3" cm="1">
        <f t="array" ref="G4">_xll.FDS(C4,"FG_TOTAL_RETURNC(0,-6AM)")</f>
        <v>16.947005999999998</v>
      </c>
      <c r="H4" s="9" cm="1">
        <f t="array" ref="H4">_xll.FDS(C4,"P_PRICE(0)/P_PRICE_HIGH_PR(0,,,USD,,,""PRICE"",""INTRA"",""52W"")")</f>
        <v>0.95217399999999996</v>
      </c>
      <c r="I4" s="177"/>
      <c r="K4" s="4">
        <f t="shared" ref="K4:K12" si="3">_xlfn.RANK.EQ(H4,H$3:H$12)</f>
        <v>4</v>
      </c>
      <c r="L4" s="4">
        <f t="shared" ref="L4:M12" si="4">_xlfn.RANK.EQ(F4,F$3:F$12)</f>
        <v>4</v>
      </c>
      <c r="M4" s="4">
        <f t="shared" si="4"/>
        <v>4</v>
      </c>
      <c r="N4" s="4"/>
      <c r="P4" s="3">
        <f t="shared" si="0"/>
        <v>3.96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10.153473</v>
      </c>
      <c r="F5" s="3" cm="1">
        <f t="array" ref="F5">_xll.FDS(C5,"FG_TOTAL_RETURNC(0,-3AM)")</f>
        <v>17.596197</v>
      </c>
      <c r="G5" s="3" cm="1">
        <f t="array" ref="G5">_xll.FDS(C5,"FG_TOTAL_RETURNC(0,-6AM)")</f>
        <v>21.822310000000002</v>
      </c>
      <c r="H5" s="9" cm="1">
        <f t="array" ref="H5">_xll.FDS(C5,"P_PRICE(0)/P_PRICE_HIGH_PR(0,,,USD,,,""PRICE"",""INTRA"",""52W"")")</f>
        <v>0.97889733000000001</v>
      </c>
      <c r="I5" s="177"/>
      <c r="K5" s="4">
        <f t="shared" si="3"/>
        <v>2</v>
      </c>
      <c r="L5" s="4">
        <f t="shared" si="4"/>
        <v>2</v>
      </c>
      <c r="M5" s="4">
        <f t="shared" si="4"/>
        <v>2</v>
      </c>
      <c r="N5" s="4"/>
      <c r="P5" s="3">
        <f t="shared" si="0"/>
        <v>1.98</v>
      </c>
      <c r="Q5">
        <f t="shared" si="1"/>
        <v>0</v>
      </c>
      <c r="S5" s="3">
        <f t="shared" si="5"/>
        <v>2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3.0670404000000002</v>
      </c>
      <c r="F6" s="3" cm="1">
        <f t="array" ref="F6">_xll.FDS(C6,"FG_TOTAL_RETURNC(0,-3AM)")</f>
        <v>4.1816829999999996</v>
      </c>
      <c r="G6" s="3" cm="1">
        <f t="array" ref="G6">_xll.FDS(C6,"FG_TOTAL_RETURNC(0,-6AM)")</f>
        <v>2.7577877000000002</v>
      </c>
      <c r="H6" s="9" cm="1">
        <f t="array" ref="H6">_xll.FDS(C6,"P_PRICE(0)/P_PRICE_HIGH_PR(0,,,USD,,,""PRICE"",""INTRA"",""52W"")")</f>
        <v>0.95806396000000005</v>
      </c>
      <c r="I6" s="177"/>
      <c r="K6" s="4">
        <f t="shared" si="3"/>
        <v>3</v>
      </c>
      <c r="L6" s="4">
        <f t="shared" si="4"/>
        <v>6</v>
      </c>
      <c r="M6" s="4">
        <f t="shared" si="4"/>
        <v>9</v>
      </c>
      <c r="N6" s="4"/>
      <c r="P6" s="3">
        <f t="shared" si="0"/>
        <v>5.9399999999999995</v>
      </c>
      <c r="Q6">
        <f t="shared" si="1"/>
        <v>0</v>
      </c>
      <c r="S6" s="3">
        <f t="shared" si="5"/>
        <v>6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-3.2161474000000001</v>
      </c>
      <c r="F7" s="3" cm="1">
        <f t="array" ref="F7">_xll.FDS(C7,"FG_TOTAL_RETURNC(0,-3AM)")</f>
        <v>2.6574612000000002</v>
      </c>
      <c r="G7" s="3" cm="1">
        <f t="array" ref="G7">_xll.FDS(C7,"FG_TOTAL_RETURNC(0,-6AM)")</f>
        <v>16.968834000000001</v>
      </c>
      <c r="H7" s="9" cm="1">
        <f t="array" ref="H7">_xll.FDS(C7,"P_PRICE(0)/P_PRICE_HIGH_PR(0,,,USD,,,""PRICE"",""INTRA"",""52W"")")</f>
        <v>0.94229317000000001</v>
      </c>
      <c r="I7" s="1"/>
      <c r="K7" s="4">
        <f t="shared" si="3"/>
        <v>8</v>
      </c>
      <c r="L7" s="4">
        <f t="shared" si="4"/>
        <v>8</v>
      </c>
      <c r="M7" s="4">
        <f t="shared" si="4"/>
        <v>3</v>
      </c>
      <c r="N7" s="4"/>
      <c r="P7" s="3">
        <f t="shared" si="0"/>
        <v>6.2700000000000005</v>
      </c>
      <c r="Q7">
        <f t="shared" si="1"/>
        <v>0</v>
      </c>
      <c r="S7" s="3">
        <f t="shared" si="5"/>
        <v>7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9.3170400000000004</v>
      </c>
      <c r="F8" s="3" cm="1">
        <f t="array" ref="F8">_xll.FDS(C8,"FG_TOTAL_RETURNC(0,-3AM)")</f>
        <v>24.364508000000001</v>
      </c>
      <c r="G8" s="3" cm="1">
        <f t="array" ref="G8">_xll.FDS(C8,"FG_TOTAL_RETURNC(0,-6AM)")</f>
        <v>23.698902</v>
      </c>
      <c r="H8" s="9" cm="1">
        <f t="array" ref="H8">_xll.FDS(C8,"P_PRICE(0)/P_PRICE_HIGH_PR(0,,,USD,,,""PRICE"",""INTRA"",""52W"")")</f>
        <v>0.99884826000000004</v>
      </c>
      <c r="I8" s="1"/>
      <c r="K8" s="4">
        <f t="shared" si="3"/>
        <v>1</v>
      </c>
      <c r="L8" s="4">
        <f t="shared" si="4"/>
        <v>1</v>
      </c>
      <c r="M8" s="4">
        <f t="shared" si="4"/>
        <v>1</v>
      </c>
      <c r="N8" s="4"/>
      <c r="P8" s="3">
        <f t="shared" si="0"/>
        <v>0.99</v>
      </c>
      <c r="Q8">
        <f t="shared" si="1"/>
        <v>0</v>
      </c>
      <c r="S8" s="3">
        <f t="shared" si="5"/>
        <v>1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1.0259031999999999</v>
      </c>
      <c r="F9" s="3" cm="1">
        <f t="array" ref="F9">_xll.FDS(C9,"FG_TOTAL_RETURNC(0,-3AM)")</f>
        <v>14.074718000000001</v>
      </c>
      <c r="G9" s="3" cm="1">
        <f t="array" ref="G9">_xll.FDS(C9,"FG_TOTAL_RETURNC(0,-6AM)")</f>
        <v>-1.3276517000000001</v>
      </c>
      <c r="H9" s="9" cm="1">
        <f t="array" ref="H9">_xll.FDS(C9,"P_PRICE(0)/P_PRICE_HIGH_PR(0,,,USD,,,""PRICE"",""INTRA"",""52W"")")</f>
        <v>0.94449099999999997</v>
      </c>
      <c r="I9" s="1"/>
      <c r="K9" s="4">
        <f t="shared" si="3"/>
        <v>7</v>
      </c>
      <c r="L9" s="4">
        <f t="shared" si="4"/>
        <v>3</v>
      </c>
      <c r="M9" s="4">
        <f t="shared" si="4"/>
        <v>10</v>
      </c>
      <c r="N9" s="4"/>
      <c r="P9" s="3">
        <f t="shared" si="0"/>
        <v>6.6</v>
      </c>
      <c r="Q9">
        <f t="shared" si="1"/>
        <v>0</v>
      </c>
      <c r="S9" s="3">
        <f t="shared" si="5"/>
        <v>8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-3.809774</v>
      </c>
      <c r="F10" s="3" cm="1">
        <f t="array" ref="F10">_xll.FDS(C10,"FG_TOTAL_RETURNC(0,-3AM)")</f>
        <v>-4.3707729999999998</v>
      </c>
      <c r="G10" s="3" cm="1">
        <f t="array" ref="G10">_xll.FDS(C10,"FG_TOTAL_RETURNC(0,-6AM)")</f>
        <v>7.165718</v>
      </c>
      <c r="H10" s="9" cm="1">
        <f t="array" ref="H10">_xll.FDS(C10,"P_PRICE(0)/P_PRICE_HIGH_PR(0,,,USD,,,""PRICE"",""INTRA"",""52W"")")</f>
        <v>0.82832899999999998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-2.6847780000000001</v>
      </c>
      <c r="F11" s="3" cm="1">
        <f t="array" ref="F11">_xll.FDS(C11,"FG_TOTAL_RETURNC(0,-3AM)")</f>
        <v>3.8551926999999999</v>
      </c>
      <c r="G11" s="3" cm="1">
        <f t="array" ref="G11">_xll.FDS(C11,"FG_TOTAL_RETURNC(0,-6AM)")</f>
        <v>14.664877000000001</v>
      </c>
      <c r="H11" s="9" cm="1">
        <f t="array" ref="H11">_xll.FDS(C11,"P_PRICE(0)/P_PRICE_HIGH_PR(0,,,USD,,,""PRICE"",""INTRA"",""52W"")")</f>
        <v>0.95190315999999997</v>
      </c>
      <c r="K11" s="4">
        <f t="shared" si="3"/>
        <v>5</v>
      </c>
      <c r="L11" s="4">
        <f t="shared" si="4"/>
        <v>7</v>
      </c>
      <c r="M11" s="4">
        <f t="shared" si="4"/>
        <v>6</v>
      </c>
      <c r="P11" s="3">
        <f t="shared" si="0"/>
        <v>5.9399999999999995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-5.3220153000000003</v>
      </c>
      <c r="F12" s="3" cm="1">
        <f t="array" ref="F12">_xll.FDS(C12,"FG_TOTAL_RETURNC(0,-3AM)")</f>
        <v>1.7647862000000001</v>
      </c>
      <c r="G12" s="3" cm="1">
        <f t="array" ref="G12">_xll.FDS(C12,"FG_TOTAL_RETURNC(0,-6AM)")</f>
        <v>15.068388000000001</v>
      </c>
      <c r="H12" s="9" cm="1">
        <f t="array" ref="H12">_xll.FDS(C12,"P_PRICE(0)/P_PRICE_HIGH_PR(0,,,USD,,,""PRICE"",""INTRA"",""52W"")")</f>
        <v>0.92818979999999995</v>
      </c>
      <c r="K12" s="4">
        <f t="shared" si="3"/>
        <v>9</v>
      </c>
      <c r="L12" s="4">
        <f t="shared" si="4"/>
        <v>9</v>
      </c>
      <c r="M12" s="4">
        <f t="shared" si="4"/>
        <v>5</v>
      </c>
      <c r="P12" s="3">
        <f t="shared" si="0"/>
        <v>7.5900000000000007</v>
      </c>
      <c r="Q12">
        <f t="shared" si="1"/>
        <v>0</v>
      </c>
      <c r="S12" s="3">
        <f t="shared" si="5"/>
        <v>9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3" sqref="K23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71.399999999999991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80.900000000000006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14.2</v>
      </c>
      <c r="K6" s="163">
        <f>VLOOKUP(B6,'Momnetum ranking'!$A$3:$H$15,8,FALSE)</f>
        <v>0.52173913043478259</v>
      </c>
      <c r="L6" s="120">
        <f>VLOOKUP(B6,'Currency- 2'!$A$3:$U$15,21,FALSE)</f>
        <v>35.699999999999996</v>
      </c>
      <c r="M6" s="162">
        <f t="shared" ref="M6:M18" ca="1" si="1">D6*$D$2 + E6*$E$2 + F6*$F$2 + I6*$I$2 + J6*$J$2 + L6*$L$2</f>
        <v>52.077573000000001</v>
      </c>
      <c r="N6" s="120" cm="1">
        <f t="array" aca="1" ref="N6" ca="1">_xlfn.PERCENTRANK.EXC(_xlfn._xlws.FILTER($M$6:M$18, ISNUMBER($M$6:M$18)),M6)*100</f>
        <v>64.2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64.2</v>
      </c>
      <c r="F7" s="159">
        <f>VLOOKUP(B7,Safety!$B$4:$R$16,17,FALSE)</f>
        <v>28.499999999999996</v>
      </c>
      <c r="G7" s="180">
        <f t="shared" si="0"/>
        <v>47.56666666666667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7.1</v>
      </c>
      <c r="J7" s="121">
        <f ca="1">VLOOKUP(B7,'Momnetum ranking'!$A$3:$AJ$15,36,FALSE)</f>
        <v>28.499999999999996</v>
      </c>
      <c r="K7" s="161">
        <f>VLOOKUP(B7,'Momnetum ranking'!$A$3:$H$15,8,FALSE)</f>
        <v>0.44292237442922372</v>
      </c>
      <c r="L7" s="121">
        <f>VLOOKUP(B7,'Currency- 2'!$A$3:$U$15,21,FALSE)</f>
        <v>7.1</v>
      </c>
      <c r="M7" s="160">
        <f t="shared" ca="1" si="1"/>
        <v>27.798572999999998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42.8</v>
      </c>
      <c r="G8" s="180">
        <f t="shared" si="0"/>
        <v>49.933333333333344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7.1</v>
      </c>
      <c r="J8" s="121">
        <f ca="1">VLOOKUP(B8,'Momnetum ranking'!$A$3:$AJ$15,36,FALSE)</f>
        <v>35.699999999999996</v>
      </c>
      <c r="K8" s="161">
        <f>VLOOKUP(B8,'Momnetum ranking'!$A$3:$H$15,8,FALSE)</f>
        <v>0.33333333333333331</v>
      </c>
      <c r="L8" s="121">
        <f>VLOOKUP(B8,'Currency- 2'!$A$3:$U$15,21,FALSE)</f>
        <v>78.5</v>
      </c>
      <c r="M8" s="160">
        <f t="shared" ca="1" si="1"/>
        <v>38.528502000000003</v>
      </c>
      <c r="N8" s="121" cm="1">
        <f t="array" aca="1" ref="N8" ca="1">_xlfn.PERCENTRANK.EXC(_xlfn._xlws.FILTER($M$6:M$18, ISNUMBER($M$6:M$18)),M8)*100</f>
        <v>35.699999999999996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57.099999999999994</v>
      </c>
      <c r="G9" s="180">
        <f t="shared" si="0"/>
        <v>57.100000000000009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7.1</v>
      </c>
      <c r="J9" s="121">
        <f ca="1">VLOOKUP(B9,'Momnetum ranking'!$A$3:$AJ$15,36,FALSE)</f>
        <v>78.5</v>
      </c>
      <c r="K9" s="161">
        <f>VLOOKUP(B9,'Momnetum ranking'!$A$3:$H$15,8,FALSE)</f>
        <v>0.35714285714285715</v>
      </c>
      <c r="L9" s="121">
        <f>VLOOKUP(B9,'Currency- 2'!$A$3:$U$15,21,FALSE)</f>
        <v>78.5</v>
      </c>
      <c r="M9" s="160">
        <f t="shared" ca="1" si="1"/>
        <v>57.798287000000009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50</v>
      </c>
      <c r="F10" s="159">
        <f>VLOOKUP(B10,Safety!$B$4:$R$16,17,FALSE)</f>
        <v>21.4</v>
      </c>
      <c r="G10" s="180">
        <f t="shared" si="0"/>
        <v>49.966666666666669</v>
      </c>
      <c r="H10" s="125" cm="1">
        <f t="array" ref="H10">_xlfn.PERCENTRANK.EXC(_xlfn._xlws.FILTER($G$6:G$18, ISNUMBER($G$6:G$18)),G10)*100</f>
        <v>64.2</v>
      </c>
      <c r="I10" s="159">
        <f>VLOOKUP(B10,'LIQIDITY 2'!$A$3:$X$15,24,FALSE)</f>
        <v>7.1</v>
      </c>
      <c r="J10" s="121">
        <f ca="1">VLOOKUP(B10,'Momnetum ranking'!$A$3:$AJ$15,36,FALSE)</f>
        <v>64.2</v>
      </c>
      <c r="K10" s="161">
        <f>VLOOKUP(B10,'Momnetum ranking'!$A$3:$H$15,8,FALSE)</f>
        <v>0.50877192982456143</v>
      </c>
      <c r="L10" s="121">
        <f>VLOOKUP(B10,'Currency- 2'!$A$3:$U$15,21,FALSE)</f>
        <v>71.399999999999991</v>
      </c>
      <c r="M10" s="160">
        <f t="shared" ca="1" si="1"/>
        <v>49.228501000000009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64.2</v>
      </c>
      <c r="G11" s="180">
        <f t="shared" si="0"/>
        <v>59.466666666666669</v>
      </c>
      <c r="H11" s="125" cm="1">
        <f t="array" ref="H11">_xlfn.PERCENTRANK.EXC(_xlfn._xlws.FILTER($G$6:G$18, ISNUMBER($G$6:G$18)),G11)*100</f>
        <v>78.5</v>
      </c>
      <c r="I11" s="159">
        <f>VLOOKUP(B11,'LIQIDITY 2'!$A$3:$X$15,24,FALSE)</f>
        <v>7.1</v>
      </c>
      <c r="J11" s="121">
        <f ca="1">VLOOKUP(B11,'Momnetum ranking'!$A$3:$AJ$15,36,FALSE)</f>
        <v>57.099999999999994</v>
      </c>
      <c r="K11" s="161">
        <f>VLOOKUP(B11,'Momnetum ranking'!$A$3:$H$15,8,FALSE)</f>
        <v>0.4</v>
      </c>
      <c r="L11" s="121">
        <f>VLOOKUP(B11,'Currency- 2'!$A$3:$U$15,21,FALSE)</f>
        <v>50</v>
      </c>
      <c r="M11" s="160">
        <f t="shared" ca="1" si="1"/>
        <v>47.098215999999994</v>
      </c>
      <c r="N11" s="121" cm="1">
        <f t="array" aca="1" ref="N11" ca="1">_xlfn.PERCENTRANK.EXC(_xlfn._xlws.FILTER($M$6:M$18, ISNUMBER($M$6:M$18)),M11)*100</f>
        <v>50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42.8</v>
      </c>
      <c r="F12" s="159">
        <f>VLOOKUP(B12,Safety!$B$4:$R$16,17,FALSE)</f>
        <v>50</v>
      </c>
      <c r="G12" s="180">
        <f t="shared" si="0"/>
        <v>45.2</v>
      </c>
      <c r="H12" s="125" cm="1">
        <f t="array" ref="H12">_xlfn.PERCENTRANK.EXC(_xlfn._xlws.FILTER($G$6:G$18, ISNUMBER($G$6:G$18)),G12)*100</f>
        <v>42.8</v>
      </c>
      <c r="I12" s="159">
        <f>VLOOKUP(B12,'LIQIDITY 2'!$A$3:$X$15,24,FALSE)</f>
        <v>7.1</v>
      </c>
      <c r="J12" s="121">
        <f ca="1">VLOOKUP(B12,'Momnetum ranking'!$A$3:$AJ$15,36,FALSE)</f>
        <v>50</v>
      </c>
      <c r="K12" s="161">
        <f>VLOOKUP(B12,'Momnetum ranking'!$A$3:$H$15,8,FALSE)</f>
        <v>0.38636363636363635</v>
      </c>
      <c r="L12" s="121">
        <f>VLOOKUP(B12,'Currency- 2'!$A$3:$U$15,21,FALSE)</f>
        <v>57.099999999999994</v>
      </c>
      <c r="M12" s="160">
        <f t="shared" ca="1" si="1"/>
        <v>40.688644000000004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71.399999999999991</v>
      </c>
      <c r="G13" s="180">
        <f t="shared" si="0"/>
        <v>33.299999999999997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21.4</v>
      </c>
      <c r="K13" s="161">
        <f>VLOOKUP(B13,'Momnetum ranking'!$A$3:$H$15,8,FALSE)</f>
        <v>0.33898305084745761</v>
      </c>
      <c r="L13" s="121">
        <f>VLOOKUP(B13,'Currency- 2'!$A$3:$U$15,21,FALSE)</f>
        <v>42.8</v>
      </c>
      <c r="M13" s="160">
        <f t="shared" ca="1" si="1"/>
        <v>24.249001</v>
      </c>
      <c r="N13" s="121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28.499999999999996</v>
      </c>
      <c r="I14" s="159">
        <f>VLOOKUP(B14,'LIQIDITY 2'!$A$3:$X$15,24,FALSE)</f>
        <v>7.1</v>
      </c>
      <c r="J14" s="121">
        <f ca="1">VLOOKUP(B14,'Momnetum ranking'!$A$3:$AJ$15,36,FALSE)</f>
        <v>7.1</v>
      </c>
      <c r="K14" s="161">
        <f>VLOOKUP(B14,'Momnetum ranking'!$A$3:$H$15,8,FALSE)</f>
        <v>0.14285714285714285</v>
      </c>
      <c r="L14" s="121">
        <f>VLOOKUP(B14,'Currency- 2'!$A$3:$U$15,21,FALSE)</f>
        <v>14.2</v>
      </c>
      <c r="M14" s="160">
        <f t="shared" ca="1" si="1"/>
        <v>17.098858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57.099999999999994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69.000000000000014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71.399999999999991</v>
      </c>
      <c r="K15" s="161">
        <f>VLOOKUP(B15,'Momnetum ranking'!$A$3:$H$15,8,FALSE)</f>
        <v>0.25396825396825395</v>
      </c>
      <c r="L15" s="121">
        <f>VLOOKUP(B15,'Currency- 2'!$A$3:$U$15,21,FALSE)</f>
        <v>21.4</v>
      </c>
      <c r="M15" s="160">
        <f t="shared" ca="1" si="1"/>
        <v>52.817930000000004</v>
      </c>
      <c r="N15" s="121" cm="1">
        <f t="array" aca="1" ref="N15" ca="1">_xlfn.PERCENTRANK.EXC(_xlfn._xlws.FILTER($M$6:M$18, ISNUMBER($M$6:M$18)),M15)*100</f>
        <v>71.399999999999991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35.699999999999996</v>
      </c>
      <c r="G16" s="180">
        <f t="shared" si="0"/>
        <v>35.699999999999996</v>
      </c>
      <c r="H16" s="125" cm="1">
        <f t="array" ref="H16">_xlfn.PERCENTRANK.EXC(_xlfn._xlws.FILTER($G$6:G$18, ISNUMBER($G$6:G$18)),G16)*100</f>
        <v>14.2</v>
      </c>
      <c r="I16" s="159">
        <f>VLOOKUP(B16,'LIQIDITY 2'!$A$3:$X$15,24,FALSE)</f>
        <v>7.1</v>
      </c>
      <c r="J16" s="121">
        <f ca="1">VLOOKUP(B16,'Momnetum ranking'!$A$3:$AJ$15,36,FALSE)</f>
        <v>85.7</v>
      </c>
      <c r="K16" s="161">
        <f>VLOOKUP(B16,'Momnetum ranking'!$A$3:$H$15,8,FALSE)</f>
        <v>0.35185185185185186</v>
      </c>
      <c r="L16" s="121">
        <f>VLOOKUP(B16,'Currency- 2'!$A$3:$U$15,21,FALSE)</f>
        <v>92.800000000000011</v>
      </c>
      <c r="M16" s="160">
        <f t="shared" ca="1" si="1"/>
        <v>55.688929000000002</v>
      </c>
      <c r="N16" s="121" cm="1">
        <f t="array" aca="1" ref="N16" ca="1">_xlfn.PERCENTRANK.EXC(_xlfn._xlws.FILTER($M$6:M$18, ISNUMBER($M$6:M$18)),M16)*100</f>
        <v>78.5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57.099999999999994</v>
      </c>
      <c r="F17" s="159">
        <f>VLOOKUP(B17,Safety!$B$4:$R$16,17,FALSE)</f>
        <v>14.2</v>
      </c>
      <c r="G17" s="180">
        <f t="shared" si="0"/>
        <v>45.166666666666671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7.1</v>
      </c>
      <c r="J17" s="121">
        <f ca="1">VLOOKUP(B17,'Momnetum ranking'!$A$3:$AJ$15,36,FALSE)</f>
        <v>42.8</v>
      </c>
      <c r="K17" s="161">
        <f>VLOOKUP(B17,'Momnetum ranking'!$A$3:$H$15,8,FALSE)</f>
        <v>0.47727272727272729</v>
      </c>
      <c r="L17" s="121">
        <f>VLOOKUP(B17,'Currency- 2'!$A$3:$U$15,21,FALSE)</f>
        <v>28.499999999999996</v>
      </c>
      <c r="M17" s="160">
        <f t="shared" ca="1" si="1"/>
        <v>34.938645000000001</v>
      </c>
      <c r="N17" s="121" cm="1">
        <f t="array" aca="1" ref="N17" ca="1">_xlfn.PERCENTRANK.EXC(_xlfn._xlws.FILTER($M$6:M$18, ISNUMBER($M$6:M$18)),M17)*100</f>
        <v>28.499999999999996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7.1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85.7</v>
      </c>
      <c r="J18" s="122">
        <f ca="1">VLOOKUP(B18,'Momnetum ranking'!$A$3:$AJ$15,36,FALSE)</f>
        <v>92.800000000000011</v>
      </c>
      <c r="K18" s="165">
        <f>VLOOKUP(B18,'Momnetum ranking'!$A$3:$H$15,8,FALSE)</f>
        <v>0.37037037037037035</v>
      </c>
      <c r="L18" s="122">
        <f>VLOOKUP(B18,'Currency- 2'!$A$3:$U$15,21,FALSE)</f>
        <v>64.2</v>
      </c>
      <c r="M18" s="164">
        <f t="shared" ca="1" si="1"/>
        <v>72.088858999999999</v>
      </c>
      <c r="N18" s="122" cm="1">
        <f t="array" aca="1" ref="N18" ca="1">_xlfn.PERCENTRANK.EXC(_xlfn._xlws.FILTER($M$6:M$18, ISNUMBER($M$6:M$18)),M18)*100</f>
        <v>92.800000000000011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5</v>
      </c>
      <c r="S3" s="148">
        <f ca="1">COUNTIF(S9:S17,"&gt;0")</f>
        <v>5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0.21288346503017397</v>
      </c>
      <c r="F9">
        <f ca="1">VLOOKUP(B9,OUTPUT_COUNTRY!$B$6:$N$18, 9, FALSE)</f>
        <v>7.1</v>
      </c>
      <c r="G9" s="47">
        <f>IFERROR(VLOOKUP(B9,OUTPUT_COUNTRY!$B$6:$N$18, 7, FALSE),0)</f>
        <v>28.499999999999996</v>
      </c>
      <c r="H9">
        <f>VLOOKUP(B9,OUTPUT_COUNTRY!$B$6:$N$18, 8, FALSE)</f>
        <v>7.1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0.23693231358007785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42.8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0.23365339006358993</v>
      </c>
      <c r="F11">
        <f ca="1">VLOOKUP(B11,OUTPUT_COUNTRY!$B$6:$N$18, 9, FALSE)</f>
        <v>50</v>
      </c>
      <c r="G11" s="47">
        <f>IFERROR(VLOOKUP(B11,OUTPUT_COUNTRY!$B$6:$N$18, 7, FALSE),0)</f>
        <v>42.8</v>
      </c>
      <c r="H11">
        <f>VLOOKUP(B11,OUTPUT_COUNTRY!$B$6:$N$18, 8, FALSE)</f>
        <v>7.1</v>
      </c>
      <c r="I11">
        <f>VLOOKUP(B11,OUTPUT_COUNTRY!$B$6:$N$18, 11, FALSE)</f>
        <v>57.099999999999994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0.24878913366516633</v>
      </c>
      <c r="F12">
        <f ca="1">VLOOKUP(B12,OUTPUT_COUNTRY!$B$6:$N$18, 9, FALSE)</f>
        <v>64.2</v>
      </c>
      <c r="G12" s="47">
        <f>IFERROR(VLOOKUP(B12,OUTPUT_COUNTRY!$B$6:$N$18, 7, FALSE),0)</f>
        <v>64.2</v>
      </c>
      <c r="H12">
        <f>VLOOKUP(B12,OUTPUT_COUNTRY!$B$6:$N$18, 8, FALSE)</f>
        <v>7.1</v>
      </c>
      <c r="I12">
        <f>VLOOKUP(B12,OUTPUT_COUNTRY!$B$6:$N$18, 11, FALSE)</f>
        <v>71.399999999999991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4.0194681546897995</v>
      </c>
      <c r="Q12" s="136">
        <f t="shared" si="9"/>
        <v>0.18299606598095908</v>
      </c>
      <c r="R12" s="156">
        <f t="shared" ca="1" si="4"/>
        <v>1.8299606598095909E-2</v>
      </c>
      <c r="S12" s="156">
        <f t="shared" ca="1" si="5"/>
        <v>3.6058908010696979E-2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0.17413443947749724</v>
      </c>
      <c r="F13">
        <f ca="1">VLOOKUP(B13,OUTPUT_COUNTRY!$B$6:$N$18, 9, FALSE)</f>
        <v>28.499999999999996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0.17827596799541517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35.699999999999996</v>
      </c>
      <c r="J14" s="47">
        <f t="shared" ca="1" si="0"/>
        <v>0</v>
      </c>
      <c r="K14" s="136">
        <f t="shared" ca="1" si="6"/>
        <v>0</v>
      </c>
      <c r="L14">
        <f t="shared" si="1"/>
        <v>5.6092809998132642</v>
      </c>
      <c r="M14" s="136">
        <f t="shared" si="7"/>
        <v>0.28325678513069802</v>
      </c>
      <c r="N14">
        <f t="shared" si="2"/>
        <v>5.6092809998132642</v>
      </c>
      <c r="O14" s="136">
        <f t="shared" si="8"/>
        <v>0.58756095930397723</v>
      </c>
      <c r="P14">
        <f t="shared" si="3"/>
        <v>0</v>
      </c>
      <c r="Q14" s="136">
        <f t="shared" si="9"/>
        <v>0</v>
      </c>
      <c r="R14" s="156">
        <f t="shared" ca="1" si="4"/>
        <v>0.14373313146960714</v>
      </c>
      <c r="S14" s="156">
        <f t="shared" ca="1" si="5"/>
        <v>0.2832224691809091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0.22120315387713235</v>
      </c>
      <c r="F15">
        <f ca="1">VLOOKUP(B15,OUTPUT_COUNTRY!$B$6:$N$18, 9, FALSE)</f>
        <v>57.099999999999994</v>
      </c>
      <c r="G15" s="47">
        <f>IFERROR(VLOOKUP(B15,OUTPUT_COUNTRY!$B$6:$N$18, 7, FALSE),0)</f>
        <v>78.5</v>
      </c>
      <c r="H15">
        <f>VLOOKUP(B15,OUTPUT_COUNTRY!$B$6:$N$18, 8, FALSE)</f>
        <v>7.1</v>
      </c>
      <c r="I15">
        <f>VLOOKUP(B15,OUTPUT_COUNTRY!$B$6:$N$18, 11, FALSE)</f>
        <v>50</v>
      </c>
      <c r="J15" s="47">
        <f t="shared" ca="1" si="0"/>
        <v>0</v>
      </c>
      <c r="K15" s="136">
        <f t="shared" ca="1" si="6"/>
        <v>0</v>
      </c>
      <c r="L15">
        <f t="shared" si="1"/>
        <v>4.5207312032967284</v>
      </c>
      <c r="M15" s="136">
        <f t="shared" si="7"/>
        <v>0.22828733078775917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6.8486199236327747E-2</v>
      </c>
      <c r="S15" s="156">
        <f t="shared" ca="1" si="5"/>
        <v>0.13495030863242521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0.21561168081105192</v>
      </c>
      <c r="F16">
        <f ca="1">VLOOKUP(B16,OUTPUT_COUNTRY!$B$6:$N$18, 9, FALSE)</f>
        <v>35.699999999999996</v>
      </c>
      <c r="G16" s="47">
        <f>IFERROR(VLOOKUP(B16,OUTPUT_COUNTRY!$B$6:$N$18, 7, FALSE),0)</f>
        <v>57.099999999999994</v>
      </c>
      <c r="H16">
        <f>VLOOKUP(B16,OUTPUT_COUNTRY!$B$6:$N$18, 8, FALSE)</f>
        <v>7.1</v>
      </c>
      <c r="I16">
        <f>VLOOKUP(B16,OUTPUT_COUNTRY!$B$6:$N$18, 11, FALSE)</f>
        <v>78.5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4.6379676473851852</v>
      </c>
      <c r="Q16" s="136">
        <f t="shared" si="9"/>
        <v>0.21115476002171565</v>
      </c>
      <c r="R16" s="156">
        <f t="shared" ca="1" si="4"/>
        <v>2.1115476002171566E-2</v>
      </c>
      <c r="S16" s="156">
        <f t="shared" ca="1" si="5"/>
        <v>4.1607506843541031E-2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0.18770747358524648</v>
      </c>
      <c r="F17">
        <f ca="1">VLOOKUP(B17,OUTPUT_COUNTRY!$B$6:$N$18, 9, FALSE)</f>
        <v>78.5</v>
      </c>
      <c r="G17" s="47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78.5</v>
      </c>
      <c r="J17" s="47">
        <f t="shared" ca="1" si="0"/>
        <v>5.3274383853760341</v>
      </c>
      <c r="K17" s="136">
        <f t="shared" ca="1" si="6"/>
        <v>0.30179161469819005</v>
      </c>
      <c r="L17">
        <f t="shared" si="1"/>
        <v>5.3274383853760341</v>
      </c>
      <c r="M17" s="136">
        <f t="shared" si="7"/>
        <v>0.26902433129553116</v>
      </c>
      <c r="N17">
        <f t="shared" si="2"/>
        <v>0</v>
      </c>
      <c r="O17" s="136">
        <f t="shared" si="8"/>
        <v>0</v>
      </c>
      <c r="P17">
        <f t="shared" si="3"/>
        <v>5.3274383853760341</v>
      </c>
      <c r="Q17" s="136">
        <f t="shared" si="9"/>
        <v>0.24254459265768316</v>
      </c>
      <c r="R17" s="156">
        <f t="shared" ca="1" si="4"/>
        <v>0.25585756600352266</v>
      </c>
      <c r="S17" s="156">
        <f t="shared" ca="1" si="5"/>
        <v>0.50416080733242774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0.23013042982788232</v>
      </c>
      <c r="F18">
        <f ca="1">VLOOKUP(B18,OUTPUT_COUNTRY!$B$6:$N$18, 9, FALSE)</f>
        <v>71.399999999999991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21.4</v>
      </c>
      <c r="J18" s="47">
        <f t="shared" ca="1" si="0"/>
        <v>4.3453618921579107</v>
      </c>
      <c r="K18" s="136">
        <f t="shared" ca="1" si="6"/>
        <v>0.24615841367253172</v>
      </c>
      <c r="L18">
        <f t="shared" si="1"/>
        <v>4.3453618921579107</v>
      </c>
      <c r="M18" s="136">
        <f t="shared" si="7"/>
        <v>0.21943155278601167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0.18890867267206934</v>
      </c>
      <c r="S18" s="156">
        <f t="shared" ca="1" si="5"/>
        <v>0.37223972077158168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0.24737387362086874</v>
      </c>
      <c r="F19">
        <f ca="1">VLOOKUP(B19,OUTPUT_COUNTRY!$B$6:$N$18, 9, FALSE)</f>
        <v>85.7</v>
      </c>
      <c r="G19" s="47">
        <f>IFERROR(VLOOKUP(B19,OUTPUT_COUNTRY!$B$6:$N$18, 7, FALSE),0)</f>
        <v>14.2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4.0424640862948387</v>
      </c>
      <c r="K19" s="136">
        <f t="shared" ca="1" si="6"/>
        <v>0.22899969473344761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4.0424640862948387</v>
      </c>
      <c r="Q19" s="136">
        <f t="shared" si="9"/>
        <v>0.18404301170993057</v>
      </c>
      <c r="R19" s="156">
        <f t="shared" ca="1" si="4"/>
        <v>0.13290414853771687</v>
      </c>
      <c r="S19" s="156">
        <f t="shared" ca="1" si="5"/>
        <v>0.26188423454197052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0.23841858514912068</v>
      </c>
      <c r="F20">
        <f ca="1">VLOOKUP(B20,OUTPUT_COUNTRY!$B$6:$N$18, 9, FALSE)</f>
        <v>42.8</v>
      </c>
      <c r="G20" s="47">
        <f>IFERROR(VLOOKUP(B20,OUTPUT_COUNTRY!$B$6:$N$18, 7, FALSE),0)</f>
        <v>35.699999999999996</v>
      </c>
      <c r="H20">
        <f>VLOOKUP(B20,OUTPUT_COUNTRY!$B$6:$N$18, 8, FALSE)</f>
        <v>7.1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0.25397207451423831</v>
      </c>
      <c r="F21" s="13">
        <f ca="1">VLOOKUP(B21,OUTPUT_COUNTRY!$B$6:$N$18, 9, FALSE)</f>
        <v>92.800000000000011</v>
      </c>
      <c r="G21" s="138">
        <f>IFERROR(VLOOKUP(B21,OUTPUT_COUNTRY!$B$6:$N$18, 7, FALSE),0)</f>
        <v>21.4</v>
      </c>
      <c r="H21" s="13">
        <f>VLOOKUP(B21,OUTPUT_COUNTRY!$B$6:$N$18, 8, FALSE)</f>
        <v>85.7</v>
      </c>
      <c r="I21" s="13">
        <f>VLOOKUP(B21,OUTPUT_COUNTRY!$B$6:$N$18, 11, FALSE)</f>
        <v>64.2</v>
      </c>
      <c r="J21" s="138">
        <f t="shared" ca="1" si="0"/>
        <v>3.9374407675042931</v>
      </c>
      <c r="K21" s="137">
        <f t="shared" ca="1" si="6"/>
        <v>0.22305027689583065</v>
      </c>
      <c r="L21" s="13">
        <f t="shared" si="1"/>
        <v>0</v>
      </c>
      <c r="M21" s="137">
        <f t="shared" si="7"/>
        <v>0</v>
      </c>
      <c r="N21" s="13">
        <f t="shared" si="2"/>
        <v>3.9374407675042931</v>
      </c>
      <c r="O21" s="137">
        <f t="shared" si="8"/>
        <v>0.41243904069602283</v>
      </c>
      <c r="P21" s="13">
        <f t="shared" si="3"/>
        <v>3.9374407675042931</v>
      </c>
      <c r="Q21" s="137">
        <f t="shared" si="9"/>
        <v>0.17926156962971157</v>
      </c>
      <c r="R21" s="157">
        <f t="shared" ca="1" si="4"/>
        <v>0.17069519948048875</v>
      </c>
      <c r="S21" s="157">
        <f t="shared" ca="1" si="5"/>
        <v>0.33635053644131108</v>
      </c>
    </row>
    <row r="22" spans="2:21" x14ac:dyDescent="0.35">
      <c r="J22" s="47">
        <f ca="1">SUM(J9:J21)</f>
        <v>17.652705131333075</v>
      </c>
      <c r="K22" s="169"/>
      <c r="L22">
        <f>SUM(L9:L21)</f>
        <v>19.802812480643937</v>
      </c>
      <c r="N22">
        <f>SUM(N9:N21)</f>
        <v>9.5467217673175568</v>
      </c>
      <c r="P22">
        <f>SUM(P9:P21)</f>
        <v>21.96477904125015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G3" sqref="G3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-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+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+</v>
      </c>
      <c r="H9" s="121" t="str">
        <f>IF(VLOOKUP(C9,OUTPUT_COUNTRY!$B$6:$N$18,7,FALSE)&gt;75,"++",(IF(VLOOKUP(C9,OUTPUT_COUNTRY!$B$6:$N$18,7,FALSE)&gt;50,"+",(IF(VLOOKUP(C9,OUTPUT_COUNTRY!$B$6:$N$18,7,FALSE)&gt;25,"-","--")))))</f>
        <v>++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-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+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+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+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+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++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3" sqref="O3:O15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29.319114375429699</v>
      </c>
      <c r="H3" s="4" cm="1">
        <f t="array" ref="H3">_xll.FDS(D3,"FMA_PE(NTMA,0,,,""PORTAGG"",""MEANR"")")</f>
        <v>24.989094574081701</v>
      </c>
      <c r="I3" cm="1">
        <f t="array" ref="I3">_xll.FDS(D3,"FMA_DIV_YLD(NTMA,NOW,NOW,M,""PORTAGG"",""MEANR"")")</f>
        <v>2.74326885778498</v>
      </c>
      <c r="J3" s="52" cm="1">
        <f t="array" ref="J3">IFERROR(_xll.FDS(D3,"FG_FCF_YIELD_NTM(0)"),(1/G3*100))</f>
        <v>0.33741978313145499</v>
      </c>
      <c r="K3" s="3" cm="1">
        <f t="array" ref="K3">_xll.FDS(D3,"FMA_EVAL_EBITDA(NTMA,0,,,""PORTAGG"",""MEANR"")")</f>
        <v>12.271505805302899</v>
      </c>
      <c r="L3" cm="1">
        <f t="array" ref="L3">_xll.FDS(D3,"FMA_EVAL_EBIT(LTMA,NOW,NOW,M,""PORTAGG"",""MEANR"")")</f>
        <v>20.514498121694299</v>
      </c>
      <c r="M3">
        <f>HLOOKUP(D3,'Index ROE'!$A$1:$N$25,25,FALSE)</f>
        <v>6.5791075391831502</v>
      </c>
      <c r="N3">
        <f>VLOOKUP(A3,'LIQIDITY 2'!$A$3:$E$16,5,FALSE)</f>
        <v>4.9004000000000003</v>
      </c>
      <c r="O3" cm="1">
        <f t="array" ref="O3">IFERROR(IFERROR(_xll.FDS(B3,"IMF_IFS_RCPI_Q(0)"),_xll.FDS(B3,"IMF_IFS_RCPI_Q(-1AM)")),$D$23)</f>
        <v>4.6550289999999999</v>
      </c>
      <c r="P3">
        <f>VLOOKUP(E3,GDP_GROWTH!$B$10:$W$165,22,FALSE)</f>
        <v>2.7196134550164452</v>
      </c>
      <c r="Q3">
        <f t="shared" ref="Q3:Q11" si="0">I3-N3</f>
        <v>-2.1571311422150203</v>
      </c>
      <c r="R3" s="52">
        <f t="shared" ref="R3:R11" si="1">J3-N3</f>
        <v>-4.5629802168685449</v>
      </c>
      <c r="S3">
        <f t="shared" ref="S3:S11" si="2">M3-N3</f>
        <v>1.6787075391831499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18.212269948333301</v>
      </c>
      <c r="H4" s="4" cm="1">
        <f t="array" ref="H4">_xll.FDS(D4,"FMA_PE(NTMA,0,,,""PORTAGG"",""MEANR"")")</f>
        <v>16.476263825906301</v>
      </c>
      <c r="I4" cm="1">
        <f t="array" ref="I4">_xll.FDS(D4,"FMA_DIV_YLD(NTMA,NOW,NOW,M,""PORTAGG"",""MEANR"")")</f>
        <v>3.8993119537235699</v>
      </c>
      <c r="J4" s="52" cm="1">
        <f t="array" ref="J4">IFERROR(_xll.FDS(D4,"FG_FCF_YIELD_NTM(0)"),(1/G4*100))</f>
        <v>4.9233970840831098</v>
      </c>
      <c r="K4" s="3" cm="1">
        <f t="array" ref="K4">_xll.FDS(D4,"FMA_EVAL_EBITDA(NTMA,0,,,""PORTAGG"",""MEANR"")")</f>
        <v>8.5536243102227392</v>
      </c>
      <c r="L4" cm="1">
        <f t="array" ref="L4">_xll.FDS(D4,"FMA_EVAL_EBIT(LTMA,NOW,NOW,M,""PORTAGG"",""MEANR"")")</f>
        <v>12.4430506058536</v>
      </c>
      <c r="M4">
        <f>HLOOKUP(D4,'Index ROE'!$A$1:$N$25,25,FALSE)</f>
        <v>13.226137995013501</v>
      </c>
      <c r="N4">
        <f>VLOOKUP(A4,'LIQIDITY 2'!$A$3:$E$16,5,FALSE)</f>
        <v>4.28</v>
      </c>
      <c r="O4" cm="1">
        <f t="array" ref="O4">IFERROR(IFERROR(_xll.FDS(B4,"IMF_IFS_RCPI_Q(0)"),_xll.FDS(B4,"IMF_IFS_RCPI_Q(-1AM)")),$D$23)</f>
        <v>4.0519879999999997</v>
      </c>
      <c r="P4">
        <f>VLOOKUP(E4,GDP_GROWTH!$B$10:$W$165,22,FALSE)</f>
        <v>2.0879441195558623</v>
      </c>
      <c r="Q4">
        <f t="shared" si="0"/>
        <v>-0.38068804627643038</v>
      </c>
      <c r="R4" s="52">
        <f t="shared" si="1"/>
        <v>0.64339708408310958</v>
      </c>
      <c r="S4">
        <f t="shared" si="2"/>
        <v>8.9461379950135012</v>
      </c>
      <c r="T4">
        <f t="shared" si="3"/>
        <v>9.1741499950135008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31.799999999999997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16.327359486398301</v>
      </c>
      <c r="H5" s="4" cm="1">
        <f t="array" ref="H5">_xll.FDS(D5,"FMA_PE(NTMA,0,,,""PORTAGG"",""MEANR"")")</f>
        <v>14.1409055493399</v>
      </c>
      <c r="I5" cm="1">
        <f t="array" ref="I5">_xll.FDS(D5,"FMA_DIV_YLD(NTMA,NOW,NOW,M,""PORTAGG"",""MEANR"")")</f>
        <v>3.1069232527359798</v>
      </c>
      <c r="J5" s="52" cm="1">
        <f t="array" ref="J5">IFERROR(_xll.FDS(D5,"FG_FCF_YIELD_NTM(0)"),(1/G5*100))</f>
        <v>5.1912910648139396</v>
      </c>
      <c r="K5" s="3" cm="1">
        <f t="array" ref="K5">_xll.FDS(D5,"FMA_EVAL_EBITDA(NTMA,0,,,""PORTAGG"",""MEANR"")")</f>
        <v>9.7948741296877806</v>
      </c>
      <c r="L5" cm="1">
        <f t="array" ref="L5">_xll.FDS(D5,"FMA_EVAL_EBIT(LTMA,NOW,NOW,M,""PORTAGG"",""MEANR"")")</f>
        <v>16.384249735141101</v>
      </c>
      <c r="M5">
        <f>HLOOKUP(D5,'Index ROE'!$A$1:$N$25,25,FALSE)</f>
        <v>13.147116166704</v>
      </c>
      <c r="N5">
        <f>VLOOKUP(A5,'LIQIDITY 2'!$A$3:$E$16,5,FALSE)</f>
        <v>3.7572000000000001</v>
      </c>
      <c r="O5" cm="1">
        <f t="array" ref="O5">IFERROR(IFERROR(_xll.FDS(B5,"IMF_IFS_RCPI_Q(0)"),_xll.FDS(B5,"IMF_IFS_RCPI_Q(-1AM)")),$D$23)</f>
        <v>3.2111022</v>
      </c>
      <c r="P5">
        <f>VLOOKUP(E5,GDP_GROWTH!$B$10:$W$165,22,FALSE)</f>
        <v>1.4598842535213041</v>
      </c>
      <c r="Q5">
        <f t="shared" si="0"/>
        <v>-0.65027674726402029</v>
      </c>
      <c r="R5" s="52">
        <f t="shared" si="1"/>
        <v>1.4340910648139396</v>
      </c>
      <c r="S5">
        <f t="shared" si="2"/>
        <v>9.3899161667040012</v>
      </c>
      <c r="T5">
        <f t="shared" si="3"/>
        <v>9.9360139667039995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28.499999999999996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48.57500000000001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12.436851452711499</v>
      </c>
      <c r="H6" s="4" cm="1">
        <f t="array" ref="H6">_xll.FDS(D6,"FMA_PE(NTMA,0,,,""PORTAGG"",""MEANR"")")</f>
        <v>12.019487908431501</v>
      </c>
      <c r="I6" cm="1">
        <f t="array" ref="I6">_xll.FDS(D6,"FMA_DIV_YLD(NTMA,NOW,NOW,M,""PORTAGG"",""MEANR"")")</f>
        <v>3.2483381300910699</v>
      </c>
      <c r="J6" s="52" cm="1">
        <f t="array" ref="J6">IFERROR(_xll.FDS(D6,"FG_FCF_YIELD_NTM(0)"),(1/G6*100))</f>
        <v>6.1211859549717103</v>
      </c>
      <c r="K6" s="3" cm="1">
        <f t="array" ref="K6">_xll.FDS(D6,"FMA_EVAL_EBITDA(NTMA,0,,,""PORTAGG"",""MEANR"")")</f>
        <v>8.4624130280103902</v>
      </c>
      <c r="L6" cm="1">
        <f t="array" ref="L6">_xll.FDS(D6,"FMA_EVAL_EBIT(LTMA,NOW,NOW,M,""PORTAGG"",""MEANR"")")</f>
        <v>13.3184845927212</v>
      </c>
      <c r="M6">
        <f>HLOOKUP(D6,'Index ROE'!$A$1:$N$25,25,FALSE)</f>
        <v>11.940053323267</v>
      </c>
      <c r="N6">
        <f>VLOOKUP(A6,'LIQIDITY 2'!$A$3:$E$16,5,FALSE)</f>
        <v>2.4860000000000002</v>
      </c>
      <c r="O6" cm="1">
        <f t="array" ref="O6">IFERROR(IFERROR(_xll.FDS(B6,"IMF_IFS_RCPI_Q(0)"),_xll.FDS(B6,"IMF_IFS_RCPI_Q(-1AM)")),$D$23)</f>
        <v>3.5546435999999999</v>
      </c>
      <c r="P6">
        <f>VLOOKUP(E6,GDP_GROWTH!$B$10:$W$165,22,FALSE)</f>
        <v>0.863192929992318</v>
      </c>
      <c r="Q6">
        <f t="shared" si="0"/>
        <v>0.76233813009106965</v>
      </c>
      <c r="R6" s="52">
        <f t="shared" si="1"/>
        <v>3.63518595497171</v>
      </c>
      <c r="S6">
        <f t="shared" si="2"/>
        <v>9.454053323266999</v>
      </c>
      <c r="T6">
        <f t="shared" si="3"/>
        <v>8.3854097232669993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70.004999999999995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16.296406562725799</v>
      </c>
      <c r="H7" s="4" cm="1">
        <f t="array" ref="H7">_xll.FDS(D7,"FMA_PE(NTMA,0,,,""PORTAGG"",""MEANR"")")</f>
        <v>15.6457867150851</v>
      </c>
      <c r="I7" cm="1">
        <f t="array" ref="I7">_xll.FDS(D7,"FMA_DIV_YLD(NTMA,NOW,NOW,M,""PORTAGG"",""MEANR"")")</f>
        <v>2.1573311018162999</v>
      </c>
      <c r="J7" s="52" cm="1">
        <f t="array" ref="J7">IFERROR(_xll.FDS(D7,"FG_FCF_YIELD_NTM(0)"),(1/G7*100))</f>
        <v>4.0408738625484402</v>
      </c>
      <c r="K7" s="3" cm="1">
        <f t="array" ref="K7">_xll.FDS(D7,"FMA_EVAL_EBITDA(NTMA,0,,,""PORTAGG"",""MEANR"")")</f>
        <v>10.7219387395957</v>
      </c>
      <c r="L7" cm="1">
        <f t="array" ref="L7">_xll.FDS(D7,"FMA_EVAL_EBIT(LTMA,NOW,NOW,M,""PORTAGG"",""MEANR"")")</f>
        <v>18.157180062587202</v>
      </c>
      <c r="M7">
        <f>HLOOKUP(D7,'Index ROE'!$A$1:$N$25,25,FALSE)</f>
        <v>9.29901046676666</v>
      </c>
      <c r="N7">
        <f>VLOOKUP(A7,'LIQIDITY 2'!$A$3:$E$16,5,FALSE)</f>
        <v>0.87250000000000005</v>
      </c>
      <c r="O7" cm="1">
        <f t="array" ref="O7">IFERROR(IFERROR(_xll.FDS(B7,"IMF_IFS_RCPI_Q(0)"),_xll.FDS(B7,"IMF_IFS_RCPI_Q(-1AM)")),$D$23)</f>
        <v>2.9194753000000002</v>
      </c>
      <c r="P7">
        <f>VLOOKUP(E7,GDP_GROWTH!$B$10:$W$165,22,FALSE)</f>
        <v>0.31456851442112077</v>
      </c>
      <c r="Q7">
        <f t="shared" si="0"/>
        <v>1.2848311018162999</v>
      </c>
      <c r="R7" s="52">
        <f t="shared" si="1"/>
        <v>3.1683738625484401</v>
      </c>
      <c r="S7">
        <f t="shared" si="2"/>
        <v>8.4265104667666595</v>
      </c>
      <c r="T7">
        <f t="shared" si="3"/>
        <v>6.3795351667666598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50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53.55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15.154694665435899</v>
      </c>
      <c r="H8" s="4" cm="1">
        <f t="array" ref="H8">_xll.FDS(D8,"FMA_PE(NTMA,0,,,""PORTAGG"",""MEANR"")")</f>
        <v>16.9985445497671</v>
      </c>
      <c r="I8" cm="1">
        <f t="array" ref="I8">_xll.FDS(D8,"FMA_DIV_YLD(NTMA,NOW,NOW,M,""PORTAGG"",""MEANR"")")</f>
        <v>3.2622719015151702</v>
      </c>
      <c r="J8" s="52" cm="1">
        <f t="array" ref="J8">IFERROR(_xll.FDS(D8,"FG_FCF_YIELD_NTM(0)"),(1/G8*100))</f>
        <v>5.0837535355804597</v>
      </c>
      <c r="K8" s="3" cm="1">
        <f t="array" ref="K8">_xll.FDS(D8,"FMA_EVAL_EBITDA(NTMA,0,,,""PORTAGG"",""MEANR"")")</f>
        <v>12.624007626532901</v>
      </c>
      <c r="L8" cm="1">
        <f t="array" ref="L8">_xll.FDS(D8,"FMA_EVAL_EBIT(LTMA,NOW,NOW,M,""PORTAGG"",""MEANR"")")</f>
        <v>16.6905797975549</v>
      </c>
      <c r="M8">
        <f>HLOOKUP(D8,'Index ROE'!$A$1:$N$25,25,FALSE)</f>
        <v>19.2996868123636</v>
      </c>
      <c r="N8">
        <f>VLOOKUP(A8,'LIQIDITY 2'!$A$3:$E$16,5,FALSE)</f>
        <v>0.76400000000000001</v>
      </c>
      <c r="O8" cm="1">
        <f t="array" ref="O8">IFERROR(IFERROR(_xll.FDS(B8,"IMF_IFS_RCPI_Q(0)"),_xll.FDS(B8,"IMF_IFS_RCPI_Q(-1AM)")),$D$23)</f>
        <v>1.6172575</v>
      </c>
      <c r="P8">
        <f>VLOOKUP(E8,GDP_GROWTH!$B$10:$W$165,22,FALSE)</f>
        <v>2.077185911672963</v>
      </c>
      <c r="Q8">
        <f t="shared" si="0"/>
        <v>2.49827190151517</v>
      </c>
      <c r="R8" s="52">
        <f t="shared" si="1"/>
        <v>4.3197535355804595</v>
      </c>
      <c r="S8">
        <f t="shared" si="2"/>
        <v>18.5356868123636</v>
      </c>
      <c r="T8">
        <f t="shared" si="3"/>
        <v>17.682429312363599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10.6549444836087</v>
      </c>
      <c r="H9" s="4" cm="1">
        <f t="array" ref="H9">_xll.FDS(D9,"FMA_PE(NTMA,0,,,""PORTAGG"",""MEANR"")")</f>
        <v>11.4417257444358</v>
      </c>
      <c r="I9" cm="1">
        <f t="array" ref="I9">_xll.FDS(D9,"FMA_DIV_YLD(NTMA,NOW,NOW,M,""PORTAGG"",""MEANR"")")</f>
        <v>4.0226744558931502</v>
      </c>
      <c r="J9" s="52" cm="1">
        <f t="array" ref="J9">IFERROR(_xll.FDS(D9,"FG_FCF_YIELD_NTM(0)"),(1/G9*100))</f>
        <v>6.2256974663229601</v>
      </c>
      <c r="K9" s="3" cm="1">
        <f t="array" ref="K9">_xll.FDS(D9,"FMA_EVAL_EBITDA(NTMA,0,,,""PORTAGG"",""MEANR"")")</f>
        <v>7.4439404821455897</v>
      </c>
      <c r="L9" cm="1">
        <f t="array" ref="L9">_xll.FDS(D9,"FMA_EVAL_EBIT(LTMA,NOW,NOW,M,""PORTAGG"",""MEANR"")")</f>
        <v>10.4796859533219</v>
      </c>
      <c r="M9">
        <f>HLOOKUP(D9,'Index ROE'!$A$1:$N$25,25,FALSE)</f>
        <v>14.720728907309301</v>
      </c>
      <c r="N9">
        <f>VLOOKUP(A9,'LIQIDITY 2'!$A$3:$E$16,5,FALSE)</f>
        <v>4.26</v>
      </c>
      <c r="O9" cm="1">
        <f t="array" ref="O9">IFERROR(IFERROR(_xll.FDS(B9,"IMF_IFS_RCPI_Q(0)"),_xll.FDS(B9,"IMF_IFS_RCPI_Q(-1AM)")),$D$23)</f>
        <v>4.3536314999999997</v>
      </c>
      <c r="P9">
        <f>VLOOKUP(E9,GDP_GROWTH!$B$10:$W$165,22,FALSE)</f>
        <v>1.0976426250664972</v>
      </c>
      <c r="Q9">
        <f t="shared" si="0"/>
        <v>-0.23732554410684958</v>
      </c>
      <c r="R9" s="52">
        <f t="shared" si="1"/>
        <v>1.9656974663229603</v>
      </c>
      <c r="S9">
        <f t="shared" si="2"/>
        <v>10.460728907309301</v>
      </c>
      <c r="T9">
        <f t="shared" si="3"/>
        <v>10.367097407309302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70.03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32.576151052540901</v>
      </c>
      <c r="H10" s="4" cm="1">
        <f t="array" ref="H10">_xll.FDS(D10,"FMA_PE(NTMA,0,,,""PORTAGG"",""MEANR"")")</f>
        <v>24.906798572062101</v>
      </c>
      <c r="I10" cm="1">
        <f t="array" ref="I10">_xll.FDS(D10,"FMA_DIV_YLD(NTMA,NOW,NOW,M,""PORTAGG"",""MEANR"")")</f>
        <v>0.88297584745320501</v>
      </c>
      <c r="J10" s="52" cm="1">
        <f t="array" ref="J10">IFERROR(_xll.FDS(D10,"FG_FCF_YIELD_NTM(0)"),(1/G10*100))</f>
        <v>3.8368308922991101</v>
      </c>
      <c r="K10" s="3" cm="1">
        <f t="array" ref="K10">_xll.FDS(D10,"FMA_EVAL_EBITDA(NTMA,0,,,""PORTAGG"",""MEANR"")")</f>
        <v>15.5928473475795</v>
      </c>
      <c r="L10" cm="1">
        <f t="array" ref="L10">_xll.FDS(D10,"FMA_EVAL_EBIT(LTMA,NOW,NOW,M,""PORTAGG"",""MEANR"")")</f>
        <v>24.802151662567798</v>
      </c>
      <c r="M10">
        <f>HLOOKUP(D10,'Index ROE'!$A$1:$N$25,25,FALSE)</f>
        <v>25.301114402700598</v>
      </c>
      <c r="N10">
        <f>VLOOKUP(A10,'LIQIDITY 2'!$A$3:$E$16,5,FALSE)</f>
        <v>4.6346999999999996</v>
      </c>
      <c r="O10" cm="1">
        <f t="array" ref="O10">IFERROR(IFERROR(_xll.FDS(B10,"IMF_IFS_RCPI_Q(0)"),_xll.FDS(B10,"IMF_IFS_RCPI_Q(-1AM)")),$D$23)</f>
        <v>3.2433991</v>
      </c>
      <c r="P10">
        <f>VLOOKUP(E10,GDP_GROWTH!$B$10:$W$165,22,FALSE)</f>
        <v>2.0868572594445189</v>
      </c>
      <c r="Q10">
        <f t="shared" si="0"/>
        <v>-3.7517241525467946</v>
      </c>
      <c r="R10" s="52">
        <f t="shared" si="1"/>
        <v>-0.79786910770088948</v>
      </c>
      <c r="S10">
        <f t="shared" si="2"/>
        <v>20.6664144027006</v>
      </c>
      <c r="T10">
        <f t="shared" si="3"/>
        <v>22.057715302700597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24.8811474420671</v>
      </c>
      <c r="H11" s="4" cm="1">
        <f t="array" ref="H11">_xll.FDS(D11,"FMA_PE(NTMA,0,,,""PORTAGG"",""MEANR"")")</f>
        <v>20.057770722766602</v>
      </c>
      <c r="I11" cm="1">
        <f t="array" ref="I11">_xll.FDS(D11,"FMA_DIV_YLD(NTMA,NOW,NOW,M,""PORTAGG"",""MEANR"")")</f>
        <v>1.42735417104272</v>
      </c>
      <c r="J11" s="52" cm="1">
        <f t="array" ref="J11">IFERROR(_xll.FDS(D11,"FG_FCF_YIELD_NTM(0)"),(1/G11*100))</f>
        <v>4.2693971668193802</v>
      </c>
      <c r="K11" s="3" cm="1">
        <f t="array" ref="K11">_xll.FDS(D11,"FMA_EVAL_EBITDA(NTMA,0,,,""PORTAGG"",""MEANR"")")</f>
        <v>13.7535286796239</v>
      </c>
      <c r="L11" cm="1">
        <f t="array" ref="L11">_xll.FDS(D11,"FMA_EVAL_EBIT(LTMA,NOW,NOW,M,""PORTAGG"",""MEANR"")")</f>
        <v>20.739375755102301</v>
      </c>
      <c r="M11">
        <f>HLOOKUP(D11,'Index ROE'!$A$1:$N$25,25,FALSE)</f>
        <v>20.341049766810499</v>
      </c>
      <c r="N11">
        <f>VLOOKUP(A11,'LIQIDITY 2'!$A$3:$E$16,5,FALSE)</f>
        <v>4.6346999999999996</v>
      </c>
      <c r="O11" cm="1">
        <f t="array" ref="O11">IFERROR(IFERROR(_xll.FDS(B11,"IMF_IFS_RCPI_Q(0)"),_xll.FDS(B11,"IMF_IFS_RCPI_Q(-1AM)")),$D$23)</f>
        <v>3.2433991</v>
      </c>
      <c r="P11">
        <f>VLOOKUP(E11,GDP_GROWTH!$B$10:$W$165,22,FALSE)</f>
        <v>2.0868572594445189</v>
      </c>
      <c r="Q11">
        <f t="shared" si="0"/>
        <v>-3.2073458289572798</v>
      </c>
      <c r="R11" s="52">
        <f t="shared" si="1"/>
        <v>-0.3653028331806194</v>
      </c>
      <c r="S11">
        <f t="shared" si="2"/>
        <v>15.706349766810501</v>
      </c>
      <c r="T11">
        <f t="shared" si="3"/>
        <v>17.097650666810498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16.2108611115573</v>
      </c>
      <c r="H12" s="4" cm="1">
        <f t="array" ref="H12">_xll.FDS(D12,"FMA_PE(NTMA,0,,,""PORTAGG"",""MEANR"")")</f>
        <v>14.374265084774599</v>
      </c>
      <c r="I12" cm="1">
        <f t="array" ref="I12">_xll.FDS(D12,"FMA_DIV_YLD(NTMA,NOW,NOW,M,""PORTAGG"",""MEANR"")")</f>
        <v>3.0530695866970601</v>
      </c>
      <c r="J12" s="52" cm="1">
        <f t="array" ref="J12">IFERROR(_xll.FDS(D12,"FG_FCF_YIELD_NTM(0)"),(1/G12*100))</f>
        <v>5.6277454926257198</v>
      </c>
      <c r="K12" s="3" cm="1">
        <f t="array" ref="K12">_xll.FDS(D12,"FMA_EVAL_EBITDA(NTMA,0,,,""PORTAGG"",""MEANR"")")</f>
        <v>9.2358039897548991</v>
      </c>
      <c r="L12" cm="1">
        <f t="array" ref="L12">_xll.FDS(D12,"FMA_EVAL_EBIT(LTMA,NOW,NOW,M,""PORTAGG"",""MEANR"")")</f>
        <v>13.2966751583548</v>
      </c>
      <c r="M12">
        <f>HLOOKUP(D12,'Index ROE'!$A$1:$N$25,25,FALSE)</f>
        <v>13.221059503291199</v>
      </c>
      <c r="N12">
        <f>VLOOKUP(A12,'LIQIDITY 2'!$A$3:$E$16,5,FALSE)</f>
        <v>2.9980000000000002</v>
      </c>
      <c r="O12" cm="1">
        <f t="array" ref="O12">IFERROR(IFERROR(_xll.FDS(B12,"IMF_IFS_RCPI_Q(0)"),_xll.FDS(B12,"IMF_IFS_RCPI_Q(-1AM)")),$D$23)</f>
        <v>3.7187451999999999</v>
      </c>
      <c r="P12">
        <f>VLOOKUP(E12,GDP_GROWTH!$B$10:$W$165,22,FALSE)</f>
        <v>0.9426946158151317</v>
      </c>
      <c r="Q12">
        <f t="shared" ref="Q12:Q15" si="4">I12-N12</f>
        <v>5.5069586697059858E-2</v>
      </c>
      <c r="R12" s="52">
        <f t="shared" ref="R12:R15" si="5">J12-N12</f>
        <v>2.6297454926257195</v>
      </c>
      <c r="S12">
        <f t="shared" ref="S12:S15" si="6">M12-N12</f>
        <v>10.2230595032912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57.2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58.56</v>
      </c>
      <c r="AC12" cm="1">
        <f t="array" ref="AC12">_xlfn.PERCENTRANK.EXC(_xlfn._xlws.FILTER(AB$3:AB$15, ISNUMBER(AB$3:AB$15)),AB12)*100</f>
        <v>57.099999999999994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19.2785921099779</v>
      </c>
      <c r="H13" s="4" cm="1">
        <f t="array" ref="H13">_xll.FDS(D13,"FMA_PE(NTMA,0,,,""PORTAGG"",""MEANR"")")</f>
        <v>15.906409302638499</v>
      </c>
      <c r="I13" cm="1">
        <f t="array" ref="I13">_xll.FDS(D13,"FMA_DIV_YLD(NTMA,NOW,NOW,M,""PORTAGG"",""MEANR"")")</f>
        <v>2.51696007875019</v>
      </c>
      <c r="J13" s="52" cm="1">
        <f t="array" ref="J13">IFERROR(_xll.FDS(D13,"FG_FCF_YIELD_NTM(0)"),(1/G13*100))</f>
        <v>3.99758723636453</v>
      </c>
      <c r="K13" s="3" cm="1">
        <f t="array" ref="K13">_xll.FDS(D13,"FMA_EVAL_EBITDA(NTMA,0,,,""PORTAGG"",""MEANR"")")</f>
        <v>12.5463445976416</v>
      </c>
      <c r="L13" cm="1">
        <f t="array" ref="L13">_xll.FDS(D13,"FMA_EVAL_EBIT(LTMA,NOW,NOW,M,""PORTAGG"",""MEANR"")")</f>
        <v>22.298534695770599</v>
      </c>
      <c r="M13">
        <f>HLOOKUP(D13,'Index ROE'!$A$1:$N$25,25,FALSE)</f>
        <v>12.745985668805799</v>
      </c>
      <c r="N13">
        <f>VLOOKUP(A13,'LIQIDITY 2'!$A$3:$E$16,5,FALSE)</f>
        <v>2.7829999999999999</v>
      </c>
      <c r="O13" cm="1">
        <f t="array" ref="O13">IFERROR(IFERROR(_xll.FDS(B13,"IMF_IFS_RCPI_Q(0)"),_xll.FDS(B13,"IMF_IFS_RCPI_Q(-1AM)")),$D$23)</f>
        <v>0.80520855999999996</v>
      </c>
      <c r="P13">
        <f>VLOOKUP(E13,GDP_GROWTH!$B$10:$W$165,22,FALSE)</f>
        <v>1.7793785730007783</v>
      </c>
      <c r="Q13">
        <f t="shared" si="4"/>
        <v>-0.26603992124980991</v>
      </c>
      <c r="R13" s="52">
        <f t="shared" si="5"/>
        <v>1.21458723636453</v>
      </c>
      <c r="S13">
        <f t="shared" si="6"/>
        <v>9.9629856688057998</v>
      </c>
      <c r="T13">
        <f t="shared" si="7"/>
        <v>11.940777108805799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42.135000000000005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14.1502269841952</v>
      </c>
      <c r="H14" s="4" cm="1">
        <f t="array" ref="H14">_xll.FDS(D14,"FMA_PE(NTMA,0,,,""PORTAGG"",""MEANR"")")</f>
        <v>16.256772636034199</v>
      </c>
      <c r="I14" cm="1">
        <f t="array" ref="I14">_xll.FDS(D14,"FMA_DIV_YLD(NTMA,NOW,NOW,M,""PORTAGG"",""MEANR"")")</f>
        <v>3.2268300906465601</v>
      </c>
      <c r="J14" s="52" cm="1">
        <f t="array" ref="J14">IFERROR(_xll.FDS(D14,"FG_FCF_YIELD_NTM(0)"),(1/G14*100))</f>
        <v>5.1217420755708796</v>
      </c>
      <c r="K14" s="3" cm="1">
        <f t="array" ref="K14">_xll.FDS(D14,"FMA_EVAL_EBITDA(NTMA,0,,,""PORTAGG"",""MEANR"")")</f>
        <v>11.1902054713883</v>
      </c>
      <c r="L14" cm="1">
        <f t="array" ref="L14">_xll.FDS(D14,"FMA_EVAL_EBIT(LTMA,NOW,NOW,M,""PORTAGG"",""MEANR"")")</f>
        <v>15.952196503237801</v>
      </c>
      <c r="M14">
        <f>HLOOKUP(D14,'Index ROE'!$A$1:$N$25,25,FALSE)</f>
        <v>15.368050598586001</v>
      </c>
      <c r="N14">
        <f>VLOOKUP(A14,'LIQIDITY 2'!$A$3:$E$16,5,FALSE)</f>
        <v>2.4900000000000002</v>
      </c>
      <c r="O14" cm="1">
        <f t="array" ref="O14">IFERROR(IFERROR(_xll.FDS(B14,"IMF_IFS_RCPI_Q(0)"),_xll.FDS(B14,"IMF_IFS_RCPI_Q(-1AM)")),$D$23)</f>
        <v>5.5508369999999996</v>
      </c>
      <c r="P14">
        <f>VLOOKUP(E14,GDP_GROWTH!$B$10:$W$165,22,FALSE)</f>
        <v>1.8182767577278436</v>
      </c>
      <c r="Q14">
        <f t="shared" si="4"/>
        <v>0.73683009064655991</v>
      </c>
      <c r="R14" s="52">
        <f t="shared" si="5"/>
        <v>2.6317420755708794</v>
      </c>
      <c r="S14">
        <f t="shared" si="6"/>
        <v>12.878050598586</v>
      </c>
      <c r="T14">
        <f t="shared" si="7"/>
        <v>9.817213598586001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61.080000000000005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10.3560882418401</v>
      </c>
      <c r="H15" s="4" cm="1">
        <f t="array" ref="H15">_xll.FDS(D15,"FMA_PE(NTMA,0,,,""PORTAGG"",""MEANR"")")</f>
        <v>9.4499010594735999</v>
      </c>
      <c r="I15" cm="1">
        <f t="array" ref="I15">_xll.FDS(D15,"FMA_DIV_YLD(NTMA,NOW,NOW,M,""PORTAGG"",""MEANR"")")</f>
        <v>5.0752224170755396</v>
      </c>
      <c r="J15" s="52" cm="1">
        <f t="array" ref="J15">IFERROR(_xll.FDS(D15,"FG_FCF_YIELD_NTM(0)"),(1/G15*100))</f>
        <v>6.3175402542831698</v>
      </c>
      <c r="K15" s="3" cm="1">
        <f t="array" ref="K15">_xll.FDS(D15,"FMA_EVAL_EBITDA(NTMA,0,,,""PORTAGG"",""MEANR"")")</f>
        <v>7.2167532497261702</v>
      </c>
      <c r="L15" cm="1">
        <f t="array" ref="L15">_xll.FDS(D15,"FMA_EVAL_EBIT(LTMA,NOW,NOW,M,""PORTAGG"",""MEANR"")")</f>
        <v>11.188480523982401</v>
      </c>
      <c r="M15">
        <f>HLOOKUP(D15,'Index ROE'!$A$1:$N$25,25,FALSE)</f>
        <v>13.3572177464321</v>
      </c>
      <c r="N15">
        <f>VLOOKUP(A15,'LIQIDITY 2'!$A$3:$E$16,5,FALSE)</f>
        <v>3.8769999999999998</v>
      </c>
      <c r="O15" cm="1">
        <f t="array" ref="O15">IFERROR(IFERROR(_xll.FDS(B15,"IMF_IFS_RCPI_Q(0)"),_xll.FDS(B15,"IMF_IFS_RCPI_Q(-1AM)")),$D$23)</f>
        <v>0.98369783</v>
      </c>
      <c r="P15">
        <f>VLOOKUP(E15,GDP_GROWTH!$B$10:$W$165,22,FALSE)</f>
        <v>0.32855305426654491</v>
      </c>
      <c r="Q15">
        <f t="shared" si="4"/>
        <v>1.1982224170755398</v>
      </c>
      <c r="R15" s="52">
        <f t="shared" si="5"/>
        <v>2.44054025428317</v>
      </c>
      <c r="S15">
        <f t="shared" si="6"/>
        <v>9.4802177464320998</v>
      </c>
      <c r="T15">
        <f t="shared" si="7"/>
        <v>12.3735199164321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76.070000000000007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45351</v>
      </c>
      <c r="G19" s="4" cm="1">
        <f t="array" ref="G19">_xll.FDS(D19,"FG_PE(0)")</f>
        <v>12.735421330771301</v>
      </c>
      <c r="H19" s="4" cm="1">
        <f t="array" ref="H19">_xll.FDS(D19,"FG_PE_NTM(0,,,90,0)")</f>
        <v>13.9986057326763</v>
      </c>
      <c r="I19" cm="1">
        <f t="array" ref="I19">_xll.FDS(D19,"FMA_DIV_YLD(NTMA,NOW,NOW,M,""PORTAGG"",""MEANR"")")</f>
        <v>3.5864650122230399</v>
      </c>
      <c r="J19" s="52" cm="1">
        <f t="array" ref="J19">_xll.FDS(D19,"FG_FCF_YIELD_NTM(0)")</f>
        <v>5.0247389769109203</v>
      </c>
      <c r="K19" s="3" cm="1">
        <f t="array" ref="K19">_xll.FDS(D19,"FMA_EVAL_EBITDA(NTMA,0,,,""PORTAGG"",""MEANR"")")</f>
        <v>9.0817498813493405</v>
      </c>
      <c r="L19" cm="1">
        <f t="array" ref="L19">_xll.FDS(D19,"FMA_EVAL_EBIT(LTMA,NOW,NOW,M,""PORTAGG"",""MEANR"")")</f>
        <v>13.19799269758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45351</v>
      </c>
      <c r="G20" s="4" cm="1">
        <f t="array" ref="G20">_xll.FDS(D20,"FG_PE(0)")</f>
        <v>13.8523150839886</v>
      </c>
      <c r="H20" s="4" cm="1">
        <f t="array" ref="H20">_xll.FDS(D20,"FG_PE_NTM(0,,,90,0)")</f>
        <v>14.234551661131199</v>
      </c>
      <c r="I20" cm="1">
        <f t="array" ref="I20">_xll.FDS(D20,"FMA_DIV_YLD(NTMA,NOW,NOW,M,""PORTAGG"",""MEANR"")")</f>
        <v>3.0627682456432002</v>
      </c>
      <c r="J20" s="52" cm="1">
        <f t="array" ref="J20">_xll.FDS(D20,"FG_FCF_YIELD_NTM(0)")</f>
        <v>4.9064207652181704</v>
      </c>
      <c r="K20" s="3" cm="1">
        <f t="array" ref="K20">_xll.FDS(D20,"FMA_EVAL_EBITDA(NTMA,0,,,""PORTAGG"",""MEANR"")")</f>
        <v>9.6156729002874304</v>
      </c>
      <c r="L20" cm="1">
        <f t="array" ref="L20">_xll.FDS(D20,"FMA_EVAL_EBIT(LTMA,NOW,NOW,M,""PORTAGG"",""MEANR"")")</f>
        <v>14.3869386780299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IFERROR(_xll.FDS(B23,"IMF_IFS_RCPI_Q(0)"),_xll.FDS(B23,"IMF_IFS_RCPI_Q(-1AM)"))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4.9004000000000003</v>
      </c>
      <c r="G3" s="26" cm="1">
        <f t="array" ref="G3">_xll.FDSB(C3,"PCTCHG(FG_YIELD(0,,,,""YTM""),FG_YIELD(-1AM,,,,""YTM""))")</f>
        <v>4.5463266000000004</v>
      </c>
      <c r="H3" s="26" cm="1">
        <f t="array" ref="H3">_xll.FDSB(C3,"PCTCHG(FG_YIELD(0,,,,""YTM""),FG_YIELD(-3AM,,,,""YTM""))")</f>
        <v>4.3171039999999996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0.59959999999999969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4.28</v>
      </c>
      <c r="G4" s="26" cm="1">
        <f t="array" ref="G4">_xll.FDSB(C4,"PCTCHG(FG_YIELD(0,,,,""YTM""),FG_YIELD(-1AM,,,,""YTM""))")</f>
        <v>4.0603037000000004</v>
      </c>
      <c r="H4" s="26" cm="1">
        <f t="array" ref="H4">_xll.FDSB(C4,"PCTCHG(FG_YIELD(0,,,,""YTM""),FG_YIELD(-3AM,,,,""YTM""))")</f>
        <v>0.37524086000000001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6.9999999999999396E-2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3.7572000000000001</v>
      </c>
      <c r="G5" s="26" cm="1">
        <f t="array" ref="G5">_xll.FDSB(C5,"PCTCHG(FG_YIELD(0,,,,""YTM""),FG_YIELD(-1AM,,,,""YTM""))")</f>
        <v>4.2826605000000004</v>
      </c>
      <c r="H5" s="26" cm="1">
        <f t="array" ref="H5">_xll.FDSB(C5,"PCTCHG(FG_YIELD(0,,,,""YTM""),FG_YIELD(-3AM,,,,""YTM""))")</f>
        <v>7.9190034999999996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1.2427999999999999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2.4860000000000002</v>
      </c>
      <c r="G6" s="26" cm="1">
        <f t="array" ref="G6">_xll.FDSB(C6,"PCTCHG(FG_YIELD(0,,,,""YTM""),FG_YIELD(-1AM,,,,""YTM""))")</f>
        <v>1.2214971999999999</v>
      </c>
      <c r="H6" s="26" cm="1">
        <f t="array" ref="H6">_xll.FDSB(C6,"PCTCHG(FG_YIELD(0,,,,""YTM""),FG_YIELD(-3AM,,,,""YTM""))")</f>
        <v>6.8328389999999999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2.0139999999999998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0.87250000000000005</v>
      </c>
      <c r="G7" s="26" cm="1">
        <f t="array" ref="G7">_xll.FDSB(C7,"PCTCHG(FG_YIELD(0,,,,""YTM""),FG_YIELD(-1AM,,,,""YTM""))")</f>
        <v>14.908469</v>
      </c>
      <c r="H7" s="26" cm="1">
        <f t="array" ref="H7">_xll.FDSB(C7,"PCTCHG(FG_YIELD(0,,,,""YTM""),FG_YIELD(-3AM,,,,""YTM""))")</f>
        <v>36.498756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-0.77250000000000008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0.76400000000000001</v>
      </c>
      <c r="G8" s="26" cm="1">
        <f t="array" ref="G8">_xll.FDSB(C8,"PCTCHG(FG_YIELD(0,,,,""YTM""),FG_YIELD(-1AM,,,,""YTM""))")</f>
        <v>-3.413402</v>
      </c>
      <c r="H8" s="26" cm="1">
        <f t="array" ref="H8">_xll.FDSB(C8,"PCTCHG(FG_YIELD(0,,,,""YTM""),FG_YIELD(-3AM,,,,""YTM""))")</f>
        <v>-15.486724000000001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0.73599999999999999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4.26</v>
      </c>
      <c r="G9" s="26" cm="1">
        <f t="array" ref="G9">_xll.FDSB(C9,"PCTCHG(FG_YIELD(0,,,,""YTM""),FG_YIELD(-1AM,,,,""YTM""))")</f>
        <v>1.767806</v>
      </c>
      <c r="H9" s="26" cm="1">
        <f t="array" ref="H9">_xll.FDSB(C9,"PCTCHG(FG_YIELD(0,,,,""YTM""),FG_YIELD(-3AM,,,,""YTM""))")</f>
        <v>8.7844820000000006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0.99000000000000021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4.6346999999999996</v>
      </c>
      <c r="G10" s="26" cm="1">
        <f t="array" ref="G10">_xll.FDSB(C10,"PCTCHG(FG_YIELD(0,,,,""YTM""),FG_YIELD(-1AM,,,,""YTM""))")</f>
        <v>6.9727116000000002</v>
      </c>
      <c r="H10" s="26" cm="1">
        <f t="array" ref="H10">_xll.FDSB(C10,"PCTCHG(FG_YIELD(0,,,,""YTM""),FG_YIELD(-3AM,,,,""YTM""))")</f>
        <v>11.919536000000001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0.8653000000000004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4.6346999999999996</v>
      </c>
      <c r="G11" s="26" cm="1">
        <f t="array" ref="G11">_xll.FDSB(C11,"PCTCHG(FG_YIELD(0,,,,""YTM""),FG_YIELD(-1AM,,,,""YTM""))")</f>
        <v>6.9727116000000002</v>
      </c>
      <c r="H11" s="26" cm="1">
        <f t="array" ref="H11">_xll.FDSB(C11,"PCTCHG(FG_YIELD(0,,,,""YTM""),FG_YIELD(-3AM,,,,""YTM""))")</f>
        <v>11.919536000000001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0.8653000000000004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2.9980000000000002</v>
      </c>
      <c r="G12" s="26" cm="1">
        <f t="array" ref="G12">_xll.FDSB(C12,"PCTCHG(FG_YIELD(0,,,,""YTM""),FG_YIELD(-1AM,,,,""YTM""))")</f>
        <v>3.629451</v>
      </c>
      <c r="H12" s="26" cm="1">
        <f t="array" ref="H12">_xll.FDSB(C12,"PCTCHG(FG_YIELD(0,,,,""YTM""),FG_YIELD(-3AM,,,,""YTM""))")</f>
        <v>5.9363956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1.5019999999999998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2.7829999999999999</v>
      </c>
      <c r="G13" s="26" cm="1">
        <f t="array" ref="G13">_xll.FDSB(C13,"PCTCHG(FG_YIELD(0,,,,""YTM""),FG_YIELD(-1AM,,,,""YTM""))")</f>
        <v>1.6064224</v>
      </c>
      <c r="H13" s="26" cm="1">
        <f t="array" ref="H13">_xll.FDSB(C13,"PCTCHG(FG_YIELD(0,,,,""YTM""),FG_YIELD(-3AM,,,,""YTM""))")</f>
        <v>6.6283564999999998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1.7170000000000001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2.4900000000000002</v>
      </c>
      <c r="G14" s="26" cm="1">
        <f t="array" ref="G14">_xll.FDSB(C14,"PCTCHG(FG_YIELD(0,,,,""YTM""),FG_YIELD(-1AM,,,,""YTM""))")</f>
        <v>1.9238613</v>
      </c>
      <c r="H14" s="26" cm="1">
        <f t="array" ref="H14">_xll.FDSB(C14,"PCTCHG(FG_YIELD(0,,,,""YTM""),FG_YIELD(-3AM,,,,""YTM""))")</f>
        <v>8.9238839999999993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1.5099999999999998</v>
      </c>
      <c r="S14">
        <f t="shared" si="1"/>
        <v>0</v>
      </c>
      <c r="T14">
        <f t="shared" si="2"/>
        <v>0</v>
      </c>
      <c r="U14">
        <f t="shared" si="3"/>
        <v>0</v>
      </c>
      <c r="V14" s="47">
        <f t="shared" si="4"/>
        <v>0</v>
      </c>
      <c r="X14">
        <f t="shared" si="6"/>
        <v>7.1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3.8769999999999998</v>
      </c>
      <c r="G15" s="26" cm="1">
        <f t="array" ref="G15">_xll.FDSB(C15,"PCTCHG(FG_YIELD(0,,,,""YTM""),FG_YIELD(-1AM,,,,""YTM""))")</f>
        <v>5.2960396000000003</v>
      </c>
      <c r="H15" s="26" cm="1">
        <f t="array" ref="H15">_xll.FDSB(C15,"PCTCHG(FG_YIELD(0,,,,""YTM""),FG_YIELD(-3AM,,,,""YTM""))")</f>
        <v>-0.66615480000000005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0.62300000000000022</v>
      </c>
      <c r="S15">
        <f t="shared" si="1"/>
        <v>0</v>
      </c>
      <c r="T15">
        <f t="shared" si="2"/>
        <v>0</v>
      </c>
      <c r="U15">
        <f t="shared" si="3"/>
        <v>1</v>
      </c>
      <c r="V15" s="47">
        <f t="shared" si="4"/>
        <v>0.25</v>
      </c>
      <c r="X15">
        <f t="shared" si="6"/>
        <v>85.7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4.6346999999999996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4.9004000000000003</v>
      </c>
      <c r="H2" cm="1">
        <f t="array" ref="H2">_xll.FDS(B2,"FG_ROE(0)")</f>
        <v>5.6177579986540103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-9.3828148339384354E-3</v>
      </c>
      <c r="L2">
        <f>HLOOKUP(A2,'Yearly returns'!$B$1:$N$128,126,FALSE)</f>
        <v>-32.798999999999999</v>
      </c>
      <c r="M2">
        <f t="shared" ref="M2:M10" si="0">I2-G2</f>
        <v>4.9234973987983244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4.28</v>
      </c>
      <c r="H3" cm="1">
        <f t="array" ref="H3">_xll.FDS(B3,"FG_ROE(0)")</f>
        <v>12.8527958975234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40.715109646394801</v>
      </c>
      <c r="K3" s="74">
        <f>HLOOKUP(B3,'Index earnings'!$B$1:$N$25,25,FALSE)</f>
        <v>1.1173841089814562E-2</v>
      </c>
      <c r="L3">
        <f>HLOOKUP(A3,'Yearly returns'!$B$1:$N$128,126,FALSE)</f>
        <v>-33.642322999999998</v>
      </c>
      <c r="M3">
        <f t="shared" si="0"/>
        <v>8.7407332991736979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3.7572000000000001</v>
      </c>
      <c r="H4" cm="1">
        <f t="array" ref="H4">_xll.FDS(B4,"FG_ROE(0)")</f>
        <v>11.3506378095427</v>
      </c>
      <c r="I4">
        <f>HLOOKUP(B4,'Index ROE'!$B$1:$N$25,24,FALSE)</f>
        <v>12.7516875895064</v>
      </c>
      <c r="J4" cm="1">
        <f t="array" ref="J4">_xll.FDS(B4, "FMA_RBICS_REV_CURRENT(30, LOC, ""PORTAGG"")")</f>
        <v>40.919830747367598</v>
      </c>
      <c r="K4" s="74">
        <f>HLOOKUP(B4,'Index earnings'!$B$1:$N$25,25,FALSE)</f>
        <v>4.0909866878857226E-2</v>
      </c>
      <c r="L4">
        <f>HLOOKUP(A4,'Yearly returns'!$B$1:$N$128,126,FALSE)</f>
        <v>-31.902754000000002</v>
      </c>
      <c r="M4">
        <f t="shared" si="0"/>
        <v>8.9944875895063987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50</v>
      </c>
      <c r="R4">
        <f>N4*Assumption!$F$64 + O4*Assumption!$F$61 + P4*Assumption!$F$62 + Q4*Assumption!$F$63</f>
        <v>42.849999999999994</v>
      </c>
      <c r="S4" cm="1">
        <f t="array" ref="S4">_xlfn.PERCENTRANK.EXC(_xlfn._xlws.FILTER(R$2:R$14, ISNUMBER(R$2:R$14)),R4)*100</f>
        <v>42.8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2.4860000000000002</v>
      </c>
      <c r="H5" cm="1">
        <f t="array" ref="H5">_xll.FDS(B5,"FG_ROE(0)")</f>
        <v>12.423193133763499</v>
      </c>
      <c r="I5">
        <f>HLOOKUP(B5,'Index ROE'!$B$1:$N$25,24,FALSE)</f>
        <v>11.984259132522201</v>
      </c>
      <c r="J5" cm="1">
        <f t="array" ref="J5">_xll.FDS(B5, "FMA_RBICS_REV_CURRENT(30, LOC, ""PORTAGG"")")</f>
        <v>22.665656730961999</v>
      </c>
      <c r="K5" s="74">
        <f>HLOOKUP(B5,'Index earnings'!$B$1:$N$25,25,FALSE)</f>
        <v>2.8288213586029176E-2</v>
      </c>
      <c r="L5">
        <f>HLOOKUP(A5,'Yearly returns'!$B$1:$N$128,126,FALSE)</f>
        <v>-34.979934999999998</v>
      </c>
      <c r="M5">
        <f t="shared" si="0"/>
        <v>9.4982591325222003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0.87250000000000005</v>
      </c>
      <c r="H6" cm="1">
        <f t="array" ref="H6">_xll.FDS(B6,"FG_ROE(0)")</f>
        <v>9.8167623974504696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17.709190961877901</v>
      </c>
      <c r="K6" s="74">
        <f>HLOOKUP(B6,'Index earnings'!$B$1:$N$25,25,FALSE)</f>
        <v>2.4097093305513351E-2</v>
      </c>
      <c r="L6">
        <f>HLOOKUP(A6,'Yearly returns'!$B$1:$N$128,126,FALSE)</f>
        <v>-28.563445999999999</v>
      </c>
      <c r="M6">
        <f t="shared" si="0"/>
        <v>8.1221181187630105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78.5</v>
      </c>
      <c r="R6">
        <f>N6*Assumption!$F$64 + O6*Assumption!$F$61 + P6*Assumption!$F$62 + Q6*Assumption!$F$63</f>
        <v>51.75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0.76400000000000001</v>
      </c>
      <c r="H7" cm="1">
        <f t="array" ref="H7">_xll.FDS(B7,"FG_ROE(0)")</f>
        <v>24.2199024535139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4.6608631187242899E-2</v>
      </c>
      <c r="L7">
        <f>HLOOKUP(A7,'Yearly returns'!$B$1:$N$128,126,FALSE)</f>
        <v>-18.947030000000002</v>
      </c>
      <c r="M7">
        <f t="shared" si="0"/>
        <v>14.78696443559315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4.26</v>
      </c>
      <c r="H8" cm="1">
        <f t="array" ref="H8">_xll.FDS(B8,"FG_ROE(0)")</f>
        <v>17.042885819826601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3.712710682326259E-3</v>
      </c>
      <c r="L8">
        <f>HLOOKUP(A8,'Yearly returns'!$B$1:$N$128,126,FALSE)</f>
        <v>-37.134326999999999</v>
      </c>
      <c r="M8">
        <f t="shared" si="0"/>
        <v>10.301964916400001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14.2</v>
      </c>
      <c r="R8">
        <f>N8*Assumption!$F$64 + O8*Assumption!$F$61 + P8*Assumption!$F$62 + Q8*Assumption!$F$63</f>
        <v>37.449999999999996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4.6346999999999996</v>
      </c>
      <c r="H9" cm="1">
        <f t="array" ref="H9">_xll.FDS(B9,"FG_ROE(0)")</f>
        <v>22.0490307371747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0.86103906844516298</v>
      </c>
      <c r="K9" s="74">
        <f>HLOOKUP(B9,'Index earnings'!$B$1:$N$25,25,FALSE)</f>
        <v>0.12988932861597813</v>
      </c>
      <c r="L9">
        <f>HLOOKUP(A9,'Yearly returns'!$B$1:$N$128,126,FALSE)</f>
        <v>-28.665482999999998</v>
      </c>
      <c r="M9">
        <f t="shared" si="0"/>
        <v>16.402182269896503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71.399999999999991</v>
      </c>
      <c r="R9">
        <f>N9*Assumption!$F$64 + O9*Assumption!$F$61 + P9*Assumption!$F$62 + Q9*Assumption!$F$63</f>
        <v>87.474999999999994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4.6346999999999996</v>
      </c>
      <c r="H10" cm="1">
        <f t="array" ref="H10">_xll.FDS(B10,"FG_ROE(0)")</f>
        <v>18.133562707254502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12.516961033779401</v>
      </c>
      <c r="K10" s="74">
        <f>HLOOKUP(B10,'Index earnings'!$B$1:$N$25,25,FALSE)</f>
        <v>5.9884591109293561E-2</v>
      </c>
      <c r="L10">
        <f>HLOOKUP(A10,'Yearly returns'!$B$1:$N$128,126,FALSE)</f>
        <v>-16.198634999999999</v>
      </c>
      <c r="M10">
        <f t="shared" si="0"/>
        <v>11.756358174766849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2.9980000000000002</v>
      </c>
      <c r="H11" cm="1">
        <f t="array" ref="H11">_xll.FDS(B11,"FG_ROE(0)")</f>
        <v>12.7702761924941</v>
      </c>
      <c r="I11">
        <f>HLOOKUP(B11,'Index ROE'!$B$1:$N$25,24,FALSE)</f>
        <v>11.16089938202855</v>
      </c>
      <c r="J11" cm="1">
        <f t="array" ref="J11">_xll.FDS(B11, "FMA_RBICS_REV_CURRENT(30, LOC, ""PORTAGG"")")</f>
        <v>10.7938787406678</v>
      </c>
      <c r="K11" s="74">
        <f>HLOOKUP(B11,'Index earnings'!$B$1:$N$25,25,FALSE)</f>
        <v>1.8533725345370788E-2</v>
      </c>
      <c r="L11">
        <f>HLOOKUP(A11,'Yearly returns'!$B$1:$N$128,126,FALSE)</f>
        <v>-31.705278</v>
      </c>
      <c r="M11">
        <f t="shared" ref="M11:M14" si="1">I11-G11</f>
        <v>8.1628993820285487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57.099999999999994</v>
      </c>
      <c r="R11">
        <f>N11*Assumption!$F$64 + O11*Assumption!$F$61 + P11*Assumption!$F$62 + Q11*Assumption!$F$63</f>
        <v>51.774999999999999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2.7829999999999999</v>
      </c>
      <c r="H12" cm="1">
        <f t="array" ref="H12">_xll.FDS(B12,"FG_ROE(0)")</f>
        <v>11.6506727556571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24.720039405119199</v>
      </c>
      <c r="K12" s="74">
        <f>HLOOKUP(B12,'Index earnings'!$B$1:$N$25,25,FALSE)</f>
        <v>3.4801405239490046E-2</v>
      </c>
      <c r="L12">
        <f>HLOOKUP(A12,'Yearly returns'!$B$1:$N$128,126,FALSE)</f>
        <v>-37.692802</v>
      </c>
      <c r="M12">
        <f t="shared" si="1"/>
        <v>10.2666608146705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2.4900000000000002</v>
      </c>
      <c r="H13" cm="1">
        <f t="array" ref="H13">_xll.FDS(B13,"FG_ROE(0)")</f>
        <v>16.2997911850515</v>
      </c>
      <c r="I13">
        <f>HLOOKUP(B13,'Index ROE'!$B$1:$N$25,24,FALSE)</f>
        <v>14.442823056578451</v>
      </c>
      <c r="J13" cm="1">
        <f t="array" ref="J13">_xll.FDS(B13, "FMA_RBICS_REV_CURRENT(30, LOC, ""PORTAGG"")")</f>
        <v>27.199824277955202</v>
      </c>
      <c r="K13" s="74">
        <f>HLOOKUP(B13,'Index earnings'!$B$1:$N$25,25,FALSE)</f>
        <v>2.4305006375947347E-2</v>
      </c>
      <c r="L13">
        <f>HLOOKUP(A13,'Yearly returns'!$B$1:$N$128,126,FALSE)</f>
        <v>-34.721733</v>
      </c>
      <c r="M13">
        <f t="shared" si="1"/>
        <v>11.952823056578451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28.499999999999996</v>
      </c>
      <c r="R13">
        <f>N13*Assumption!$F$64 + O13*Assumption!$F$61 + P13*Assumption!$F$62 + Q13*Assumption!$F$63</f>
        <v>46.4</v>
      </c>
      <c r="S13" cm="1">
        <f t="array" ref="S13">_xlfn.PERCENTRANK.EXC(_xlfn._xlws.FILTER(R$2:R$14, ISNUMBER(R$2:R$14)),R13)*100</f>
        <v>57.099999999999994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3.8769999999999998</v>
      </c>
      <c r="H14" cm="1">
        <f t="array" ref="H14">_xll.FDS(B14,"FG_ROE(0)")</f>
        <v>13.1889506238377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74">
        <f>HLOOKUP(B14,'Index earnings'!$B$1:$N$25,25,FALSE)</f>
        <v>9.2744046638129074E-3</v>
      </c>
      <c r="L14">
        <f>HLOOKUP(A14,'Yearly returns'!$B$1:$N$128,126,FALSE)</f>
        <v>-31.255405</v>
      </c>
      <c r="M14">
        <f t="shared" si="1"/>
        <v>5.7675775045501068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64.2</v>
      </c>
      <c r="R14">
        <f>N14*Assumption!$F$64 + O14*Assumption!$F$61 + P14*Assumption!$F$62 + Q14*Assumption!$F$63</f>
        <v>30.324999999999999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88983.983999999997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0</v>
      </c>
      <c r="G3" cm="1">
        <f t="array" ref="G3">_xll.FDS(A3,"SIZE(FG_CONSTITUENTS)")</f>
        <v>14</v>
      </c>
      <c r="H3" s="9">
        <f t="shared" ref="H3:H11" si="0">E3/$G3</f>
        <v>0.14285714285714285</v>
      </c>
      <c r="I3" s="9">
        <f t="shared" ref="I3:I11" si="1">F3/$G3</f>
        <v>0</v>
      </c>
      <c r="J3" s="9">
        <f t="shared" ref="J3:J11" si="2">H3-I3</f>
        <v>0.14285714285714285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-3.4982985530809199</v>
      </c>
      <c r="M3" s="41" cm="1">
        <f t="array" ref="M3">_xll.FDSB(A3,"PERCENT_CHANGE(FMA_EPS(+1,0,,,,""PORTAGG"",""MEAN""),FMA_EPS(+1,-3AM,,,,""PORTAGG"",""MEAN""))")</f>
        <v>-17.924879862218599</v>
      </c>
      <c r="N3" s="3" cm="1">
        <f t="array" ref="N3">_xll.FDS(C3,"FG_TOTAL_RETURNC(0,-1AM)")</f>
        <v>-2.1787464999999999</v>
      </c>
      <c r="O3" s="3" cm="1">
        <f t="array" ref="O3">_xll.FDS(C3,"FG_TOTAL_RETURNC(0,-3AM)")</f>
        <v>-5.2336874</v>
      </c>
      <c r="P3" s="3" cm="1">
        <f t="array" ref="P3">_xll.FDS(C3,"FG_TOTAL_RETURNC(0,-6AM)")</f>
        <v>4.3821691999999999</v>
      </c>
      <c r="Q3" s="9" cm="1">
        <f t="array" ref="Q3">_xll.FDS(C3,"P_PRICE(0)/P_PRICE_HIGH_PR(0,,,,,,""PRICE"",""INTRA"",""52W"")")</f>
        <v>0.85769980000000001</v>
      </c>
      <c r="R3" s="9" cm="1">
        <f t="array" ref="R3">_xll.FDS(C3,"P_PRICE(0)/P_PRICE_low_PR(0,,,,,,""PRICE"",""INTRA"",""52W"")-1")</f>
        <v>7.2383403999999998E-2</v>
      </c>
      <c r="S3" s="3" cm="1">
        <f t="array" ref="S3">_xll.FDS(C3,"FG_TOTAL_RETURNC(0,-12AM)")</f>
        <v>-8.2696199999999997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78.5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1612711.9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20</v>
      </c>
      <c r="G4" cm="1">
        <f t="array" ref="G4">_xll.FDS(A4,"SIZE(FG_CONSTITUENTS)")</f>
        <v>59</v>
      </c>
      <c r="H4" s="9">
        <f t="shared" si="0"/>
        <v>0.33898305084745761</v>
      </c>
      <c r="I4" s="9">
        <f t="shared" si="1"/>
        <v>0.33898305084745761</v>
      </c>
      <c r="J4" s="9">
        <f t="shared" si="2"/>
        <v>0</v>
      </c>
      <c r="K4" s="5" cm="1">
        <f t="array" ref="K4">_xll.FDS(A4,"FMA_PCT_ABOVE_MAVG(200,0,,,,""PORTAGG"")")/100</f>
        <v>0.74576271186440701</v>
      </c>
      <c r="L4" s="41" cm="1">
        <f t="array" ref="L4">_xll.FDSB(A4,"PERCENT_CHANGE(FMA_EPS(+1,0,,,,""PORTAGG"",""MEAN""),FMA_EPS(+1,-1AM,,,,""PORTAGG"",""MEAN""))")</f>
        <v>-2.17505509709052</v>
      </c>
      <c r="M4" s="41" cm="1">
        <f t="array" ref="M4">_xll.FDSB(A4,"PERCENT_CHANGE(FMA_EPS(+1,0,,,,""PORTAGG"",""MEAN""),FMA_EPS(+1,-3AM,,,,""PORTAGG"",""MEAN""))")</f>
        <v>-2.50184826401245</v>
      </c>
      <c r="N4" s="3" cm="1">
        <f t="array" ref="N4">_xll.FDS(C4,"FG_TOTAL_RETURNC(0,-1AM)")</f>
        <v>-3.2392085000000002</v>
      </c>
      <c r="O4" s="3" cm="1">
        <f t="array" ref="O4">_xll.FDS(C4,"FG_TOTAL_RETURNC(0,-3AM)")</f>
        <v>1.0407567</v>
      </c>
      <c r="P4" s="3" cm="1">
        <f t="array" ref="P4">_xll.FDS(C4,"FG_TOTAL_RETURNC(0,-6AM)")</f>
        <v>12.011576</v>
      </c>
      <c r="Q4" s="9" cm="1">
        <f t="array" ref="Q4">_xll.FDS(C4,"P_PRICE(0)/P_PRICE_HIGH_PR(0,,,,,,""PRICE"",""INTRA"",""52W"")")</f>
        <v>0.93051110000000004</v>
      </c>
      <c r="R4" s="9" cm="1">
        <f t="array" ref="R4">_xll.FDS(C4,"P_PRICE(0)/P_PRICE_low_PR(0,,,,,,""PRICE"",""INTRA"",""52W"")-1")</f>
        <v>0.13880741999999999</v>
      </c>
      <c r="S4" s="3" cm="1">
        <f t="array" ref="S4">_xll.FDS(C4,"FG_TOTAL_RETURNC(0,-12AM)")</f>
        <v>2.8855324000000002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28.499999999999996</v>
      </c>
      <c r="Y4" s="201" cm="1">
        <f t="array" ref="Y4">_xlfn.PERCENTRANK.EXC(_xlfn._xlws.FILTER($S$3:$S$15, ISNUMBER($S$3:$S$15)),S4)*100</f>
        <v>21.4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28.499999999999996</v>
      </c>
      <c r="AB4" s="4" cm="1">
        <f t="array" ref="AB4">_xlfn.PERCENTRANK.EXC(_xlfn._xlws.FILTER($J$3:$J$15, ISNUMBER($J$3:$J$15)),J4)*100</f>
        <v>42.8</v>
      </c>
      <c r="AC4" s="4">
        <f t="shared" si="4"/>
        <v>35.699999999999996</v>
      </c>
      <c r="AD4" s="4">
        <f t="shared" si="5"/>
        <v>57.099999999999994</v>
      </c>
      <c r="AE4" s="4">
        <f t="shared" si="6"/>
        <v>35.699999999999996</v>
      </c>
      <c r="AF4" s="4">
        <f>'Economic Momentum'!Q5</f>
        <v>35.699999999999996</v>
      </c>
      <c r="AG4" s="4">
        <f ca="1">'Economic Momentum'!R5</f>
        <v>14.2</v>
      </c>
      <c r="AH4" s="4">
        <f t="shared" ca="1" si="7"/>
        <v>29.25</v>
      </c>
      <c r="AJ4" s="3" cm="1">
        <f t="array" aca="1" ref="AJ4" ca="1">_xlfn.PERCENTRANK.EXC(_xlfn._xlws.FILTER($AH$3:$AH$15, ISNUMBER($AH$3:$AH$15)),AH4)*100</f>
        <v>21.4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2658612.5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26</v>
      </c>
      <c r="G5" cm="1">
        <f t="array" ref="G5">_xll.FDS(A5,"SIZE(FG_CONSTITUENTS)")</f>
        <v>88</v>
      </c>
      <c r="H5" s="9">
        <f t="shared" si="0"/>
        <v>0.38636363636363635</v>
      </c>
      <c r="I5" s="9">
        <f t="shared" si="1"/>
        <v>0.29545454545454547</v>
      </c>
      <c r="J5" s="9">
        <f t="shared" si="2"/>
        <v>9.0909090909090884E-2</v>
      </c>
      <c r="K5" s="5" cm="1">
        <f t="array" ref="K5">_xll.FDS(A5,"FMA_PCT_ABOVE_MAVG(200,0,,,,""PORTAGG"")")/100</f>
        <v>0.61363636363636398</v>
      </c>
      <c r="L5" s="41" cm="1">
        <f t="array" ref="L5">_xll.FDSB(A5,"PERCENT_CHANGE(FMA_EPS(+1,0,,,,""PORTAGG"",""MEAN""),FMA_EPS(+1,-1AM,,,,""PORTAGG"",""MEAN""))")</f>
        <v>-1.4720994675115699</v>
      </c>
      <c r="M5" s="41" cm="1">
        <f t="array" ref="M5">_xll.FDSB(A5,"PERCENT_CHANGE(FMA_EPS(+1,0,,,,""PORTAGG"",""MEAN""),FMA_EPS(+1,-3AM,,,,""PORTAGG"",""MEAN""))")</f>
        <v>-4.3937521665511197</v>
      </c>
      <c r="N5" s="3" cm="1">
        <f t="array" ref="N5">_xll.FDS(C5,"FG_TOTAL_RETURNC(0,-1AM)")</f>
        <v>-2.3064732999999999</v>
      </c>
      <c r="O5" s="3" cm="1">
        <f t="array" ref="O5">_xll.FDS(C5,"FG_TOTAL_RETURNC(0,-3AM)")</f>
        <v>3.3081054999999999</v>
      </c>
      <c r="P5" s="3" cm="1">
        <f t="array" ref="P5">_xll.FDS(C5,"FG_TOTAL_RETURNC(0,-6AM)")</f>
        <v>13.188148</v>
      </c>
      <c r="Q5" s="9" cm="1">
        <f t="array" ref="Q5">_xll.FDS(C5,"P_PRICE(0)/P_PRICE_HIGH_PR(0,,,,,,""PRICE"",""INTRA"",""52W"")")</f>
        <v>0.95416880000000004</v>
      </c>
      <c r="R5" s="9" cm="1">
        <f t="array" ref="R5">_xll.FDS(C5,"P_PRICE(0)/P_PRICE_low_PR(0,,,,,,""PRICE"",""INTRA"",""52W"")-1")</f>
        <v>0.17319322000000001</v>
      </c>
      <c r="S5" s="3" cm="1">
        <f t="array" ref="S5">_xll.FDS(C5,"FG_TOTAL_RETURNC(0,-12AM)")</f>
        <v>5.9846640000000004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35.699999999999996</v>
      </c>
      <c r="Y5" s="201" cm="1">
        <f t="array" ref="Y5">_xlfn.PERCENTRANK.EXC(_xlfn._xlws.FILTER($S$3:$S$15, ISNUMBER($S$3:$S$15)),S5)*100</f>
        <v>50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64.2</v>
      </c>
      <c r="AC5" s="4">
        <f t="shared" si="4"/>
        <v>57.099999999999994</v>
      </c>
      <c r="AD5" s="4">
        <f t="shared" si="5"/>
        <v>35.699999999999996</v>
      </c>
      <c r="AE5" s="4">
        <f t="shared" si="6"/>
        <v>57.099999999999994</v>
      </c>
      <c r="AF5" s="4">
        <f>'Economic Momentum'!Q6</f>
        <v>57.099999999999994</v>
      </c>
      <c r="AG5" s="4">
        <f ca="1">'Economic Momentum'!R6</f>
        <v>35.699999999999996</v>
      </c>
      <c r="AH5" s="4">
        <f t="shared" ca="1" si="7"/>
        <v>57.83</v>
      </c>
      <c r="AJ5" s="3" cm="1">
        <f t="array" aca="1" ref="AJ5" ca="1">_xlfn.PERCENTRANK.EXC(_xlfn._xlws.FILTER($AH$3:$AH$15, ISNUMBER($AH$3:$AH$15)),AH5)*100</f>
        <v>50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2223028</v>
      </c>
      <c r="E6" cm="1">
        <f t="array" ref="E6">_xll.FDS(C6,"FMA_COS_UP(""EPS"",""1M"",+1,0,,,""PORTAGG"",""MEANR"")")</f>
        <v>29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57</v>
      </c>
      <c r="H6" s="9">
        <f t="shared" si="0"/>
        <v>0.50877192982456143</v>
      </c>
      <c r="I6" s="9">
        <f t="shared" si="1"/>
        <v>0.43859649122807015</v>
      </c>
      <c r="J6" s="9">
        <f t="shared" si="2"/>
        <v>7.017543859649128E-2</v>
      </c>
      <c r="K6" s="5" cm="1">
        <f t="array" ref="K6">_xll.FDS(A6,"FMA_PCT_ABOVE_MAVG(200,0,,,,""PORTAGG"")")/100</f>
        <v>0.75438596491228094</v>
      </c>
      <c r="L6" s="41" cm="1">
        <f t="array" ref="L6">_xll.FDSB(A6,"PERCENT_CHANGE(FMA_EPS(+1,0,,,,""PORTAGG"",""MEAN""),FMA_EPS(+1,-1AM,,,,""PORTAGG"",""MEAN""))")</f>
        <v>-2.7693772191233501</v>
      </c>
      <c r="M6" s="41" cm="1">
        <f t="array" ref="M6">_xll.FDSB(A6,"PERCENT_CHANGE(FMA_EPS(+1,0,,,,""PORTAGG"",""MEAN""),FMA_EPS(+1,-3AM,,,,""PORTAGG"",""MEAN""))")</f>
        <v>-6.13801624416684</v>
      </c>
      <c r="N6" s="3" cm="1">
        <f t="array" ref="N6">_xll.FDS(C6,"FG_TOTAL_RETURNC(0,-1AM)")</f>
        <v>-3.0655025999999999</v>
      </c>
      <c r="O6" s="3" cm="1">
        <f t="array" ref="O6">_xll.FDS(C6,"FG_TOTAL_RETURNC(0,-3AM)")</f>
        <v>4.5596956999999998</v>
      </c>
      <c r="P6" s="3" cm="1">
        <f t="array" ref="P6">_xll.FDS(C6,"FG_TOTAL_RETURNC(0,-6AM)")</f>
        <v>17.948854000000001</v>
      </c>
      <c r="Q6" s="9" cm="1">
        <f t="array" ref="Q6">_xll.FDS(C6,"P_PRICE(0)/P_PRICE_HIGH_PR(0,,,,,,""PRICE"",""INTRA"",""52W"")")</f>
        <v>0.93963090000000005</v>
      </c>
      <c r="R6" s="9" cm="1">
        <f t="array" ref="R6">_xll.FDS(C6,"P_PRICE(0)/P_PRICE_low_PR(0,,,,,,""PRICE"",""INTRA"",""52W"")-1")</f>
        <v>0.21594822</v>
      </c>
      <c r="S6" s="3" cm="1">
        <f t="array" ref="S6">_xll.FDS(C6,"FG_TOTAL_RETURNC(0,-12AM)")</f>
        <v>5.707109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71.399999999999991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85.7</v>
      </c>
      <c r="AB6" s="4" cm="1">
        <f t="array" ref="AB6">_xlfn.PERCENTRANK.EXC(_xlfn._xlws.FILTER($J$3:$J$15, ISNUMBER($J$3:$J$15)),J6)*100</f>
        <v>57.099999999999994</v>
      </c>
      <c r="AC6" s="4">
        <f t="shared" si="4"/>
        <v>28.499999999999996</v>
      </c>
      <c r="AD6" s="4">
        <f t="shared" si="5"/>
        <v>28.499999999999996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58.55</v>
      </c>
      <c r="AJ6" s="3" cm="1">
        <f t="array" aca="1" ref="AJ6" ca="1">_xlfn.PERCENTRANK.EXC(_xlfn._xlws.FILTER($AH$3:$AH$15, ISNUMBER($AH$3:$AH$15)),AH6)*100</f>
        <v>64.2</v>
      </c>
      <c r="AK6">
        <f t="shared" si="8"/>
        <v>3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6367850.5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219</v>
      </c>
      <c r="H7" s="9">
        <f t="shared" si="0"/>
        <v>0.44292237442922372</v>
      </c>
      <c r="I7" s="9">
        <f t="shared" si="1"/>
        <v>0.40182648401826482</v>
      </c>
      <c r="J7" s="9">
        <f t="shared" si="2"/>
        <v>4.1095890410958902E-2</v>
      </c>
      <c r="K7" s="5" cm="1">
        <f t="array" ref="K7">_xll.FDS(A7,"FMA_PCT_ABOVE_MAVG(200,0,,,,""PORTAGG"")")/100</f>
        <v>0.69406392694063901</v>
      </c>
      <c r="L7" s="41" cm="1">
        <f t="array" ref="L7">_xll.FDSB(A7,"PERCENT_CHANGE(FMA_EPS(+1,0,,,,""PORTAGG"",""MEAN""),FMA_EPS(+1,-1AM,,,,""PORTAGG"",""MEAN""))")</f>
        <v>-3.2492863040976601</v>
      </c>
      <c r="M7" s="41" cm="1">
        <f t="array" ref="M7">_xll.FDSB(A7,"PERCENT_CHANGE(FMA_EPS(+1,0,,,,""PORTAGG"",""MEAN""),FMA_EPS(+1,-3AM,,,,""PORTAGG"",""MEAN""))")</f>
        <v>-2.9105354742355498</v>
      </c>
      <c r="N7" s="3" cm="1">
        <f t="array" ref="N7">_xll.FDS(C7,"FG_TOTAL_RETURNC(0,-1AM)")</f>
        <v>-5.3220153000000003</v>
      </c>
      <c r="O7" s="3" cm="1">
        <f t="array" ref="O7">_xll.FDS(C7,"FG_TOTAL_RETURNC(0,-3AM)")</f>
        <v>1.7647862000000001</v>
      </c>
      <c r="P7" s="3" cm="1">
        <f t="array" ref="P7">_xll.FDS(C7,"FG_TOTAL_RETURNC(0,-6AM)")</f>
        <v>15.068388000000001</v>
      </c>
      <c r="Q7" s="9" cm="1">
        <f t="array" ref="Q7">_xll.FDS(C7,"P_PRICE(0)/P_PRICE_HIGH_PR(0,,,,,,""PRICE"",""INTRA"",""52W"")")</f>
        <v>0.92818979999999995</v>
      </c>
      <c r="R7" s="9" cm="1">
        <f t="array" ref="R7">_xll.FDS(C7,"P_PRICE(0)/P_PRICE_low_PR(0,,,,,,""PRICE"",""INTRA"",""52W"")-1")</f>
        <v>0.16940558</v>
      </c>
      <c r="S7" s="3" cm="1">
        <f t="array" ref="S7">_xll.FDS(C7,"FG_TOTAL_RETURNC(0,-12AM)")</f>
        <v>15.861082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42.8</v>
      </c>
      <c r="Y7" s="201" cm="1">
        <f t="array" ref="Y7">_xlfn.PERCENTRANK.EXC(_xlfn._xlws.FILTER($S$3:$S$15, ISNUMBER($S$3:$S$15)),S7)*100</f>
        <v>71.399999999999991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50</v>
      </c>
      <c r="AC7" s="4">
        <f t="shared" si="4"/>
        <v>14.2</v>
      </c>
      <c r="AD7" s="4">
        <f t="shared" si="5"/>
        <v>50</v>
      </c>
      <c r="AE7" s="4">
        <f t="shared" si="6"/>
        <v>78.5</v>
      </c>
      <c r="AF7" s="4">
        <f>'Economic Momentum'!Q8</f>
        <v>42.8</v>
      </c>
      <c r="AG7" s="4">
        <f ca="1">'Economic Momentum'!R8</f>
        <v>7.1</v>
      </c>
      <c r="AH7" s="4">
        <f t="shared" ca="1" si="7"/>
        <v>32.789999999999992</v>
      </c>
      <c r="AJ7" s="3" cm="1">
        <f t="array" aca="1" ref="AJ7" ca="1">_xlfn.PERCENTRANK.EXC(_xlfn._xlws.FILTER($AH$3:$AH$15, ISNUMBER($AH$3:$AH$15)),AH7)*100</f>
        <v>28.499999999999996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2026340.1</v>
      </c>
      <c r="E8" cm="1">
        <f t="array" ref="E8">_xll.FDS(C8,"FMA_COS_UP(""EPS"",""1M"",+1,0,,,""PORTAGG"",""MEANR"")")</f>
        <v>24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0.52173913043478259</v>
      </c>
      <c r="I8" s="9">
        <f t="shared" si="1"/>
        <v>0.39130434782608697</v>
      </c>
      <c r="J8" s="9">
        <f t="shared" si="2"/>
        <v>0.13043478260869562</v>
      </c>
      <c r="K8" s="5" cm="1">
        <f t="array" ref="K8">_xll.FDS(A8,"FMA_PCT_ABOVE_MAVG(200,0,,,,""PORTAGG"")")/100</f>
        <v>0.57777777777777795</v>
      </c>
      <c r="L8" s="41" cm="1">
        <f t="array" ref="L8">_xll.FDSB(A8,"PERCENT_CHANGE(FMA_EPS(+1,0,,,,""PORTAGG"",""MEAN""),FMA_EPS(+1,-1AM,,,,""PORTAGG"",""MEAN""))")</f>
        <v>-1.4720544878720201</v>
      </c>
      <c r="M8" s="41" cm="1">
        <f t="array" ref="M8">_xll.FDSB(A8,"PERCENT_CHANGE(FMA_EPS(+1,0,,,,""PORTAGG"",""MEAN""),FMA_EPS(+1,-3AM,,,,""PORTAGG"",""MEAN""))")</f>
        <v>-6.21578443743641</v>
      </c>
      <c r="N8" s="3" cm="1">
        <f t="array" ref="N8">_xll.FDS(C8,"FG_TOTAL_RETURNC(0,-1AM)")</f>
        <v>-5.2631560000000004</v>
      </c>
      <c r="O8" s="3" cm="1">
        <f t="array" ref="O8">_xll.FDS(C8,"FG_TOTAL_RETURNC(0,-3AM)")</f>
        <v>-3.6468327</v>
      </c>
      <c r="P8" s="3" cm="1">
        <f t="array" ref="P8">_xll.FDS(C8,"FG_TOTAL_RETURNC(0,-6AM)")</f>
        <v>4.7045110000000001</v>
      </c>
      <c r="Q8" s="9" cm="1">
        <f t="array" ref="Q8">_xll.FDS(C8,"P_PRICE(0)/P_PRICE_HIGH_PR(0,,,,,,""PRICE"",""INTRA"",""52W"")")</f>
        <v>0.92326549999999996</v>
      </c>
      <c r="R8" s="9" cm="1">
        <f t="array" ref="R8">_xll.FDS(C8,"P_PRICE(0)/P_PRICE_low_PR(0,,,,,,""PRICE"",""INTRA"",""52W"")-1")</f>
        <v>8.7364670000000005E-2</v>
      </c>
      <c r="S8" s="3" cm="1">
        <f t="array" ref="S8">_xll.FDS(C8,"FG_TOTAL_RETURNC(0,-12AM)")</f>
        <v>-2.4202227999999999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92.800000000000011</v>
      </c>
      <c r="AB8" s="4" cm="1">
        <f t="array" ref="AB8">_xlfn.PERCENTRANK.EXC(_xlfn._xlws.FILTER($J$3:$J$15, ISNUMBER($J$3:$J$15)),J8)*100</f>
        <v>78.5</v>
      </c>
      <c r="AC8" s="4">
        <f t="shared" si="4"/>
        <v>64.2</v>
      </c>
      <c r="AD8" s="4">
        <f t="shared" si="5"/>
        <v>14.2</v>
      </c>
      <c r="AE8" s="4">
        <f t="shared" si="6"/>
        <v>42.8</v>
      </c>
      <c r="AF8" s="4">
        <f>'Economic Momentum'!Q9</f>
        <v>14.2</v>
      </c>
      <c r="AG8" s="4">
        <f ca="1">'Economic Momentum'!R9</f>
        <v>42.8</v>
      </c>
      <c r="AH8" s="4">
        <f t="shared" ca="1" si="7"/>
        <v>14.2</v>
      </c>
      <c r="AJ8" s="3" cm="1">
        <f t="array" aca="1" ref="AJ8" ca="1">_xlfn.PERCENTRANK.EXC(_xlfn._xlws.FILTER($AH$3:$AH$15, ISNUMBER($AH$3:$AH$15)),AH8)*100</f>
        <v>14.2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3055768.5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40</v>
      </c>
      <c r="G9" cm="1">
        <f t="array" ref="G9">_xll.FDS(A9,"SIZE(FG_CONSTITUENTS)")</f>
        <v>85</v>
      </c>
      <c r="H9" s="9">
        <f t="shared" si="0"/>
        <v>0.4</v>
      </c>
      <c r="I9" s="9">
        <f t="shared" si="1"/>
        <v>0.47058823529411764</v>
      </c>
      <c r="J9" s="9">
        <f t="shared" si="2"/>
        <v>-7.0588235294117618E-2</v>
      </c>
      <c r="K9" s="5" cm="1">
        <f t="array" ref="K9">_xll.FDS(A9,"FMA_PCT_ABOVE_MAVG(200,0,,,,""PORTAGG"")")/100</f>
        <v>0.60714285714285698</v>
      </c>
      <c r="L9" s="41" cm="1">
        <f t="array" ref="L9">_xll.FDSB(A9,"PERCENT_CHANGE(FMA_EPS(+1,0,,,,""PORTAGG"",""MEAN""),FMA_EPS(+1,-1AM,,,,""PORTAGG"",""MEAN""))")</f>
        <v>-1.3202693204451701</v>
      </c>
      <c r="M9" s="41" cm="1">
        <f t="array" ref="M9">_xll.FDSB(A9,"PERCENT_CHANGE(FMA_EPS(+1,0,,,,""PORTAGG"",""MEAN""),FMA_EPS(+1,-3AM,,,,""PORTAGG"",""MEAN""))")</f>
        <v>-3.5598869597671898</v>
      </c>
      <c r="N9" s="3" cm="1">
        <f t="array" ref="N9">_xll.FDS(C9,"FG_TOTAL_RETURNC(0,-1AM)")</f>
        <v>0</v>
      </c>
      <c r="O9" s="3" cm="1">
        <f t="array" ref="O9">_xll.FDS(C9,"FG_TOTAL_RETURNC(0,-3AM)")</f>
        <v>4.3192506000000002</v>
      </c>
      <c r="P9" s="3" cm="1">
        <f t="array" ref="P9">_xll.FDS(C9,"FG_TOTAL_RETURNC(0,-6AM)")</f>
        <v>8.2110769999999995</v>
      </c>
      <c r="Q9" s="9" cm="1">
        <f t="array" ref="Q9">_xll.FDS(C9,"P_PRICE(0)/P_PRICE_HIGH_PR(0,,,,,,""PRICE"",""INTRA"",""52W"")")</f>
        <v>0.96536789999999995</v>
      </c>
      <c r="R9" s="9" cm="1">
        <f t="array" ref="R9">_xll.FDS(C9,"P_PRICE(0)/P_PRICE_low_PR(0,,,,,,""PRICE"",""INTRA"",""52W"")-1")</f>
        <v>0.10583948999999999</v>
      </c>
      <c r="S9" s="3" cm="1">
        <f t="array" ref="S9">_xll.FDS(C9,"FG_TOTAL_RETURNC(0,-12AM)")</f>
        <v>3.1138181999999999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21.4</v>
      </c>
      <c r="Y9" s="201" cm="1">
        <f t="array" ref="Y9">_xlfn.PERCENTRANK.EXC(_xlfn._xlws.FILTER($S$3:$S$15, ISNUMBER($S$3:$S$15)),S9)*100</f>
        <v>28.499999999999996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14.2</v>
      </c>
      <c r="AC9" s="4">
        <f t="shared" si="4"/>
        <v>71.399999999999991</v>
      </c>
      <c r="AD9" s="4">
        <f t="shared" si="5"/>
        <v>42.8</v>
      </c>
      <c r="AE9" s="4">
        <f t="shared" si="6"/>
        <v>64.2</v>
      </c>
      <c r="AF9" s="4">
        <f>'Economic Momentum'!Q10</f>
        <v>64.2</v>
      </c>
      <c r="AG9" s="4">
        <f ca="1">'Economic Momentum'!R10</f>
        <v>50</v>
      </c>
      <c r="AH9" s="4">
        <f t="shared" ca="1" si="7"/>
        <v>58.540000000000006</v>
      </c>
      <c r="AJ9" s="3" cm="1">
        <f t="array" aca="1" ref="AJ9" ca="1">_xlfn.PERCENTRANK.EXC(_xlfn._xlws.FILTER($AH$3:$AH$15, ISNUMBER($AH$3:$AH$15)),AH9)*100</f>
        <v>57.099999999999994</v>
      </c>
      <c r="AK9">
        <f t="shared" si="8"/>
        <v>1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52196920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9">
        <f t="shared" si="0"/>
        <v>0.33333333333333331</v>
      </c>
      <c r="I10" s="9">
        <f t="shared" si="1"/>
        <v>0.39215686274509803</v>
      </c>
      <c r="J10" s="9">
        <f t="shared" si="2"/>
        <v>-5.8823529411764719E-2</v>
      </c>
      <c r="K10" s="5" cm="1">
        <f t="array" ref="K10">_xll.FDS(A10,"FMA_PCT_ABOVE_MAVG(200,0,,,,""PORTAGG"")")/100</f>
        <v>0.60784313725490202</v>
      </c>
      <c r="L10" s="41" cm="1">
        <f t="array" ref="L10">_xll.FDSB(A10,"PERCENT_CHANGE(FMA_EPS(+1,0,,,,""PORTAGG"",""MEAN""),FMA_EPS(+1,-1AM,,,,""PORTAGG"",""MEAN""))")</f>
        <v>0.26802734538025003</v>
      </c>
      <c r="M10" s="41" cm="1">
        <f t="array" ref="M10">_xll.FDSB(A10,"PERCENT_CHANGE(FMA_EPS(+1,0,,,,""PORTAGG"",""MEAN""),FMA_EPS(+1,-3AM,,,,""PORTAGG"",""MEAN""))")</f>
        <v>0.207229334062182</v>
      </c>
      <c r="N10" s="3" cm="1">
        <f t="array" ref="N10">_xll.FDS(C10,"FG_TOTAL_RETURNC(0,-1AM)")</f>
        <v>-3.2161474000000001</v>
      </c>
      <c r="O10" s="3" cm="1">
        <f t="array" ref="O10">_xll.FDS(C10,"FG_TOTAL_RETURNC(0,-3AM)")</f>
        <v>2.6574612000000002</v>
      </c>
      <c r="P10" s="3" cm="1">
        <f t="array" ref="P10">_xll.FDS(C10,"FG_TOTAL_RETURNC(0,-6AM)")</f>
        <v>16.968834000000001</v>
      </c>
      <c r="Q10" s="9" cm="1">
        <f t="array" ref="Q10">_xll.FDS(C10,"P_PRICE(0)/P_PRICE_HIGH_PR(0,,,,,,""PRICE"",""INTRA"",""52W"")")</f>
        <v>0.94229317000000001</v>
      </c>
      <c r="R10" s="9" cm="1">
        <f t="array" ref="R10">_xll.FDS(C10,"P_PRICE(0)/P_PRICE_low_PR(0,,,,,,""PRICE"",""INTRA"",""52W"")-1")</f>
        <v>0.36632346999999998</v>
      </c>
      <c r="S10" s="3" cm="1">
        <f t="array" ref="S10">_xll.FDS(C10,"FG_TOTAL_RETURNC(0,-12AM)")</f>
        <v>33.672558000000002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35.699999999999996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21.4</v>
      </c>
      <c r="AB10" s="4" cm="1">
        <f t="array" ref="AB10">_xlfn.PERCENTRANK.EXC(_xlfn._xlws.FILTER($J$3:$J$15, ISNUMBER($J$3:$J$15)),J10)*100</f>
        <v>21.4</v>
      </c>
      <c r="AC10" s="4">
        <f t="shared" si="4"/>
        <v>92.800000000000011</v>
      </c>
      <c r="AD10" s="4">
        <f t="shared" si="5"/>
        <v>85.7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52.81</v>
      </c>
      <c r="AJ10" s="3" cm="1">
        <f t="array" aca="1" ref="AJ10" ca="1">_xlfn.PERCENTRANK.EXC(_xlfn._xlws.FILTER($AH$3:$AH$15, ISNUMBER($AH$3:$AH$15)),AH10)*100</f>
        <v>35.699999999999996</v>
      </c>
      <c r="AK10">
        <f t="shared" si="8"/>
        <v>1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52196920</v>
      </c>
      <c r="E11" cm="1">
        <f t="array" ref="E11">_xll.FDS(C11,"FMA_COS_UP(""EPS"",""1M"",+1,0,,,""PORTAGG"",""MEANR"")")</f>
        <v>180</v>
      </c>
      <c r="F11" cm="1">
        <f t="array" ref="F11">_xll.FDS(C11,"FMA_COS_DOWN(""EPS"",""1M"",+1,0,,,""PORTAGG"",""MEANR"")")</f>
        <v>189</v>
      </c>
      <c r="G11" cm="1">
        <f t="array" ref="G11">_xll.FDS(A11,"SIZE(FG_CONSTITUENTS)")</f>
        <v>504</v>
      </c>
      <c r="H11" s="9">
        <f t="shared" si="0"/>
        <v>0.35714285714285715</v>
      </c>
      <c r="I11" s="9">
        <f t="shared" si="1"/>
        <v>0.375</v>
      </c>
      <c r="J11" s="9">
        <f t="shared" si="2"/>
        <v>-1.7857142857142849E-2</v>
      </c>
      <c r="K11" s="5" cm="1">
        <f t="array" ref="K11">_xll.FDS(A11,"FMA_PCT_ABOVE_MAVG(200,0,,,,""PORTAGG"")")/100</f>
        <v>0.65069860279441105</v>
      </c>
      <c r="L11" s="41" cm="1">
        <f t="array" ref="L11">_xll.FDSB(A11,"PERCENT_CHANGE(FMA_EPS(+1,0,,,,""PORTAGG"",""MEAN""),FMA_EPS(+1,-1AM,,,,""PORTAGG"",""MEAN""))")</f>
        <v>-0.21257960682320801</v>
      </c>
      <c r="M11" s="41" cm="1">
        <f t="array" ref="M11">_xll.FDSB(A11,"PERCENT_CHANGE(FMA_EPS(+1,0,,,,""PORTAGG"",""MEAN""),FMA_EPS(+1,-3AM,,,,""PORTAGG"",""MEAN""))")</f>
        <v>-0.20618774858379799</v>
      </c>
      <c r="N11" s="3" cm="1">
        <f t="array" ref="N11">_xll.FDS(C11,"FG_TOTAL_RETURNC(0,-1AM)")</f>
        <v>-2.601099</v>
      </c>
      <c r="O11" s="3" cm="1">
        <f t="array" ref="O11">_xll.FDS(C11,"FG_TOTAL_RETURNC(0,-3AM)")</f>
        <v>5.1612140000000002</v>
      </c>
      <c r="P11" s="3" cm="1">
        <f t="array" ref="P11">_xll.FDS(C11,"FG_TOTAL_RETURNC(0,-6AM)")</f>
        <v>16.947005999999998</v>
      </c>
      <c r="Q11" s="9" cm="1">
        <f t="array" ref="Q11">_xll.FDS(C11,"P_PRICE(0)/P_PRICE_HIGH_PR(0,,,,,,""PRICE"",""INTRA"",""52W"")")</f>
        <v>0.95217399999999996</v>
      </c>
      <c r="R11" s="9" cm="1">
        <f t="array" ref="R11">_xll.FDS(C11,"P_PRICE(0)/P_PRICE_low_PR(0,,,,,,""PRICE"",""INTRA"",""52W"")-1")</f>
        <v>0.23723184999999999</v>
      </c>
      <c r="S11" s="3" cm="1">
        <f t="array" ref="S11">_xll.FDS(C11,"FG_TOTAL_RETURNC(0,-12AM)")</f>
        <v>22.352588999999998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57.099999999999994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35.699999999999996</v>
      </c>
      <c r="AC11" s="4">
        <f t="shared" si="4"/>
        <v>85.7</v>
      </c>
      <c r="AD11" s="4">
        <f t="shared" si="5"/>
        <v>78.5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69.95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3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3304591.3</v>
      </c>
      <c r="E12" cm="1">
        <f t="array" ref="E12">_xll.FDS(C12,"FMA_COS_UP(""EPS"",""1M"",+1,0,,,""PORTAGG"",""MEANR"")")</f>
        <v>16</v>
      </c>
      <c r="F12" cm="1">
        <f t="array" ref="F12">_xll.FDS(C12,"FMA_COS_DOWN(""EPS"",""1M"",+1,0,,,""PORTAGG"",""MEANR"")")</f>
        <v>41</v>
      </c>
      <c r="G12" cm="1">
        <f t="array" ref="G12">_xll.FDS(A12,"SIZE(FG_CONSTITUENTS)")</f>
        <v>63</v>
      </c>
      <c r="H12" s="9">
        <f t="shared" ref="H12:H15" si="9">E12/$G12</f>
        <v>0.25396825396825395</v>
      </c>
      <c r="I12" s="9">
        <f t="shared" ref="I12:I15" si="10">F12/$G12</f>
        <v>0.65079365079365081</v>
      </c>
      <c r="J12" s="9">
        <f t="shared" ref="J12:J15" si="11">H12-I12</f>
        <v>-0.39682539682539686</v>
      </c>
      <c r="K12" s="5" cm="1">
        <f t="array" ref="K12">_xll.FDS(A12,"FMA_PCT_ABOVE_MAVG(200,0,,,,""PORTAGG"")")/100</f>
        <v>0.69841269841269804</v>
      </c>
      <c r="L12" s="41" cm="1">
        <f t="array" ref="L12">_xll.FDSB(A12,"PERCENT_CHANGE(FMA_EPS(+1,0,,,,""PORTAGG"",""MEAN""),FMA_EPS(+1,-1AM,,,,""PORTAGG"",""MEAN""))")</f>
        <v>-3.21341621008931</v>
      </c>
      <c r="M12" s="41" cm="1">
        <f t="array" ref="M12">_xll.FDSB(A12,"PERCENT_CHANGE(FMA_EPS(+1,0,,,,""PORTAGG"",""MEAN""),FMA_EPS(+1,-3AM,,,,""PORTAGG"",""MEAN""))")</f>
        <v>-6.1744594240064599</v>
      </c>
      <c r="N12" s="3" cm="1">
        <f t="array" ref="N12">_xll.FDS(C12,"FG_TOTAL_RETURNC(0,-1AM)")</f>
        <v>-3.490907</v>
      </c>
      <c r="O12" s="3" cm="1">
        <f t="array" ref="O12">_xll.FDS(C12,"FG_TOTAL_RETURNC(0,-3AM)")</f>
        <v>5.0118685000000003</v>
      </c>
      <c r="P12" s="3" cm="1">
        <f t="array" ref="P12">_xll.FDS(C12,"FG_TOTAL_RETURNC(0,-6AM)")</f>
        <v>16.17651</v>
      </c>
      <c r="Q12" s="9" cm="1">
        <f t="array" ref="Q12">_xll.FDS(C12,"P_PRICE(0)/P_PRICE_HIGH_PR(0,,,,,,""PRICE"",""INTRA"",""52W"")")</f>
        <v>0.95068660000000005</v>
      </c>
      <c r="R12" s="9" cm="1">
        <f t="array" ref="R12">_xll.FDS(C12,"P_PRICE(0)/P_PRICE_low_PR(0,,,,,,""PRICE"",""INTRA"",""52W"")-1")</f>
        <v>0.18270945999999999</v>
      </c>
      <c r="S12" s="3" cm="1">
        <f t="array" ref="S12">_xll.FDS(C12,"FG_TOTAL_RETURNC(0,-12AM)")</f>
        <v>3.9987086999999999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64.2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50</v>
      </c>
      <c r="Y12" s="201" cm="1">
        <f t="array" ref="Y12">_xlfn.PERCENTRANK.EXC(_xlfn._xlws.FILTER($S$3:$S$15, ISNUMBER($S$3:$S$15)),S12)*100</f>
        <v>35.699999999999996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4"/>
        <v>21.4</v>
      </c>
      <c r="AD12" s="4">
        <f t="shared" si="5"/>
        <v>21.4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59.940000000000005</v>
      </c>
      <c r="AJ12" s="3" cm="1">
        <f t="array" aca="1" ref="AJ12" ca="1">_xlfn.PERCENTRANK.EXC(_xlfn._xlws.FILTER($AH$3:$AH$15, ISNUMBER($AH$3:$AH$15)),AH12)*100</f>
        <v>71.399999999999991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1079557.8999999999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14</v>
      </c>
      <c r="G13" cm="1">
        <f t="array" ref="G13">_xll.FDS(A13,"SIZE(FG_CONSTITUENTS)")</f>
        <v>54</v>
      </c>
      <c r="H13" s="9">
        <f t="shared" si="9"/>
        <v>0.35185185185185186</v>
      </c>
      <c r="I13" s="9">
        <f t="shared" si="10"/>
        <v>0.25925925925925924</v>
      </c>
      <c r="J13" s="9">
        <f t="shared" si="11"/>
        <v>9.2592592592592615E-2</v>
      </c>
      <c r="K13" s="5" cm="1">
        <f t="array" ref="K13">_xll.FDS(A13,"FMA_PCT_ABOVE_MAVG(200,0,,,,""PORTAGG"")")/100</f>
        <v>0.61111111111111105</v>
      </c>
      <c r="L13" s="41" cm="1">
        <f t="array" ref="L13">_xll.FDSB(A13,"PERCENT_CHANGE(FMA_EPS(+1,0,,,,""PORTAGG"",""MEAN""),FMA_EPS(+1,-1AM,,,,""PORTAGG"",""MEAN""))")</f>
        <v>-0.59751893829000902</v>
      </c>
      <c r="M13" s="41" cm="1">
        <f t="array" ref="M13">_xll.FDSB(A13,"PERCENT_CHANGE(FMA_EPS(+1,0,,,,""PORTAGG"",""MEAN""),FMA_EPS(+1,-3AM,,,,""PORTAGG"",""MEAN""))")</f>
        <v>-0.66415023779788795</v>
      </c>
      <c r="N13" s="3" cm="1">
        <f t="array" ref="N13">_xll.FDS(C13,"FG_TOTAL_RETURNC(0,-1AM)")</f>
        <v>-1.7481804000000001</v>
      </c>
      <c r="O13" s="3" cm="1">
        <f t="array" ref="O13">_xll.FDS(C13,"FG_TOTAL_RETURNC(0,-3AM)")</f>
        <v>8.4290269999999996</v>
      </c>
      <c r="P13" s="3" cm="1">
        <f t="array" ref="P13">_xll.FDS(C13,"FG_TOTAL_RETURNC(0,-6AM)")</f>
        <v>28.539871000000002</v>
      </c>
      <c r="Q13" s="9" cm="1">
        <f t="array" ref="Q13">_xll.FDS(C13,"P_PRICE(0)/P_PRICE_HIGH_PR(0,,,,,,""PRICE"",""INTRA"",""52W"")")</f>
        <v>0.93856859999999998</v>
      </c>
      <c r="R13" s="9" cm="1">
        <f t="array" ref="R13">_xll.FDS(C13,"P_PRICE(0)/P_PRICE_low_PR(0,,,,,,""PRICE"",""INTRA"",""52W"")-1")</f>
        <v>0.30090928</v>
      </c>
      <c r="S13" s="3" cm="1">
        <f t="array" ref="S13">_xll.FDS(C13,"FG_TOTAL_RETURNC(0,-12AM)")</f>
        <v>13.334346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42.8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71.399999999999991</v>
      </c>
      <c r="AC13" s="4">
        <f t="shared" si="4"/>
        <v>78.5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50</v>
      </c>
      <c r="AG13" s="4">
        <f ca="1">'Economic Momentum'!R14</f>
        <v>92.800000000000011</v>
      </c>
      <c r="AH13" s="4">
        <f t="shared" ca="1" si="7"/>
        <v>72.800000000000011</v>
      </c>
      <c r="AJ13" s="3" cm="1">
        <f t="array" aca="1" ref="AJ13" ca="1">_xlfn.PERCENTRANK.EXC(_xlfn._xlws.FILTER($AH$3:$AH$15, ISNUMBER($AH$3:$AH$15)),AH13)*100</f>
        <v>85.7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988484.1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9</v>
      </c>
      <c r="G14" cm="1">
        <f t="array" ref="G14">_xll.FDS(A14,"SIZE(FG_CONSTITUENTS)")</f>
        <v>44</v>
      </c>
      <c r="H14" s="9">
        <f t="shared" si="9"/>
        <v>0.47727272727272729</v>
      </c>
      <c r="I14" s="9">
        <f t="shared" si="10"/>
        <v>0.20454545454545456</v>
      </c>
      <c r="J14" s="9">
        <f t="shared" si="11"/>
        <v>0.27272727272727271</v>
      </c>
      <c r="K14" s="5" cm="1">
        <f t="array" ref="K14">_xll.FDS(A14,"FMA_PCT_ABOVE_MAVG(200,0,,,,""PORTAGG"")")/100</f>
        <v>0.88372093023255804</v>
      </c>
      <c r="L14" s="41" cm="1">
        <f t="array" ref="L14">_xll.FDSB(A14,"PERCENT_CHANGE(FMA_EPS(+1,0,,,,""PORTAGG"",""MEAN""),FMA_EPS(+1,-1AM,,,,""PORTAGG"",""MEAN""))")</f>
        <v>-1.8050293293786901</v>
      </c>
      <c r="M14" s="41" cm="1">
        <f t="array" ref="M14">_xll.FDSB(A14,"PERCENT_CHANGE(FMA_EPS(+1,0,,,,""PORTAGG"",""MEAN""),FMA_EPS(+1,-3AM,,,,""PORTAGG"",""MEAN""))")</f>
        <v>-2.2141802610076802</v>
      </c>
      <c r="N14" s="3" cm="1">
        <f t="array" ref="N14">_xll.FDS(C14,"FG_TOTAL_RETURNC(0,-1AM)")</f>
        <v>-4.3835639999999998</v>
      </c>
      <c r="O14" s="3" cm="1">
        <f t="array" ref="O14">_xll.FDS(C14,"FG_TOTAL_RETURNC(0,-3AM)")</f>
        <v>5.2357434999999999</v>
      </c>
      <c r="P14" s="3" cm="1">
        <f t="array" ref="P14">_xll.FDS(C14,"FG_TOTAL_RETURNC(0,-6AM)")</f>
        <v>20.928419999999999</v>
      </c>
      <c r="Q14" s="9" cm="1">
        <f t="array" ref="Q14">_xll.FDS(C14,"P_PRICE(0)/P_PRICE_HIGH_PR(0,,,,,,""PRICE"",""INTRA"",""52W"")")</f>
        <v>0.92372469999999995</v>
      </c>
      <c r="R14" s="9" cm="1">
        <f t="array" ref="R14">_xll.FDS(C14,"P_PRICE(0)/P_PRICE_low_PR(0,,,,,,""PRICE"",""INTRA"",""52W"")-1")</f>
        <v>0.25109994000000002</v>
      </c>
      <c r="S14" s="3" cm="1">
        <f t="array" ref="S14">_xll.FDS(C14,"FG_TOTAL_RETURNC(0,-12AM)")</f>
        <v>7.2464943000000002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78.5</v>
      </c>
      <c r="X14" s="4" cm="1">
        <f t="array" ref="X14">_xlfn.PERCENTRANK.EXC(_xlfn._xlws.FILTER($P$3:$P$15, ISNUMBER($P$3:$P$15)),P14)*100</f>
        <v>78.5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78.5</v>
      </c>
      <c r="AB14" s="4" cm="1">
        <f t="array" ref="AB14">_xlfn.PERCENTRANK.EXC(_xlfn._xlws.FILTER($J$3:$J$15, ISNUMBER($J$3:$J$15)),J14)*100</f>
        <v>92.800000000000011</v>
      </c>
      <c r="AC14" s="4">
        <f t="shared" si="4"/>
        <v>50</v>
      </c>
      <c r="AD14" s="4">
        <f t="shared" si="5"/>
        <v>64.2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55.66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5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862353.25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9">
        <f t="shared" si="9"/>
        <v>0.37037037037037035</v>
      </c>
      <c r="I15" s="9">
        <f t="shared" si="10"/>
        <v>0.40740740740740738</v>
      </c>
      <c r="J15" s="9">
        <f t="shared" si="11"/>
        <v>-3.7037037037037035E-2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-1.9263648692486399</v>
      </c>
      <c r="M15" s="41" cm="1">
        <f t="array" ref="M15">_xll.FDSB(A15,"PERCENT_CHANGE(FMA_EPS(+1,0,,,,""PORTAGG"",""MEAN""),FMA_EPS(+1,-3AM,,,,""PORTAGG"",""MEAN""))")</f>
        <v>0.40798124809693898</v>
      </c>
      <c r="N15" s="3" cm="1">
        <f t="array" ref="N15">_xll.FDS(C15,"FG_TOTAL_RETURNC(0,-1AM)")</f>
        <v>-2.6954174000000002</v>
      </c>
      <c r="O15" s="3" cm="1">
        <f t="array" ref="O15">_xll.FDS(C15,"FG_TOTAL_RETURNC(0,-3AM)")</f>
        <v>8.0514790000000005</v>
      </c>
      <c r="P15" s="3" cm="1">
        <f t="array" ref="P15">_xll.FDS(C15,"FG_TOTAL_RETURNC(0,-6AM)")</f>
        <v>21.648716</v>
      </c>
      <c r="Q15" s="9" cm="1">
        <f t="array" ref="Q15">_xll.FDS(C15,"P_PRICE(0)/P_PRICE_HIGH_PR(0,,,,,,""PRICE"",""INTRA"",""52W"")")</f>
        <v>0.95100105000000001</v>
      </c>
      <c r="R15" s="9" cm="1">
        <f t="array" ref="R15">_xll.FDS(C15,"P_PRICE(0)/P_PRICE_low_PR(0,,,,,,""PRICE"",""INTRA"",""52W"")-1")</f>
        <v>0.24418402</v>
      </c>
      <c r="S15" s="3" cm="1">
        <f t="array" ref="S15">_xll.FDS(C15,"FG_TOTAL_RETURNC(0,-12AM)")</f>
        <v>18.183672000000001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85.7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28.499999999999996</v>
      </c>
      <c r="AC15" s="4">
        <f t="shared" si="4"/>
        <v>42.8</v>
      </c>
      <c r="AD15" s="4">
        <f t="shared" si="5"/>
        <v>92.800000000000011</v>
      </c>
      <c r="AE15" s="4">
        <f t="shared" si="6"/>
        <v>14.2</v>
      </c>
      <c r="AF15" s="4">
        <f>'Economic Momentum'!Q16</f>
        <v>71.399999999999991</v>
      </c>
      <c r="AG15" s="4">
        <f ca="1">'Economic Momentum'!R16</f>
        <v>85.7</v>
      </c>
      <c r="AH15" s="4">
        <f t="shared" ca="1" si="7"/>
        <v>79.97999999999999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473</v>
      </c>
      <c r="F18" cm="1">
        <f t="array" ref="F18">_xll.FDS(C18,"FMA_COS_DOWN(""EPS"",""1M"",+1,0,,,""PORTAGG"",""MEANR"")")</f>
        <v>451</v>
      </c>
      <c r="G18" cm="1">
        <f t="array" ref="G18">_xll.FDS(A18,"SIZE(FG_CONSTITUENTS)")</f>
        <v>1280</v>
      </c>
      <c r="H18" s="9">
        <f>E18/$G18</f>
        <v>0.36953124999999998</v>
      </c>
      <c r="I18" s="9">
        <f>F18/$G18</f>
        <v>0.35234375000000001</v>
      </c>
      <c r="J18" s="9">
        <f t="shared" ref="J18" si="13">H18-I18</f>
        <v>1.7187499999999967E-2</v>
      </c>
      <c r="K18" s="5" cm="1">
        <f t="array" ref="K18">_xll.FDS(A18,"FMA_PCT_ABOVE_MAVG(200,0,,,,""PORTAGG"")")/100</f>
        <v>0.584313725490196</v>
      </c>
      <c r="L18" s="41" cm="1">
        <f t="array" ref="L18">_xll.FDSB(A18,"PERCENT_CHANGE(FMA_EPS(+1,0,,,,""PORTAGG"",""MEAN""),FMA_EPS(+1,-1AM,,,,""PORTAGG"",""MEAN""))")</f>
        <v>-5.0132098423733398</v>
      </c>
      <c r="M18" s="41" cm="1">
        <f t="array" ref="M18">_xll.FDSB(A18,"PERCENT_CHANGE(FMA_EPS(+1,0,,,,""PORTAGG"",""MEAN""),FMA_EPS(+1,-3AM,,,,""PORTAGG"",""MEAN""))")</f>
        <v>-8.7171415271051202</v>
      </c>
      <c r="N18" s="3" cm="1">
        <f t="array" ref="N18">_xll.FDS(C18,"FG_TOTAL_RETURNC(0,-1AM)")</f>
        <v>-2.6847780000000001</v>
      </c>
      <c r="O18" s="3" cm="1">
        <f t="array" ref="O18">_xll.FDS(C18,"FG_TOTAL_RETURNC(0,-3AM)")</f>
        <v>3.8551926999999999</v>
      </c>
      <c r="P18" s="3" cm="1">
        <f t="array" ref="P18">_xll.FDS(C18,"FG_TOTAL_RETURNC(0,-6AM)")</f>
        <v>14.664877000000001</v>
      </c>
      <c r="Q18" s="9" cm="1">
        <f t="array" ref="Q18">_xll.FDS(C18,"P_PRICE(0)/P_PRICE_HIGH_PR(0,,,,,,""PRICE"",""INTRA"",""52W"")")</f>
        <v>0.95190315999999997</v>
      </c>
      <c r="R18" s="9" cm="1">
        <f t="array" ref="R18">_xll.FDS(C18,"P_PRICE(0)/P_PRICE_low_PR(0,,,,,,""PRICE"",""INTRA"",""52W"")-1")</f>
        <v>0.17181252999999999</v>
      </c>
      <c r="S18" s="3" cm="1">
        <f t="array" ref="S18">_xll.FDS(C18,"FG_TOTAL_RETURNC(0,-12AM)")</f>
        <v>5.7628155000000003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716</v>
      </c>
      <c r="F19" cm="1">
        <f t="array" ref="F19">_xll.FDS(C19,"FMA_COS_DOWN(""EPS"",""1M"",+1,0,,,""PORTAGG"",""MEANR"")")</f>
        <v>1045</v>
      </c>
      <c r="G19" cm="1">
        <f t="array" ref="G19">_xll.FDS(A19,"SIZE(FG_CONSTITUENTS)")</f>
        <v>4786</v>
      </c>
      <c r="H19" s="9">
        <f>E19/$G19</f>
        <v>0.14960300877559549</v>
      </c>
      <c r="I19" s="9">
        <f>F19/$G19</f>
        <v>0.21834517342248225</v>
      </c>
      <c r="J19" s="9">
        <f t="shared" ref="J19" si="14">H19-I19</f>
        <v>-6.8742164646886761E-2</v>
      </c>
      <c r="K19" s="5" cm="1">
        <f t="array" ref="K19">_xll.FDS(A19,"FMA_PCT_ABOVE_MAVG(200,0,,,,""PORTAGG"")")/100</f>
        <v>0.40505777196424703</v>
      </c>
      <c r="L19" s="41" cm="1">
        <f t="array" ref="L19">_xll.FDSB(A19,"PERCENT_CHANGE(FMA_EPS(+1,0,,,,""PORTAGG"",""MEAN""),FMA_EPS(+1,-1AM,,,,""PORTAGG"",""MEAN""))")</f>
        <v>-13.280960461112199</v>
      </c>
      <c r="M19" s="41" cm="1">
        <f t="array" ref="M19">_xll.FDSB(A19,"PERCENT_CHANGE(FMA_EPS(+1,0,,,,""PORTAGG"",""MEAN""),FMA_EPS(+1,-3AM,,,,""PORTAGG"",""MEAN""))")</f>
        <v>-16.663463755637601</v>
      </c>
      <c r="N19" s="3" cm="1">
        <f t="array" ref="N19">_xll.FDS(C19,"FG_TOTAL_RETURNC(0,-1AM)")</f>
        <v>-1.6310871</v>
      </c>
      <c r="O19" s="3" cm="1">
        <f t="array" ref="O19">_xll.FDS(C19,"FG_TOTAL_RETURNC(0,-3AM)")</f>
        <v>4.5274973000000003</v>
      </c>
      <c r="P19" s="3" cm="1">
        <f t="array" ref="P19">_xll.FDS(C19,"FG_TOTAL_RETURNC(0,-6AM)")</f>
        <v>8.9119320000000002</v>
      </c>
      <c r="Q19" s="9" cm="1">
        <f t="array" ref="Q19">_xll.FDS(C19,"P_PRICE(0)/P_PRICE_HIGH_PR(0,,,,,,""PRICE"",""INTRA"",""52W"")")</f>
        <v>0.95150809999999997</v>
      </c>
      <c r="R19" s="9" cm="1">
        <f t="array" ref="R19">_xll.FDS(C19,"P_PRICE(0)/P_PRICE_low_PR(0,,,,,,""PRICE"",""INTRA"",""52W"")-1")</f>
        <v>9.4913839999999999E-2</v>
      </c>
      <c r="S19" s="3" cm="1">
        <f t="array" ref="S19">_xll.FDS(C19,"FG_TOTAL_RETURNC(0,-12AM)")</f>
        <v>4.1839003999999997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577</v>
      </c>
      <c r="F20" cm="1">
        <f t="array" ref="F20">_xll.FDS(C20,"FMA_COS_DOWN(""EPS"",""1M"",+1,0,,,""PORTAGG"",""MEANR"")")</f>
        <v>553</v>
      </c>
      <c r="G20" cm="1">
        <f t="array" ref="G20">_xll.FDS(A20,"SIZE(FG_CONSTITUENTS)")</f>
        <v>1469</v>
      </c>
      <c r="H20" s="9">
        <f t="shared" ref="H20" si="16">E20/$G20</f>
        <v>0.39278420694349897</v>
      </c>
      <c r="I20" s="9">
        <f t="shared" ref="I20" si="17">F20/$G20</f>
        <v>0.37644656228727025</v>
      </c>
      <c r="J20" s="9">
        <f t="shared" ref="J20" si="18">H20-I20</f>
        <v>1.6337644656228723E-2</v>
      </c>
      <c r="K20" s="5" cm="1">
        <f t="array" ref="K20">_xll.FDS(A20,"FMA_PCT_ABOVE_MAVG(200,0,,,,""PORTAGG"")")/100</f>
        <v>0.66393442622950805</v>
      </c>
      <c r="L20" s="41" cm="1">
        <f t="array" ref="L20">_xll.FDSB(A20,"PERCENT_CHANGE(FMA_EPS(+1,0,,,,""PORTAGG"",""MEAN""),FMA_EPS(+1,-1AM,,,,""PORTAGG"",""MEAN""))")</f>
        <v>-1.0088117401502701</v>
      </c>
      <c r="M20" s="41" cm="1">
        <f t="array" ref="M20">_xll.FDSB(A20,"PERCENT_CHANGE(FMA_EPS(+1,0,,,,""PORTAGG"",""MEAN""),FMA_EPS(+1,-3AM,,,,""PORTAGG"",""MEAN""))")</f>
        <v>-1.4604966324019699</v>
      </c>
      <c r="N20" s="3" cm="1">
        <f t="array" ref="N20">_xll.FDS(C20,"FG_TOTAL_RETURNC(0,-1AM)")</f>
        <v>-2.8557359999999998</v>
      </c>
      <c r="O20" s="3" cm="1">
        <f t="array" ref="O20">_xll.FDS(C20,"FG_TOTAL_RETURNC(0,-3AM)")</f>
        <v>4.4309973999999999</v>
      </c>
      <c r="P20" s="3" cm="1">
        <f t="array" ref="P20">_xll.FDS(C20,"FG_TOTAL_RETURNC(0,-6AM)")</f>
        <v>15.993463500000001</v>
      </c>
      <c r="Q20" s="9" cm="1">
        <f t="array" ref="Q20">_xll.FDS(C20,"P_PRICE(0)/P_PRICE_HIGH_PR(0,,,,,,""PRICE"",""INTRA"",""52W"")")</f>
        <v>0.95123630000000003</v>
      </c>
      <c r="R20" s="9" cm="1">
        <f t="array" ref="R20">_xll.FDS(C20,"P_PRICE(0)/P_PRICE_low_PR(0,,,,,,""PRICE"",""INTRA"",""52W"")-1")</f>
        <v>0.20409763</v>
      </c>
      <c r="S20" s="3" cm="1">
        <f t="array" ref="S20">_xll.FDS(C20,"FG_TOTAL_RETURNC(0,-12AM)")</f>
        <v>17.553425000000001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219</v>
      </c>
      <c r="H21" s="9">
        <f t="shared" ref="H21:H22" si="20">E21/$G21</f>
        <v>0.44292237442922372</v>
      </c>
      <c r="I21" s="9">
        <f t="shared" ref="I21:I22" si="21">F21/$G21</f>
        <v>0.40182648401826482</v>
      </c>
      <c r="J21" s="9">
        <f t="shared" ref="J21:J22" si="22">H21-I21</f>
        <v>4.1095890410958902E-2</v>
      </c>
      <c r="K21" s="5" cm="1">
        <f t="array" ref="K21">_xll.FDS(A21,"FMA_PCT_ABOVE_MAVG(200,0,,,,""PORTAGG"")")/100</f>
        <v>0.69406392694063901</v>
      </c>
      <c r="L21" s="41" cm="1">
        <f t="array" ref="L21">_xll.FDSB(A21,"PERCENT_CHANGE(FMA_EPS(+1,0,,,,""PORTAGG"",""MEAN""),FMA_EPS(+1,-1AM,,,,""PORTAGG"",""MEAN""))")</f>
        <v>-3.2492863040976601</v>
      </c>
      <c r="M21" s="41" cm="1">
        <f t="array" ref="M21">_xll.FDSB(A21,"PERCENT_CHANGE(FMA_EPS(+1,0,,,,""PORTAGG"",""MEAN""),FMA_EPS(+1,-3AM,,,,""PORTAGG"",""MEAN""))")</f>
        <v>-2.9105354742355498</v>
      </c>
      <c r="N21" s="3" cm="1">
        <f t="array" ref="N21">_xll.FDS(C21,"FG_TOTAL_RETURNC(0,-1AM)")</f>
        <v>-5.3220153000000003</v>
      </c>
      <c r="O21" s="3" cm="1">
        <f t="array" ref="O21">_xll.FDS(C21,"FG_TOTAL_RETURNC(0,-3AM)")</f>
        <v>1.7647862000000001</v>
      </c>
      <c r="P21" s="3" cm="1">
        <f t="array" ref="P21">_xll.FDS(C21,"FG_TOTAL_RETURNC(0,-6AM)")</f>
        <v>15.068388000000001</v>
      </c>
      <c r="Q21" s="9" cm="1">
        <f t="array" ref="Q21">_xll.FDS(C21,"P_PRICE(0)/P_PRICE_HIGH_PR(0,,,,,,""PRICE"",""INTRA"",""52W"")")</f>
        <v>0.92818979999999995</v>
      </c>
      <c r="R21" s="9" cm="1">
        <f t="array" ref="R21">_xll.FDS(C21,"P_PRICE(0)/P_PRICE_low_PR(0,,,,,,""PRICE"",""INTRA"",""52W"")-1")</f>
        <v>0.16940558</v>
      </c>
      <c r="S21" s="3" cm="1">
        <f t="array" ref="S21">_xll.FDS(C21,"FG_TOTAL_RETURNC(0,-12AM)")</f>
        <v>15.861082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180</v>
      </c>
      <c r="F22" cm="1">
        <f t="array" ref="F22">_xll.FDS(C22,"FMA_COS_DOWN(""EPS"",""1M"",+1,0,,,""PORTAGG"",""MEANR"")")</f>
        <v>189</v>
      </c>
      <c r="G22" cm="1">
        <f t="array" ref="G22">_xll.FDS(A22,"SIZE(FG_CONSTITUENTS)")</f>
        <v>504</v>
      </c>
      <c r="H22" s="9">
        <f t="shared" si="20"/>
        <v>0.35714285714285715</v>
      </c>
      <c r="I22" s="9">
        <f t="shared" si="21"/>
        <v>0.375</v>
      </c>
      <c r="J22" s="9">
        <f t="shared" si="22"/>
        <v>-1.7857142857142849E-2</v>
      </c>
      <c r="K22" s="5" cm="1">
        <f t="array" ref="K22">_xll.FDS(A22,"FMA_PCT_ABOVE_MAVG(200,0,,,,""PORTAGG"")")/100</f>
        <v>0.65069860279441105</v>
      </c>
      <c r="L22" s="41" cm="1">
        <f t="array" ref="L22">_xll.FDSB(A22,"PERCENT_CHANGE(FMA_EPS(+1,0,,,,""PORTAGG"",""MEAN""),FMA_EPS(+1,-1AM,,,,""PORTAGG"",""MEAN""))")</f>
        <v>-0.21257960682320801</v>
      </c>
      <c r="M22" s="41" cm="1">
        <f t="array" ref="M22">_xll.FDSB(A22,"PERCENT_CHANGE(FMA_EPS(+1,0,,,,""PORTAGG"",""MEAN""),FMA_EPS(+1,-3AM,,,,""PORTAGG"",""MEAN""))")</f>
        <v>-0.20618774858379799</v>
      </c>
      <c r="N22" s="3" cm="1">
        <f t="array" ref="N22">_xll.FDS(C22,"FG_TOTAL_RETURNC(0,-1AM)")</f>
        <v>-2.601099</v>
      </c>
      <c r="O22" s="3" cm="1">
        <f t="array" ref="O22">_xll.FDS(C22,"FG_TOTAL_RETURNC(0,-3AM)")</f>
        <v>5.1612140000000002</v>
      </c>
      <c r="P22" s="3" cm="1">
        <f t="array" ref="P22">_xll.FDS(C22,"FG_TOTAL_RETURNC(0,-6AM)")</f>
        <v>16.947005999999998</v>
      </c>
      <c r="Q22" s="9" cm="1">
        <f t="array" ref="Q22">_xll.FDS(C22,"P_PRICE(0)/P_PRICE_HIGH_PR(0,,,,,,""PRICE"",""INTRA"",""52W"")")</f>
        <v>0.95217399999999996</v>
      </c>
      <c r="R22" s="9" cm="1">
        <f t="array" ref="R22">_xll.FDS(C22,"P_PRICE(0)/P_PRICE_low_PR(0,,,,,,""PRICE"",""INTRA"",""52W"")-1")</f>
        <v>0.23723184999999999</v>
      </c>
      <c r="S22" s="3" cm="1">
        <f t="array" ref="S22">_xll.FDS(C22,"FG_TOTAL_RETURNC(0,-12AM)")</f>
        <v>22.352588999999998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12</v>
      </c>
      <c r="F23" cm="1">
        <f t="array" ref="F23">_xll.FDS(C23,"FMA_COS_DOWN(""EPS"",""1M"",+1,0,,,""PORTAGG"",""MEANR"")")</f>
        <v>36</v>
      </c>
      <c r="G23" cm="1">
        <f t="array" ref="G23">_xll.FDS(A23,"SIZE(FG_CONSTITUENTS)")</f>
        <v>51</v>
      </c>
      <c r="H23" s="9">
        <f t="shared" ref="H23" si="24">E23/$G23</f>
        <v>0.23529411764705882</v>
      </c>
      <c r="I23" s="9">
        <f t="shared" ref="I23" si="25">F23/$G23</f>
        <v>0.70588235294117652</v>
      </c>
      <c r="J23" s="9">
        <f t="shared" ref="J23" si="26">H23-I23</f>
        <v>-0.4705882352941177</v>
      </c>
      <c r="K23" s="5" cm="1">
        <f t="array" ref="K23">_xll.FDS(A23,"FMA_PCT_ABOVE_MAVG(200,0,,,,""PORTAGG"")")/100</f>
        <v>0.47058823529411797</v>
      </c>
      <c r="L23" s="41" cm="1">
        <f t="array" ref="L23">_xll.FDSB(A23,"PERCENT_CHANGE(FMA_EPS(+1,0,,,,""PORTAGG"",""MEAN""),FMA_EPS(+1,-1AM,,,,""PORTAGG"",""MEAN""))")</f>
        <v>-1.5245591118444499</v>
      </c>
      <c r="M23" s="41" cm="1">
        <f t="array" ref="M23">_xll.FDSB(A23,"PERCENT_CHANGE(FMA_EPS(+1,0,,,,""PORTAGG"",""MEAN""),FMA_EPS(+1,-3AM,,,,""PORTAGG"",""MEAN""))")</f>
        <v>-2.3916275232648401</v>
      </c>
      <c r="N23" s="3" cm="1">
        <f t="array" ref="N23">_xll.FDS(C23,"FG_TOTAL_RETURNC(0,-1AM)")</f>
        <v>0.2080679</v>
      </c>
      <c r="O23" s="3" cm="1">
        <f t="array" ref="O23">_xll.FDS(C23,"FG_TOTAL_RETURNC(0,-3AM)")</f>
        <v>11.843931</v>
      </c>
      <c r="P23" s="3" cm="1">
        <f t="array" ref="P23">_xll.FDS(C23,"FG_TOTAL_RETURNC(0,-6AM)")</f>
        <v>-4.9655494999999998</v>
      </c>
      <c r="Q23" s="9" cm="1">
        <f t="array" ref="Q23">_xll.FDS(C23,"P_PRICE(0)/P_PRICE_HIGH_PR(0,,,,,,""PRICE"",""INTRA"",""52W"")")</f>
        <v>0.78847409999999996</v>
      </c>
      <c r="R23" s="9" cm="1">
        <f t="array" ref="R23">_xll.FDS(C23,"P_PRICE(0)/P_PRICE_low_PR(0,,,,,,""PRICE"",""INTRA"",""52W"")-1")</f>
        <v>0.15436232</v>
      </c>
      <c r="S23" s="3" cm="1">
        <f t="array" ref="S23">_xll.FDS(C23,"FG_TOTAL_RETURNC(0,-12AM)")</f>
        <v>-15.365266999999999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-0.28598403999999999</v>
      </c>
      <c r="E4" s="9">
        <f>HLOOKUP(B4,'Monthly Returns'!$A$1:$Q$134, 132, FALSE)</f>
        <v>0.12396694214876033</v>
      </c>
      <c r="H4" s="9">
        <f>HLOOKUP(B4,'Yearly returns'!$B$1:$N$140, 133, FALSE)</f>
        <v>0.16528925619834711</v>
      </c>
      <c r="I4" s="9">
        <f>HLOOKUP(B4,'Yearly returns'!$B$1:$N$140, 138, FALSE)</f>
        <v>0.188</v>
      </c>
      <c r="J4" s="183">
        <f>1/E4</f>
        <v>8.0666666666666664</v>
      </c>
      <c r="K4" s="185">
        <f>PERCENTRANK($J$4:$J$16,J4)*100</f>
        <v>41.6</v>
      </c>
      <c r="L4" s="47">
        <f>(1-PERCENTRANK($E$4:$E$16,E4))*100</f>
        <v>50</v>
      </c>
      <c r="M4" s="47">
        <f>(1-PERCENTRANK($H$4:$H$16,H4))*100</f>
        <v>41.7</v>
      </c>
      <c r="N4" s="47">
        <f>(1-PERCENTRANK($I$4:$I$16,I4))*100</f>
        <v>100</v>
      </c>
      <c r="P4">
        <f>L4*Assumption!$E$53 + M4*Assumption!$F$53 + N4*Assumption!$G$53</f>
        <v>72.924999999999997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-0.40295906000000004</v>
      </c>
      <c r="E5" s="9">
        <f>HLOOKUP(B5,'Monthly Returns'!$A$1:$Q$134, 132, FALSE)</f>
        <v>0.12396694214876033</v>
      </c>
      <c r="H5" s="9">
        <f>HLOOKUP(B5,'Yearly returns'!$B$1:$N$140, 133, FALSE)</f>
        <v>0.15702479338842976</v>
      </c>
      <c r="I5" s="9">
        <f>HLOOKUP(B5,'Yearly returns'!$B$1:$N$140, 138, FALSE)</f>
        <v>0.47499999999999998</v>
      </c>
      <c r="J5" s="183">
        <f t="shared" ref="J5:J16" si="0">1/E5</f>
        <v>8.0666666666666664</v>
      </c>
      <c r="K5" s="185">
        <f t="shared" ref="K5:K16" si="1">PERCENTRANK($J$4:$J$16,J5)*100</f>
        <v>41.6</v>
      </c>
      <c r="L5" s="47">
        <f t="shared" ref="L5:L16" si="2">(1-PERCENTRANK($E$4:$E$16,E5))*100</f>
        <v>50</v>
      </c>
      <c r="M5" s="47">
        <f t="shared" ref="M5:M16" si="3">(1-PERCENTRANK($H$4:$H$16,H5))*100</f>
        <v>50</v>
      </c>
      <c r="N5" s="47">
        <f t="shared" ref="N5:N16" si="4">(1-PERCENTRANK($I$4:$I$16,I5))*100</f>
        <v>83.399999999999991</v>
      </c>
      <c r="P5">
        <f>L5*Assumption!$E$53 + M5*Assumption!$F$53 + N5*Assumption!$G$53</f>
        <v>66.699999999999989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-0.38990826000000001</v>
      </c>
      <c r="E6" s="9">
        <f>HLOOKUP(B6,'Monthly Returns'!$A$1:$Q$134, 132, FALSE)</f>
        <v>0.1487603305785124</v>
      </c>
      <c r="H6" s="9">
        <f>HLOOKUP(B6,'Yearly returns'!$B$1:$N$140, 133, FALSE)</f>
        <v>0.17355371900826447</v>
      </c>
      <c r="I6" s="9">
        <f>HLOOKUP(B6,'Yearly returns'!$B$1:$N$140, 138, FALSE)</f>
        <v>0.53200000000000003</v>
      </c>
      <c r="J6" s="183">
        <f t="shared" si="0"/>
        <v>6.7222222222222223</v>
      </c>
      <c r="K6" s="185">
        <f t="shared" si="1"/>
        <v>8.3000000000000007</v>
      </c>
      <c r="L6" s="47">
        <f t="shared" si="2"/>
        <v>16.700000000000003</v>
      </c>
      <c r="M6" s="47">
        <f t="shared" si="3"/>
        <v>33.4</v>
      </c>
      <c r="N6" s="47">
        <f t="shared" si="4"/>
        <v>66.7</v>
      </c>
      <c r="P6">
        <f>L6*Assumption!$E$53 + M6*Assumption!$F$53 + N6*Assumption!$G$53</f>
        <v>45.875</v>
      </c>
      <c r="R6" cm="1">
        <f t="array" ref="R6">_xlfn.PERCENTRANK.EXC(_xlfn._xlws.FILTER(P$4:P$16, ISNUMBER(P$4:P$16)),P6)*100</f>
        <v>50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-0.38274554999999999</v>
      </c>
      <c r="E7" s="9">
        <f>HLOOKUP(B7,'Monthly Returns'!$A$1:$Q$134, 132, FALSE)</f>
        <v>0.1487603305785124</v>
      </c>
      <c r="H7" s="9">
        <f>HLOOKUP(B7,'Yearly returns'!$B$1:$N$140, 133, FALSE)</f>
        <v>0.24793388429752067</v>
      </c>
      <c r="I7" s="9">
        <f>HLOOKUP(B7,'Yearly returns'!$B$1:$N$140, 138, FALSE)</f>
        <v>0.54</v>
      </c>
      <c r="J7" s="183">
        <f t="shared" si="0"/>
        <v>6.7222222222222223</v>
      </c>
      <c r="K7" s="185">
        <f t="shared" si="1"/>
        <v>8.3000000000000007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58.400000000000006</v>
      </c>
      <c r="P7">
        <f>L7*Assumption!$E$53 + M7*Assumption!$F$53 + N7*Assumption!$G$53</f>
        <v>35.475000000000001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-0.22924624999999998</v>
      </c>
      <c r="E8" s="9">
        <f>HLOOKUP(B8,'Monthly Returns'!$A$1:$Q$134, 132, FALSE)</f>
        <v>0.10743801652892562</v>
      </c>
      <c r="H8" s="9">
        <f>HLOOKUP(B8,'Yearly returns'!$B$1:$N$140, 133, FALSE)</f>
        <v>0.12396694214876033</v>
      </c>
      <c r="I8" s="9">
        <f>HLOOKUP(B8,'Yearly returns'!$B$1:$N$140, 138, FALSE)</f>
        <v>0.72099999999999997</v>
      </c>
      <c r="J8" s="183">
        <f t="shared" si="0"/>
        <v>9.3076923076923066</v>
      </c>
      <c r="K8" s="185">
        <f t="shared" si="1"/>
        <v>66.600000000000009</v>
      </c>
      <c r="L8" s="47">
        <f t="shared" si="2"/>
        <v>75</v>
      </c>
      <c r="M8" s="47">
        <f t="shared" si="3"/>
        <v>66.7</v>
      </c>
      <c r="N8" s="47">
        <f t="shared" si="4"/>
        <v>16.700000000000003</v>
      </c>
      <c r="P8">
        <f>L8*Assumption!$E$53 + M8*Assumption!$F$53 + N8*Assumption!$G$53</f>
        <v>43.774999999999999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-0.25172990000000001</v>
      </c>
      <c r="E9" s="9">
        <f>HLOOKUP(B9,'Monthly Returns'!$A$1:$Q$134, 132, FALSE)</f>
        <v>9.9173553719008267E-2</v>
      </c>
      <c r="H9" s="9">
        <f>HLOOKUP(B9,'Yearly returns'!$B$1:$N$140, 133, FALSE)</f>
        <v>9.9173553719008267E-2</v>
      </c>
      <c r="I9" s="9">
        <f>HLOOKUP(B9,'Yearly returns'!$B$1:$N$140, 138, FALSE)</f>
        <v>0.26200000000000001</v>
      </c>
      <c r="J9" s="183">
        <f t="shared" si="0"/>
        <v>10.083333333333334</v>
      </c>
      <c r="K9" s="185">
        <f t="shared" si="1"/>
        <v>83.3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87.55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-0.38217334999999997</v>
      </c>
      <c r="E10" s="9">
        <f>HLOOKUP(B10,'Monthly Returns'!$A$1:$Q$134, 132, FALSE)</f>
        <v>9.0909090909090912E-2</v>
      </c>
      <c r="H10" s="9">
        <f>HLOOKUP(B10,'Yearly returns'!$B$1:$N$140, 133, FALSE)</f>
        <v>0.17355371900826447</v>
      </c>
      <c r="I10" s="9">
        <f>HLOOKUP(B10,'Yearly returns'!$B$1:$N$140, 138, FALSE)</f>
        <v>0.54</v>
      </c>
      <c r="J10" s="183">
        <f t="shared" si="0"/>
        <v>11</v>
      </c>
      <c r="K10" s="185">
        <f t="shared" si="1"/>
        <v>91.600000000000009</v>
      </c>
      <c r="L10" s="47">
        <f t="shared" si="2"/>
        <v>91.7</v>
      </c>
      <c r="M10" s="47">
        <f t="shared" si="3"/>
        <v>33.4</v>
      </c>
      <c r="N10" s="47">
        <f t="shared" si="4"/>
        <v>58.400000000000006</v>
      </c>
      <c r="P10">
        <f>L10*Assumption!$E$53 + M10*Assumption!$F$53 + N10*Assumption!$G$53</f>
        <v>60.475000000000001</v>
      </c>
      <c r="R10" cm="1">
        <f t="array" ref="R10">_xlfn.PERCENTRANK.EXC(_xlfn._xlws.FILTER(P$4:P$16, ISNUMBER(P$4:P$16)),P10)*100</f>
        <v>64.2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-0.24764622</v>
      </c>
      <c r="E11" s="9">
        <f>HLOOKUP(B11,'Monthly Returns'!$A$1:$Q$134, 132, FALSE)</f>
        <v>0.10743801652892562</v>
      </c>
      <c r="H11" s="9">
        <f>HLOOKUP(B11,'Yearly returns'!$B$1:$N$140, 133, FALSE)</f>
        <v>7.43801652892562E-2</v>
      </c>
      <c r="I11" s="9">
        <f>HLOOKUP(B11,'Yearly returns'!$B$1:$N$140, 138, FALSE)</f>
        <v>0.77</v>
      </c>
      <c r="J11" s="183">
        <f t="shared" si="0"/>
        <v>9.3076923076923066</v>
      </c>
      <c r="K11" s="185">
        <f t="shared" si="1"/>
        <v>66.600000000000009</v>
      </c>
      <c r="L11" s="47">
        <f t="shared" si="2"/>
        <v>75</v>
      </c>
      <c r="M11" s="47">
        <f t="shared" si="3"/>
        <v>91.7</v>
      </c>
      <c r="N11" s="47">
        <f t="shared" si="4"/>
        <v>8.3999999999999968</v>
      </c>
      <c r="P11">
        <f>L11*Assumption!$E$53 + M11*Assumption!$F$53 + N11*Assumption!$G$53</f>
        <v>45.874999999999993</v>
      </c>
      <c r="R11" cm="1">
        <f t="array" ref="R11">_xlfn.PERCENTRANK.EXC(_xlfn._xlws.FILTER(P$4:P$16, ISNUMBER(P$4:P$16)),P11)*100</f>
        <v>42.8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-0.28726279999999998</v>
      </c>
      <c r="E12" s="9">
        <f>HLOOKUP(B12,'Monthly Returns'!$A$1:$Q$134, 132, FALSE)</f>
        <v>6.6115702479338845E-2</v>
      </c>
      <c r="H12" s="9">
        <f>HLOOKUP(B12,'Yearly returns'!$B$1:$N$140, 133, FALSE)</f>
        <v>6.6115702479338845E-2</v>
      </c>
      <c r="I12" s="9">
        <f>HLOOKUP(B12,'Yearly returns'!$B$1:$N$140, 138, FALSE)</f>
        <v>0.80300000000000005</v>
      </c>
      <c r="J12" s="183">
        <f t="shared" si="0"/>
        <v>15.125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-0.37775700000000001</v>
      </c>
      <c r="E13" s="9">
        <f>HLOOKUP(B13,'Monthly Returns'!$A$1:$Q$134, 132, FALSE)</f>
        <v>0.11570247933884298</v>
      </c>
      <c r="H13" s="9">
        <f>HLOOKUP(B13,'Yearly returns'!$B$1:$N$140, 133, FALSE)</f>
        <v>0.14049586776859505</v>
      </c>
      <c r="I13" s="9">
        <f>HLOOKUP(B13,'Yearly returns'!$B$1:$N$140, 138, FALSE)</f>
        <v>0.51600000000000001</v>
      </c>
      <c r="J13" s="183">
        <f t="shared" si="0"/>
        <v>8.6428571428571423</v>
      </c>
      <c r="K13" s="185">
        <f t="shared" si="1"/>
        <v>58.3</v>
      </c>
      <c r="L13" s="47">
        <f t="shared" si="2"/>
        <v>58.400000000000006</v>
      </c>
      <c r="M13" s="47">
        <f t="shared" si="3"/>
        <v>58.400000000000006</v>
      </c>
      <c r="N13" s="47">
        <f t="shared" si="4"/>
        <v>75</v>
      </c>
      <c r="P13">
        <f>L13*Assumption!$E$53 + M13*Assumption!$F$53 + N13*Assumption!$G$53</f>
        <v>66.7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-0.34396014999999996</v>
      </c>
      <c r="E14" s="9">
        <f>HLOOKUP(B14,'Monthly Returns'!$A$1:$Q$134, 132, FALSE)</f>
        <v>0.13223140495867769</v>
      </c>
      <c r="H14" s="9">
        <f>HLOOKUP(B14,'Yearly returns'!$B$1:$N$140, 133, FALSE)</f>
        <v>0.10743801652892562</v>
      </c>
      <c r="I14" s="9">
        <f>HLOOKUP(B14,'Yearly returns'!$B$1:$N$140, 138, FALSE)</f>
        <v>0.59799999999999998</v>
      </c>
      <c r="J14" s="183">
        <f t="shared" si="0"/>
        <v>7.5625</v>
      </c>
      <c r="K14" s="185">
        <f t="shared" si="1"/>
        <v>33.300000000000004</v>
      </c>
      <c r="L14" s="47">
        <f t="shared" si="2"/>
        <v>33.4</v>
      </c>
      <c r="M14" s="47">
        <f t="shared" si="3"/>
        <v>75</v>
      </c>
      <c r="N14" s="47">
        <f t="shared" si="4"/>
        <v>33.4</v>
      </c>
      <c r="P14">
        <f>L14*Assumption!$E$53 + M14*Assumption!$F$53 + N14*Assumption!$G$53</f>
        <v>43.8</v>
      </c>
      <c r="R14" cm="1">
        <f t="array" ref="R14">_xlfn.PERCENTRANK.EXC(_xlfn._xlws.FILTER(P$4:P$16, ISNUMBER(P$4:P$16)),P14)*100</f>
        <v>35.699999999999996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-0.33958893000000001</v>
      </c>
      <c r="E15" s="9">
        <f>HLOOKUP(B15,'Monthly Returns'!$A$1:$Q$134, 132, FALSE)</f>
        <v>0.14049586776859505</v>
      </c>
      <c r="H15" s="9">
        <f>HLOOKUP(B15,'Yearly returns'!$B$1:$N$140, 133, FALSE)</f>
        <v>0.19008264462809918</v>
      </c>
      <c r="I15" s="9">
        <f>HLOOKUP(B15,'Yearly returns'!$B$1:$N$140, 138, FALSE)</f>
        <v>0.57299999999999995</v>
      </c>
      <c r="J15" s="183">
        <f t="shared" si="0"/>
        <v>7.117647058823529</v>
      </c>
      <c r="K15" s="185">
        <f t="shared" si="1"/>
        <v>25</v>
      </c>
      <c r="L15" s="47">
        <f t="shared" si="2"/>
        <v>25</v>
      </c>
      <c r="M15" s="47">
        <f t="shared" si="3"/>
        <v>16.700000000000003</v>
      </c>
      <c r="N15" s="47">
        <f t="shared" si="4"/>
        <v>41.7</v>
      </c>
      <c r="P15">
        <f>L15*Assumption!$E$53 + M15*Assumption!$F$53 + N15*Assumption!$G$53</f>
        <v>31.275000000000002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-0.39233820000000003</v>
      </c>
      <c r="E16" s="9">
        <f>HLOOKUP(B16,'Monthly Returns'!$A$1:$Q$134, 132, FALSE)</f>
        <v>0.17355371900826447</v>
      </c>
      <c r="H16" s="9">
        <f>HLOOKUP(B16,'Yearly returns'!$B$1:$N$140, 133, FALSE)</f>
        <v>0.28925619834710742</v>
      </c>
      <c r="I16" s="9">
        <f>HLOOKUP(B16,'Yearly returns'!$B$1:$N$140, 138, FALSE)</f>
        <v>0.67200000000000004</v>
      </c>
      <c r="J16" s="183">
        <f t="shared" si="0"/>
        <v>5.7619047619047619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0.311</v>
      </c>
      <c r="G5" s="141" cm="1">
        <f t="array" ref="G5">_xll.FDSZ(C5,"FG_PRICE(0)")</f>
        <v>44</v>
      </c>
      <c r="H5" s="141" cm="1">
        <f t="array" ref="H5">_xll.FDSZ(C5,"FG_PRICE_MAVG(0,,,,30)")</f>
        <v>45.284590000000001</v>
      </c>
      <c r="I5" s="141" cm="1">
        <f t="array" ref="I5">_xll.FDSZ(C5,"FG_PRICE_MAVG(0,,,,60)")</f>
        <v>45.576630000000002</v>
      </c>
      <c r="J5" s="141" cm="1">
        <f t="array" ref="J5">_xll.FDSZ(C5,"FG_PRICE_MAVG(0,,,,200)")</f>
        <v>45.894863000000001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839</v>
      </c>
      <c r="S5" s="7" cm="1">
        <f t="array" ref="S5">_xll.FDSZ($R5,"FG_PRICE(0)")</f>
        <v>375.87277</v>
      </c>
      <c r="T5" s="7" cm="1">
        <f t="array" ref="T5">_xll.FDSZ($R5,"FG_PRICE(0)")</f>
        <v>375.87277</v>
      </c>
      <c r="U5" s="7" cm="1">
        <f t="array" ref="U5">_xll.FDSZ($R5,"FG_PRICE(0)")</f>
        <v>375.87277</v>
      </c>
      <c r="V5" s="7" cm="1">
        <f t="array" ref="V5">_xll.FDSZ($R5,"FG_PRICE(0)")</f>
        <v>375.87277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0.22900000000000001</v>
      </c>
      <c r="G6" s="141" cm="1">
        <f t="array" ref="G6">_xll.FDSZ(C6,"FG_PRICE(0)")</f>
        <v>23.3</v>
      </c>
      <c r="H6" s="141" cm="1">
        <f t="array" ref="H6">_xll.FDSZ(C6,"FG_PRICE_MAVG(0,,,,30)")</f>
        <v>24.295666000000001</v>
      </c>
      <c r="I6" s="141" cm="1">
        <f t="array" ref="I6">_xll.FDSZ(C6,"FG_PRICE_MAVG(0,,,,60)")</f>
        <v>24.010334</v>
      </c>
      <c r="J6" s="141" cm="1">
        <f t="array" ref="J6">_xll.FDSZ(C6,"FG_PRICE_MAVG(0,,,,200)")</f>
        <v>22.848099999999999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344.21947999999998</v>
      </c>
      <c r="T6" s="7" cm="1">
        <f t="array" ref="T6">_xll.FDSZ($R6,"FG_PRICE(0)")</f>
        <v>344.21947999999998</v>
      </c>
      <c r="U6" s="7" cm="1">
        <f t="array" ref="U6">_xll.FDSZ($R6,"FG_PRICE(0)")</f>
        <v>344.21947999999998</v>
      </c>
      <c r="V6" s="7" cm="1">
        <f t="array" ref="V6">_xll.FDSZ($R6,"FG_PRICE(0)")</f>
        <v>344.21947999999998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0.254</v>
      </c>
      <c r="G7" s="141" cm="1">
        <f t="array" ref="G7">_xll.FDSZ(C7,"FG_PRICE(0)")</f>
        <v>36.85</v>
      </c>
      <c r="H7" s="141" cm="1">
        <f t="array" ref="H7">_xll.FDSZ(C7,"FG_PRICE_MAVG(0,,,,30)")</f>
        <v>37.793334999999999</v>
      </c>
      <c r="I7" s="141" cm="1">
        <f t="array" ref="I7">_xll.FDSZ(C7,"FG_PRICE_MAVG(0,,,,60)")</f>
        <v>37.157499999999999</v>
      </c>
      <c r="J7" s="141" cm="1">
        <f t="array" ref="J7">_xll.FDSZ(C7,"FG_PRICE_MAVG(0,,,,200)")</f>
        <v>35.339799999999997</v>
      </c>
      <c r="L7">
        <f t="shared" si="0"/>
        <v>0</v>
      </c>
      <c r="M7">
        <f t="shared" si="1"/>
        <v>0</v>
      </c>
      <c r="N7">
        <f t="shared" si="2"/>
        <v>1</v>
      </c>
      <c r="P7">
        <f t="shared" si="3"/>
        <v>1</v>
      </c>
      <c r="R7" t="s">
        <v>841</v>
      </c>
      <c r="S7" s="7" cm="1">
        <f t="array" ref="S7">_xll.FDSZ($R7,"FG_PRICE(0)")</f>
        <v>283.33071999999999</v>
      </c>
      <c r="T7" s="7" cm="1">
        <f t="array" ref="T7">_xll.FDSZ($R7,"FG_PRICE(0)")</f>
        <v>283.33071999999999</v>
      </c>
      <c r="U7" s="7" cm="1">
        <f t="array" ref="U7">_xll.FDSZ($R7,"FG_PRICE(0)")</f>
        <v>283.33071999999999</v>
      </c>
      <c r="V7" s="7" cm="1">
        <f t="array" ref="V7">_xll.FDSZ($R7,"FG_PRICE(0)")</f>
        <v>283.33071999999999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0.21299999999999999</v>
      </c>
      <c r="G8" s="141" cm="1">
        <f t="array" ref="G8">_xll.FDSZ(C8,"FG_PRICE(0)")</f>
        <v>30.04</v>
      </c>
      <c r="H8" s="141" cm="1">
        <f t="array" ref="H8">_xll.FDSZ(C8,"FG_PRICE_MAVG(0,,,,30)")</f>
        <v>31.136666999999999</v>
      </c>
      <c r="I8" s="141" cm="1">
        <f t="array" ref="I8">_xll.FDSZ(C8,"FG_PRICE_MAVG(0,,,,60)")</f>
        <v>30.431000000000001</v>
      </c>
      <c r="J8" s="141" cm="1">
        <f t="array" ref="J8">_xll.FDSZ(C8,"FG_PRICE_MAVG(0,,,,200)")</f>
        <v>28.535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9.2450880000000009</v>
      </c>
      <c r="T8" s="7" cm="1">
        <f t="array" ref="T8">_xll.FDSZ($R8,"FG_PRICE(0)")</f>
        <v>9.2450880000000009</v>
      </c>
      <c r="U8" s="7" cm="1">
        <f t="array" ref="U8">_xll.FDSZ($R8,"FG_PRICE(0)")</f>
        <v>9.2450880000000009</v>
      </c>
      <c r="V8" s="7" cm="1">
        <f t="array" ref="V8">_xll.FDSZ($R8,"FG_PRICE(0)")</f>
        <v>9.2450880000000009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9.8000000000000004E-2</v>
      </c>
      <c r="G9" s="141" cm="1">
        <f t="array" ref="G9">_xll.FDSZ(C9,"FG_PRICE(0)")</f>
        <v>66.89</v>
      </c>
      <c r="H9" s="141" cm="1">
        <f t="array" ref="H9">_xll.FDSZ(C9,"FG_PRICE_MAVG(0,,,,30)")</f>
        <v>70.062330000000003</v>
      </c>
      <c r="I9" s="141" cm="1">
        <f t="array" ref="I9">_xll.FDSZ(C9,"FG_PRICE_MAVG(0,,,,60)")</f>
        <v>68.842330000000004</v>
      </c>
      <c r="J9" s="141" cm="1">
        <f t="array" ref="J9">_xll.FDSZ(C9,"FG_PRICE_MAVG(0,,,,200)")</f>
        <v>63.917349999999999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171.00948</v>
      </c>
      <c r="T9" s="7" cm="1">
        <f t="array" ref="T9">_xll.FDSZ($R9,"FG_PRICE(0)")</f>
        <v>171.00948</v>
      </c>
      <c r="U9" s="7" cm="1">
        <f t="array" ref="U9">_xll.FDSZ($R9,"FG_PRICE(0)")</f>
        <v>171.00948</v>
      </c>
      <c r="V9" s="7" cm="1">
        <f t="array" ref="V9">_xll.FDSZ($R9,"FG_PRICE(0)")</f>
        <v>171.00948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7.2999999999999995E-2</v>
      </c>
      <c r="G10" s="141" cm="1">
        <f t="array" ref="G10">_xll.FDSZ(C10,"FG_PRICE(0)")</f>
        <v>45.18</v>
      </c>
      <c r="H10" s="141" cm="1">
        <f t="array" ref="H10">_xll.FDSZ(C10,"FG_PRICE_MAVG(0,,,,30)")</f>
        <v>47.113999999999997</v>
      </c>
      <c r="I10" s="141" cm="1">
        <f t="array" ref="I10">_xll.FDSZ(C10,"FG_PRICE_MAVG(0,,,,60)")</f>
        <v>47.094665999999997</v>
      </c>
      <c r="J10" s="141" cm="1">
        <f t="array" ref="J10">_xll.FDSZ(C10,"FG_PRICE_MAVG(0,,,,200)")</f>
        <v>45.9514</v>
      </c>
      <c r="L10">
        <f t="shared" si="0"/>
        <v>0</v>
      </c>
      <c r="M10">
        <f t="shared" si="1"/>
        <v>0</v>
      </c>
      <c r="N10">
        <f t="shared" si="2"/>
        <v>0</v>
      </c>
      <c r="P10">
        <f t="shared" si="3"/>
        <v>0</v>
      </c>
      <c r="R10" t="s">
        <v>843</v>
      </c>
      <c r="S10" s="7" cm="1">
        <f t="array" ref="S10">_xll.FDSZ($R10,"FG_PRICE(0)")</f>
        <v>308.49005</v>
      </c>
      <c r="T10" s="7" cm="1">
        <f t="array" ref="T10">_xll.FDSZ($R10,"FG_PRICE(0)")</f>
        <v>308.49005</v>
      </c>
      <c r="U10" s="7" cm="1">
        <f t="array" ref="U10">_xll.FDSZ($R10,"FG_PRICE(0)")</f>
        <v>308.49005</v>
      </c>
      <c r="V10" s="7" cm="1">
        <f t="array" ref="V10">_xll.FDSZ($R10,"FG_PRICE(0)")</f>
        <v>308.49005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0.45900000000000002</v>
      </c>
      <c r="G11" s="141" cm="1">
        <f t="array" ref="G11">_xll.FDSZ(C11,"FG_PRICE(0)")</f>
        <v>33.33</v>
      </c>
      <c r="H11" s="141" cm="1">
        <f t="array" ref="H11">_xll.FDSZ(C11,"FG_PRICE_MAVG(0,,,,30)")</f>
        <v>33.777999999999999</v>
      </c>
      <c r="I11" s="141" cm="1">
        <f t="array" ref="I11">_xll.FDSZ(C11,"FG_PRICE_MAVG(0,,,,60)")</f>
        <v>33.174835000000002</v>
      </c>
      <c r="J11" s="141" cm="1">
        <f t="array" ref="J11">_xll.FDSZ(C11,"FG_PRICE_MAVG(0,,,,200)")</f>
        <v>32.42295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119.72414999999999</v>
      </c>
      <c r="T11" s="7" cm="1">
        <f t="array" ref="T11">_xll.FDSZ($R11,"FG_PRICE(0)")</f>
        <v>119.72414999999999</v>
      </c>
      <c r="U11" s="7" cm="1">
        <f t="array" ref="U11">_xll.FDSZ($R11,"FG_PRICE(0)")</f>
        <v>119.72414999999999</v>
      </c>
      <c r="V11" s="7" cm="1">
        <f t="array" ref="V11">_xll.FDSZ($R11,"FG_PRICE(0)")</f>
        <v>119.72414999999999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0.19600000000000001</v>
      </c>
      <c r="G12" s="141" cm="1">
        <f t="array" ref="G12">_xll.FDSZ(C12,"FG_PRICE(0)")</f>
        <v>423.41</v>
      </c>
      <c r="H12" s="141" cm="1">
        <f t="array" ref="H12">_xll.FDSZ(C12,"FG_PRICE_MAVG(0,,,,30)")</f>
        <v>439.60131999999999</v>
      </c>
      <c r="I12" s="141" cm="1">
        <f t="array" ref="I12">_xll.FDSZ(C12,"FG_PRICE_MAVG(0,,,,60)")</f>
        <v>435.76781999999997</v>
      </c>
      <c r="J12" s="141" cm="1">
        <f t="array" ref="J12">_xll.FDSZ(C12,"FG_PRICE_MAVG(0,,,,200)")</f>
        <v>395.91019999999997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375.73509999999999</v>
      </c>
      <c r="T12" s="7" cm="1">
        <f t="array" ref="T12">_xll.FDSZ($R12,"FG_PRICE(0)")</f>
        <v>375.73509999999999</v>
      </c>
      <c r="U12" s="7" cm="1">
        <f t="array" ref="U12">_xll.FDSZ($R12,"FG_PRICE(0)")</f>
        <v>375.73509999999999</v>
      </c>
      <c r="V12" s="7" cm="1">
        <f t="array" ref="V12">_xll.FDSZ($R12,"FG_PRICE(0)")</f>
        <v>375.73509999999999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0.14699999999999999</v>
      </c>
      <c r="G13" s="141" cm="1">
        <f t="array" ref="G13">_xll.FDSZ(C13,"FG_PRICE(0)")</f>
        <v>499.52</v>
      </c>
      <c r="H13" s="141" cm="1">
        <f t="array" ref="H13">_xll.FDSZ(C13,"FG_PRICE_MAVG(0,,,,30)")</f>
        <v>515.11969999999997</v>
      </c>
      <c r="I13" s="141" cm="1">
        <f t="array" ref="I13">_xll.FDSZ(C13,"FG_PRICE_MAVG(0,,,,60)")</f>
        <v>507.01616999999999</v>
      </c>
      <c r="J13" s="141" cm="1">
        <f t="array" ref="J13">_xll.FDSZ(C13,"FG_PRICE_MAVG(0,,,,200)")</f>
        <v>465.95513999999997</v>
      </c>
      <c r="L13">
        <f t="shared" si="0"/>
        <v>0</v>
      </c>
      <c r="M13">
        <f t="shared" si="1"/>
        <v>0</v>
      </c>
      <c r="N13">
        <f t="shared" si="2"/>
        <v>1</v>
      </c>
      <c r="P13">
        <f t="shared" si="3"/>
        <v>1</v>
      </c>
      <c r="R13" t="s">
        <v>845</v>
      </c>
      <c r="S13" s="7" cm="1">
        <f t="array" ref="S13">_xll.FDSZ($R13,"FG_PRICE(0)")</f>
        <v>375.73509999999999</v>
      </c>
      <c r="T13" s="7" cm="1">
        <f t="array" ref="T13">_xll.FDSZ($R13,"FG_PRICE(0)")</f>
        <v>375.73509999999999</v>
      </c>
      <c r="U13" s="7" cm="1">
        <f t="array" ref="U13">_xll.FDSZ($R13,"FG_PRICE(0)")</f>
        <v>375.73509999999999</v>
      </c>
      <c r="V13" s="7" cm="1">
        <f t="array" ref="V13">_xll.FDSZ($R13,"FG_PRICE(0)")</f>
        <v>375.73509999999999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0.16300000000000001</v>
      </c>
      <c r="G14" s="141" cm="1">
        <f t="array" ref="G14">_xll.FDSZ(C14,"FG_PRICE(0)")</f>
        <v>39.81</v>
      </c>
      <c r="H14" s="141" cm="1">
        <f t="array" ref="H14">_xll.FDSZ(C14,"FG_PRICE_MAVG(0,,,,30)")</f>
        <v>40.908999999999999</v>
      </c>
      <c r="I14" s="141" cm="1">
        <f t="array" ref="I14">_xll.FDSZ(C14,"FG_PRICE_MAVG(0,,,,60)")</f>
        <v>40.111499999999999</v>
      </c>
      <c r="J14" s="141" cm="1">
        <f t="array" ref="J14">_xll.FDSZ(C14,"FG_PRICE_MAVG(0,,,,200)")</f>
        <v>38.078772999999998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845</v>
      </c>
      <c r="S14" s="7" cm="1">
        <f t="array" ref="S14">_xll.FDSZ($R14,"FG_PRICE(0)")</f>
        <v>375.73509999999999</v>
      </c>
      <c r="T14" s="7" cm="1">
        <f t="array" ref="T14">_xll.FDSZ($R14,"FG_PRICE(0)")</f>
        <v>375.73509999999999</v>
      </c>
      <c r="U14" s="7" cm="1">
        <f t="array" ref="U14">_xll.FDSZ($R14,"FG_PRICE(0)")</f>
        <v>375.73509999999999</v>
      </c>
      <c r="V14" s="7" cm="1">
        <f t="array" ref="V14">_xll.FDSZ($R14,"FG_PRICE(0)")</f>
        <v>375.73509999999999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0.30299999999999999</v>
      </c>
      <c r="G15" s="141" cm="1">
        <f t="array" ref="G15">_xll.FDSZ(C15,"FG_PRICE(0)")</f>
        <v>47.21</v>
      </c>
      <c r="H15" s="141" cm="1">
        <f t="array" ref="H15">_xll.FDSZ(C15,"FG_PRICE_MAVG(0,,,,30)")</f>
        <v>48.970999999999997</v>
      </c>
      <c r="I15" s="141" cm="1">
        <f t="array" ref="I15">_xll.FDSZ(C15,"FG_PRICE_MAVG(0,,,,60)")</f>
        <v>47.928417000000003</v>
      </c>
      <c r="J15" s="141" cm="1">
        <f t="array" ref="J15">_xll.FDSZ(C15,"FG_PRICE_MAVG(0,,,,200)")</f>
        <v>43.36448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375.73509999999999</v>
      </c>
      <c r="T15" s="7" cm="1">
        <f t="array" ref="T15">_xll.FDSZ($R15,"FG_PRICE(0)")</f>
        <v>375.73509999999999</v>
      </c>
      <c r="U15" s="7" cm="1">
        <f t="array" ref="U15">_xll.FDSZ($R15,"FG_PRICE(0)")</f>
        <v>375.73509999999999</v>
      </c>
      <c r="V15" s="7" cm="1">
        <f t="array" ref="V15">_xll.FDSZ($R15,"FG_PRICE(0)")</f>
        <v>375.73509999999999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0.16300000000000001</v>
      </c>
      <c r="G16" s="141" cm="1">
        <f t="array" ref="G16">_xll.FDSZ(C16,"FG_PRICE(0)")</f>
        <v>38.39</v>
      </c>
      <c r="H16" s="141" cm="1">
        <f t="array" ref="H16">_xll.FDSZ(C16,"FG_PRICE_MAVG(0,,,,30)")</f>
        <v>40.119999999999997</v>
      </c>
      <c r="I16" s="141" cm="1">
        <f t="array" ref="I16">_xll.FDSZ(C16,"FG_PRICE_MAVG(0,,,,60)")</f>
        <v>39.195329999999998</v>
      </c>
      <c r="J16" s="141" cm="1">
        <f t="array" ref="J16">_xll.FDSZ(C16,"FG_PRICE_MAVG(0,,,,200)")</f>
        <v>36.128549999999997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375.73509999999999</v>
      </c>
      <c r="T16" s="7" cm="1">
        <f t="array" ref="T16">_xll.FDSZ($R16,"FG_PRICE(0)")</f>
        <v>375.73509999999999</v>
      </c>
      <c r="U16" s="7" cm="1">
        <f t="array" ref="U16">_xll.FDSZ($R16,"FG_PRICE(0)")</f>
        <v>375.73509999999999</v>
      </c>
      <c r="V16" s="7" cm="1">
        <f t="array" ref="V16">_xll.FDSZ($R16,"FG_PRICE(0)")</f>
        <v>375.73509999999999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0.311</v>
      </c>
      <c r="G17" s="141" cm="1">
        <f t="array" ref="G17">_xll.FDSZ(C17,"FG_PRICE(0)")</f>
        <v>36.1</v>
      </c>
      <c r="H17" s="141" cm="1">
        <f t="array" ref="H17">_xll.FDSZ(C17,"FG_PRICE_MAVG(0,,,,30)")</f>
        <v>37.035330000000002</v>
      </c>
      <c r="I17" s="141" cm="1">
        <f t="array" ref="I17">_xll.FDSZ(C17,"FG_PRICE_MAVG(0,,,,60)")</f>
        <v>35.772500000000001</v>
      </c>
      <c r="J17" s="141" cm="1">
        <f t="array" ref="J17">_xll.FDSZ(C17,"FG_PRICE_MAVG(0,,,,200)")</f>
        <v>33.123849999999997</v>
      </c>
      <c r="L17">
        <f t="shared" si="0"/>
        <v>0</v>
      </c>
      <c r="M17">
        <f t="shared" si="1"/>
        <v>1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375.73509999999999</v>
      </c>
      <c r="T17" s="7" cm="1">
        <f t="array" ref="T17">_xll.FDSZ($R17,"FG_PRICE(0)")</f>
        <v>375.73509999999999</v>
      </c>
      <c r="U17" s="7" cm="1">
        <f t="array" ref="U17">_xll.FDSZ($R17,"FG_PRICE(0)")</f>
        <v>375.73509999999999</v>
      </c>
      <c r="V17" s="7" cm="1">
        <f t="array" ref="V17">_xll.FDSZ($R17,"FG_PRICE(0)")</f>
        <v>375.73509999999999</v>
      </c>
    </row>
    <row r="19" spans="1:22" x14ac:dyDescent="0.35">
      <c r="K19" s="1" t="s">
        <v>906</v>
      </c>
      <c r="L19" s="1">
        <f>SUM(L5:L17)</f>
        <v>0</v>
      </c>
      <c r="M19" s="1">
        <f t="shared" ref="M19:N19" si="4">SUM(M5:M17)</f>
        <v>2</v>
      </c>
      <c r="N19" s="1">
        <f t="shared" si="4"/>
        <v>11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</v>
      </c>
      <c r="M22" s="182">
        <f t="shared" ref="M22:N22" si="6">M19/M20</f>
        <v>0.15384615384615385</v>
      </c>
      <c r="N22" s="182">
        <f t="shared" si="6"/>
        <v>0.84615384615384615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107.95</v>
      </c>
      <c r="D3" cm="1">
        <f t="array" ref="D3">_xll.FDS($A3,"FG_PRICE_MAVG(0,,,,30)")</f>
        <v>108.05067</v>
      </c>
      <c r="E3" s="47" cm="1">
        <f t="array" ref="E3">_xll.FDS($A3,"FG_PRICE_CHANGE(0,-1AM)")</f>
        <v>-2.28116230650856</v>
      </c>
      <c r="F3" s="47" cm="1">
        <f t="array" ref="F3">_xll.FDS($A3,"FG_PRICE_CHANGE(0,-3AM)")</f>
        <v>-20.6716637272193</v>
      </c>
      <c r="G3" s="47" cm="1">
        <f t="array" ref="G3">_xll.FDS($A3,"FG_PRICE_CHANGE(0,-6AM)")</f>
        <v>-9.2933366943954301</v>
      </c>
      <c r="H3" s="47" cm="1">
        <f t="array" ref="H3">_xll.FDS($A3,"FG_PRICE_CHANGE(0,-1AY)")</f>
        <v>-10.2958284859565</v>
      </c>
      <c r="I3" s="47" cm="1">
        <f t="array" ref="I3">_xll.FDS($A3,"FG_PRICE(0)/MAX(FG_PRICE(0,-1AY))")</f>
        <v>0.74882075471698095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4.4405000000000001</v>
      </c>
      <c r="D4" cm="1">
        <f t="array" ref="D4">_xll.FDS($A4,"FG_PRICE_MAVG(0,,,,30)")</f>
        <v>4.1241329999999996</v>
      </c>
      <c r="E4" s="47" cm="1">
        <f t="array" ref="E4">_xll.FDS($A4,"FG_PRICE_CHANGE(0,-1AM)")</f>
        <v>7.92319844452547</v>
      </c>
      <c r="F4" s="47" cm="1">
        <f t="array" ref="F4">_xll.FDS($A4,"FG_PRICE_CHANGE(0,-3AM)")</f>
        <v>18.571428571428601</v>
      </c>
      <c r="G4" s="47" cm="1">
        <f t="array" ref="G4">_xll.FDS($A4,"FG_PRICE_CHANGE(0,-6AM)")</f>
        <v>23.967057509771099</v>
      </c>
      <c r="H4" s="47" cm="1">
        <f t="array" ref="H4">_xll.FDS($A4,"FG_PRICE_CHANGE(0,-1AY)")</f>
        <v>8.5829563516322196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-9.5544085115348203</v>
      </c>
      <c r="H5" s="47" cm="1">
        <f t="array" ref="H5">_xll.FDS($A5,"FG_PRICE_CHANGE(0,-1AY)")</f>
        <v>-2.5646845211075902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5.3674999999999997</v>
      </c>
      <c r="D6" cm="1">
        <f t="array" ref="D6">_xll.FDS($A6,"FG_PRICE_MAVG(0,,,,30)")</f>
        <v>5.4651665999999999</v>
      </c>
      <c r="E6" s="47" cm="1">
        <f t="array" ref="E6">_xll.FDS($A6,"FG_PRICE_CHANGE(0,-1AM)")</f>
        <v>-1.10548134500231</v>
      </c>
      <c r="F6" s="47" cm="1">
        <f t="array" ref="F6">_xll.FDS($A6,"FG_PRICE_CHANGE(0,-3AM)")</f>
        <v>-8.3262169086251205</v>
      </c>
      <c r="G6" s="47" cm="1">
        <f t="array" ref="G6">_xll.FDS($A6,"FG_PRICE_CHANGE(0,-6AM)")</f>
        <v>-7.4967686342094098</v>
      </c>
      <c r="H6" s="47" cm="1">
        <f t="array" ref="H6">_xll.FDS($A6,"FG_PRICE_CHANGE(0,-1AY)")</f>
        <v>-23.101719197707698</v>
      </c>
      <c r="I6" s="47" cm="1">
        <f t="array" ref="I6">_xll.FDS($A6,"FG_PRICE(0)/MAX(FG_PRICE(0,-1AY))")</f>
        <v>0.70601775731667205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4125</v>
      </c>
      <c r="D7" cm="1">
        <f t="array" ref="D7">_xll.FDS($A7,"FG_PRICE_MAVG(0,,,,30)")</f>
        <v>4351.5330000000004</v>
      </c>
      <c r="E7" s="47" cm="1">
        <f t="array" ref="E7">_xll.FDS($A7,"FG_PRICE_CHANGE(0,-1AM)")</f>
        <v>-4.6463245492371703</v>
      </c>
      <c r="F7" s="47" cm="1">
        <f t="array" ref="F7">_xll.FDS($A7,"FG_PRICE_CHANGE(0,-3AM)")</f>
        <v>4.9885467039959304</v>
      </c>
      <c r="G7" s="47" cm="1">
        <f t="array" ref="G7">_xll.FDS($A7,"FG_PRICE_CHANGE(0,-6AM)")</f>
        <v>9.4454762536481809</v>
      </c>
      <c r="H7" s="47" cm="1">
        <f t="array" ref="H7">_xll.FDS($A7,"FG_PRICE_CHANGE(0,-1AY)")</f>
        <v>-0.36231884057971198</v>
      </c>
      <c r="I7" s="47" cm="1">
        <f t="array" ref="I7">_xll.FDS($A7,"FG_PRICE(0)/MAX(FG_PRICE(0,-1AY))")</f>
        <v>0.90085171434811095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945</v>
      </c>
      <c r="D8" cm="1">
        <f t="array" ref="D8">_xll.FDS($A8,"FG_PRICE_MAVG(0,,,,30)")</f>
        <v>938.13336000000004</v>
      </c>
      <c r="E8" s="47" cm="1">
        <f t="array" ref="E8">_xll.FDS($A8,"FG_PRICE_CHANGE(0,-1AM)")</f>
        <v>1.0695187165775399</v>
      </c>
      <c r="F8" s="47" cm="1">
        <f t="array" ref="F8">_xll.FDS($A8,"FG_PRICE_CHANGE(0,-3AM)")</f>
        <v>5</v>
      </c>
      <c r="G8" s="47" cm="1">
        <f t="array" ref="G8">_xll.FDS($A8,"FG_PRICE_CHANGE(0,-6AM)")</f>
        <v>4.4198895027624401</v>
      </c>
      <c r="H8" s="47" cm="1">
        <f t="array" ref="H8">_xll.FDS($A8,"FG_PRICE_CHANGE(0,-1AY)")</f>
        <v>-12.5</v>
      </c>
      <c r="I8" s="47" cm="1">
        <f t="array" ref="I8">_xll.FDS($A8,"FG_PRICE(0)/MAX(FG_PRICE(0,-1AY))")</f>
        <v>0.83259911894273098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18210</v>
      </c>
      <c r="D9" cm="1">
        <f t="array" ref="D9">_xll.FDS($A9,"FG_PRICE_MAVG(0,,,,30)")</f>
        <v>17501.833999999999</v>
      </c>
      <c r="E9" s="47" cm="1">
        <f t="array" ref="E9">_xll.FDS($A9,"FG_PRICE_CHANGE(0,-1AM)")</f>
        <v>2.9977375565610802</v>
      </c>
      <c r="F9" s="47" cm="1">
        <f t="array" ref="F9">_xll.FDS($A9,"FG_PRICE_CHANGE(0,-3AM)")</f>
        <v>14.7448015122873</v>
      </c>
      <c r="G9" s="47" cm="1">
        <f t="array" ref="G9">_xll.FDS($A9,"FG_PRICE_CHANGE(0,-6AM)")</f>
        <v>-1.4076881429344901</v>
      </c>
      <c r="H9" s="47" cm="1">
        <f t="array" ref="H9">_xll.FDS($A9,"FG_PRICE_CHANGE(0,-1AY)")</f>
        <v>-27.043269230769202</v>
      </c>
      <c r="I9" s="47" cm="1">
        <f t="array" ref="I9">_xll.FDS($A9,"FG_PRICE(0)/MAX(FG_PRICE(0,-1AY))")</f>
        <v>0.71299921691464396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1060</v>
      </c>
      <c r="D10" cm="1">
        <f t="array" ref="D10">_xll.FDS($A10,"FG_PRICE_MAVG(0,,,,30)")</f>
        <v>1043.0667000000001</v>
      </c>
      <c r="E10" s="47" cm="1">
        <f t="array" ref="E10">_xll.FDS($A10,"FG_PRICE_CHANGE(0,-1AM)")</f>
        <v>-1.3953488372092999</v>
      </c>
      <c r="F10" s="47" cm="1">
        <f t="array" ref="F10">_xll.FDS($A10,"FG_PRICE_CHANGE(0,-3AM)")</f>
        <v>12.1693121693122</v>
      </c>
      <c r="G10" s="47" cm="1">
        <f t="array" ref="G10">_xll.FDS($A10,"FG_PRICE_CHANGE(0,-6AM)")</f>
        <v>-7.4235807860262</v>
      </c>
      <c r="H10" s="47" cm="1">
        <f t="array" ref="H10">_xll.FDS($A10,"FG_PRICE_CHANGE(0,-1AY)")</f>
        <v>-35.168195718654403</v>
      </c>
      <c r="I10" s="47" cm="1">
        <f t="array" ref="I10">_xll.FDS($A10,"FG_PRICE(0)/MAX(FG_PRICE(0,-1AY))")</f>
        <v>0.64634146341463405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568.9</v>
      </c>
      <c r="D11" cm="1">
        <f t="array" ref="D11">_xll.FDS($A11,"FG_PRICE_MAVG(0,,,,30)")</f>
        <v>625.09</v>
      </c>
      <c r="E11" s="47" cm="1">
        <f t="array" ref="E11">_xll.FDS($A11,"FG_PRICE_CHANGE(0,-1AM)")</f>
        <v>-9.4108280254777092</v>
      </c>
      <c r="F11" s="47" cm="1">
        <f t="array" ref="F11">_xll.FDS($A11,"FG_PRICE_CHANGE(0,-3AM)")</f>
        <v>-12.6516198372486</v>
      </c>
      <c r="G11" s="47" cm="1">
        <f t="array" ref="G11">_xll.FDS($A11,"FG_PRICE_CHANGE(0,-6AM)")</f>
        <v>-23.3081693178754</v>
      </c>
      <c r="H11" s="47" cm="1">
        <f t="array" ref="H11">_xll.FDS($A11,"FG_PRICE_CHANGE(0,-1AY)")</f>
        <v>-15.855642656411799</v>
      </c>
      <c r="I11" s="47" cm="1">
        <f t="array" ref="I11">_xll.FDS($A11,"FG_PRICE(0)/MAX(FG_PRICE(0,-1AY))")</f>
        <v>0.74521875818705796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0.96972035999999995</v>
      </c>
      <c r="D12" cm="1">
        <f t="array" ref="D12">_xll.FDS($A12,"FG_PRICE_MAVG(0,,,,30)")</f>
        <v>0.96408179999999999</v>
      </c>
      <c r="E12" s="47" cm="1">
        <f t="array" ref="E12">_xll.FDS($A12,"FG_PRICE_CHANGE(0,-1AM)")</f>
        <v>0.69777304442528698</v>
      </c>
      <c r="F12" s="47" cm="1">
        <f t="array" ref="F12">_xll.FDS($A12,"FG_PRICE_CHANGE(0,-3AM)")</f>
        <v>-1.7483243511822399</v>
      </c>
      <c r="G12" s="47" cm="1">
        <f t="array" ref="G12">_xll.FDS($A12,"FG_PRICE_CHANGE(0,-6AM)")</f>
        <v>-4.2304559717728401</v>
      </c>
      <c r="H12" s="47" cm="1">
        <f t="array" ref="H12">_xll.FDS($A12,"FG_PRICE_CHANGE(0,-1AY)")</f>
        <v>-11.843603636363699</v>
      </c>
      <c r="I12" s="47" cm="1">
        <f t="array" ref="I12">_xll.FDS($A12,"FG_PRICE(0)/MAX(FG_PRICE(0,-1AY))")</f>
        <v>0.88156396363636302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41746</v>
      </c>
      <c r="B2" s="3" cm="1">
        <f t="array" ref="B2:B122">_xll.FDS(B1,"FMA_PE(LTMA,-10AY,0,AM,""PORTAGG"",""MEANR"")")</f>
        <v>17.915236544897901</v>
      </c>
      <c r="C2" s="3" cm="1">
        <f t="array" ref="C2:C122">_xll.FDS(C1,"FMA_PE(LTMA,-10AY,0,AM,""PORTAGG"",""MEANR"")")</f>
        <v>15.2863221210471</v>
      </c>
      <c r="D2" s="3" cm="1">
        <f t="array" ref="D2:D122">_xll.FDS(D1,"FMA_PE(LTMA,-10AY,0,AM,""PORTAGG"",""MEANR"")")</f>
        <v>16.3684943031916</v>
      </c>
      <c r="E2" s="3" cm="1">
        <f t="array" ref="E2:E122">_xll.FDS(E1,"FMA_PE(LTMA,-10AY,0,AM,""PORTAGG"",""MEANR"")")</f>
        <v>14.623354262564501</v>
      </c>
      <c r="F2" s="3" cm="1">
        <f t="array" ref="F2:F122">_xll.FDS(F1,"FMA_PE(LTMA,-10AY,0,AM,""PORTAGG"",""MEANR"")")</f>
        <v>15.3340278304418</v>
      </c>
      <c r="G2" s="3" cm="1">
        <f t="array" ref="G2:G122">_xll.FDS(G1,"FMA_PE(LTMA,-10AY,0,AM,""PORTAGG"",""MEANR"")")</f>
        <v>17.079995691374702</v>
      </c>
      <c r="H2" s="3" cm="1">
        <f t="array" ref="H2:H122">_xll.FDS(H1,"FMA_PE(LTMA,-10AY,0,AM,""PORTAGG"",""MEANR"")")</f>
        <v>14.297411741602099</v>
      </c>
      <c r="I2" s="3" cm="1">
        <f t="array" ref="I2:I122">_xll.FDS(I1,"FMA_PE(LTMA,-10AY,0,AM,""PORTAGG"",""MEANR"")")</f>
        <v>18.8801493608707</v>
      </c>
      <c r="J2" s="3" cm="1">
        <f t="array" ref="J2:J122">_xll.FDS(J1,"FMA_PE(LTMA,-10AY,0,AM,""PORTAGG"",""MEANR"")")</f>
        <v>16.269680272753099</v>
      </c>
      <c r="K2" s="3" cm="1">
        <f t="array" ref="K2:K122">_xll.FDS(K1,"FMA_PE(LTMA,-10AY,0,AM,""PORTAGG"",""MEANR"")")</f>
        <v>15.832061878257599</v>
      </c>
      <c r="L2" s="3" cm="1">
        <f t="array" ref="L2:L122">_xll.FDS(L1,"FMA_PE(LTMA,-10AY,0,AM,""PORTAGG"",""MEANR"")")</f>
        <v>16.999116529983301</v>
      </c>
      <c r="M2" s="3" cm="1">
        <f t="array" ref="M2:M122">_xll.FDS(M1,"FMA_PE(LTMA,-10AY,0,AM,""PORTAGG"",""MEANR"")")</f>
        <v>15.3263973349971</v>
      </c>
      <c r="N2" s="3" cm="1">
        <f t="array" ref="N2:N122">_xll.FDS(N1,"FMA_PE(LTMA,-10AY,0,AM,""PORTAGG"",""MEANR"")")</f>
        <v>17.175404006813899</v>
      </c>
    </row>
    <row r="3" spans="1:14" x14ac:dyDescent="0.35">
      <c r="A3" s="2">
        <v>41775</v>
      </c>
      <c r="B3" s="3">
        <v>18.053944192443399</v>
      </c>
      <c r="C3" s="3">
        <v>15.227336114107301</v>
      </c>
      <c r="D3" s="3">
        <v>16.201357822158599</v>
      </c>
      <c r="E3" s="3">
        <v>14.5665490654276</v>
      </c>
      <c r="F3" s="3">
        <v>15.0839231576337</v>
      </c>
      <c r="G3" s="3">
        <v>17.202785152175199</v>
      </c>
      <c r="H3" s="3">
        <v>14.415737192319501</v>
      </c>
      <c r="I3" s="3">
        <v>18.698880106923401</v>
      </c>
      <c r="J3" s="3">
        <v>16.1805850851913</v>
      </c>
      <c r="K3" s="3">
        <v>15.783437482101</v>
      </c>
      <c r="L3" s="3">
        <v>16.7747597336726</v>
      </c>
      <c r="M3" s="3">
        <v>15.608338076013601</v>
      </c>
      <c r="N3" s="3">
        <v>16.949014463329</v>
      </c>
    </row>
    <row r="4" spans="1:14" x14ac:dyDescent="0.35">
      <c r="A4" s="2">
        <v>41808</v>
      </c>
      <c r="B4" s="3">
        <v>18.0210204882939</v>
      </c>
      <c r="C4" s="3">
        <v>15.071365689652399</v>
      </c>
      <c r="D4" s="3">
        <v>16.292122850399799</v>
      </c>
      <c r="E4" s="3">
        <v>14.6874103988357</v>
      </c>
      <c r="F4" s="3">
        <v>15.299173199913501</v>
      </c>
      <c r="G4" s="3">
        <v>17.200297983456899</v>
      </c>
      <c r="H4" s="3">
        <v>14.348452776188401</v>
      </c>
      <c r="I4" s="3">
        <v>18.953338089650401</v>
      </c>
      <c r="J4" s="3">
        <v>16.380147339337299</v>
      </c>
      <c r="K4" s="3">
        <v>15.831642401151701</v>
      </c>
      <c r="L4" s="3">
        <v>16.829170826464701</v>
      </c>
      <c r="M4" s="3">
        <v>15.6899113754229</v>
      </c>
      <c r="N4" s="3">
        <v>17.327500333036902</v>
      </c>
    </row>
    <row r="5" spans="1:14" x14ac:dyDescent="0.35">
      <c r="A5" s="2">
        <v>41838</v>
      </c>
      <c r="B5" s="3">
        <v>17.919330643069401</v>
      </c>
      <c r="C5" s="3">
        <v>15.369463903218699</v>
      </c>
      <c r="D5" s="3">
        <v>16.328638560878701</v>
      </c>
      <c r="E5" s="3">
        <v>14.443886154858101</v>
      </c>
      <c r="F5" s="3">
        <v>15.215773560502299</v>
      </c>
      <c r="G5" s="3">
        <v>17.093345403966499</v>
      </c>
      <c r="H5" s="3">
        <v>14.3330825487452</v>
      </c>
      <c r="I5" s="3">
        <v>19.2043659196476</v>
      </c>
      <c r="J5" s="3">
        <v>16.4300983525955</v>
      </c>
      <c r="K5" s="3">
        <v>15.4590393041361</v>
      </c>
      <c r="L5" s="3">
        <v>16.4909559537749</v>
      </c>
      <c r="M5" s="3">
        <v>15.935888166523201</v>
      </c>
      <c r="N5" s="3">
        <v>17.139570823948802</v>
      </c>
    </row>
    <row r="6" spans="1:14" x14ac:dyDescent="0.35">
      <c r="A6" s="2">
        <v>41869</v>
      </c>
      <c r="B6" s="3">
        <v>17.883274321758801</v>
      </c>
      <c r="C6" s="3">
        <v>15.429391041464299</v>
      </c>
      <c r="D6" s="3">
        <v>16.332753640630798</v>
      </c>
      <c r="E6" s="3">
        <v>14.0100350115775</v>
      </c>
      <c r="F6" s="3">
        <v>15.0453332996219</v>
      </c>
      <c r="G6" s="3">
        <v>17.185856804859</v>
      </c>
      <c r="H6" s="3">
        <v>14.2334865386202</v>
      </c>
      <c r="I6" s="3">
        <v>19.281592373756599</v>
      </c>
      <c r="J6" s="3">
        <v>16.355529073557801</v>
      </c>
      <c r="K6" s="3">
        <v>15.158958131212099</v>
      </c>
      <c r="L6" s="3">
        <v>16.314329112837701</v>
      </c>
      <c r="M6" s="3">
        <v>15.986375235242299</v>
      </c>
      <c r="N6" s="3">
        <v>16.762134313682399</v>
      </c>
    </row>
    <row r="7" spans="1:14" x14ac:dyDescent="0.35">
      <c r="A7" s="2">
        <v>41900</v>
      </c>
      <c r="B7" s="3">
        <v>17.709262552575002</v>
      </c>
      <c r="C7" s="3">
        <v>15.0026347858311</v>
      </c>
      <c r="D7" s="3">
        <v>16.382388491739501</v>
      </c>
      <c r="E7" s="3">
        <v>14.388430280470301</v>
      </c>
      <c r="F7" s="3">
        <v>15.354439301313899</v>
      </c>
      <c r="G7" s="3">
        <v>17.461547899113501</v>
      </c>
      <c r="H7" s="3">
        <v>14.2339070666137</v>
      </c>
      <c r="I7" s="3">
        <v>19.511434304698401</v>
      </c>
      <c r="J7" s="3">
        <v>16.609027282280898</v>
      </c>
      <c r="K7" s="3">
        <v>15.558489931359899</v>
      </c>
      <c r="L7" s="3">
        <v>16.809933344978798</v>
      </c>
      <c r="M7" s="3">
        <v>16.123580624734899</v>
      </c>
      <c r="N7" s="3">
        <v>18.067548809763601</v>
      </c>
    </row>
    <row r="8" spans="1:14" x14ac:dyDescent="0.35">
      <c r="A8" s="2">
        <v>41929</v>
      </c>
      <c r="B8" s="3">
        <v>17.638548590257901</v>
      </c>
      <c r="C8" s="3">
        <v>14.770733588585999</v>
      </c>
      <c r="D8" s="3">
        <v>15.3434476033209</v>
      </c>
      <c r="E8" s="3">
        <v>13.313307080107601</v>
      </c>
      <c r="F8" s="3">
        <v>14.0298153948272</v>
      </c>
      <c r="G8" s="3">
        <v>16.494017805701599</v>
      </c>
      <c r="H8" s="3">
        <v>13.4024909452766</v>
      </c>
      <c r="I8" s="3">
        <v>18.446668664406602</v>
      </c>
      <c r="J8" s="3">
        <v>15.8473913586229</v>
      </c>
      <c r="K8" s="3">
        <v>14.4454434475899</v>
      </c>
      <c r="L8" s="3">
        <v>15.759072294353899</v>
      </c>
      <c r="M8" s="3">
        <v>15.3152851529383</v>
      </c>
      <c r="N8" s="3">
        <v>16.307712352423501</v>
      </c>
    </row>
    <row r="9" spans="1:14" x14ac:dyDescent="0.35">
      <c r="A9" s="2">
        <v>41961</v>
      </c>
      <c r="B9" s="3">
        <v>18.837746192623701</v>
      </c>
      <c r="C9" s="3">
        <v>14.950062880727</v>
      </c>
      <c r="D9" s="3">
        <v>15.911392030567299</v>
      </c>
      <c r="E9" s="3">
        <v>13.868002063939899</v>
      </c>
      <c r="F9" s="3">
        <v>15.906056020841399</v>
      </c>
      <c r="G9" s="3">
        <v>17.5777052678182</v>
      </c>
      <c r="H9" s="3">
        <v>13.970664214354899</v>
      </c>
      <c r="I9" s="3">
        <v>20.116054331059299</v>
      </c>
      <c r="J9" s="3">
        <v>16.9839570321396</v>
      </c>
      <c r="K9" s="3">
        <v>15.0779655549387</v>
      </c>
      <c r="L9" s="3">
        <v>17.397045798001599</v>
      </c>
      <c r="M9" s="3">
        <v>16.893463432604001</v>
      </c>
      <c r="N9" s="3">
        <v>17.856721852624599</v>
      </c>
    </row>
    <row r="10" spans="1:14" x14ac:dyDescent="0.35">
      <c r="A10" s="2">
        <v>41991</v>
      </c>
      <c r="B10" s="3">
        <v>18.996946387918801</v>
      </c>
      <c r="C10" s="3">
        <v>14.105036186907499</v>
      </c>
      <c r="D10" s="3">
        <v>15.361224778441301</v>
      </c>
      <c r="E10" s="3">
        <v>14.327475201647299</v>
      </c>
      <c r="F10" s="3">
        <v>15.491978084427</v>
      </c>
      <c r="G10" s="3">
        <v>17.312179278335499</v>
      </c>
      <c r="H10" s="3">
        <v>13.6011842630977</v>
      </c>
      <c r="I10" s="3">
        <v>20.2529168629619</v>
      </c>
      <c r="J10" s="3">
        <v>17.2765939902662</v>
      </c>
      <c r="K10" s="3">
        <v>14.983224258790599</v>
      </c>
      <c r="L10" s="3">
        <v>17.391290673891099</v>
      </c>
      <c r="M10" s="3">
        <v>17.3231053311181</v>
      </c>
      <c r="N10" s="3">
        <v>18.314251718480602</v>
      </c>
    </row>
    <row r="11" spans="1:14" x14ac:dyDescent="0.35">
      <c r="A11" s="2">
        <v>42020</v>
      </c>
      <c r="B11" s="3">
        <v>19.417833128354101</v>
      </c>
      <c r="C11" s="3">
        <v>14.4967175436913</v>
      </c>
      <c r="D11" s="3">
        <v>15.289376963440899</v>
      </c>
      <c r="E11" s="3">
        <v>14.805503885188701</v>
      </c>
      <c r="F11" s="3">
        <v>15.345766396041601</v>
      </c>
      <c r="G11" s="3">
        <v>16.014746713951499</v>
      </c>
      <c r="H11" s="3">
        <v>13.626945151973199</v>
      </c>
      <c r="I11" s="3">
        <v>19.535213360567301</v>
      </c>
      <c r="J11" s="3">
        <v>16.9591436776908</v>
      </c>
      <c r="K11" s="3">
        <v>15.3428384201067</v>
      </c>
      <c r="L11" s="3">
        <v>18.090362975048599</v>
      </c>
      <c r="M11" s="3">
        <v>17.5544061642548</v>
      </c>
      <c r="N11" s="3">
        <v>19.9002375160191</v>
      </c>
    </row>
    <row r="12" spans="1:14" x14ac:dyDescent="0.35">
      <c r="A12" s="2">
        <v>42053</v>
      </c>
      <c r="B12" s="3">
        <v>19.8529688803707</v>
      </c>
      <c r="C12" s="3">
        <v>16.134607992060001</v>
      </c>
      <c r="D12" s="3">
        <v>16.7892022417055</v>
      </c>
      <c r="E12" s="3">
        <v>15.842313258092201</v>
      </c>
      <c r="F12" s="3">
        <v>16.469475990841399</v>
      </c>
      <c r="G12" s="3">
        <v>17.589455621181699</v>
      </c>
      <c r="H12" s="3">
        <v>14.7502939019348</v>
      </c>
      <c r="I12" s="3">
        <v>20.498493239160201</v>
      </c>
      <c r="J12" s="3">
        <v>17.557550399260101</v>
      </c>
      <c r="K12" s="3">
        <v>16.9574728539795</v>
      </c>
      <c r="L12" s="3">
        <v>19.520526919721501</v>
      </c>
      <c r="M12" s="3">
        <v>19.909014812800901</v>
      </c>
      <c r="N12" s="3">
        <v>44.007999220129498</v>
      </c>
    </row>
    <row r="13" spans="1:14" x14ac:dyDescent="0.35">
      <c r="A13" s="2">
        <v>42081</v>
      </c>
      <c r="B13" s="3">
        <v>20.3688063141357</v>
      </c>
      <c r="C13" s="3">
        <v>16.192954574067301</v>
      </c>
      <c r="D13" s="3">
        <v>17.047636260856599</v>
      </c>
      <c r="E13" s="3">
        <v>16.547361456474199</v>
      </c>
      <c r="F13" s="3">
        <v>16.964214188861099</v>
      </c>
      <c r="G13" s="3">
        <v>18.0260149057825</v>
      </c>
      <c r="H13" s="3">
        <v>15.2307560361496</v>
      </c>
      <c r="I13" s="3">
        <v>20.6485317907084</v>
      </c>
      <c r="J13" s="3">
        <v>17.568366201792099</v>
      </c>
      <c r="K13" s="3">
        <v>17.565182156469898</v>
      </c>
      <c r="L13" s="3">
        <v>20.089715350221599</v>
      </c>
      <c r="M13" s="3">
        <v>20.1515908440463</v>
      </c>
      <c r="N13" s="3">
        <v>43.557183629049199</v>
      </c>
    </row>
    <row r="14" spans="1:14" x14ac:dyDescent="0.35">
      <c r="A14" s="2">
        <v>42111</v>
      </c>
      <c r="B14" s="3">
        <v>20.186389028746198</v>
      </c>
      <c r="C14" s="3">
        <v>16.3460728609376</v>
      </c>
      <c r="D14" s="3">
        <v>17.268117002510401</v>
      </c>
      <c r="E14" s="3">
        <v>16.374745912487199</v>
      </c>
      <c r="F14" s="3">
        <v>16.898555102802099</v>
      </c>
      <c r="G14" s="3">
        <v>18.147094078857901</v>
      </c>
      <c r="H14" s="3">
        <v>15.491855118161601</v>
      </c>
      <c r="I14" s="3">
        <v>20.386235744306301</v>
      </c>
      <c r="J14" s="3">
        <v>17.520282507324701</v>
      </c>
      <c r="K14" s="3">
        <v>17.593702881412899</v>
      </c>
      <c r="L14" s="3">
        <v>19.8038417552964</v>
      </c>
      <c r="M14" s="3">
        <v>19.690273978708401</v>
      </c>
      <c r="N14" s="3">
        <v>40.822059344470297</v>
      </c>
    </row>
    <row r="15" spans="1:14" x14ac:dyDescent="0.35">
      <c r="A15" s="2">
        <v>42142</v>
      </c>
      <c r="B15" s="3">
        <v>20.012269296006799</v>
      </c>
      <c r="C15" s="3">
        <v>16.2110579217244</v>
      </c>
      <c r="D15" s="3">
        <v>17.240699036218199</v>
      </c>
      <c r="E15" s="3">
        <v>16.108783282077798</v>
      </c>
      <c r="F15" s="3">
        <v>17.040412721162401</v>
      </c>
      <c r="G15" s="3">
        <v>18.112975642931801</v>
      </c>
      <c r="H15" s="3">
        <v>15.7136686932075</v>
      </c>
      <c r="I15" s="3">
        <v>20.344964119639201</v>
      </c>
      <c r="J15" s="3">
        <v>17.592482324372899</v>
      </c>
      <c r="K15" s="3">
        <v>17.4380817927164</v>
      </c>
      <c r="L15" s="3">
        <v>19.491687353560799</v>
      </c>
      <c r="M15" s="3">
        <v>19.099838313724099</v>
      </c>
      <c r="N15" s="3">
        <v>37.956098672892203</v>
      </c>
    </row>
    <row r="16" spans="1:14" x14ac:dyDescent="0.35">
      <c r="A16" s="2">
        <v>42173</v>
      </c>
      <c r="B16" s="3">
        <v>19.728429238310099</v>
      </c>
      <c r="C16" s="3">
        <v>15.9890016028357</v>
      </c>
      <c r="D16" s="3">
        <v>17.139075601591099</v>
      </c>
      <c r="E16" s="3">
        <v>15.5763272857302</v>
      </c>
      <c r="F16" s="3">
        <v>16.7615353277859</v>
      </c>
      <c r="G16" s="3">
        <v>17.843249194605399</v>
      </c>
      <c r="H16" s="3">
        <v>15.633690632254901</v>
      </c>
      <c r="I16" s="3">
        <v>20.210591656921601</v>
      </c>
      <c r="J16" s="3">
        <v>17.559150815921001</v>
      </c>
      <c r="K16" s="3">
        <v>17.044788225499602</v>
      </c>
      <c r="L16" s="3">
        <v>18.955905788228701</v>
      </c>
      <c r="M16" s="3">
        <v>18.693074680167999</v>
      </c>
      <c r="N16" s="3">
        <v>34.761266546130798</v>
      </c>
    </row>
    <row r="17" spans="1:14" x14ac:dyDescent="0.35">
      <c r="A17" s="2">
        <v>42202</v>
      </c>
      <c r="B17" s="3">
        <v>19.790725469610202</v>
      </c>
      <c r="C17" s="3">
        <v>16.113830734670199</v>
      </c>
      <c r="D17" s="3">
        <v>17.08570769628</v>
      </c>
      <c r="E17" s="3">
        <v>15.7472214466477</v>
      </c>
      <c r="F17" s="3">
        <v>16.8815462465843</v>
      </c>
      <c r="G17" s="3">
        <v>18.2476272129439</v>
      </c>
      <c r="H17" s="3">
        <v>15.799995020816</v>
      </c>
      <c r="I17" s="3">
        <v>20.477333509004701</v>
      </c>
      <c r="J17" s="3">
        <v>17.630249790001201</v>
      </c>
      <c r="K17" s="3">
        <v>17.410208131494102</v>
      </c>
      <c r="L17" s="3">
        <v>19.274666241034002</v>
      </c>
      <c r="M17" s="3">
        <v>18.778407317984001</v>
      </c>
      <c r="N17" s="3">
        <v>32.508319714062303</v>
      </c>
    </row>
    <row r="18" spans="1:14" x14ac:dyDescent="0.35">
      <c r="A18" s="2">
        <v>42234</v>
      </c>
      <c r="B18" s="3">
        <v>19.3515454677995</v>
      </c>
      <c r="C18" s="3">
        <v>15.634380190598399</v>
      </c>
      <c r="D18" s="3">
        <v>16.892396668862101</v>
      </c>
      <c r="E18" s="3">
        <v>14.956244257343</v>
      </c>
      <c r="F18" s="3">
        <v>16.829604867073801</v>
      </c>
      <c r="G18" s="3">
        <v>18.023221439337402</v>
      </c>
      <c r="H18" s="3">
        <v>15.607024492712799</v>
      </c>
      <c r="I18" s="3">
        <v>20.2612961048779</v>
      </c>
      <c r="J18" s="3">
        <v>17.498624970020298</v>
      </c>
      <c r="K18" s="3">
        <v>16.8673728972873</v>
      </c>
      <c r="L18" s="3">
        <v>18.394863609336898</v>
      </c>
      <c r="M18" s="3">
        <v>18.2580088680693</v>
      </c>
      <c r="N18" s="3">
        <v>29.702978983690901</v>
      </c>
    </row>
    <row r="19" spans="1:14" x14ac:dyDescent="0.35">
      <c r="A19" s="2">
        <v>42265</v>
      </c>
      <c r="B19" s="3">
        <v>19.1891217402598</v>
      </c>
      <c r="C19" s="3">
        <v>15.4908590452119</v>
      </c>
      <c r="D19" s="3">
        <v>16.617362257483201</v>
      </c>
      <c r="E19" s="3">
        <v>13.9542066140966</v>
      </c>
      <c r="F19" s="3">
        <v>15.286644679694099</v>
      </c>
      <c r="G19" s="3">
        <v>17.294733335847098</v>
      </c>
      <c r="H19" s="3">
        <v>15.090180497737199</v>
      </c>
      <c r="I19" s="3">
        <v>19.4882471788593</v>
      </c>
      <c r="J19" s="3">
        <v>16.700723487308402</v>
      </c>
      <c r="K19" s="3">
        <v>15.793579836624</v>
      </c>
      <c r="L19" s="3">
        <v>16.946324846750802</v>
      </c>
      <c r="M19" s="3">
        <v>16.9105560106219</v>
      </c>
      <c r="N19" s="3">
        <v>26.039457448628799</v>
      </c>
    </row>
    <row r="20" spans="1:14" x14ac:dyDescent="0.35">
      <c r="A20" s="2">
        <v>42293</v>
      </c>
      <c r="B20" s="3">
        <v>19.1368195551428</v>
      </c>
      <c r="C20" s="3">
        <v>15.673842823258999</v>
      </c>
      <c r="D20" s="3">
        <v>16.953101294358799</v>
      </c>
      <c r="E20" s="3">
        <v>13.9467038416892</v>
      </c>
      <c r="F20" s="3">
        <v>15.491529146970301</v>
      </c>
      <c r="G20" s="3">
        <v>17.527806045658</v>
      </c>
      <c r="H20" s="3">
        <v>15.7571704215956</v>
      </c>
      <c r="I20" s="3">
        <v>19.752297790997201</v>
      </c>
      <c r="J20" s="3">
        <v>17.1847933276884</v>
      </c>
      <c r="K20" s="3">
        <v>15.9960417350144</v>
      </c>
      <c r="L20" s="3">
        <v>17.095165143146701</v>
      </c>
      <c r="M20" s="3">
        <v>16.742666425336299</v>
      </c>
      <c r="N20" s="3">
        <v>24.2645142485921</v>
      </c>
    </row>
    <row r="21" spans="1:14" x14ac:dyDescent="0.35">
      <c r="A21" s="2">
        <v>42326</v>
      </c>
      <c r="B21" s="3">
        <v>19.339354375433601</v>
      </c>
      <c r="C21" s="3">
        <v>15.275823824400501</v>
      </c>
      <c r="D21" s="3">
        <v>16.687959341768501</v>
      </c>
      <c r="E21" s="3">
        <v>14.6122966100539</v>
      </c>
      <c r="F21" s="3">
        <v>16.157097154580999</v>
      </c>
      <c r="G21" s="3">
        <v>17.604302317232001</v>
      </c>
      <c r="H21" s="3">
        <v>15.782619806273299</v>
      </c>
      <c r="I21" s="3">
        <v>20.360717523663801</v>
      </c>
      <c r="J21" s="3">
        <v>17.4520700352513</v>
      </c>
      <c r="K21" s="3">
        <v>16.332922269124602</v>
      </c>
      <c r="L21" s="3">
        <v>18.057008520924999</v>
      </c>
      <c r="M21" s="3">
        <v>16.884682647731701</v>
      </c>
      <c r="N21" s="3">
        <v>22.176148051220402</v>
      </c>
    </row>
    <row r="22" spans="1:14" x14ac:dyDescent="0.35">
      <c r="A22" s="2">
        <v>42356</v>
      </c>
      <c r="B22" s="3">
        <v>19.444962335330001</v>
      </c>
      <c r="C22" s="3">
        <v>15.3771286118973</v>
      </c>
      <c r="D22" s="3">
        <v>16.2044338192525</v>
      </c>
      <c r="E22" s="3">
        <v>13.9837175566688</v>
      </c>
      <c r="F22" s="3">
        <v>15.553223778968199</v>
      </c>
      <c r="G22" s="3">
        <v>17.1161449303724</v>
      </c>
      <c r="H22" s="3">
        <v>15.231572910842401</v>
      </c>
      <c r="I22" s="3">
        <v>19.773395525088699</v>
      </c>
      <c r="J22" s="3">
        <v>16.8174984182461</v>
      </c>
      <c r="K22" s="3">
        <v>15.4503660874686</v>
      </c>
      <c r="L22" s="3">
        <v>16.990112531645298</v>
      </c>
      <c r="M22" s="3">
        <v>15.9933489557244</v>
      </c>
      <c r="N22" s="3">
        <v>18.8937401437577</v>
      </c>
    </row>
    <row r="23" spans="1:14" x14ac:dyDescent="0.35">
      <c r="A23" s="2">
        <v>42384</v>
      </c>
      <c r="B23" s="3">
        <v>19.2866706508681</v>
      </c>
      <c r="C23" s="3">
        <v>14.688911328528601</v>
      </c>
      <c r="D23" s="3">
        <v>14.614080256696999</v>
      </c>
      <c r="E23" s="3">
        <v>12.434742956048</v>
      </c>
      <c r="F23" s="3">
        <v>14.318579786696899</v>
      </c>
      <c r="G23" s="3">
        <v>16.079632055310501</v>
      </c>
      <c r="H23" s="3">
        <v>14.521775842277</v>
      </c>
      <c r="I23" s="3">
        <v>18.263432883592799</v>
      </c>
      <c r="J23" s="3">
        <v>15.776711047748501</v>
      </c>
      <c r="K23" s="3">
        <v>14.0278255720747</v>
      </c>
      <c r="L23" s="3">
        <v>15.432246166966699</v>
      </c>
      <c r="M23" s="3">
        <v>14.3421430706431</v>
      </c>
      <c r="N23" s="3">
        <v>16.144303011085501</v>
      </c>
    </row>
    <row r="24" spans="1:14" x14ac:dyDescent="0.35">
      <c r="A24" s="2">
        <v>42418</v>
      </c>
      <c r="B24" s="3">
        <v>19.175066767368701</v>
      </c>
      <c r="C24" s="3">
        <v>15.301037166580199</v>
      </c>
      <c r="D24" s="3">
        <v>15.6388653543668</v>
      </c>
      <c r="E24" s="3">
        <v>12.567689872712</v>
      </c>
      <c r="F24" s="3">
        <v>13.794974379889</v>
      </c>
      <c r="G24" s="3">
        <v>16.661055926694399</v>
      </c>
      <c r="H24" s="3">
        <v>14.9297123568599</v>
      </c>
      <c r="I24" s="3">
        <v>18.187486621407501</v>
      </c>
      <c r="J24" s="3">
        <v>16.2966838906097</v>
      </c>
      <c r="K24" s="3">
        <v>14.772914905531101</v>
      </c>
      <c r="L24" s="3">
        <v>15.551644907113401</v>
      </c>
      <c r="M24" s="3">
        <v>15.1685568611443</v>
      </c>
      <c r="N24" s="3">
        <v>14.949514057816801</v>
      </c>
    </row>
    <row r="25" spans="1:14" x14ac:dyDescent="0.35">
      <c r="A25" s="2">
        <v>42447</v>
      </c>
      <c r="B25" s="3">
        <v>19.310869345229399</v>
      </c>
      <c r="C25" s="3">
        <v>15.1977188308522</v>
      </c>
      <c r="D25" s="3">
        <v>16.001249173860401</v>
      </c>
      <c r="E25" s="3">
        <v>12.7545748693998</v>
      </c>
      <c r="F25" s="3">
        <v>13.849461894101699</v>
      </c>
      <c r="G25" s="3">
        <v>16.6321153341155</v>
      </c>
      <c r="H25" s="3">
        <v>15.7212597894704</v>
      </c>
      <c r="I25" s="3">
        <v>18.303354574224802</v>
      </c>
      <c r="J25" s="3">
        <v>16.188193427520002</v>
      </c>
      <c r="K25" s="3">
        <v>15.1986459838719</v>
      </c>
      <c r="L25" s="3">
        <v>16.429573366515399</v>
      </c>
      <c r="M25" s="3">
        <v>15.619254809815301</v>
      </c>
      <c r="N25" s="3">
        <v>15.430894425505899</v>
      </c>
    </row>
    <row r="26" spans="1:14" x14ac:dyDescent="0.35">
      <c r="A26" s="2">
        <v>42478</v>
      </c>
      <c r="B26" s="3">
        <v>19.4676664456764</v>
      </c>
      <c r="C26" s="3">
        <v>15.271936388471399</v>
      </c>
      <c r="D26" s="3">
        <v>16.200679876333201</v>
      </c>
      <c r="E26" s="3">
        <v>12.868524495517701</v>
      </c>
      <c r="F26" s="3">
        <v>13.7351374768231</v>
      </c>
      <c r="G26" s="3">
        <v>16.837393466210901</v>
      </c>
      <c r="H26" s="3">
        <v>15.9676354518834</v>
      </c>
      <c r="I26" s="3">
        <v>18.505056870730499</v>
      </c>
      <c r="J26" s="3">
        <v>16.445215307047398</v>
      </c>
      <c r="K26" s="3">
        <v>15.2496602954464</v>
      </c>
      <c r="L26" s="3">
        <v>16.3884248280945</v>
      </c>
      <c r="M26" s="3">
        <v>15.652852143242701</v>
      </c>
      <c r="N26" s="3">
        <v>15.2999815529942</v>
      </c>
    </row>
    <row r="27" spans="1:14" x14ac:dyDescent="0.35">
      <c r="A27" s="2">
        <v>42508</v>
      </c>
      <c r="B27" s="3">
        <v>19.7220990516029</v>
      </c>
      <c r="C27" s="3">
        <v>15.694049759360301</v>
      </c>
      <c r="D27" s="3">
        <v>16.533779383833799</v>
      </c>
      <c r="E27" s="3">
        <v>12.7863591338572</v>
      </c>
      <c r="F27" s="3">
        <v>13.9164624109396</v>
      </c>
      <c r="G27" s="3">
        <v>16.881069388725201</v>
      </c>
      <c r="H27" s="3">
        <v>15.9181881508113</v>
      </c>
      <c r="I27" s="3">
        <v>18.325645525917299</v>
      </c>
      <c r="J27" s="3">
        <v>16.565182572190999</v>
      </c>
      <c r="K27" s="3">
        <v>15.0475038277241</v>
      </c>
      <c r="L27" s="3">
        <v>16.137490712104398</v>
      </c>
      <c r="M27" s="3">
        <v>15.454751295001801</v>
      </c>
      <c r="N27" s="3">
        <v>15.4364522331808</v>
      </c>
    </row>
    <row r="28" spans="1:14" x14ac:dyDescent="0.35">
      <c r="A28" s="2">
        <v>42538</v>
      </c>
      <c r="B28" s="3">
        <v>19.603613967774201</v>
      </c>
      <c r="C28" s="3">
        <v>15.569245424699499</v>
      </c>
      <c r="D28" s="3">
        <v>16.6565012785106</v>
      </c>
      <c r="E28" s="3">
        <v>12.5866842655909</v>
      </c>
      <c r="F28" s="3">
        <v>13.6701820351596</v>
      </c>
      <c r="G28" s="3">
        <v>16.778864712096599</v>
      </c>
      <c r="H28" s="3">
        <v>15.798643409237201</v>
      </c>
      <c r="I28" s="3">
        <v>18.384591933517601</v>
      </c>
      <c r="J28" s="3">
        <v>16.7256261745427</v>
      </c>
      <c r="K28" s="3">
        <v>14.765409122468499</v>
      </c>
      <c r="L28" s="3">
        <v>15.722661048027399</v>
      </c>
      <c r="M28" s="3">
        <v>15.245019041131499</v>
      </c>
      <c r="N28" s="3">
        <v>14.7092398888453</v>
      </c>
    </row>
    <row r="29" spans="1:14" x14ac:dyDescent="0.35">
      <c r="A29" s="2">
        <v>42569</v>
      </c>
      <c r="B29" s="3">
        <v>20.043926502286801</v>
      </c>
      <c r="C29" s="3">
        <v>16.1987888402927</v>
      </c>
      <c r="D29" s="3">
        <v>17.184045732163</v>
      </c>
      <c r="E29" s="3">
        <v>12.9253578752688</v>
      </c>
      <c r="F29" s="3">
        <v>14.168876085216599</v>
      </c>
      <c r="G29" s="3">
        <v>17.351237252963699</v>
      </c>
      <c r="H29" s="3">
        <v>16.514084133334599</v>
      </c>
      <c r="I29" s="3">
        <v>19.1387921696444</v>
      </c>
      <c r="J29" s="3">
        <v>17.289475410302799</v>
      </c>
      <c r="K29" s="3">
        <v>14.9811186818851</v>
      </c>
      <c r="L29" s="3">
        <v>15.9768878205163</v>
      </c>
      <c r="M29" s="3">
        <v>15.583161088650099</v>
      </c>
      <c r="N29" s="3">
        <v>14.638599284054701</v>
      </c>
    </row>
    <row r="30" spans="1:14" x14ac:dyDescent="0.35">
      <c r="A30" s="2">
        <v>42600</v>
      </c>
      <c r="B30" s="3">
        <v>20.7226893119105</v>
      </c>
      <c r="C30" s="3">
        <v>16.6270963462566</v>
      </c>
      <c r="D30" s="3">
        <v>17.485581624987802</v>
      </c>
      <c r="E30" s="3">
        <v>13.3878520722999</v>
      </c>
      <c r="F30" s="3">
        <v>13.9593034903647</v>
      </c>
      <c r="G30" s="3">
        <v>17.8764328842955</v>
      </c>
      <c r="H30" s="3">
        <v>16.968332632504602</v>
      </c>
      <c r="I30" s="3">
        <v>19.5809939177438</v>
      </c>
      <c r="J30" s="3">
        <v>17.572367426457301</v>
      </c>
      <c r="K30" s="3">
        <v>14.946592944025999</v>
      </c>
      <c r="L30" s="3">
        <v>16.104868436503999</v>
      </c>
      <c r="M30" s="3">
        <v>15.985990663929</v>
      </c>
      <c r="N30" s="3">
        <v>14.995216427548501</v>
      </c>
    </row>
    <row r="31" spans="1:14" x14ac:dyDescent="0.35">
      <c r="A31" s="2">
        <v>42629</v>
      </c>
      <c r="B31" s="3">
        <v>20.7799639113457</v>
      </c>
      <c r="C31" s="3">
        <v>16.278763481534199</v>
      </c>
      <c r="D31" s="3">
        <v>17.503883660972299</v>
      </c>
      <c r="E31" s="3">
        <v>13.321155487903701</v>
      </c>
      <c r="F31" s="3">
        <v>14.1347798618028</v>
      </c>
      <c r="G31" s="3">
        <v>17.834477350752</v>
      </c>
      <c r="H31" s="3">
        <v>16.654391669021599</v>
      </c>
      <c r="I31" s="3">
        <v>19.694326583160102</v>
      </c>
      <c r="J31" s="3">
        <v>17.484039997096701</v>
      </c>
      <c r="K31" s="3">
        <v>14.6746970155932</v>
      </c>
      <c r="L31" s="3">
        <v>15.7667852999638</v>
      </c>
      <c r="M31" s="3">
        <v>15.998553291842599</v>
      </c>
      <c r="N31" s="3">
        <v>14.4842834856679</v>
      </c>
    </row>
    <row r="32" spans="1:14" x14ac:dyDescent="0.35">
      <c r="A32" s="2">
        <v>42661</v>
      </c>
      <c r="B32" s="3">
        <v>20.1044883052814</v>
      </c>
      <c r="C32" s="3">
        <v>16.779589850632799</v>
      </c>
      <c r="D32" s="3">
        <v>18.077470983969999</v>
      </c>
      <c r="E32" s="3">
        <v>13.756215514106399</v>
      </c>
      <c r="F32" s="3">
        <v>14.450586812978701</v>
      </c>
      <c r="G32" s="3">
        <v>17.881638458969402</v>
      </c>
      <c r="H32" s="3">
        <v>16.940704391483401</v>
      </c>
      <c r="I32" s="3">
        <v>19.949061693705499</v>
      </c>
      <c r="J32" s="3">
        <v>17.635520134622301</v>
      </c>
      <c r="K32" s="3">
        <v>15.018510130978299</v>
      </c>
      <c r="L32" s="3">
        <v>15.934601721056699</v>
      </c>
      <c r="M32" s="3">
        <v>17.143988348342099</v>
      </c>
      <c r="N32" s="3">
        <v>15.0755917503449</v>
      </c>
    </row>
    <row r="33" spans="1:14" x14ac:dyDescent="0.35">
      <c r="A33" s="2">
        <v>42692</v>
      </c>
      <c r="B33" s="3">
        <v>20.004163742251801</v>
      </c>
      <c r="C33" s="3">
        <v>16.9238085569079</v>
      </c>
      <c r="D33" s="3">
        <v>18.515992974130398</v>
      </c>
      <c r="E33" s="3">
        <v>13.6579019858082</v>
      </c>
      <c r="F33" s="3">
        <v>15.1451267043615</v>
      </c>
      <c r="G33" s="3">
        <v>17.5888175585835</v>
      </c>
      <c r="H33" s="3">
        <v>16.270207231723401</v>
      </c>
      <c r="I33" s="3">
        <v>19.838745730403001</v>
      </c>
      <c r="J33" s="3">
        <v>18.061710398925602</v>
      </c>
      <c r="K33" s="3">
        <v>14.779653830264399</v>
      </c>
      <c r="L33" s="3">
        <v>15.5651254287989</v>
      </c>
      <c r="M33" s="3">
        <v>17.259462022476001</v>
      </c>
      <c r="N33" s="3">
        <v>14.0496174463118</v>
      </c>
    </row>
    <row r="34" spans="1:14" x14ac:dyDescent="0.35">
      <c r="A34" s="2">
        <v>42720</v>
      </c>
      <c r="B34" s="3">
        <v>19.550714252456</v>
      </c>
      <c r="C34" s="3">
        <v>17.2656872029063</v>
      </c>
      <c r="D34" s="3">
        <v>19.196348222136201</v>
      </c>
      <c r="E34" s="3">
        <v>14.605632542558199</v>
      </c>
      <c r="F34" s="3">
        <v>16.637551121612301</v>
      </c>
      <c r="G34" s="3">
        <v>18.066753429357298</v>
      </c>
      <c r="H34" s="3">
        <v>16.936042208670798</v>
      </c>
      <c r="I34" s="3">
        <v>20.3620809062086</v>
      </c>
      <c r="J34" s="3">
        <v>18.8285687523753</v>
      </c>
      <c r="K34" s="3">
        <v>15.639021150818399</v>
      </c>
      <c r="L34" s="3">
        <v>16.0828483935714</v>
      </c>
      <c r="M34" s="3">
        <v>18.3076274568384</v>
      </c>
      <c r="N34" s="3">
        <v>16.3027663274373</v>
      </c>
    </row>
    <row r="35" spans="1:14" x14ac:dyDescent="0.35">
      <c r="A35" s="2">
        <v>42753</v>
      </c>
      <c r="B35" s="3">
        <v>20.426159563873799</v>
      </c>
      <c r="C35" s="3">
        <v>17.739749547370199</v>
      </c>
      <c r="D35" s="3">
        <v>19.790948942181501</v>
      </c>
      <c r="E35" s="3">
        <v>14.884557675973999</v>
      </c>
      <c r="F35" s="3">
        <v>16.293042244613599</v>
      </c>
      <c r="G35" s="3">
        <v>18.4825961914988</v>
      </c>
      <c r="H35" s="3">
        <v>17.196241411216501</v>
      </c>
      <c r="I35" s="3">
        <v>20.990154635560899</v>
      </c>
      <c r="J35" s="3">
        <v>18.970946381322399</v>
      </c>
      <c r="K35" s="3">
        <v>15.7960468788078</v>
      </c>
      <c r="L35" s="3">
        <v>16.2490334811847</v>
      </c>
      <c r="M35" s="3">
        <v>18.114908571447401</v>
      </c>
      <c r="N35" s="3">
        <v>27.411406872617199</v>
      </c>
    </row>
    <row r="36" spans="1:14" x14ac:dyDescent="0.35">
      <c r="A36" s="2">
        <v>42783</v>
      </c>
      <c r="B36" s="3">
        <v>20.350506557785501</v>
      </c>
      <c r="C36" s="3">
        <v>17.984845900517101</v>
      </c>
      <c r="D36" s="3">
        <v>19.860837995600299</v>
      </c>
      <c r="E36" s="3">
        <v>14.6594529214376</v>
      </c>
      <c r="F36" s="3">
        <v>16.193709579529902</v>
      </c>
      <c r="G36" s="3">
        <v>19.644969151858099</v>
      </c>
      <c r="H36" s="3">
        <v>17.291174192182702</v>
      </c>
      <c r="I36" s="3">
        <v>21.762919350429399</v>
      </c>
      <c r="J36" s="3">
        <v>19.4499488578833</v>
      </c>
      <c r="K36" s="3">
        <v>15.5069192023849</v>
      </c>
      <c r="L36" s="3">
        <v>16.659478015415299</v>
      </c>
      <c r="M36" s="3">
        <v>17.423999391124301</v>
      </c>
      <c r="N36" s="3">
        <v>20.631946507462501</v>
      </c>
    </row>
    <row r="37" spans="1:14" x14ac:dyDescent="0.35">
      <c r="A37" s="2">
        <v>42811</v>
      </c>
      <c r="B37" s="3">
        <v>19.751688964733599</v>
      </c>
      <c r="C37" s="3">
        <v>17.433156744289199</v>
      </c>
      <c r="D37" s="3">
        <v>19.2297529044701</v>
      </c>
      <c r="E37" s="3">
        <v>14.973715831194999</v>
      </c>
      <c r="F37" s="3">
        <v>15.901228386527601</v>
      </c>
      <c r="G37" s="3">
        <v>19.639292210691099</v>
      </c>
      <c r="H37" s="3">
        <v>17.262694513754301</v>
      </c>
      <c r="I37" s="3">
        <v>21.691597704249599</v>
      </c>
      <c r="J37" s="3">
        <v>19.4355308648251</v>
      </c>
      <c r="K37" s="3">
        <v>15.620271304274301</v>
      </c>
      <c r="L37" s="3">
        <v>16.5136383339274</v>
      </c>
      <c r="M37" s="3">
        <v>17.506873593446201</v>
      </c>
      <c r="N37" s="3">
        <v>82.094099266410794</v>
      </c>
    </row>
    <row r="38" spans="1:14" x14ac:dyDescent="0.35">
      <c r="A38" s="2">
        <v>42843</v>
      </c>
      <c r="B38" s="3">
        <v>19.815636403311501</v>
      </c>
      <c r="C38" s="3">
        <v>17.275317386586799</v>
      </c>
      <c r="D38" s="3">
        <v>18.930395835535801</v>
      </c>
      <c r="E38" s="3">
        <v>14.821316955788999</v>
      </c>
      <c r="F38" s="3">
        <v>15.492556307361999</v>
      </c>
      <c r="G38" s="3">
        <v>19.337742678818699</v>
      </c>
      <c r="H38" s="3">
        <v>16.904874254791999</v>
      </c>
      <c r="I38" s="3">
        <v>21.552707783186801</v>
      </c>
      <c r="J38" s="3">
        <v>19.203288291172601</v>
      </c>
      <c r="K38" s="3">
        <v>15.538453477362401</v>
      </c>
      <c r="L38" s="3">
        <v>16.505891773513302</v>
      </c>
      <c r="M38" s="3">
        <v>17.518339753260499</v>
      </c>
      <c r="N38" s="3">
        <v>74.3644155876041</v>
      </c>
    </row>
    <row r="39" spans="1:14" x14ac:dyDescent="0.35">
      <c r="A39" s="2">
        <v>42873</v>
      </c>
      <c r="B39" s="3">
        <v>19.9020529938396</v>
      </c>
      <c r="C39" s="3">
        <v>16.996930797992299</v>
      </c>
      <c r="D39" s="3">
        <v>18.486562264223899</v>
      </c>
      <c r="E39" s="3">
        <v>14.7963761191792</v>
      </c>
      <c r="F39" s="3">
        <v>15.615823523292301</v>
      </c>
      <c r="G39" s="3">
        <v>19.460313854005701</v>
      </c>
      <c r="H39" s="3">
        <v>16.8508654471438</v>
      </c>
      <c r="I39" s="3">
        <v>21.7432083297054</v>
      </c>
      <c r="J39" s="3">
        <v>19.084382944995301</v>
      </c>
      <c r="K39" s="3">
        <v>15.748698748862401</v>
      </c>
      <c r="L39" s="3">
        <v>16.654491264665801</v>
      </c>
      <c r="M39" s="3">
        <v>17.9802820129532</v>
      </c>
      <c r="N39" s="3">
        <v>67.693806604732103</v>
      </c>
    </row>
    <row r="40" spans="1:14" x14ac:dyDescent="0.35">
      <c r="A40" s="2">
        <v>42902</v>
      </c>
      <c r="B40" s="3">
        <v>20.077791739061499</v>
      </c>
      <c r="C40" s="3">
        <v>16.881450139885999</v>
      </c>
      <c r="D40" s="3">
        <v>18.1752045616531</v>
      </c>
      <c r="E40" s="3">
        <v>14.766349642378101</v>
      </c>
      <c r="F40" s="3">
        <v>15.622539240135501</v>
      </c>
      <c r="G40" s="3">
        <v>19.501511668971201</v>
      </c>
      <c r="H40" s="3">
        <v>16.598412962028998</v>
      </c>
      <c r="I40" s="3">
        <v>21.7612940494373</v>
      </c>
      <c r="J40" s="3">
        <v>19.1742879317122</v>
      </c>
      <c r="K40" s="3">
        <v>15.715821945795399</v>
      </c>
      <c r="L40" s="3">
        <v>16.650961573333099</v>
      </c>
      <c r="M40" s="3">
        <v>17.629168526669599</v>
      </c>
      <c r="N40" s="3">
        <v>60.789487283378797</v>
      </c>
    </row>
    <row r="41" spans="1:14" x14ac:dyDescent="0.35">
      <c r="A41" s="2">
        <v>42934</v>
      </c>
      <c r="B41" s="3">
        <v>20.270350311886201</v>
      </c>
      <c r="C41" s="3">
        <v>16.763790113294199</v>
      </c>
      <c r="D41" s="3">
        <v>18.0320609114729</v>
      </c>
      <c r="E41" s="3">
        <v>14.5080249377468</v>
      </c>
      <c r="F41" s="3">
        <v>15.4552293586817</v>
      </c>
      <c r="G41" s="3">
        <v>19.4141778212737</v>
      </c>
      <c r="H41" s="3">
        <v>16.449166962454399</v>
      </c>
      <c r="I41" s="3">
        <v>22.1768664416484</v>
      </c>
      <c r="J41" s="3">
        <v>19.197678522862301</v>
      </c>
      <c r="K41" s="3">
        <v>15.65433289075</v>
      </c>
      <c r="L41" s="3">
        <v>16.636029220152</v>
      </c>
      <c r="M41" s="3">
        <v>17.616479885959802</v>
      </c>
      <c r="N41" s="3">
        <v>53.496670654620601</v>
      </c>
    </row>
    <row r="42" spans="1:14" x14ac:dyDescent="0.35">
      <c r="A42" s="2">
        <v>42965</v>
      </c>
      <c r="B42" s="3">
        <v>20.800401981458698</v>
      </c>
      <c r="C42" s="3">
        <v>16.736988731033399</v>
      </c>
      <c r="D42" s="3">
        <v>17.6269060632948</v>
      </c>
      <c r="E42" s="3">
        <v>14.2001079247127</v>
      </c>
      <c r="F42" s="3">
        <v>14.9971727437384</v>
      </c>
      <c r="G42" s="3">
        <v>19.106235121445501</v>
      </c>
      <c r="H42" s="3">
        <v>16.0498766576655</v>
      </c>
      <c r="I42" s="3">
        <v>21.832602871153298</v>
      </c>
      <c r="J42" s="3">
        <v>18.895207880433599</v>
      </c>
      <c r="K42" s="3">
        <v>15.4877834609101</v>
      </c>
      <c r="L42" s="3">
        <v>16.608105097570601</v>
      </c>
      <c r="M42" s="3">
        <v>16.7680284956134</v>
      </c>
      <c r="N42" s="3">
        <v>46.1890279829435</v>
      </c>
    </row>
    <row r="43" spans="1:14" x14ac:dyDescent="0.35">
      <c r="A43" s="2">
        <v>42996</v>
      </c>
      <c r="B43" s="3">
        <v>20.432818908072601</v>
      </c>
      <c r="C43" s="3">
        <v>16.5250188545042</v>
      </c>
      <c r="D43" s="3">
        <v>17.417461824874</v>
      </c>
      <c r="E43" s="3">
        <v>14.394140294188899</v>
      </c>
      <c r="F43" s="3">
        <v>14.8217229504204</v>
      </c>
      <c r="G43" s="3">
        <v>19.333300824281299</v>
      </c>
      <c r="H43" s="3">
        <v>15.846086360393</v>
      </c>
      <c r="I43" s="3">
        <v>22.327922763285098</v>
      </c>
      <c r="J43" s="3">
        <v>19.243103066265</v>
      </c>
      <c r="K43" s="3">
        <v>15.745022266899699</v>
      </c>
      <c r="L43" s="3">
        <v>16.899209748255601</v>
      </c>
      <c r="M43" s="3">
        <v>17.294100439852802</v>
      </c>
      <c r="N43" s="3">
        <v>39.070491895521002</v>
      </c>
    </row>
    <row r="44" spans="1:14" x14ac:dyDescent="0.35">
      <c r="A44" s="2">
        <v>43026</v>
      </c>
      <c r="B44" s="3">
        <v>20.971094719315001</v>
      </c>
      <c r="C44" s="3">
        <v>16.696515573343699</v>
      </c>
      <c r="D44" s="3">
        <v>17.4859201343507</v>
      </c>
      <c r="E44" s="3">
        <v>14.855786893467</v>
      </c>
      <c r="F44" s="3">
        <v>15.241631212580099</v>
      </c>
      <c r="G44" s="3">
        <v>19.803239384735001</v>
      </c>
      <c r="H44" s="3">
        <v>15.8239672580549</v>
      </c>
      <c r="I44" s="3">
        <v>22.7125248833635</v>
      </c>
      <c r="J44" s="3">
        <v>19.5748568147634</v>
      </c>
      <c r="K44" s="3">
        <v>16.113132992351701</v>
      </c>
      <c r="L44" s="3">
        <v>17.314852344850198</v>
      </c>
      <c r="M44" s="3">
        <v>17.796612343514202</v>
      </c>
      <c r="N44" s="3">
        <v>32.2256497084716</v>
      </c>
    </row>
    <row r="45" spans="1:14" x14ac:dyDescent="0.35">
      <c r="A45" s="2">
        <v>43056</v>
      </c>
      <c r="B45" s="3">
        <v>21.302075029626899</v>
      </c>
      <c r="C45" s="3">
        <v>16.623909572935101</v>
      </c>
      <c r="D45" s="3">
        <v>17.318643737524599</v>
      </c>
      <c r="E45" s="3">
        <v>15.145309000538701</v>
      </c>
      <c r="F45" s="3">
        <v>15.6017854248111</v>
      </c>
      <c r="G45" s="3">
        <v>20.203402369397299</v>
      </c>
      <c r="H45" s="3">
        <v>15.1965921933713</v>
      </c>
      <c r="I45" s="3">
        <v>22.987996329021598</v>
      </c>
      <c r="J45" s="3">
        <v>19.571053721284599</v>
      </c>
      <c r="K45" s="3">
        <v>15.8531549814856</v>
      </c>
      <c r="L45" s="3">
        <v>17.190587955815602</v>
      </c>
      <c r="M45" s="3">
        <v>18.030009540037899</v>
      </c>
      <c r="N45" s="3">
        <v>25.123340396163499</v>
      </c>
    </row>
    <row r="46" spans="1:14" x14ac:dyDescent="0.35">
      <c r="A46" s="2">
        <v>43087</v>
      </c>
      <c r="B46" s="3">
        <v>22.1536763149793</v>
      </c>
      <c r="C46" s="3">
        <v>16.705963547109</v>
      </c>
      <c r="D46" s="3">
        <v>17.2354339845038</v>
      </c>
      <c r="E46" s="3">
        <v>15.693212274551099</v>
      </c>
      <c r="F46" s="3">
        <v>16.259006851159398</v>
      </c>
      <c r="G46" s="3">
        <v>20.757961930396</v>
      </c>
      <c r="H46" s="3">
        <v>15.3178253481361</v>
      </c>
      <c r="I46" s="3">
        <v>23.952775251529701</v>
      </c>
      <c r="J46" s="3">
        <v>20.366822562489201</v>
      </c>
      <c r="K46" s="3">
        <v>16.2623610851916</v>
      </c>
      <c r="L46" s="3">
        <v>17.492919887585099</v>
      </c>
      <c r="M46" s="3">
        <v>18.280158391157499</v>
      </c>
      <c r="N46" s="3">
        <v>18.450232530155599</v>
      </c>
    </row>
    <row r="47" spans="1:14" x14ac:dyDescent="0.35">
      <c r="A47" s="2">
        <v>43118</v>
      </c>
      <c r="B47" s="3">
        <v>21.955691569471</v>
      </c>
      <c r="C47" s="3">
        <v>16.5858066313716</v>
      </c>
      <c r="D47" s="3">
        <v>17.224491051902</v>
      </c>
      <c r="E47" s="3">
        <v>15.6167403998867</v>
      </c>
      <c r="F47" s="3">
        <v>16.850586625869202</v>
      </c>
      <c r="G47" s="3">
        <v>20.995998176573</v>
      </c>
      <c r="H47" s="3">
        <v>15.6074496533216</v>
      </c>
      <c r="I47" s="3">
        <v>24.9227298177188</v>
      </c>
      <c r="J47" s="3">
        <v>21.0171057257661</v>
      </c>
      <c r="K47" s="3">
        <v>16.5325360105291</v>
      </c>
      <c r="L47" s="3">
        <v>17.4500591008164</v>
      </c>
      <c r="M47" s="3">
        <v>18.2569843859972</v>
      </c>
      <c r="N47" s="3">
        <v>16.020457479808002</v>
      </c>
    </row>
    <row r="48" spans="1:14" x14ac:dyDescent="0.35">
      <c r="A48" s="2">
        <v>43147</v>
      </c>
      <c r="B48" s="3">
        <v>21.874513361131299</v>
      </c>
      <c r="C48" s="3">
        <v>16.348062710048001</v>
      </c>
      <c r="D48" s="3">
        <v>15.909619082998301</v>
      </c>
      <c r="E48" s="3">
        <v>14.5329369343567</v>
      </c>
      <c r="F48" s="3">
        <v>15.0221899402473</v>
      </c>
      <c r="G48" s="3">
        <v>21.802982471816001</v>
      </c>
      <c r="H48" s="3">
        <v>14.701670998310799</v>
      </c>
      <c r="I48" s="3">
        <v>23.965741981684399</v>
      </c>
      <c r="J48" s="3">
        <v>20.0308807036986</v>
      </c>
      <c r="K48" s="3">
        <v>15.7154374416483</v>
      </c>
      <c r="L48" s="3">
        <v>16.521642830762399</v>
      </c>
      <c r="M48" s="3">
        <v>16.743230538000901</v>
      </c>
      <c r="N48" s="3">
        <v>14.4947001707681</v>
      </c>
    </row>
    <row r="49" spans="1:14" x14ac:dyDescent="0.35">
      <c r="A49" s="2">
        <v>43175</v>
      </c>
      <c r="B49" s="3">
        <v>22.570091467049501</v>
      </c>
      <c r="C49" s="3">
        <v>16.456460218115399</v>
      </c>
      <c r="D49" s="3">
        <v>15.8167066919703</v>
      </c>
      <c r="E49" s="3">
        <v>14.2028946496887</v>
      </c>
      <c r="F49" s="3">
        <v>14.3822592309669</v>
      </c>
      <c r="G49" s="3">
        <v>20.969054769654601</v>
      </c>
      <c r="H49" s="3">
        <v>13.9431176558217</v>
      </c>
      <c r="I49" s="3">
        <v>24.071331752556699</v>
      </c>
      <c r="J49" s="3">
        <v>19.708534960942199</v>
      </c>
      <c r="K49" s="3">
        <v>15.5723302975611</v>
      </c>
      <c r="L49" s="3">
        <v>16.653808172903702</v>
      </c>
      <c r="M49" s="3">
        <v>16.9421789863474</v>
      </c>
      <c r="N49" s="3">
        <v>14.1852545697043</v>
      </c>
    </row>
    <row r="50" spans="1:14" x14ac:dyDescent="0.35">
      <c r="A50" s="2">
        <v>43208</v>
      </c>
      <c r="B50" s="3">
        <v>22.334248886549201</v>
      </c>
      <c r="C50" s="3">
        <v>16.277075480586898</v>
      </c>
      <c r="D50" s="3">
        <v>15.6317740158481</v>
      </c>
      <c r="E50" s="3">
        <v>14.1798430341659</v>
      </c>
      <c r="F50" s="3">
        <v>14.2612596740935</v>
      </c>
      <c r="G50" s="3">
        <v>20.45979073565</v>
      </c>
      <c r="H50" s="3">
        <v>13.996869884978</v>
      </c>
      <c r="I50" s="3">
        <v>23.6319454716044</v>
      </c>
      <c r="J50" s="3">
        <v>19.362874505945801</v>
      </c>
      <c r="K50" s="3">
        <v>15.5571925638947</v>
      </c>
      <c r="L50" s="3">
        <v>16.628450845302201</v>
      </c>
      <c r="M50" s="3">
        <v>16.847109193314001</v>
      </c>
      <c r="N50" s="3">
        <v>14.183415025834</v>
      </c>
    </row>
    <row r="51" spans="1:14" x14ac:dyDescent="0.35">
      <c r="A51" s="2">
        <v>43238</v>
      </c>
      <c r="B51" s="3">
        <v>22.437733477015598</v>
      </c>
      <c r="C51" s="3">
        <v>16.336276199531699</v>
      </c>
      <c r="D51" s="3">
        <v>15.637321614577299</v>
      </c>
      <c r="E51" s="3">
        <v>14.2225371908143</v>
      </c>
      <c r="F51" s="3">
        <v>14.3317959024751</v>
      </c>
      <c r="G51" s="3">
        <v>20.119902190637902</v>
      </c>
      <c r="H51" s="3">
        <v>14.132290977092699</v>
      </c>
      <c r="I51" s="3">
        <v>23.1904498258411</v>
      </c>
      <c r="J51" s="3">
        <v>19.008989353781601</v>
      </c>
      <c r="K51" s="3">
        <v>15.6387994409497</v>
      </c>
      <c r="L51" s="3">
        <v>16.642825272786698</v>
      </c>
      <c r="M51" s="3">
        <v>16.8814719956118</v>
      </c>
      <c r="N51" s="3">
        <v>13.9551726303824</v>
      </c>
    </row>
    <row r="52" spans="1:14" x14ac:dyDescent="0.35">
      <c r="A52" s="2">
        <v>43269</v>
      </c>
      <c r="B52" s="3">
        <v>22.8362471614615</v>
      </c>
      <c r="C52" s="3">
        <v>16.1499585347885</v>
      </c>
      <c r="D52" s="3">
        <v>15.6201138107115</v>
      </c>
      <c r="E52" s="3">
        <v>14.1483895297955</v>
      </c>
      <c r="F52" s="3">
        <v>14.094598105100999</v>
      </c>
      <c r="G52" s="3">
        <v>19.363357007524399</v>
      </c>
      <c r="H52" s="3">
        <v>13.894795443393001</v>
      </c>
      <c r="I52" s="3">
        <v>23.399330440529699</v>
      </c>
      <c r="J52" s="3">
        <v>18.886987705872901</v>
      </c>
      <c r="K52" s="3">
        <v>15.3489511328682</v>
      </c>
      <c r="L52" s="3">
        <v>16.6740292984639</v>
      </c>
      <c r="M52" s="3">
        <v>16.495303984402</v>
      </c>
      <c r="N52" s="3">
        <v>13.469620924371499</v>
      </c>
    </row>
    <row r="53" spans="1:14" x14ac:dyDescent="0.35">
      <c r="A53" s="2">
        <v>43299</v>
      </c>
      <c r="B53" s="3">
        <v>22.8413884893077</v>
      </c>
      <c r="C53" s="3">
        <v>16.2857000437326</v>
      </c>
      <c r="D53" s="3">
        <v>15.527946609592499</v>
      </c>
      <c r="E53" s="3">
        <v>14.1544143569915</v>
      </c>
      <c r="F53" s="3">
        <v>13.9337998357974</v>
      </c>
      <c r="G53" s="3">
        <v>19.320152456592101</v>
      </c>
      <c r="H53" s="3">
        <v>13.7930647858222</v>
      </c>
      <c r="I53" s="3">
        <v>23.3769301927965</v>
      </c>
      <c r="J53" s="3">
        <v>18.747438054992799</v>
      </c>
      <c r="K53" s="3">
        <v>15.3033897442096</v>
      </c>
      <c r="L53" s="3">
        <v>16.7778101024543</v>
      </c>
      <c r="M53" s="3">
        <v>16.481103844193299</v>
      </c>
      <c r="N53" s="3">
        <v>13.232320776556</v>
      </c>
    </row>
    <row r="54" spans="1:14" x14ac:dyDescent="0.35">
      <c r="A54" s="2">
        <v>43329</v>
      </c>
      <c r="B54" s="3">
        <v>23.139267884873799</v>
      </c>
      <c r="C54" s="3">
        <v>16.439142062914701</v>
      </c>
      <c r="D54" s="3">
        <v>15.3785952002805</v>
      </c>
      <c r="E54" s="3">
        <v>13.8665895518683</v>
      </c>
      <c r="F54" s="3">
        <v>13.5574427994852</v>
      </c>
      <c r="G54" s="3">
        <v>18.862021500484801</v>
      </c>
      <c r="H54" s="3">
        <v>13.619676469327</v>
      </c>
      <c r="I54" s="3">
        <v>23.016995403998902</v>
      </c>
      <c r="J54" s="3">
        <v>18.593627506390799</v>
      </c>
      <c r="K54" s="3">
        <v>14.9546197531653</v>
      </c>
      <c r="L54" s="3">
        <v>16.472942204945699</v>
      </c>
      <c r="M54" s="3">
        <v>16.586003292887</v>
      </c>
      <c r="N54" s="3">
        <v>12.612723504903499</v>
      </c>
    </row>
    <row r="55" spans="1:14" x14ac:dyDescent="0.35">
      <c r="A55" s="2">
        <v>43361</v>
      </c>
      <c r="B55" s="3">
        <v>23.676445710906901</v>
      </c>
      <c r="C55" s="3">
        <v>15.9966462411476</v>
      </c>
      <c r="D55" s="3">
        <v>15.136068395275901</v>
      </c>
      <c r="E55" s="3">
        <v>13.860858950932601</v>
      </c>
      <c r="F55" s="3">
        <v>13.698898457861899</v>
      </c>
      <c r="G55" s="3">
        <v>18.536914877102902</v>
      </c>
      <c r="H55" s="3">
        <v>13.4047962730083</v>
      </c>
      <c r="I55" s="3">
        <v>23.0061895802286</v>
      </c>
      <c r="J55" s="3">
        <v>18.5906262493504</v>
      </c>
      <c r="K55" s="3">
        <v>14.9062015193707</v>
      </c>
      <c r="L55" s="3">
        <v>16.282092106267999</v>
      </c>
      <c r="M55" s="3">
        <v>16.614187963648401</v>
      </c>
      <c r="N55" s="3">
        <v>12.615287573659</v>
      </c>
    </row>
    <row r="56" spans="1:14" x14ac:dyDescent="0.35">
      <c r="A56" s="2">
        <v>43391</v>
      </c>
      <c r="B56" s="3">
        <v>22.8689256741023</v>
      </c>
      <c r="C56" s="3">
        <v>15.521066831286699</v>
      </c>
      <c r="D56" s="3">
        <v>14.473822406190299</v>
      </c>
      <c r="E56" s="3">
        <v>13.329754610124599</v>
      </c>
      <c r="F56" s="3">
        <v>13.2382035140746</v>
      </c>
      <c r="G56" s="3">
        <v>17.7342230373897</v>
      </c>
      <c r="H56" s="3">
        <v>12.8934060740524</v>
      </c>
      <c r="I56" s="3">
        <v>21.9609768799479</v>
      </c>
      <c r="J56" s="3">
        <v>17.7663211759576</v>
      </c>
      <c r="K56" s="3">
        <v>14.272477725224601</v>
      </c>
      <c r="L56" s="3">
        <v>15.6233844155876</v>
      </c>
      <c r="M56" s="3">
        <v>15.7094708032642</v>
      </c>
      <c r="N56" s="3">
        <v>11.545271188110499</v>
      </c>
    </row>
    <row r="57" spans="1:14" x14ac:dyDescent="0.35">
      <c r="A57" s="2">
        <v>43420</v>
      </c>
      <c r="B57" s="3">
        <v>22.720777881036199</v>
      </c>
      <c r="C57" s="3">
        <v>15.0557026032624</v>
      </c>
      <c r="D57" s="3">
        <v>14.107601794778001</v>
      </c>
      <c r="E57" s="3">
        <v>12.9794593873438</v>
      </c>
      <c r="F57" s="3">
        <v>12.6288741947664</v>
      </c>
      <c r="G57" s="3">
        <v>17.638567306400201</v>
      </c>
      <c r="H57" s="3">
        <v>12.7023905463366</v>
      </c>
      <c r="I57" s="3">
        <v>20.701360101106498</v>
      </c>
      <c r="J57" s="3">
        <v>17.255367794408301</v>
      </c>
      <c r="K57" s="3">
        <v>13.9356086321765</v>
      </c>
      <c r="L57" s="3">
        <v>15.514110034106199</v>
      </c>
      <c r="M57" s="3">
        <v>14.903590335419199</v>
      </c>
      <c r="N57" s="3">
        <v>11.2121493992115</v>
      </c>
    </row>
    <row r="58" spans="1:14" x14ac:dyDescent="0.35">
      <c r="A58" s="2">
        <v>43452</v>
      </c>
      <c r="B58" s="3">
        <v>22.606483523633699</v>
      </c>
      <c r="C58" s="3">
        <v>14.535209406655399</v>
      </c>
      <c r="D58" s="3">
        <v>13.3010409253466</v>
      </c>
      <c r="E58" s="3">
        <v>12.3118236845051</v>
      </c>
      <c r="F58" s="3">
        <v>12.073597803636201</v>
      </c>
      <c r="G58" s="3">
        <v>16.570788539298899</v>
      </c>
      <c r="H58" s="3">
        <v>11.9578506161675</v>
      </c>
      <c r="I58" s="3">
        <v>19.262485290796899</v>
      </c>
      <c r="J58" s="3">
        <v>15.8526766815773</v>
      </c>
      <c r="K58" s="3">
        <v>13.0904000075552</v>
      </c>
      <c r="L58" s="3">
        <v>14.6214847971165</v>
      </c>
      <c r="M58" s="3">
        <v>14.153798181105801</v>
      </c>
      <c r="N58" s="3">
        <v>10.731129921194</v>
      </c>
    </row>
    <row r="59" spans="1:14" x14ac:dyDescent="0.35">
      <c r="A59" s="2">
        <v>43483</v>
      </c>
      <c r="B59" s="3">
        <v>23.604324988005299</v>
      </c>
      <c r="C59" s="3">
        <v>15.2609966992131</v>
      </c>
      <c r="D59" s="3">
        <v>14.120998374258299</v>
      </c>
      <c r="E59" s="3">
        <v>12.812310348995601</v>
      </c>
      <c r="F59" s="3">
        <v>11.992956420628801</v>
      </c>
      <c r="G59" s="3">
        <v>17.4263598849173</v>
      </c>
      <c r="H59" s="3">
        <v>12.4611106427725</v>
      </c>
      <c r="I59" s="3">
        <v>20.059976386450401</v>
      </c>
      <c r="J59" s="3">
        <v>16.522488858996599</v>
      </c>
      <c r="K59" s="3">
        <v>13.422658207517999</v>
      </c>
      <c r="L59" s="3">
        <v>14.9261238535329</v>
      </c>
      <c r="M59" s="3">
        <v>15.2243604995117</v>
      </c>
      <c r="N59" s="3">
        <v>11.1708503375256</v>
      </c>
    </row>
    <row r="60" spans="1:14" x14ac:dyDescent="0.35">
      <c r="A60" s="2">
        <v>43511</v>
      </c>
      <c r="B60" s="3">
        <v>23.821019752360499</v>
      </c>
      <c r="C60" s="3">
        <v>15.6489885190806</v>
      </c>
      <c r="D60" s="3">
        <v>14.694286605312101</v>
      </c>
      <c r="E60" s="3">
        <v>13.0500552139688</v>
      </c>
      <c r="F60" s="3">
        <v>12.408873108884199</v>
      </c>
      <c r="G60" s="3">
        <v>17.905965542058301</v>
      </c>
      <c r="H60" s="3">
        <v>12.8363496045825</v>
      </c>
      <c r="I60" s="3">
        <v>20.760157103496699</v>
      </c>
      <c r="J60" s="3">
        <v>17.077215917171799</v>
      </c>
      <c r="K60" s="3">
        <v>14.193526173623599</v>
      </c>
      <c r="L60" s="3">
        <v>16.128568890803901</v>
      </c>
      <c r="M60" s="3">
        <v>18.4479125766109</v>
      </c>
      <c r="N60" s="3">
        <v>11.1305089337494</v>
      </c>
    </row>
    <row r="61" spans="1:14" x14ac:dyDescent="0.35">
      <c r="A61" s="2">
        <v>43542</v>
      </c>
      <c r="B61" s="3">
        <v>24.081502927711799</v>
      </c>
      <c r="C61" s="3">
        <v>15.8758635735665</v>
      </c>
      <c r="D61" s="3">
        <v>14.756350245786001</v>
      </c>
      <c r="E61" s="3">
        <v>13.2248956997988</v>
      </c>
      <c r="F61" s="3">
        <v>12.720654600476699</v>
      </c>
      <c r="G61" s="3">
        <v>18.311688418173599</v>
      </c>
      <c r="H61" s="3">
        <v>12.985311900812</v>
      </c>
      <c r="I61" s="3">
        <v>21.004425645657399</v>
      </c>
      <c r="J61" s="3">
        <v>17.145272697459401</v>
      </c>
      <c r="K61" s="3">
        <v>14.6088745046735</v>
      </c>
      <c r="L61" s="3">
        <v>16.192083339874301</v>
      </c>
      <c r="M61" s="3">
        <v>18.0402052859021</v>
      </c>
      <c r="N61" s="3">
        <v>11.3228248185985</v>
      </c>
    </row>
    <row r="62" spans="1:14" x14ac:dyDescent="0.35">
      <c r="A62" s="2">
        <v>43573</v>
      </c>
      <c r="B62" s="3">
        <v>24.179518011720798</v>
      </c>
      <c r="C62" s="3">
        <v>15.8513450872888</v>
      </c>
      <c r="D62" s="3">
        <v>14.6669825600435</v>
      </c>
      <c r="E62" s="3">
        <v>13.3621427418646</v>
      </c>
      <c r="F62" s="3">
        <v>12.7587795397055</v>
      </c>
      <c r="G62" s="3">
        <v>18.298374179045599</v>
      </c>
      <c r="H62" s="3">
        <v>13.02155751431</v>
      </c>
      <c r="I62" s="3">
        <v>21.300300703344899</v>
      </c>
      <c r="J62" s="3">
        <v>17.240994338975302</v>
      </c>
      <c r="K62" s="3">
        <v>14.676197958709899</v>
      </c>
      <c r="L62" s="3">
        <v>16.327997025581901</v>
      </c>
      <c r="M62" s="3">
        <v>17.869790683560801</v>
      </c>
      <c r="N62" s="3">
        <v>11.366081673856799</v>
      </c>
    </row>
    <row r="63" spans="1:14" x14ac:dyDescent="0.35">
      <c r="A63" s="2">
        <v>43602</v>
      </c>
      <c r="B63" s="3">
        <v>24.3509707040085</v>
      </c>
      <c r="C63" s="3">
        <v>15.875287477795601</v>
      </c>
      <c r="D63" s="3">
        <v>14.5237470741693</v>
      </c>
      <c r="E63" s="3">
        <v>13.3042134624328</v>
      </c>
      <c r="F63" s="3">
        <v>12.666319736810101</v>
      </c>
      <c r="G63" s="3">
        <v>18.183469584775601</v>
      </c>
      <c r="H63" s="3">
        <v>12.9163043081167</v>
      </c>
      <c r="I63" s="3">
        <v>21.213964295841699</v>
      </c>
      <c r="J63" s="3">
        <v>17.1403868413901</v>
      </c>
      <c r="K63" s="3">
        <v>14.5685429181405</v>
      </c>
      <c r="L63" s="3">
        <v>16.2298200150131</v>
      </c>
      <c r="M63" s="3">
        <v>17.518844468655999</v>
      </c>
      <c r="N63" s="3">
        <v>11.168975027500901</v>
      </c>
    </row>
    <row r="64" spans="1:14" x14ac:dyDescent="0.35">
      <c r="A64" s="2">
        <v>43634</v>
      </c>
      <c r="B64" s="3">
        <v>24.2795118930777</v>
      </c>
      <c r="C64" s="3">
        <v>16.134752177038202</v>
      </c>
      <c r="D64" s="3">
        <v>14.5346775643384</v>
      </c>
      <c r="E64" s="3">
        <v>13.3120369989129</v>
      </c>
      <c r="F64" s="3">
        <v>12.7325647979852</v>
      </c>
      <c r="G64" s="3">
        <v>18.362448352736099</v>
      </c>
      <c r="H64" s="3">
        <v>13.004911388696099</v>
      </c>
      <c r="I64" s="3">
        <v>21.478054237608902</v>
      </c>
      <c r="J64" s="3">
        <v>17.306903698881101</v>
      </c>
      <c r="K64" s="3">
        <v>14.637910005141</v>
      </c>
      <c r="L64" s="3">
        <v>16.316323691847298</v>
      </c>
      <c r="M64" s="3">
        <v>17.1793228335724</v>
      </c>
      <c r="N64" s="3">
        <v>11.1171136884565</v>
      </c>
    </row>
    <row r="65" spans="1:14" x14ac:dyDescent="0.35">
      <c r="A65" s="2">
        <v>43664</v>
      </c>
      <c r="B65" s="3">
        <v>25.117509543790899</v>
      </c>
      <c r="C65" s="3">
        <v>16.312538239331399</v>
      </c>
      <c r="D65" s="3">
        <v>14.485663699181901</v>
      </c>
      <c r="E65" s="3">
        <v>13.455446792847299</v>
      </c>
      <c r="F65" s="3">
        <v>12.8179090619702</v>
      </c>
      <c r="G65" s="3">
        <v>18.437236638244201</v>
      </c>
      <c r="H65" s="3">
        <v>13.1034632283309</v>
      </c>
      <c r="I65" s="3">
        <v>22.0357886945743</v>
      </c>
      <c r="J65" s="3">
        <v>17.6734438119001</v>
      </c>
      <c r="K65" s="3">
        <v>14.7954678030513</v>
      </c>
      <c r="L65" s="3">
        <v>16.5569976541824</v>
      </c>
      <c r="M65" s="3">
        <v>16.871748834142199</v>
      </c>
      <c r="N65" s="3">
        <v>11.360764735872101</v>
      </c>
    </row>
    <row r="66" spans="1:14" x14ac:dyDescent="0.35">
      <c r="A66" s="2">
        <v>43693</v>
      </c>
      <c r="B66" s="3">
        <v>25.032273500832702</v>
      </c>
      <c r="C66" s="3">
        <v>16.055784626560602</v>
      </c>
      <c r="D66" s="3">
        <v>14.3046126127651</v>
      </c>
      <c r="E66" s="3">
        <v>13.2410566979382</v>
      </c>
      <c r="F66" s="3">
        <v>12.6469793055275</v>
      </c>
      <c r="G66" s="3">
        <v>18.115840431576299</v>
      </c>
      <c r="H66" s="3">
        <v>12.665827447106601</v>
      </c>
      <c r="I66" s="3">
        <v>21.633405715730898</v>
      </c>
      <c r="J66" s="3">
        <v>17.365373421884399</v>
      </c>
      <c r="K66" s="3">
        <v>14.4682297774342</v>
      </c>
      <c r="L66" s="3">
        <v>16.228982516585202</v>
      </c>
      <c r="M66" s="3">
        <v>15.78093210904</v>
      </c>
      <c r="N66" s="3">
        <v>10.8001183198277</v>
      </c>
    </row>
    <row r="67" spans="1:14" x14ac:dyDescent="0.35">
      <c r="A67" s="2">
        <v>43726</v>
      </c>
      <c r="B67" s="3">
        <v>28.412152105849099</v>
      </c>
      <c r="C67" s="3">
        <v>16.753542872632998</v>
      </c>
      <c r="D67" s="3">
        <v>14.717305799053699</v>
      </c>
      <c r="E67" s="3">
        <v>14.018352951129</v>
      </c>
      <c r="F67" s="3">
        <v>13.4958402679729</v>
      </c>
      <c r="G67" s="3">
        <v>18.370986192192198</v>
      </c>
      <c r="H67" s="3">
        <v>13.072312376427099</v>
      </c>
      <c r="I67" s="3">
        <v>22.309479402207199</v>
      </c>
      <c r="J67" s="3">
        <v>17.919107232894198</v>
      </c>
      <c r="K67" s="3">
        <v>15.070845221986501</v>
      </c>
      <c r="L67" s="3">
        <v>17.111138758912698</v>
      </c>
      <c r="M67" s="3">
        <v>16.279705252704701</v>
      </c>
      <c r="N67" s="3">
        <v>11.285438786411699</v>
      </c>
    </row>
    <row r="68" spans="1:14" x14ac:dyDescent="0.35">
      <c r="A68" s="2">
        <v>43756</v>
      </c>
      <c r="B68" s="3">
        <v>29.111327832518199</v>
      </c>
      <c r="C68" s="3">
        <v>17.0351838023523</v>
      </c>
      <c r="D68" s="3">
        <v>14.5654071017016</v>
      </c>
      <c r="E68" s="3">
        <v>14.4062145851497</v>
      </c>
      <c r="F68" s="3">
        <v>13.7414676357525</v>
      </c>
      <c r="G68" s="3">
        <v>18.350786261080799</v>
      </c>
      <c r="H68" s="3">
        <v>13.1235196056637</v>
      </c>
      <c r="I68" s="3">
        <v>22.449633609554301</v>
      </c>
      <c r="J68" s="3">
        <v>18.038296345791</v>
      </c>
      <c r="K68" s="3">
        <v>15.3222679069401</v>
      </c>
      <c r="L68" s="3">
        <v>17.192244413743001</v>
      </c>
      <c r="M68" s="3">
        <v>16.683843647800099</v>
      </c>
      <c r="N68" s="3">
        <v>11.4900737987033</v>
      </c>
    </row>
    <row r="69" spans="1:14" x14ac:dyDescent="0.35">
      <c r="A69" s="2">
        <v>43784</v>
      </c>
      <c r="B69" s="3">
        <v>29.194579285155601</v>
      </c>
      <c r="C69" s="3">
        <v>17.5579423236004</v>
      </c>
      <c r="D69" s="3">
        <v>15.137885522006799</v>
      </c>
      <c r="E69" s="3">
        <v>15.0988201552567</v>
      </c>
      <c r="F69" s="3">
        <v>14.485583708426301</v>
      </c>
      <c r="G69" s="3">
        <v>18.943605900805998</v>
      </c>
      <c r="H69" s="3">
        <v>13.4094379325261</v>
      </c>
      <c r="I69" s="3">
        <v>23.672503706063001</v>
      </c>
      <c r="J69" s="3">
        <v>18.863541439476101</v>
      </c>
      <c r="K69" s="3">
        <v>16.098473067458201</v>
      </c>
      <c r="L69" s="3">
        <v>17.953545069261601</v>
      </c>
      <c r="M69" s="3">
        <v>16.077412776705899</v>
      </c>
      <c r="N69" s="3">
        <v>11.9382779958916</v>
      </c>
    </row>
    <row r="70" spans="1:14" x14ac:dyDescent="0.35">
      <c r="A70" s="2">
        <v>43817</v>
      </c>
      <c r="B70" s="3">
        <v>31.8399632532008</v>
      </c>
      <c r="C70" s="3">
        <v>18.0415781682897</v>
      </c>
      <c r="D70" s="3">
        <v>15.2513986727924</v>
      </c>
      <c r="E70" s="3">
        <v>15.421195413611599</v>
      </c>
      <c r="F70" s="3">
        <v>15.3166294041676</v>
      </c>
      <c r="G70" s="3">
        <v>19.412070278680599</v>
      </c>
      <c r="H70" s="3">
        <v>14.0091776444091</v>
      </c>
      <c r="I70" s="3">
        <v>24.8215739809486</v>
      </c>
      <c r="J70" s="3">
        <v>19.507116577847199</v>
      </c>
      <c r="K70" s="3">
        <v>16.3586831515196</v>
      </c>
      <c r="L70" s="3">
        <v>18.542513739967401</v>
      </c>
      <c r="M70" s="3">
        <v>16.301380113573501</v>
      </c>
      <c r="N70" s="3">
        <v>12.1521502569638</v>
      </c>
    </row>
    <row r="71" spans="1:14" x14ac:dyDescent="0.35">
      <c r="A71" s="2">
        <v>43847</v>
      </c>
      <c r="B71" s="3">
        <v>33.030377082529299</v>
      </c>
      <c r="C71" s="3">
        <v>18.6674392411147</v>
      </c>
      <c r="D71" s="3">
        <v>15.6737986203494</v>
      </c>
      <c r="E71" s="3">
        <v>15.8273695274935</v>
      </c>
      <c r="F71" s="3">
        <v>15.4731264552842</v>
      </c>
      <c r="G71" s="3">
        <v>19.993372715883002</v>
      </c>
      <c r="H71" s="3">
        <v>14.3314461552574</v>
      </c>
      <c r="I71" s="3">
        <v>26.603763329554901</v>
      </c>
      <c r="J71" s="3">
        <v>20.434499431311099</v>
      </c>
      <c r="K71" s="3">
        <v>16.837636633794698</v>
      </c>
      <c r="L71" s="3">
        <v>18.832468898593099</v>
      </c>
      <c r="M71" s="3">
        <v>16.904126352704299</v>
      </c>
      <c r="N71" s="3">
        <v>12.3791748547343</v>
      </c>
    </row>
    <row r="72" spans="1:14" x14ac:dyDescent="0.35">
      <c r="A72" s="2">
        <v>43879</v>
      </c>
      <c r="B72" s="3">
        <v>33.539593187009103</v>
      </c>
      <c r="C72" s="3">
        <v>18.912479762519698</v>
      </c>
      <c r="D72" s="3">
        <v>15.7080862908693</v>
      </c>
      <c r="E72" s="3">
        <v>16.148624768739001</v>
      </c>
      <c r="F72" s="3">
        <v>15.1050371556725</v>
      </c>
      <c r="G72" s="3">
        <v>20.139277634108701</v>
      </c>
      <c r="H72" s="3">
        <v>13.9636109510535</v>
      </c>
      <c r="I72" s="3">
        <v>27.2010387721113</v>
      </c>
      <c r="J72" s="3">
        <v>20.4516343765189</v>
      </c>
      <c r="K72" s="3">
        <v>16.692634605259901</v>
      </c>
      <c r="L72" s="3">
        <v>19.791496554678002</v>
      </c>
      <c r="M72" s="3">
        <v>14.367411504787</v>
      </c>
      <c r="N72" s="3">
        <v>12.9266617285416</v>
      </c>
    </row>
    <row r="73" spans="1:14" x14ac:dyDescent="0.35">
      <c r="A73" s="2">
        <v>43908</v>
      </c>
      <c r="B73" s="3">
        <v>29.971204572099602</v>
      </c>
      <c r="C73" s="3">
        <v>16.149243194673002</v>
      </c>
      <c r="D73" s="3">
        <v>13.702636559495501</v>
      </c>
      <c r="E73" s="3">
        <v>13.2211588678997</v>
      </c>
      <c r="F73" s="3">
        <v>13.5047075309832</v>
      </c>
      <c r="G73" s="3">
        <v>17.4031057345383</v>
      </c>
      <c r="H73" s="3">
        <v>11.8673405880253</v>
      </c>
      <c r="I73" s="3">
        <v>23.0490799083727</v>
      </c>
      <c r="J73" s="3">
        <v>17.2614711701058</v>
      </c>
      <c r="K73" s="3">
        <v>13.8644575032107</v>
      </c>
      <c r="L73" s="3">
        <v>16.449218871193398</v>
      </c>
      <c r="M73" s="3">
        <v>12.3708636093547</v>
      </c>
      <c r="N73" s="3">
        <v>10.763388385074199</v>
      </c>
    </row>
    <row r="74" spans="1:14" x14ac:dyDescent="0.35">
      <c r="A74" s="2">
        <v>43938</v>
      </c>
      <c r="B74" s="3">
        <v>31.600385851215801</v>
      </c>
      <c r="C74" s="3">
        <v>17.003060070891198</v>
      </c>
      <c r="D74" s="3">
        <v>15.0115118554391</v>
      </c>
      <c r="E74" s="3">
        <v>14.448599350415</v>
      </c>
      <c r="F74" s="3">
        <v>14.0759240918118</v>
      </c>
      <c r="G74" s="3">
        <v>18.334320965516699</v>
      </c>
      <c r="H74" s="3">
        <v>13.028479062368399</v>
      </c>
      <c r="I74" s="3">
        <v>24.646964873173399</v>
      </c>
      <c r="J74" s="3">
        <v>18.799060839229099</v>
      </c>
      <c r="K74" s="3">
        <v>15.263818789340901</v>
      </c>
      <c r="L74" s="3">
        <v>17.497158115435901</v>
      </c>
      <c r="M74" s="3">
        <v>14.032282537447999</v>
      </c>
      <c r="N74" s="3">
        <v>11.613162463504199</v>
      </c>
    </row>
    <row r="75" spans="1:14" x14ac:dyDescent="0.35">
      <c r="A75" s="2">
        <v>43969</v>
      </c>
      <c r="B75" s="3">
        <v>32.213352434870103</v>
      </c>
      <c r="C75" s="3">
        <v>17.479787785265</v>
      </c>
      <c r="D75" s="3">
        <v>16.417959863575899</v>
      </c>
      <c r="E75" s="3">
        <v>15.5824533625246</v>
      </c>
      <c r="F75" s="3">
        <v>14.590959017225501</v>
      </c>
      <c r="G75" s="3">
        <v>18.934839480894901</v>
      </c>
      <c r="H75" s="3">
        <v>14.194772816042599</v>
      </c>
      <c r="I75" s="3">
        <v>25.933221344060101</v>
      </c>
      <c r="J75" s="3">
        <v>19.9359888797017</v>
      </c>
      <c r="K75" s="3">
        <v>16.269889580048499</v>
      </c>
      <c r="L75" s="3">
        <v>18.0888840786494</v>
      </c>
      <c r="M75" s="3">
        <v>15.1515496637236</v>
      </c>
      <c r="N75" s="3">
        <v>13.639370791650901</v>
      </c>
    </row>
    <row r="76" spans="1:14" x14ac:dyDescent="0.35">
      <c r="A76" s="2">
        <v>44000</v>
      </c>
      <c r="B76" s="3">
        <v>32.3075987202999</v>
      </c>
      <c r="C76" s="3">
        <v>18.456075194194899</v>
      </c>
      <c r="D76" s="3">
        <v>17.2559692737617</v>
      </c>
      <c r="E76" s="3">
        <v>17.3428629469201</v>
      </c>
      <c r="F76" s="3">
        <v>16.768761507147801</v>
      </c>
      <c r="G76" s="3">
        <v>19.493131298364599</v>
      </c>
      <c r="H76" s="3">
        <v>15.0617235250084</v>
      </c>
      <c r="I76" s="3">
        <v>27.459102330977899</v>
      </c>
      <c r="J76" s="3">
        <v>21.015879460538098</v>
      </c>
      <c r="K76" s="3">
        <v>18.114664287659899</v>
      </c>
      <c r="L76" s="3">
        <v>19.410239240244</v>
      </c>
      <c r="M76" s="3">
        <v>16.607514568911601</v>
      </c>
      <c r="N76" s="3">
        <v>15.817952877142501</v>
      </c>
    </row>
    <row r="77" spans="1:14" x14ac:dyDescent="0.35">
      <c r="A77" s="2">
        <v>44029</v>
      </c>
      <c r="B77" s="3">
        <v>33.481323417155899</v>
      </c>
      <c r="C77" s="3">
        <v>18.845945760404199</v>
      </c>
      <c r="D77" s="3">
        <v>17.823940012160101</v>
      </c>
      <c r="E77" s="3">
        <v>18.826347424609398</v>
      </c>
      <c r="F77" s="3">
        <v>17.529064151372499</v>
      </c>
      <c r="G77" s="3">
        <v>20.168183116181201</v>
      </c>
      <c r="H77" s="3">
        <v>15.6553454044647</v>
      </c>
      <c r="I77" s="3">
        <v>28.741064501554401</v>
      </c>
      <c r="J77" s="3">
        <v>22.0250043357081</v>
      </c>
      <c r="K77" s="3">
        <v>20.087567706961199</v>
      </c>
      <c r="L77" s="3">
        <v>20.274199758976401</v>
      </c>
      <c r="M77" s="3">
        <v>18.1520264476177</v>
      </c>
      <c r="N77" s="3">
        <v>17.533762430446501</v>
      </c>
    </row>
    <row r="78" spans="1:14" x14ac:dyDescent="0.35">
      <c r="A78" s="2">
        <v>44061</v>
      </c>
      <c r="B78" s="3">
        <v>34.297941377257501</v>
      </c>
      <c r="C78" s="3">
        <v>19.7146172133249</v>
      </c>
      <c r="D78" s="3">
        <v>18.329735838633901</v>
      </c>
      <c r="E78" s="3">
        <v>19.6017271405522</v>
      </c>
      <c r="F78" s="3">
        <v>18.201950311281099</v>
      </c>
      <c r="G78" s="3">
        <v>20.4387780509377</v>
      </c>
      <c r="H78" s="3">
        <v>16.371048664340101</v>
      </c>
      <c r="I78" s="3">
        <v>29.787902039205701</v>
      </c>
      <c r="J78" s="3">
        <v>22.917872531459</v>
      </c>
      <c r="K78" s="3">
        <v>22.062132949543201</v>
      </c>
      <c r="L78" s="3">
        <v>21.0209402672807</v>
      </c>
      <c r="M78" s="3">
        <v>16.894615198730399</v>
      </c>
      <c r="N78" s="3">
        <v>17.5308550618307</v>
      </c>
    </row>
    <row r="79" spans="1:14" x14ac:dyDescent="0.35">
      <c r="A79" s="2">
        <v>44092</v>
      </c>
      <c r="B79" s="3">
        <v>33.089824269850503</v>
      </c>
      <c r="C79" s="3">
        <v>19.2718131776132</v>
      </c>
      <c r="D79" s="3">
        <v>18.211803469833999</v>
      </c>
      <c r="E79" s="3">
        <v>20.510501468186501</v>
      </c>
      <c r="F79" s="3">
        <v>19.903088266545598</v>
      </c>
      <c r="G79" s="3">
        <v>21.0549448262468</v>
      </c>
      <c r="H79" s="3">
        <v>16.8748686987811</v>
      </c>
      <c r="I79" s="3">
        <v>29.564629410318801</v>
      </c>
      <c r="J79" s="3">
        <v>23.051028890099602</v>
      </c>
      <c r="K79" s="3">
        <v>23.233521415526099</v>
      </c>
      <c r="L79" s="3">
        <v>21.584032687805799</v>
      </c>
      <c r="M79" s="3">
        <v>18.009388260270999</v>
      </c>
      <c r="N79" s="3">
        <v>18.229682796035899</v>
      </c>
    </row>
    <row r="80" spans="1:14" x14ac:dyDescent="0.35">
      <c r="A80" s="2">
        <v>44120</v>
      </c>
      <c r="B80" s="3">
        <v>35.187628319231798</v>
      </c>
      <c r="C80" s="3">
        <v>19.879648291386701</v>
      </c>
      <c r="D80" s="3">
        <v>18.819729010005599</v>
      </c>
      <c r="E80" s="3">
        <v>20.623786288774401</v>
      </c>
      <c r="F80" s="3">
        <v>20.361685584724601</v>
      </c>
      <c r="G80" s="3">
        <v>20.909403159504901</v>
      </c>
      <c r="H80" s="3">
        <v>16.992364310024001</v>
      </c>
      <c r="I80" s="3">
        <v>32.148185122723902</v>
      </c>
      <c r="J80" s="3">
        <v>24.364595661632301</v>
      </c>
      <c r="K80" s="3">
        <v>24.2610337078086</v>
      </c>
      <c r="L80" s="3">
        <v>22.658279939274799</v>
      </c>
      <c r="M80" s="3">
        <v>16.3449573886579</v>
      </c>
      <c r="N80" s="3">
        <v>18.957251857329702</v>
      </c>
    </row>
    <row r="81" spans="1:14" x14ac:dyDescent="0.35">
      <c r="A81" s="2">
        <v>44153</v>
      </c>
      <c r="B81" s="3">
        <v>35.800789479845101</v>
      </c>
      <c r="C81" s="3">
        <v>21.726614815637799</v>
      </c>
      <c r="D81" s="3">
        <v>19.4516027267894</v>
      </c>
      <c r="E81" s="3">
        <v>20.880745187169399</v>
      </c>
      <c r="F81" s="3">
        <v>22.064643174929799</v>
      </c>
      <c r="G81" s="3">
        <v>21.3967619777134</v>
      </c>
      <c r="H81" s="3">
        <v>18.5684072069057</v>
      </c>
      <c r="I81" s="3">
        <v>31.980824518866601</v>
      </c>
      <c r="J81" s="3">
        <v>24.776521578087401</v>
      </c>
      <c r="K81" s="3">
        <v>27.4830615532208</v>
      </c>
      <c r="L81" s="3">
        <v>24.737235315991501</v>
      </c>
      <c r="M81" s="3">
        <v>16.6349751047673</v>
      </c>
      <c r="N81" s="3">
        <v>21.776187571691501</v>
      </c>
    </row>
    <row r="82" spans="1:14" x14ac:dyDescent="0.35">
      <c r="A82" s="2">
        <v>44183</v>
      </c>
      <c r="B82" s="3">
        <v>36.523837880663997</v>
      </c>
      <c r="C82" s="3">
        <v>22.994201882250898</v>
      </c>
      <c r="D82" s="3">
        <v>20.294150571774001</v>
      </c>
      <c r="E82" s="3">
        <v>21.6726215308347</v>
      </c>
      <c r="F82" s="3">
        <v>23.041360484424398</v>
      </c>
      <c r="G82" s="3">
        <v>21.505345652542601</v>
      </c>
      <c r="H82" s="3">
        <v>19.5485323515862</v>
      </c>
      <c r="I82" s="3">
        <v>34.855137881744199</v>
      </c>
      <c r="J82" s="3">
        <v>26.250541003560901</v>
      </c>
      <c r="K82" s="3">
        <v>28.261759851660202</v>
      </c>
      <c r="L82" s="3">
        <v>26.682635564499599</v>
      </c>
      <c r="M82" s="3">
        <v>17.156185256576499</v>
      </c>
      <c r="N82" s="3">
        <v>22.758193241465499</v>
      </c>
    </row>
    <row r="83" spans="1:14" x14ac:dyDescent="0.35">
      <c r="A83" s="2">
        <v>44211</v>
      </c>
      <c r="B83" s="3">
        <v>37.458280017736598</v>
      </c>
      <c r="C83" s="3">
        <v>23.257172696768901</v>
      </c>
      <c r="D83" s="3">
        <v>21.080439758426898</v>
      </c>
      <c r="E83" s="3">
        <v>21.864620737882898</v>
      </c>
      <c r="F83" s="3">
        <v>23.974536684203201</v>
      </c>
      <c r="G83" s="3">
        <v>21.9739840292278</v>
      </c>
      <c r="H83" s="3">
        <v>20.2047061127445</v>
      </c>
      <c r="I83" s="3">
        <v>34.709958465709803</v>
      </c>
      <c r="J83" s="3">
        <v>27.128753878498699</v>
      </c>
      <c r="K83" s="3">
        <v>28.715881647885901</v>
      </c>
      <c r="L83" s="3">
        <v>28.286081415152001</v>
      </c>
      <c r="M83" s="3">
        <v>18.549184113613599</v>
      </c>
      <c r="N83" s="3">
        <v>23.317799800399399</v>
      </c>
    </row>
    <row r="84" spans="1:14" x14ac:dyDescent="0.35">
      <c r="A84" s="2">
        <v>44245</v>
      </c>
      <c r="B84" s="3">
        <v>35.281827142746202</v>
      </c>
      <c r="C84" s="3">
        <v>22.718653181058698</v>
      </c>
      <c r="D84" s="3">
        <v>20.585524948020399</v>
      </c>
      <c r="E84" s="3">
        <v>21.103602488492001</v>
      </c>
      <c r="F84" s="3">
        <v>23.114513332968599</v>
      </c>
      <c r="G84" s="3">
        <v>20.930437480012898</v>
      </c>
      <c r="H84" s="3">
        <v>19.5193055003521</v>
      </c>
      <c r="I84" s="3">
        <v>35.042690425740901</v>
      </c>
      <c r="J84" s="3">
        <v>27.184926384491899</v>
      </c>
      <c r="K84" s="3">
        <v>27.6534338460194</v>
      </c>
      <c r="L84" s="3">
        <v>29.7612095570049</v>
      </c>
      <c r="M84" s="3">
        <v>17.538801728650402</v>
      </c>
      <c r="N84" s="3">
        <v>20.1962921094369</v>
      </c>
    </row>
    <row r="85" spans="1:14" x14ac:dyDescent="0.35">
      <c r="A85" s="2">
        <v>44273</v>
      </c>
      <c r="B85" s="3">
        <v>34.492846955368101</v>
      </c>
      <c r="C85" s="3">
        <v>21.573277129075102</v>
      </c>
      <c r="D85" s="3">
        <v>19.785786581909299</v>
      </c>
      <c r="E85" s="3">
        <v>20.203361483385699</v>
      </c>
      <c r="F85" s="3">
        <v>21.579626897619502</v>
      </c>
      <c r="G85" s="3">
        <v>20.4751999219453</v>
      </c>
      <c r="H85" s="3">
        <v>18.571962072891601</v>
      </c>
      <c r="I85" s="3">
        <v>32.587190593737802</v>
      </c>
      <c r="J85" s="3">
        <v>26.099405295275499</v>
      </c>
      <c r="K85" s="3">
        <v>26.688350925488098</v>
      </c>
      <c r="L85" s="3">
        <v>28.6782226263681</v>
      </c>
      <c r="M85" s="3">
        <v>17.984206716652</v>
      </c>
      <c r="N85" s="3">
        <v>20.051015599482898</v>
      </c>
    </row>
    <row r="86" spans="1:14" x14ac:dyDescent="0.35">
      <c r="A86" s="2">
        <v>44302</v>
      </c>
      <c r="B86" s="3">
        <v>34.525060215616101</v>
      </c>
      <c r="C86" s="3">
        <v>21.272406053701999</v>
      </c>
      <c r="D86" s="3">
        <v>19.472701126388898</v>
      </c>
      <c r="E86" s="3">
        <v>19.907596838664599</v>
      </c>
      <c r="F86" s="3">
        <v>21.115110158951499</v>
      </c>
      <c r="G86" s="3">
        <v>20.649610022204101</v>
      </c>
      <c r="H86" s="3">
        <v>18.026734447399601</v>
      </c>
      <c r="I86" s="3">
        <v>32.933143288728999</v>
      </c>
      <c r="J86" s="3">
        <v>25.995465340946399</v>
      </c>
      <c r="K86" s="3">
        <v>25.9385788870851</v>
      </c>
      <c r="L86" s="3">
        <v>28.454542573119198</v>
      </c>
      <c r="M86" s="3">
        <v>18.492755587498898</v>
      </c>
      <c r="N86" s="3">
        <v>19.513641063496198</v>
      </c>
    </row>
    <row r="87" spans="1:14" x14ac:dyDescent="0.35">
      <c r="A87" s="2">
        <v>44334</v>
      </c>
      <c r="B87" s="3">
        <v>34.738912121972902</v>
      </c>
      <c r="C87" s="3">
        <v>20.776922548519501</v>
      </c>
      <c r="D87" s="3">
        <v>18.953978067430601</v>
      </c>
      <c r="E87" s="3">
        <v>18.989536206752799</v>
      </c>
      <c r="F87" s="3">
        <v>20.357250154807499</v>
      </c>
      <c r="G87" s="3">
        <v>20.4798508861101</v>
      </c>
      <c r="H87" s="3">
        <v>17.383458463004398</v>
      </c>
      <c r="I87" s="3">
        <v>31.361550633057099</v>
      </c>
      <c r="J87" s="3">
        <v>25.148344755141999</v>
      </c>
      <c r="K87" s="3">
        <v>24.876044183943002</v>
      </c>
      <c r="L87" s="3">
        <v>27.297324971017499</v>
      </c>
      <c r="M87" s="3">
        <v>17.5242145887321</v>
      </c>
      <c r="N87" s="3">
        <v>18.713909335067498</v>
      </c>
    </row>
    <row r="88" spans="1:14" x14ac:dyDescent="0.35">
      <c r="A88" s="2">
        <v>44365</v>
      </c>
      <c r="B88" s="3">
        <v>35.698020021376898</v>
      </c>
      <c r="C88" s="3">
        <v>20.448611014436601</v>
      </c>
      <c r="D88" s="3">
        <v>18.580721618181201</v>
      </c>
      <c r="E88" s="3">
        <v>18.5296143221683</v>
      </c>
      <c r="F88" s="3">
        <v>19.974731210625301</v>
      </c>
      <c r="G88" s="3">
        <v>20.8663274700423</v>
      </c>
      <c r="H88" s="3">
        <v>16.689254559246901</v>
      </c>
      <c r="I88" s="3">
        <v>31.504664946466399</v>
      </c>
      <c r="J88" s="3">
        <v>24.683679533756699</v>
      </c>
      <c r="K88" s="3">
        <v>24.165650782094801</v>
      </c>
      <c r="L88" s="3">
        <v>26.733310434119101</v>
      </c>
      <c r="M88" s="3">
        <v>17.844137682604</v>
      </c>
      <c r="N88" s="3">
        <v>18.262315486316599</v>
      </c>
    </row>
    <row r="89" spans="1:14" x14ac:dyDescent="0.35">
      <c r="A89" s="2">
        <v>44393</v>
      </c>
      <c r="B89" s="3">
        <v>36.484100747311203</v>
      </c>
      <c r="C89" s="3">
        <v>19.4227864908401</v>
      </c>
      <c r="D89" s="3">
        <v>18.015286234245199</v>
      </c>
      <c r="E89" s="3">
        <v>17.9623258094467</v>
      </c>
      <c r="F89" s="3">
        <v>19.427884610170601</v>
      </c>
      <c r="G89" s="3">
        <v>20.952768319959802</v>
      </c>
      <c r="H89" s="3">
        <v>15.8730767831742</v>
      </c>
      <c r="I89" s="3">
        <v>31.808256580158499</v>
      </c>
      <c r="J89" s="3">
        <v>24.550995827290599</v>
      </c>
      <c r="K89" s="3">
        <v>22.8820908008251</v>
      </c>
      <c r="L89" s="3">
        <v>26.2391934668936</v>
      </c>
      <c r="M89" s="3">
        <v>17.744388291336598</v>
      </c>
      <c r="N89" s="3">
        <v>17.489081593940799</v>
      </c>
    </row>
    <row r="90" spans="1:14" x14ac:dyDescent="0.35">
      <c r="A90" s="2">
        <v>44426</v>
      </c>
      <c r="B90" s="3">
        <v>36.947670598916403</v>
      </c>
      <c r="C90" s="3">
        <v>19.145406563815001</v>
      </c>
      <c r="D90" s="3">
        <v>17.371605991757999</v>
      </c>
      <c r="E90" s="3">
        <v>17.228037389214901</v>
      </c>
      <c r="F90" s="3">
        <v>18.570027152724801</v>
      </c>
      <c r="G90" s="3">
        <v>21.290966476007998</v>
      </c>
      <c r="H90" s="3">
        <v>15.074480888979799</v>
      </c>
      <c r="I90" s="3">
        <v>30.928798167710902</v>
      </c>
      <c r="J90" s="3">
        <v>23.816222205352599</v>
      </c>
      <c r="K90" s="3">
        <v>21.595228987318599</v>
      </c>
      <c r="L90" s="3">
        <v>26.029126885814499</v>
      </c>
      <c r="M90" s="3">
        <v>17.463314429832099</v>
      </c>
      <c r="N90" s="3">
        <v>16.1666460415627</v>
      </c>
    </row>
    <row r="91" spans="1:14" x14ac:dyDescent="0.35">
      <c r="A91" s="2">
        <v>44456</v>
      </c>
      <c r="B91" s="3">
        <v>38.793350257311303</v>
      </c>
      <c r="C91" s="3">
        <v>18.716813668114799</v>
      </c>
      <c r="D91" s="3">
        <v>16.804223906285699</v>
      </c>
      <c r="E91" s="3">
        <v>16.389450668421201</v>
      </c>
      <c r="F91" s="3">
        <v>18.754623795686001</v>
      </c>
      <c r="G91" s="3">
        <v>20.5528427778215</v>
      </c>
      <c r="H91" s="3">
        <v>14.1489646210826</v>
      </c>
      <c r="I91" s="3">
        <v>31.228698409771901</v>
      </c>
      <c r="J91" s="3">
        <v>23.491480860560198</v>
      </c>
      <c r="K91" s="3">
        <v>20.2621615031936</v>
      </c>
      <c r="L91" s="3">
        <v>25.4324964573599</v>
      </c>
      <c r="M91" s="3">
        <v>17.375519546739699</v>
      </c>
      <c r="N91" s="3">
        <v>14.998485144433699</v>
      </c>
    </row>
    <row r="92" spans="1:14" x14ac:dyDescent="0.35">
      <c r="A92" s="2">
        <v>44487</v>
      </c>
      <c r="B92" s="3">
        <v>38.525122257268201</v>
      </c>
      <c r="C92" s="3">
        <v>18.7102685079624</v>
      </c>
      <c r="D92" s="3">
        <v>16.751437447834402</v>
      </c>
      <c r="E92" s="3">
        <v>15.888636993780199</v>
      </c>
      <c r="F92" s="3">
        <v>17.808527664623298</v>
      </c>
      <c r="G92" s="3">
        <v>20.4960940311522</v>
      </c>
      <c r="H92" s="3">
        <v>13.8301395285055</v>
      </c>
      <c r="I92" s="3">
        <v>30.911113015620401</v>
      </c>
      <c r="J92" s="3">
        <v>23.197858151406699</v>
      </c>
      <c r="K92" s="3">
        <v>19.106667423422401</v>
      </c>
      <c r="L92" s="3">
        <v>24.423306150661301</v>
      </c>
      <c r="M92" s="3">
        <v>17.4390044127653</v>
      </c>
      <c r="N92" s="3">
        <v>14.353589670668701</v>
      </c>
    </row>
    <row r="93" spans="1:14" x14ac:dyDescent="0.35">
      <c r="A93" s="2">
        <v>44518</v>
      </c>
      <c r="B93" s="3">
        <v>38.586170092792301</v>
      </c>
      <c r="C93" s="3">
        <v>18.037348815188398</v>
      </c>
      <c r="D93" s="3">
        <v>16.426146065780401</v>
      </c>
      <c r="E93" s="3">
        <v>15.2910513111937</v>
      </c>
      <c r="F93" s="3">
        <v>17.453892275550501</v>
      </c>
      <c r="G93" s="3">
        <v>21.015443630898801</v>
      </c>
      <c r="H93" s="3">
        <v>13.068638456443299</v>
      </c>
      <c r="I93" s="3">
        <v>32.329104238700403</v>
      </c>
      <c r="J93" s="3">
        <v>23.408929188874101</v>
      </c>
      <c r="K93" s="3">
        <v>18.505367278483899</v>
      </c>
      <c r="L93" s="3">
        <v>24.483055137165199</v>
      </c>
      <c r="M93" s="3">
        <v>16.7418170176377</v>
      </c>
      <c r="N93" s="3">
        <v>13.717664490378599</v>
      </c>
    </row>
    <row r="94" spans="1:14" x14ac:dyDescent="0.35">
      <c r="A94" s="2">
        <v>44547</v>
      </c>
      <c r="B94" s="3">
        <v>38.368535798664702</v>
      </c>
      <c r="C94" s="3">
        <v>17.595373991347401</v>
      </c>
      <c r="D94" s="3">
        <v>15.3815597773545</v>
      </c>
      <c r="E94" s="3">
        <v>14.1632159674693</v>
      </c>
      <c r="F94" s="3">
        <v>16.309940403941901</v>
      </c>
      <c r="G94" s="3">
        <v>21.234487271637999</v>
      </c>
      <c r="H94" s="3">
        <v>12.362211897457399</v>
      </c>
      <c r="I94" s="3">
        <v>30.859014005554201</v>
      </c>
      <c r="J94" s="3">
        <v>22.6499125521586</v>
      </c>
      <c r="K94" s="3">
        <v>17.102581570579801</v>
      </c>
      <c r="L94" s="3">
        <v>22.1467288430275</v>
      </c>
      <c r="M94" s="3">
        <v>16.157309808063399</v>
      </c>
      <c r="N94" s="3">
        <v>12.119747027398599</v>
      </c>
    </row>
    <row r="95" spans="1:14" x14ac:dyDescent="0.35">
      <c r="A95" s="2">
        <v>44579</v>
      </c>
      <c r="B95" s="3">
        <v>38.125878408609502</v>
      </c>
      <c r="C95" s="3">
        <v>17.681806689699101</v>
      </c>
      <c r="D95" s="3">
        <v>15.5051527343084</v>
      </c>
      <c r="E95" s="3">
        <v>13.9706662551497</v>
      </c>
      <c r="F95" s="3">
        <v>15.876193373025201</v>
      </c>
      <c r="G95" s="3">
        <v>20.784971214583599</v>
      </c>
      <c r="H95" s="3">
        <v>12.709295875129801</v>
      </c>
      <c r="I95" s="3">
        <v>29.579456345449</v>
      </c>
      <c r="J95" s="3">
        <v>22.1718817332378</v>
      </c>
      <c r="K95" s="3">
        <v>16.9152557732655</v>
      </c>
      <c r="L95" s="3">
        <v>21.527722465270401</v>
      </c>
      <c r="M95" s="3">
        <v>15.6029229042369</v>
      </c>
      <c r="N95" s="3">
        <v>12.1085354205466</v>
      </c>
    </row>
    <row r="96" spans="1:14" x14ac:dyDescent="0.35">
      <c r="A96" s="2">
        <v>44610</v>
      </c>
      <c r="B96" s="3">
        <v>36.1299188194238</v>
      </c>
      <c r="C96" s="3">
        <v>15.980679537818499</v>
      </c>
      <c r="D96" s="3">
        <v>15.191773736243</v>
      </c>
      <c r="E96" s="3">
        <v>13.2241279233914</v>
      </c>
      <c r="F96" s="3">
        <v>15.0187532477433</v>
      </c>
      <c r="G96" s="3">
        <v>18.397327573743901</v>
      </c>
      <c r="H96" s="3">
        <v>12.671769103258599</v>
      </c>
      <c r="I96" s="3">
        <v>26.3630434404004</v>
      </c>
      <c r="J96" s="3">
        <v>20.673985174810799</v>
      </c>
      <c r="K96" s="3">
        <v>16.104396684521699</v>
      </c>
      <c r="L96" s="3">
        <v>18.928076187739499</v>
      </c>
      <c r="M96" s="3">
        <v>11.8513886872962</v>
      </c>
      <c r="N96" s="3">
        <v>11.5506029459094</v>
      </c>
    </row>
    <row r="97" spans="1:14" x14ac:dyDescent="0.35">
      <c r="A97" s="2">
        <v>44638</v>
      </c>
      <c r="B97" s="3">
        <v>35.106850118321297</v>
      </c>
      <c r="C97" s="3">
        <v>15.7582392979741</v>
      </c>
      <c r="D97" s="3">
        <v>15.138792774120599</v>
      </c>
      <c r="E97" s="3">
        <v>12.4841029120829</v>
      </c>
      <c r="F97" s="3">
        <v>14.619820864176599</v>
      </c>
      <c r="G97" s="3">
        <v>18.557000925213998</v>
      </c>
      <c r="H97" s="3">
        <v>12.450100177289499</v>
      </c>
      <c r="I97" s="3">
        <v>26.682332074572301</v>
      </c>
      <c r="J97" s="3">
        <v>20.690652027967602</v>
      </c>
      <c r="K97" s="3">
        <v>15.3676371166074</v>
      </c>
      <c r="L97" s="3">
        <v>18.4740847657378</v>
      </c>
      <c r="M97" s="3">
        <v>11.999782517598399</v>
      </c>
      <c r="N97" s="3">
        <v>10.5425337923896</v>
      </c>
    </row>
    <row r="98" spans="1:14" x14ac:dyDescent="0.35">
      <c r="A98" s="2">
        <v>44669</v>
      </c>
      <c r="B98" s="3">
        <v>34.518490953001901</v>
      </c>
      <c r="C98" s="3">
        <v>15.633161410194299</v>
      </c>
      <c r="D98" s="3">
        <v>14.911514668174499</v>
      </c>
      <c r="E98" s="3">
        <v>12.333796739047401</v>
      </c>
      <c r="F98" s="3">
        <v>14.4111523812916</v>
      </c>
      <c r="G98" s="3">
        <v>18.6846854739522</v>
      </c>
      <c r="H98" s="3">
        <v>12.217435699770601</v>
      </c>
      <c r="I98" s="3">
        <v>26.3264958057133</v>
      </c>
      <c r="J98" s="3">
        <v>20.435024603101802</v>
      </c>
      <c r="K98" s="3">
        <v>15.0423171367857</v>
      </c>
      <c r="L98" s="3">
        <v>18.435220048578401</v>
      </c>
      <c r="M98" s="3">
        <v>12.247743767041699</v>
      </c>
      <c r="N98" s="3">
        <v>10.5136812901574</v>
      </c>
    </row>
    <row r="99" spans="1:14" x14ac:dyDescent="0.35">
      <c r="A99" s="2">
        <v>44699</v>
      </c>
      <c r="B99" s="3">
        <v>34.004016883058597</v>
      </c>
      <c r="C99" s="3">
        <v>15.156494862432201</v>
      </c>
      <c r="D99" s="3">
        <v>14.2737254922784</v>
      </c>
      <c r="E99" s="3">
        <v>12.0523523755959</v>
      </c>
      <c r="F99" s="3">
        <v>14.2320015392008</v>
      </c>
      <c r="G99" s="3">
        <v>18.110674796879799</v>
      </c>
      <c r="H99" s="3">
        <v>11.7486939133405</v>
      </c>
      <c r="I99" s="3">
        <v>24.979218997537501</v>
      </c>
      <c r="J99" s="3">
        <v>19.512476864943899</v>
      </c>
      <c r="K99" s="3">
        <v>14.4202044407306</v>
      </c>
      <c r="L99" s="3">
        <v>18.219935651069399</v>
      </c>
      <c r="M99" s="3">
        <v>13.349403329660101</v>
      </c>
      <c r="N99" s="3">
        <v>10.1051584263222</v>
      </c>
    </row>
    <row r="100" spans="1:14" x14ac:dyDescent="0.35">
      <c r="A100" s="2">
        <v>44729</v>
      </c>
      <c r="B100" s="3">
        <v>32.712180048397499</v>
      </c>
      <c r="C100" s="3">
        <v>14.1163854541898</v>
      </c>
      <c r="D100" s="3">
        <v>13.6027472027309</v>
      </c>
      <c r="E100" s="3">
        <v>11.6165782648762</v>
      </c>
      <c r="F100" s="3">
        <v>13.8379451183977</v>
      </c>
      <c r="G100" s="3">
        <v>17.355695866335498</v>
      </c>
      <c r="H100" s="3">
        <v>11.2047118539013</v>
      </c>
      <c r="I100" s="3">
        <v>24.014463307094001</v>
      </c>
      <c r="J100" s="3">
        <v>18.661765935611299</v>
      </c>
      <c r="K100" s="3">
        <v>13.6911262966652</v>
      </c>
      <c r="L100" s="3">
        <v>17.708994767487301</v>
      </c>
      <c r="M100" s="3">
        <v>13.104887206913499</v>
      </c>
      <c r="N100" s="3">
        <v>9.5022669575248404</v>
      </c>
    </row>
    <row r="101" spans="1:14" x14ac:dyDescent="0.35">
      <c r="A101" s="2">
        <v>44760</v>
      </c>
      <c r="B101" s="3">
        <v>32.988719932750101</v>
      </c>
      <c r="C101" s="3">
        <v>14.0899543334939</v>
      </c>
      <c r="D101" s="3">
        <v>13.0830661738096</v>
      </c>
      <c r="E101" s="3">
        <v>11.319700841888</v>
      </c>
      <c r="F101" s="3">
        <v>13.814550293004499</v>
      </c>
      <c r="G101" s="3">
        <v>17.7684094661169</v>
      </c>
      <c r="H101" s="3">
        <v>10.9804292499051</v>
      </c>
      <c r="I101" s="3">
        <v>24.279008970886</v>
      </c>
      <c r="J101" s="3">
        <v>18.643956837179399</v>
      </c>
      <c r="K101" s="3">
        <v>13.357809964344201</v>
      </c>
      <c r="L101" s="3">
        <v>18.413547426375999</v>
      </c>
      <c r="M101" s="3">
        <v>13.9212847371378</v>
      </c>
      <c r="N101" s="3">
        <v>9.0072319626170501</v>
      </c>
    </row>
    <row r="102" spans="1:14" x14ac:dyDescent="0.35">
      <c r="A102" s="2">
        <v>44791</v>
      </c>
      <c r="B102" s="3">
        <v>34.018637298205697</v>
      </c>
      <c r="C102" s="3">
        <v>14.60772514938</v>
      </c>
      <c r="D102" s="3">
        <v>13.335038119208299</v>
      </c>
      <c r="E102" s="3">
        <v>11.2142682192046</v>
      </c>
      <c r="F102" s="3">
        <v>14.0566924158642</v>
      </c>
      <c r="G102" s="3">
        <v>18.305965883680098</v>
      </c>
      <c r="H102" s="3">
        <v>10.765914925757199</v>
      </c>
      <c r="I102" s="3">
        <v>26.349523780925999</v>
      </c>
      <c r="J102" s="3">
        <v>19.674420270433099</v>
      </c>
      <c r="K102" s="3">
        <v>13.148265625839199</v>
      </c>
      <c r="L102" s="3">
        <v>19.628247825992499</v>
      </c>
      <c r="M102" s="3">
        <v>15.0128812935334</v>
      </c>
      <c r="N102" s="3">
        <v>8.7151435463373002</v>
      </c>
    </row>
    <row r="103" spans="1:14" x14ac:dyDescent="0.35">
      <c r="A103" s="2">
        <v>44820</v>
      </c>
      <c r="B103" s="3">
        <v>33.735782992823502</v>
      </c>
      <c r="C103" s="3">
        <v>13.797663754172801</v>
      </c>
      <c r="D103" s="3">
        <v>12.712329746086599</v>
      </c>
      <c r="E103" s="3">
        <v>10.6291460806169</v>
      </c>
      <c r="F103" s="3">
        <v>13.5805908469356</v>
      </c>
      <c r="G103" s="3">
        <v>17.562442883847499</v>
      </c>
      <c r="H103" s="3">
        <v>10.036706158979699</v>
      </c>
      <c r="I103" s="3">
        <v>24.0252426063436</v>
      </c>
      <c r="J103" s="3">
        <v>18.261689613059701</v>
      </c>
      <c r="K103" s="3">
        <v>12.238282947178</v>
      </c>
      <c r="L103" s="3">
        <v>18.0711075889628</v>
      </c>
      <c r="M103" s="3">
        <v>14.533238384976199</v>
      </c>
      <c r="N103" s="3">
        <v>8.42534118953348</v>
      </c>
    </row>
    <row r="104" spans="1:14" x14ac:dyDescent="0.35">
      <c r="A104" s="2">
        <v>44852</v>
      </c>
      <c r="B104" s="3">
        <v>31.108842579280498</v>
      </c>
      <c r="C104" s="3">
        <v>13.406957562831799</v>
      </c>
      <c r="D104" s="3">
        <v>12.221776586219001</v>
      </c>
      <c r="E104" s="3">
        <v>10.315372767120399</v>
      </c>
      <c r="F104" s="3">
        <v>13.1829696144806</v>
      </c>
      <c r="G104" s="3">
        <v>17.4885458383242</v>
      </c>
      <c r="H104" s="3">
        <v>9.4526924238337902</v>
      </c>
      <c r="I104" s="3">
        <v>22.813607982270199</v>
      </c>
      <c r="J104" s="3">
        <v>17.5875473625571</v>
      </c>
      <c r="K104" s="3">
        <v>11.6781328599353</v>
      </c>
      <c r="L104" s="3">
        <v>17.120005367210201</v>
      </c>
      <c r="M104" s="3">
        <v>15.2271525377292</v>
      </c>
      <c r="N104" s="3">
        <v>8.0220315411652692</v>
      </c>
    </row>
    <row r="105" spans="1:14" x14ac:dyDescent="0.35">
      <c r="A105" s="2">
        <v>44883</v>
      </c>
      <c r="B105" s="3">
        <v>30.419379291277</v>
      </c>
      <c r="C105" s="3">
        <v>14.202310670665501</v>
      </c>
      <c r="D105" s="3">
        <v>12.611497106281501</v>
      </c>
      <c r="E105" s="3">
        <v>11.1552795333709</v>
      </c>
      <c r="F105" s="3">
        <v>13.5168099355542</v>
      </c>
      <c r="G105" s="3">
        <v>19.550836246990499</v>
      </c>
      <c r="H105" s="3">
        <v>9.7656837622381598</v>
      </c>
      <c r="I105" s="3">
        <v>23.588363608811498</v>
      </c>
      <c r="J105" s="3">
        <v>18.29992528867</v>
      </c>
      <c r="K105" s="3">
        <v>12.182971190700799</v>
      </c>
      <c r="L105" s="3">
        <v>18.4819028142098</v>
      </c>
      <c r="M105" s="3">
        <v>14.061138718083701</v>
      </c>
      <c r="N105" s="3">
        <v>8.3343712128153697</v>
      </c>
    </row>
    <row r="106" spans="1:14" x14ac:dyDescent="0.35">
      <c r="A106" s="2">
        <v>44911</v>
      </c>
      <c r="B106" s="3">
        <v>29.579550773352501</v>
      </c>
      <c r="C106" s="3">
        <v>13.982139251915999</v>
      </c>
      <c r="D106" s="3">
        <v>12.194192129104</v>
      </c>
      <c r="E106" s="3">
        <v>10.449335344129601</v>
      </c>
      <c r="F106" s="3">
        <v>13.2700366334496</v>
      </c>
      <c r="G106" s="3">
        <v>20.003416224107301</v>
      </c>
      <c r="H106" s="3">
        <v>9.5758958827933096</v>
      </c>
      <c r="I106" s="3">
        <v>22.486196062873201</v>
      </c>
      <c r="J106" s="3">
        <v>17.5851735716234</v>
      </c>
      <c r="K106" s="3">
        <v>11.627951159744701</v>
      </c>
      <c r="L106" s="3">
        <v>18.016629335335399</v>
      </c>
      <c r="M106" s="3">
        <v>15.2739553195544</v>
      </c>
      <c r="N106" s="3">
        <v>7.4757163263452</v>
      </c>
    </row>
    <row r="107" spans="1:14" x14ac:dyDescent="0.35">
      <c r="A107" s="2">
        <v>44944</v>
      </c>
      <c r="B107" s="3">
        <v>30.035565960489699</v>
      </c>
      <c r="C107" s="3">
        <v>14.698029541328699</v>
      </c>
      <c r="D107" s="3">
        <v>12.65305649842</v>
      </c>
      <c r="E107" s="3">
        <v>11.47266212383</v>
      </c>
      <c r="F107" s="3">
        <v>13.1336528179075</v>
      </c>
      <c r="G107" s="3">
        <v>21.428802780727601</v>
      </c>
      <c r="H107" s="3">
        <v>10.3018603943764</v>
      </c>
      <c r="I107" s="3">
        <v>23.647089389926901</v>
      </c>
      <c r="J107" s="3">
        <v>17.8283158022737</v>
      </c>
      <c r="K107" s="3">
        <v>12.785932016455501</v>
      </c>
      <c r="L107" s="3">
        <v>19.4399773737636</v>
      </c>
      <c r="M107" s="3">
        <v>16.7685701001054</v>
      </c>
      <c r="N107" s="3">
        <v>8.0902121218128098</v>
      </c>
    </row>
    <row r="108" spans="1:14" x14ac:dyDescent="0.35">
      <c r="A108" s="2">
        <v>44974</v>
      </c>
      <c r="B108" s="3">
        <v>30.178710464723402</v>
      </c>
      <c r="C108" s="3">
        <v>14.4395982576794</v>
      </c>
      <c r="D108" s="3">
        <v>12.7472612003568</v>
      </c>
      <c r="E108" s="3">
        <v>11.6298002850926</v>
      </c>
      <c r="F108" s="3">
        <v>13.5613231436606</v>
      </c>
      <c r="G108" s="3">
        <v>21.332576858969599</v>
      </c>
      <c r="H108" s="3">
        <v>10.3364301582561</v>
      </c>
      <c r="I108" s="3">
        <v>25.728724399580901</v>
      </c>
      <c r="J108" s="3">
        <v>18.5242144474506</v>
      </c>
      <c r="K108" s="3">
        <v>13.052497252700499</v>
      </c>
      <c r="L108" s="3">
        <v>21.425593276408598</v>
      </c>
      <c r="M108" s="3">
        <v>26.201400954842001</v>
      </c>
      <c r="N108" s="3">
        <v>8.3801154228642805</v>
      </c>
    </row>
    <row r="109" spans="1:14" x14ac:dyDescent="0.35">
      <c r="A109" s="2">
        <v>45002</v>
      </c>
      <c r="B109" s="3">
        <v>29.074110841049801</v>
      </c>
      <c r="C109" s="3">
        <v>14.159925189683699</v>
      </c>
      <c r="D109" s="3">
        <v>12.4963225690679</v>
      </c>
      <c r="E109" s="3">
        <v>11.2444823659702</v>
      </c>
      <c r="F109" s="3">
        <v>13.5882860319578</v>
      </c>
      <c r="G109" s="3">
        <v>20.387283375051702</v>
      </c>
      <c r="H109" s="3">
        <v>10.1241144031</v>
      </c>
      <c r="I109" s="3">
        <v>25.3557605241914</v>
      </c>
      <c r="J109" s="3">
        <v>17.9933581308225</v>
      </c>
      <c r="K109" s="3">
        <v>12.8072314400985</v>
      </c>
      <c r="L109" s="3">
        <v>20.320171851637301</v>
      </c>
      <c r="M109" s="3">
        <v>24.827980488535701</v>
      </c>
      <c r="N109" s="3">
        <v>8.1808952022811301</v>
      </c>
    </row>
    <row r="110" spans="1:14" x14ac:dyDescent="0.35">
      <c r="A110" s="2">
        <v>45034</v>
      </c>
      <c r="B110" s="3">
        <v>28.5907252593245</v>
      </c>
      <c r="C110" s="3">
        <v>14.358572843957701</v>
      </c>
      <c r="D110" s="3">
        <v>12.805989495766999</v>
      </c>
      <c r="E110" s="3">
        <v>11.440406234478701</v>
      </c>
      <c r="F110" s="3">
        <v>13.739370287039799</v>
      </c>
      <c r="G110" s="3">
        <v>20.38379322278</v>
      </c>
      <c r="H110" s="3">
        <v>10.4205872966398</v>
      </c>
      <c r="I110" s="3">
        <v>25.676775208717601</v>
      </c>
      <c r="J110" s="3">
        <v>18.318783724606099</v>
      </c>
      <c r="K110" s="3">
        <v>13.186791749434899</v>
      </c>
      <c r="L110" s="3">
        <v>20.125531765985698</v>
      </c>
      <c r="M110" s="3">
        <v>23.856669020622199</v>
      </c>
      <c r="N110" s="3">
        <v>8.4061656698294094</v>
      </c>
    </row>
    <row r="111" spans="1:14" x14ac:dyDescent="0.35">
      <c r="A111" s="2">
        <v>45064</v>
      </c>
      <c r="B111" s="3">
        <v>28.191300714789399</v>
      </c>
      <c r="C111" s="3">
        <v>14.3322485316534</v>
      </c>
      <c r="D111" s="3">
        <v>12.8394785939714</v>
      </c>
      <c r="E111" s="3">
        <v>11.3563400293255</v>
      </c>
      <c r="F111" s="3">
        <v>14.0713571947887</v>
      </c>
      <c r="G111" s="3">
        <v>20.0343155275886</v>
      </c>
      <c r="H111" s="3">
        <v>10.3334622179396</v>
      </c>
      <c r="I111" s="3">
        <v>26.113784153479099</v>
      </c>
      <c r="J111" s="3">
        <v>18.435413327168199</v>
      </c>
      <c r="K111" s="3">
        <v>13.166600293901899</v>
      </c>
      <c r="L111" s="3">
        <v>19.652701887947501</v>
      </c>
      <c r="M111" s="3">
        <v>22.5157881068051</v>
      </c>
      <c r="N111" s="3">
        <v>8.2594177934684101</v>
      </c>
    </row>
    <row r="112" spans="1:14" x14ac:dyDescent="0.35">
      <c r="A112" s="2">
        <v>45093</v>
      </c>
      <c r="B112" s="3">
        <v>26.361675750622499</v>
      </c>
      <c r="C112" s="3">
        <v>14.609150174102099</v>
      </c>
      <c r="D112" s="3">
        <v>12.938846330369399</v>
      </c>
      <c r="E112" s="3">
        <v>11.356138156921901</v>
      </c>
      <c r="F112" s="3">
        <v>14.560361046775601</v>
      </c>
      <c r="G112" s="3">
        <v>19.503682529699901</v>
      </c>
      <c r="H112" s="3">
        <v>10.3984792088593</v>
      </c>
      <c r="I112" s="3">
        <v>27.185462939522498</v>
      </c>
      <c r="J112" s="3">
        <v>18.9218441950953</v>
      </c>
      <c r="K112" s="3">
        <v>13.2778613607399</v>
      </c>
      <c r="L112" s="3">
        <v>19.367069291403499</v>
      </c>
      <c r="M112" s="3">
        <v>21.5498496229045</v>
      </c>
      <c r="N112" s="3">
        <v>8.5518814801609899</v>
      </c>
    </row>
    <row r="113" spans="1:25" x14ac:dyDescent="0.35">
      <c r="A113" s="2">
        <v>45125</v>
      </c>
      <c r="B113" s="3">
        <v>25.628923511818101</v>
      </c>
      <c r="C113" s="3">
        <v>14.8519232569286</v>
      </c>
      <c r="D113" s="3">
        <v>13.366688761427</v>
      </c>
      <c r="E113" s="3">
        <v>11.294345304859901</v>
      </c>
      <c r="F113" s="3">
        <v>14.509068725504999</v>
      </c>
      <c r="G113" s="3">
        <v>19.215593822731901</v>
      </c>
      <c r="H113" s="3">
        <v>10.4685767004217</v>
      </c>
      <c r="I113" s="3">
        <v>28.173590162059298</v>
      </c>
      <c r="J113" s="3">
        <v>19.598301948544599</v>
      </c>
      <c r="K113" s="3">
        <v>13.323710680899</v>
      </c>
      <c r="L113" s="3">
        <v>19.226063894894899</v>
      </c>
      <c r="M113" s="3">
        <v>20.121630792756601</v>
      </c>
      <c r="N113" s="3">
        <v>8.6622615188931906</v>
      </c>
    </row>
    <row r="114" spans="1:25" x14ac:dyDescent="0.35">
      <c r="A114" s="2">
        <v>45156</v>
      </c>
      <c r="B114" s="3">
        <v>24.433067053076201</v>
      </c>
      <c r="C114" s="3">
        <v>14.716640317305901</v>
      </c>
      <c r="D114" s="3">
        <v>13.2622543901493</v>
      </c>
      <c r="E114" s="3">
        <v>11.096525596856001</v>
      </c>
      <c r="F114" s="3">
        <v>14.3650320477976</v>
      </c>
      <c r="G114" s="3">
        <v>18.638422976919301</v>
      </c>
      <c r="H114" s="3">
        <v>10.3254577087974</v>
      </c>
      <c r="I114" s="3">
        <v>25.949045996808799</v>
      </c>
      <c r="J114" s="3">
        <v>19.114733181893101</v>
      </c>
      <c r="K114" s="3">
        <v>13.093004775059301</v>
      </c>
      <c r="L114" s="3">
        <v>17.894599578560801</v>
      </c>
      <c r="M114" s="3">
        <v>18.220994234827501</v>
      </c>
      <c r="N114" s="3">
        <v>8.1173293453772306</v>
      </c>
    </row>
    <row r="115" spans="1:25" x14ac:dyDescent="0.35">
      <c r="A115" s="2">
        <v>45187</v>
      </c>
      <c r="B115" s="3">
        <v>24.016762466194201</v>
      </c>
      <c r="C115" s="3">
        <v>15.1413073156496</v>
      </c>
      <c r="D115" s="3">
        <v>13.7368787716096</v>
      </c>
      <c r="E115" s="3">
        <v>11.208260650997101</v>
      </c>
      <c r="F115" s="3">
        <v>15.2878936088774</v>
      </c>
      <c r="G115" s="3">
        <v>18.719350832497302</v>
      </c>
      <c r="H115" s="3">
        <v>10.6777127426747</v>
      </c>
      <c r="I115" s="3">
        <v>26.554249288691501</v>
      </c>
      <c r="J115" s="3">
        <v>19.546335606267998</v>
      </c>
      <c r="K115" s="3">
        <v>13.2098347944409</v>
      </c>
      <c r="L115" s="3">
        <v>17.105148678354499</v>
      </c>
      <c r="M115" s="3">
        <v>17.2718245064457</v>
      </c>
      <c r="N115" s="3">
        <v>8.3632481812218096</v>
      </c>
    </row>
    <row r="116" spans="1:25" x14ac:dyDescent="0.35">
      <c r="A116" s="2">
        <v>45217</v>
      </c>
      <c r="B116" s="3">
        <v>23.183383214090899</v>
      </c>
      <c r="C116" s="3">
        <v>14.833282027390201</v>
      </c>
      <c r="D116" s="3">
        <v>13.2746329522368</v>
      </c>
      <c r="E116" s="3">
        <v>10.852590585350899</v>
      </c>
      <c r="F116" s="3">
        <v>14.7383049344814</v>
      </c>
      <c r="G116" s="3">
        <v>18.055386333226298</v>
      </c>
      <c r="H116" s="3">
        <v>10.559621031015901</v>
      </c>
      <c r="I116" s="3">
        <v>26.279281523060298</v>
      </c>
      <c r="J116" s="3">
        <v>19.292704422170701</v>
      </c>
      <c r="K116" s="3">
        <v>12.729502399337999</v>
      </c>
      <c r="L116" s="3">
        <v>16.124958514093699</v>
      </c>
      <c r="M116" s="3">
        <v>16.7249785656198</v>
      </c>
      <c r="N116" s="3">
        <v>8.1829468164372798</v>
      </c>
    </row>
    <row r="117" spans="1:25" x14ac:dyDescent="0.35">
      <c r="A117" s="2">
        <v>45247</v>
      </c>
      <c r="B117" s="3">
        <v>22.268153823134501</v>
      </c>
      <c r="C117" s="3">
        <v>15.020775683443199</v>
      </c>
      <c r="D117" s="3">
        <v>13.7244481989154</v>
      </c>
      <c r="E117" s="3">
        <v>11.3990990376267</v>
      </c>
      <c r="F117" s="3">
        <v>15.3470127989309</v>
      </c>
      <c r="G117" s="3">
        <v>17.884657529391301</v>
      </c>
      <c r="H117" s="3">
        <v>10.6948600292592</v>
      </c>
      <c r="I117" s="3">
        <v>27.506618780785999</v>
      </c>
      <c r="J117" s="3">
        <v>20.166850824938901</v>
      </c>
      <c r="K117" s="3">
        <v>13.2550989664045</v>
      </c>
      <c r="L117" s="3">
        <v>16.598834127306901</v>
      </c>
      <c r="M117" s="3">
        <v>15.8744415282001</v>
      </c>
      <c r="N117" s="3">
        <v>8.29273202667747</v>
      </c>
    </row>
    <row r="118" spans="1:25" x14ac:dyDescent="0.35">
      <c r="A118" s="2">
        <v>45278</v>
      </c>
      <c r="B118" s="3">
        <v>23.868280384577599</v>
      </c>
      <c r="C118" s="3">
        <v>16.021364316351601</v>
      </c>
      <c r="D118" s="3">
        <v>14.277167606917301</v>
      </c>
      <c r="E118" s="3">
        <v>11.873331718703501</v>
      </c>
      <c r="F118" s="3">
        <v>14.9588748143105</v>
      </c>
      <c r="G118" s="3">
        <v>18.359639414308699</v>
      </c>
      <c r="H118" s="3">
        <v>11.0741170999425</v>
      </c>
      <c r="I118" s="3">
        <v>28.928953961773502</v>
      </c>
      <c r="J118" s="3">
        <v>21.4522770952765</v>
      </c>
      <c r="K118" s="3">
        <v>14.025534990474799</v>
      </c>
      <c r="L118" s="3">
        <v>16.796165166536898</v>
      </c>
      <c r="M118" s="3">
        <v>18.081273972486301</v>
      </c>
      <c r="N118" s="3">
        <v>8.7962183475071996</v>
      </c>
    </row>
    <row r="119" spans="1:25" x14ac:dyDescent="0.35">
      <c r="A119" s="2">
        <v>45309</v>
      </c>
      <c r="B119" s="3">
        <v>23.096815947822101</v>
      </c>
      <c r="C119" s="3">
        <v>15.804566137199901</v>
      </c>
      <c r="D119" s="3">
        <v>14.4502739941942</v>
      </c>
      <c r="E119" s="3">
        <v>11.745153842740001</v>
      </c>
      <c r="F119" s="3">
        <v>16.1943807084692</v>
      </c>
      <c r="G119" s="3">
        <v>18.212821297026601</v>
      </c>
      <c r="H119" s="3">
        <v>10.9607873664966</v>
      </c>
      <c r="I119" s="3">
        <v>29.256443142758101</v>
      </c>
      <c r="J119" s="3">
        <v>21.840015628905501</v>
      </c>
      <c r="K119" s="3">
        <v>13.956330160073801</v>
      </c>
      <c r="L119" s="3">
        <v>16.4533849572957</v>
      </c>
      <c r="M119" s="3">
        <v>17.056058732077901</v>
      </c>
      <c r="N119" s="3">
        <v>8.9759297703802492</v>
      </c>
    </row>
    <row r="120" spans="1:25" x14ac:dyDescent="0.35">
      <c r="A120" s="2">
        <v>45338</v>
      </c>
      <c r="B120" s="3">
        <v>23.0635498826774</v>
      </c>
      <c r="C120" s="3">
        <v>16.533652605997901</v>
      </c>
      <c r="D120" s="3">
        <v>14.7497323454767</v>
      </c>
      <c r="E120" s="3">
        <v>12.184533006255499</v>
      </c>
      <c r="F120" s="3">
        <v>16.8018835504419</v>
      </c>
      <c r="G120" s="3">
        <v>19.001780271462099</v>
      </c>
      <c r="H120" s="3">
        <v>11.351838404630699</v>
      </c>
      <c r="I120" s="3">
        <v>29.919030462389301</v>
      </c>
      <c r="J120" s="3">
        <v>22.454918199453701</v>
      </c>
      <c r="K120" s="3">
        <v>15.1599584461579</v>
      </c>
      <c r="L120" s="3">
        <v>17.903875635887001</v>
      </c>
      <c r="M120" s="3">
        <v>15.6107027452955</v>
      </c>
      <c r="N120" s="3">
        <v>9.0715245798040396</v>
      </c>
    </row>
    <row r="121" spans="1:25" x14ac:dyDescent="0.35">
      <c r="A121" s="2">
        <v>45369</v>
      </c>
      <c r="B121" s="3">
        <v>23.832044192256198</v>
      </c>
      <c r="C121" s="3">
        <v>16.581764583770099</v>
      </c>
      <c r="D121" s="3">
        <v>14.9172563857227</v>
      </c>
      <c r="E121" s="3">
        <v>12.5215917798778</v>
      </c>
      <c r="F121" s="3">
        <v>17.002672063706399</v>
      </c>
      <c r="G121" s="3">
        <v>19.178491742899201</v>
      </c>
      <c r="H121" s="3">
        <v>11.4618393318804</v>
      </c>
      <c r="I121" s="3">
        <v>30.1110928625782</v>
      </c>
      <c r="J121" s="3">
        <v>22.719009130599002</v>
      </c>
      <c r="K121" s="3">
        <v>15.517766509473701</v>
      </c>
      <c r="L121" s="3">
        <v>18.433848876830499</v>
      </c>
      <c r="M121" s="3">
        <v>16.034088363129602</v>
      </c>
      <c r="N121" s="3">
        <v>9.4308036066432805</v>
      </c>
    </row>
    <row r="122" spans="1:25" x14ac:dyDescent="0.35">
      <c r="A122" s="2">
        <v>45397</v>
      </c>
      <c r="B122" s="3">
        <v>24.136960458520001</v>
      </c>
      <c r="C122" s="3">
        <v>16.6063057149379</v>
      </c>
      <c r="D122" s="3">
        <v>14.8419284361729</v>
      </c>
      <c r="E122" s="3">
        <v>12.5213554238975</v>
      </c>
      <c r="F122" s="3">
        <v>16.9229752669108</v>
      </c>
      <c r="G122" s="3">
        <v>18.919486941252199</v>
      </c>
      <c r="H122" s="3">
        <v>11.5352348100506</v>
      </c>
      <c r="I122" s="3">
        <v>29.5384434851034</v>
      </c>
      <c r="J122" s="3">
        <v>22.4604518402185</v>
      </c>
      <c r="K122" s="3">
        <v>15.4225663240634</v>
      </c>
      <c r="L122" s="3">
        <v>18.287861780724299</v>
      </c>
      <c r="M122" s="3">
        <v>16.0538573907806</v>
      </c>
      <c r="N122" s="3">
        <v>9.4073156496922401</v>
      </c>
    </row>
    <row r="124" spans="1:25" x14ac:dyDescent="0.35">
      <c r="A124" s="2" t="s">
        <v>91</v>
      </c>
      <c r="B124" s="3" cm="1">
        <f t="array" ref="B124">MIN(_xlfn._xlws.FILTER(B1:B122, ISNUMBER(B1:B122)))</f>
        <v>17.638548590257901</v>
      </c>
      <c r="C124" s="3" cm="1">
        <f t="array" ref="C124">MIN(_xlfn._xlws.FILTER(C1:C122, ISNUMBER(C1:C122)))</f>
        <v>13.406957562831799</v>
      </c>
      <c r="D124" s="3" cm="1">
        <f t="array" ref="D124">MIN(_xlfn._xlws.FILTER(D1:D122, ISNUMBER(D1:D122)))</f>
        <v>12.194192129104</v>
      </c>
      <c r="E124" s="3" cm="1">
        <f t="array" ref="E124">MIN(_xlfn._xlws.FILTER(E1:E122, ISNUMBER(E1:E122)))</f>
        <v>10.315372767120399</v>
      </c>
      <c r="F124" s="3" cm="1">
        <f t="array" ref="F124">MIN(_xlfn._xlws.FILTER(F1:F122, ISNUMBER(F1:F122)))</f>
        <v>11.992956420628801</v>
      </c>
      <c r="G124" s="3" cm="1">
        <f t="array" ref="G124">MIN(_xlfn._xlws.FILTER(G1:G122, ISNUMBER(G1:G122)))</f>
        <v>16.014746713951499</v>
      </c>
      <c r="H124" s="3" cm="1">
        <f t="array" ref="H124">MIN(_xlfn._xlws.FILTER(H1:H122, ISNUMBER(H1:H122)))</f>
        <v>9.4526924238337902</v>
      </c>
      <c r="I124" s="3" cm="1">
        <f t="array" ref="I124">MIN(_xlfn._xlws.FILTER(I1:I122, ISNUMBER(I1:I122)))</f>
        <v>18.187486621407501</v>
      </c>
      <c r="J124" s="3" cm="1">
        <f t="array" ref="J124">MIN(_xlfn._xlws.FILTER(J1:J122, ISNUMBER(J1:J122)))</f>
        <v>15.776711047748501</v>
      </c>
      <c r="K124" s="3" cm="1">
        <f t="array" ref="K124">MIN(_xlfn._xlws.FILTER(K1:K122, ISNUMBER(K1:K122)))</f>
        <v>11.627951159744701</v>
      </c>
      <c r="L124" s="3" cm="1">
        <f t="array" ref="L124">MIN(_xlfn._xlws.FILTER(L1:L122, ISNUMBER(L1:L122)))</f>
        <v>14.6214847971165</v>
      </c>
      <c r="M124" s="3" cm="1">
        <f t="array" ref="M124">MIN(_xlfn._xlws.FILTER(M1:M122, ISNUMBER(M1:M122)))</f>
        <v>11.8513886872962</v>
      </c>
      <c r="N124" s="3" cm="1">
        <f t="array" ref="N124">MIN(_xlfn._xlws.FILTER(N1:N122, ISNUMBER(N1:N122)))</f>
        <v>7.4757163263452</v>
      </c>
    </row>
    <row r="125" spans="1:25" x14ac:dyDescent="0.35">
      <c r="A125" s="2" t="s">
        <v>92</v>
      </c>
      <c r="B125" s="3" cm="1">
        <f t="array" ref="B125">MAX(_xlfn._xlws.FILTER(B1:B122, ISNUMBER(B1:B122)))</f>
        <v>38.793350257311303</v>
      </c>
      <c r="C125" s="3" cm="1">
        <f t="array" ref="C125">MAX(_xlfn._xlws.FILTER(C1:C122, ISNUMBER(C1:C122)))</f>
        <v>23.257172696768901</v>
      </c>
      <c r="D125" s="3" cm="1">
        <f t="array" ref="D125">MAX(_xlfn._xlws.FILTER(D1:D122, ISNUMBER(D1:D122)))</f>
        <v>21.080439758426898</v>
      </c>
      <c r="E125" s="3" cm="1">
        <f t="array" ref="E125">MAX(_xlfn._xlws.FILTER(E1:E122, ISNUMBER(E1:E122)))</f>
        <v>21.864620737882898</v>
      </c>
      <c r="F125" s="3" cm="1">
        <f t="array" ref="F125">MAX(_xlfn._xlws.FILTER(F1:F122, ISNUMBER(F1:F122)))</f>
        <v>23.974536684203201</v>
      </c>
      <c r="G125" s="3" cm="1">
        <f t="array" ref="G125">MAX(_xlfn._xlws.FILTER(G1:G122, ISNUMBER(G1:G122)))</f>
        <v>21.9739840292278</v>
      </c>
      <c r="H125" s="3" cm="1">
        <f t="array" ref="H125">MAX(_xlfn._xlws.FILTER(H1:H122, ISNUMBER(H1:H122)))</f>
        <v>20.2047061127445</v>
      </c>
      <c r="I125" s="3" cm="1">
        <f t="array" ref="I125">MAX(_xlfn._xlws.FILTER(I1:I122, ISNUMBER(I1:I122)))</f>
        <v>35.042690425740901</v>
      </c>
      <c r="J125" s="3" cm="1">
        <f t="array" ref="J125">MAX(_xlfn._xlws.FILTER(J1:J122, ISNUMBER(J1:J122)))</f>
        <v>27.184926384491899</v>
      </c>
      <c r="K125" s="3" cm="1">
        <f t="array" ref="K125">MAX(_xlfn._xlws.FILTER(K1:K122, ISNUMBER(K1:K122)))</f>
        <v>28.715881647885901</v>
      </c>
      <c r="L125" s="3" cm="1">
        <f t="array" ref="L125">MAX(_xlfn._xlws.FILTER(L1:L122, ISNUMBER(L1:L122)))</f>
        <v>29.7612095570049</v>
      </c>
      <c r="M125" s="3" cm="1">
        <f t="array" ref="M125">MAX(_xlfn._xlws.FILTER(M1:M122, ISNUMBER(M1:M122)))</f>
        <v>26.201400954842001</v>
      </c>
      <c r="N125" s="3" cm="1">
        <f t="array" ref="N125">MAX(_xlfn._xlws.FILTER(N1:N122, ISNUMBER(N1:N122)))</f>
        <v>82.094099266410794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0.52400000000000002</v>
      </c>
      <c r="C127" s="9" cm="1">
        <f t="array" ref="C127">_xlfn.PERCENTRANK.EXC(_xlfn._xlws.FILTER(C1:C122, ISNUMBER(C1:C122)),C121)</f>
        <v>0.622</v>
      </c>
      <c r="D127" s="9" cm="1">
        <f t="array" ref="D127">_xlfn.PERCENTRANK.EXC(_xlfn._xlws.FILTER(D1:D122, ISNUMBER(D1:D122)),D121)</f>
        <v>0.32700000000000001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0.84399999999999997</v>
      </c>
      <c r="G127" s="9" cm="1">
        <f t="array" ref="G127">_xlfn.PERCENTRANK.EXC(_xlfn._xlws.FILTER(G1:G122, ISNUMBER(G1:G122)),G121)</f>
        <v>0.59</v>
      </c>
      <c r="H127" s="9" cm="1">
        <f t="array" ref="H127">_xlfn.PERCENTRANK.EXC(_xlfn._xlws.FILTER(H1:H122, ISNUMBER(H1:H122)),H121)</f>
        <v>0.18</v>
      </c>
      <c r="I127" s="9" cm="1">
        <f t="array" ref="I127">_xlfn.PERCENTRANK.EXC(_xlfn._xlws.FILTER(I1:I122, ISNUMBER(I1:I122)),I121)</f>
        <v>0.86799999999999999</v>
      </c>
      <c r="J127" s="9" cm="1">
        <f t="array" ref="J127">_xlfn.PERCENTRANK.EXC(_xlfn._xlws.FILTER(J1:J122, ISNUMBER(J1:J122)),J121)</f>
        <v>0.86</v>
      </c>
      <c r="K127" s="9" cm="1">
        <f t="array" ref="K127">_xlfn.PERCENTRANK.EXC(_xlfn._xlws.FILTER(K1:K122, ISNUMBER(K1:K122)),K121)</f>
        <v>0.53200000000000003</v>
      </c>
      <c r="L127" s="9" cm="1">
        <f t="array" ref="L127">_xlfn.PERCENTRANK.EXC(_xlfn._xlws.FILTER(L1:L122, ISNUMBER(L1:L122)),L121)</f>
        <v>0.65500000000000003</v>
      </c>
      <c r="M127" s="9" cm="1">
        <f t="array" ref="M127">_xlfn.PERCENTRANK.EXC(_xlfn._xlws.FILTER(M1:M122, ISNUMBER(M1:M122)),M121)</f>
        <v>0.32700000000000001</v>
      </c>
      <c r="N127" s="9" cm="1">
        <f t="array" ref="N127">_xlfn.PERCENTRANK.EXC(_xlfn._xlws.FILTER(N1:N122, ISNUMBER(N1:N122)),N121)</f>
        <v>0.18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41746</v>
      </c>
      <c r="B2" s="3" cm="1">
        <f t="array" ref="B2:B122">_xll.FDS(B1,"FMA_PE(NTMA,-10AY,0,AM,""PORTAGG"",""MEANR"")")</f>
        <v>17.169480788602801</v>
      </c>
      <c r="C2" s="3" cm="1">
        <f t="array" ref="C2:C122">_xll.FDS(C1,"FMA_PE(NTMA,-10AY,0,AM,""PORTAGG"",""MEANR"")")</f>
        <v>14.3601782616914</v>
      </c>
      <c r="D2" s="3" cm="1">
        <f t="array" ref="D2:D122">_xll.FDS(D1,"FMA_PE(NTMA,-10AY,0,AM,""PORTAGG"",""MEANR"")")</f>
        <v>14.9137078451372</v>
      </c>
      <c r="E2" s="3" cm="1">
        <f t="array" ref="E2:E122">_xll.FDS(E1,"FMA_PE(NTMA,-10AY,0,AM,""PORTAGG"",""MEANR"")")</f>
        <v>12.843971824450399</v>
      </c>
      <c r="F2" s="3" cm="1">
        <f t="array" ref="F2:F122">_xll.FDS(F1,"FMA_PE(NTMA,-10AY,0,AM,""PORTAGG"",""MEANR"")")</f>
        <v>12.874648927152201</v>
      </c>
      <c r="G2" s="3" cm="1">
        <f t="array" ref="G2:G122">_xll.FDS(G1,"FMA_PE(NTMA,-10AY,0,AM,""PORTAGG"",""MEANR"")")</f>
        <v>16.023420409519002</v>
      </c>
      <c r="H2" s="3" cm="1">
        <f t="array" ref="H2:H122">_xll.FDS(H1,"FMA_PE(NTMA,-10AY,0,AM,""PORTAGG"",""MEANR"")")</f>
        <v>13.243928266525799</v>
      </c>
      <c r="I2" s="3" cm="1">
        <f t="array" ref="I2:I122">_xll.FDS(I1,"FMA_PE(NTMA,-10AY,0,AM,""PORTAGG"",""MEANR"")")</f>
        <v>16.765888462411201</v>
      </c>
      <c r="J2" s="3" cm="1">
        <f t="array" ref="J2:J122">_xll.FDS(J1,"FMA_PE(NTMA,-10AY,0,AM,""PORTAGG"",""MEANR"")")</f>
        <v>14.985987996217901</v>
      </c>
      <c r="K2" s="3" cm="1">
        <f t="array" ref="K2:K122">_xll.FDS(K1,"FMA_PE(NTMA,-10AY,0,AM,""PORTAGG"",""MEANR"")")</f>
        <v>13.877730369829999</v>
      </c>
      <c r="L2" s="3" cm="1">
        <f t="array" ref="L2:L122">_xll.FDS(L1,"FMA_PE(NTMA,-10AY,0,AM,""PORTAGG"",""MEANR"")")</f>
        <v>14.0304073562034</v>
      </c>
      <c r="M2" s="3" cm="1">
        <f t="array" ref="M2:M122">_xll.FDS(M1,"FMA_PE(NTMA,-10AY,0,AM,""PORTAGG"",""MEANR"")")</f>
        <v>15.4806213819449</v>
      </c>
      <c r="N2" s="3" cm="1">
        <f t="array" ref="N2:N122">_xll.FDS(N1,"FMA_PE(NTMA,-10AY,0,AM,""PORTAGG"",""MEANR"")")</f>
        <v>13.7270420768559</v>
      </c>
    </row>
    <row r="3" spans="1:14" x14ac:dyDescent="0.35">
      <c r="A3" s="2">
        <v>41775</v>
      </c>
      <c r="B3" s="3">
        <v>17.465533554149001</v>
      </c>
      <c r="C3" s="3">
        <v>14.3333576955102</v>
      </c>
      <c r="D3" s="3">
        <v>14.6704752274815</v>
      </c>
      <c r="E3" s="3">
        <v>12.9439513438682</v>
      </c>
      <c r="F3" s="3">
        <v>12.7665449359567</v>
      </c>
      <c r="G3" s="3">
        <v>16.382312535443202</v>
      </c>
      <c r="H3" s="3">
        <v>13.7145585489155</v>
      </c>
      <c r="I3" s="3">
        <v>16.598622804596001</v>
      </c>
      <c r="J3" s="3">
        <v>14.8864570130049</v>
      </c>
      <c r="K3" s="3">
        <v>14.036757254923</v>
      </c>
      <c r="L3" s="3">
        <v>14.0213257835973</v>
      </c>
      <c r="M3" s="3">
        <v>15.8372478736628</v>
      </c>
      <c r="N3" s="3">
        <v>13.5752952232511</v>
      </c>
    </row>
    <row r="4" spans="1:14" x14ac:dyDescent="0.35">
      <c r="A4" s="2">
        <v>41808</v>
      </c>
      <c r="B4" s="3">
        <v>17.338386020660199</v>
      </c>
      <c r="C4" s="3">
        <v>14.1164954984192</v>
      </c>
      <c r="D4" s="3">
        <v>15.028316003554799</v>
      </c>
      <c r="E4" s="3">
        <v>13.3126859469281</v>
      </c>
      <c r="F4" s="3">
        <v>13.6673159974805</v>
      </c>
      <c r="G4" s="3">
        <v>16.259729230335701</v>
      </c>
      <c r="H4" s="3">
        <v>13.5981888171849</v>
      </c>
      <c r="I4" s="3">
        <v>17.314920586062499</v>
      </c>
      <c r="J4" s="3">
        <v>15.3618211403862</v>
      </c>
      <c r="K4" s="3">
        <v>14.262942046125</v>
      </c>
      <c r="L4" s="3">
        <v>14.5278756422504</v>
      </c>
      <c r="M4" s="3">
        <v>15.5429742466925</v>
      </c>
      <c r="N4" s="3">
        <v>14.535583150797001</v>
      </c>
    </row>
    <row r="5" spans="1:14" x14ac:dyDescent="0.35">
      <c r="A5" s="2">
        <v>41838</v>
      </c>
      <c r="B5" s="3">
        <v>17.157797615277701</v>
      </c>
      <c r="C5" s="3">
        <v>14.7557223619488</v>
      </c>
      <c r="D5" s="3">
        <v>15.0774124707646</v>
      </c>
      <c r="E5" s="3">
        <v>12.9180011281095</v>
      </c>
      <c r="F5" s="3">
        <v>13.714407524435</v>
      </c>
      <c r="G5" s="3">
        <v>15.921625652202099</v>
      </c>
      <c r="H5" s="3">
        <v>13.5845892674017</v>
      </c>
      <c r="I5" s="3">
        <v>17.682195218466799</v>
      </c>
      <c r="J5" s="3">
        <v>15.3597921745608</v>
      </c>
      <c r="K5" s="3">
        <v>13.636181789771801</v>
      </c>
      <c r="L5" s="3">
        <v>14.099183775846001</v>
      </c>
      <c r="M5" s="3">
        <v>15.554739443439299</v>
      </c>
      <c r="N5" s="3">
        <v>13.920751101942001</v>
      </c>
    </row>
    <row r="6" spans="1:14" x14ac:dyDescent="0.35">
      <c r="A6" s="2">
        <v>41869</v>
      </c>
      <c r="B6" s="3">
        <v>17.009636066709</v>
      </c>
      <c r="C6" s="3">
        <v>14.834795877607499</v>
      </c>
      <c r="D6" s="3">
        <v>15.0108571676785</v>
      </c>
      <c r="E6" s="3">
        <v>12.3293775317951</v>
      </c>
      <c r="F6" s="3">
        <v>13.589546115420401</v>
      </c>
      <c r="G6" s="3">
        <v>15.903226197789101</v>
      </c>
      <c r="H6" s="3">
        <v>13.458436829981199</v>
      </c>
      <c r="I6" s="3">
        <v>17.6803485341112</v>
      </c>
      <c r="J6" s="3">
        <v>15.162945119630701</v>
      </c>
      <c r="K6" s="3">
        <v>13.263835560210399</v>
      </c>
      <c r="L6" s="3">
        <v>13.989100157689</v>
      </c>
      <c r="M6" s="3">
        <v>15.2241310869787</v>
      </c>
      <c r="N6" s="3">
        <v>13.126956617734299</v>
      </c>
    </row>
    <row r="7" spans="1:14" x14ac:dyDescent="0.35">
      <c r="A7" s="2">
        <v>41900</v>
      </c>
      <c r="B7" s="3">
        <v>16.871493292198998</v>
      </c>
      <c r="C7" s="3">
        <v>14.2405871259863</v>
      </c>
      <c r="D7" s="3">
        <v>15.089623027310299</v>
      </c>
      <c r="E7" s="3">
        <v>12.9349618077146</v>
      </c>
      <c r="F7" s="3">
        <v>14.0211544583587</v>
      </c>
      <c r="G7" s="3">
        <v>16.207899194221401</v>
      </c>
      <c r="H7" s="3">
        <v>13.4595589320957</v>
      </c>
      <c r="I7" s="3">
        <v>17.772384577752199</v>
      </c>
      <c r="J7" s="3">
        <v>15.3475942367567</v>
      </c>
      <c r="K7" s="3">
        <v>13.815029432640699</v>
      </c>
      <c r="L7" s="3">
        <v>14.700683371709101</v>
      </c>
      <c r="M7" s="3">
        <v>14.8941304481421</v>
      </c>
      <c r="N7" s="3">
        <v>14.0202619769476</v>
      </c>
    </row>
    <row r="8" spans="1:14" x14ac:dyDescent="0.35">
      <c r="A8" s="2">
        <v>41929</v>
      </c>
      <c r="B8" s="3">
        <v>16.7401097983836</v>
      </c>
      <c r="C8" s="3">
        <v>13.923514718566199</v>
      </c>
      <c r="D8" s="3">
        <v>13.7889254230146</v>
      </c>
      <c r="E8" s="3">
        <v>11.6960462198589</v>
      </c>
      <c r="F8" s="3">
        <v>12.415970232637999</v>
      </c>
      <c r="G8" s="3">
        <v>14.9560518475671</v>
      </c>
      <c r="H8" s="3">
        <v>12.518195894633299</v>
      </c>
      <c r="I8" s="3">
        <v>16.357041465684201</v>
      </c>
      <c r="J8" s="3">
        <v>14.4216673069704</v>
      </c>
      <c r="K8" s="3">
        <v>12.548915399283199</v>
      </c>
      <c r="L8" s="3">
        <v>13.500685860673499</v>
      </c>
      <c r="M8" s="3">
        <v>13.6107748756822</v>
      </c>
      <c r="N8" s="3">
        <v>12.158894061738099</v>
      </c>
    </row>
    <row r="9" spans="1:14" x14ac:dyDescent="0.35">
      <c r="A9" s="2">
        <v>41961</v>
      </c>
      <c r="B9" s="3">
        <v>18.1143159255858</v>
      </c>
      <c r="C9" s="3">
        <v>14.214352256901799</v>
      </c>
      <c r="D9" s="3">
        <v>14.750923952732199</v>
      </c>
      <c r="E9" s="3">
        <v>12.455057604988699</v>
      </c>
      <c r="F9" s="3">
        <v>14.534203679458001</v>
      </c>
      <c r="G9" s="3">
        <v>16.113173974199999</v>
      </c>
      <c r="H9" s="3">
        <v>13.4950082559736</v>
      </c>
      <c r="I9" s="3">
        <v>17.9998480651238</v>
      </c>
      <c r="J9" s="3">
        <v>15.724348441896799</v>
      </c>
      <c r="K9" s="3">
        <v>13.373945214296899</v>
      </c>
      <c r="L9" s="3">
        <v>14.903049105514601</v>
      </c>
      <c r="M9" s="3">
        <v>15.4378312378277</v>
      </c>
      <c r="N9" s="3">
        <v>12.8153009020994</v>
      </c>
    </row>
    <row r="10" spans="1:14" x14ac:dyDescent="0.35">
      <c r="A10" s="2">
        <v>41991</v>
      </c>
      <c r="B10" s="3">
        <v>18.084735745352699</v>
      </c>
      <c r="C10" s="3">
        <v>13.8865226993557</v>
      </c>
      <c r="D10" s="3">
        <v>15.1360417351592</v>
      </c>
      <c r="E10" s="3">
        <v>12.8745425977393</v>
      </c>
      <c r="F10" s="3">
        <v>14.004811671697899</v>
      </c>
      <c r="G10" s="3">
        <v>15.8170251034404</v>
      </c>
      <c r="H10" s="3">
        <v>13.576775925581501</v>
      </c>
      <c r="I10" s="3">
        <v>17.851674242045199</v>
      </c>
      <c r="J10" s="3">
        <v>15.9876166375339</v>
      </c>
      <c r="K10" s="3">
        <v>13.664220566573899</v>
      </c>
      <c r="L10" s="3">
        <v>14.683577048971999</v>
      </c>
      <c r="M10" s="3">
        <v>15.431840797880801</v>
      </c>
      <c r="N10" s="3">
        <v>12.5001036411923</v>
      </c>
    </row>
    <row r="11" spans="1:14" x14ac:dyDescent="0.35">
      <c r="A11" s="2">
        <v>42020</v>
      </c>
      <c r="B11" s="3">
        <v>18.5478301470677</v>
      </c>
      <c r="C11" s="3">
        <v>14.448427476446801</v>
      </c>
      <c r="D11" s="3">
        <v>15.5026934232119</v>
      </c>
      <c r="E11" s="3">
        <v>13.3310697659629</v>
      </c>
      <c r="F11" s="3">
        <v>13.7228271357823</v>
      </c>
      <c r="G11" s="3">
        <v>15.0684969938974</v>
      </c>
      <c r="H11" s="3">
        <v>14.200991445325499</v>
      </c>
      <c r="I11" s="3">
        <v>16.933023279921301</v>
      </c>
      <c r="J11" s="3">
        <v>15.9384278995937</v>
      </c>
      <c r="K11" s="3">
        <v>14.310118685396301</v>
      </c>
      <c r="L11" s="3">
        <v>15.092685874733901</v>
      </c>
      <c r="M11" s="3">
        <v>15.629468021384801</v>
      </c>
      <c r="N11" s="3">
        <v>12.971391281477599</v>
      </c>
    </row>
    <row r="12" spans="1:14" x14ac:dyDescent="0.35">
      <c r="A12" s="2">
        <v>42053</v>
      </c>
      <c r="B12" s="3">
        <v>18.927033493342499</v>
      </c>
      <c r="C12" s="3">
        <v>16.259485714875801</v>
      </c>
      <c r="D12" s="3">
        <v>17.336693508855301</v>
      </c>
      <c r="E12" s="3">
        <v>14.2566776141772</v>
      </c>
      <c r="F12" s="3">
        <v>14.729814645106799</v>
      </c>
      <c r="G12" s="3">
        <v>17.232473494435201</v>
      </c>
      <c r="H12" s="3">
        <v>15.5251456423834</v>
      </c>
      <c r="I12" s="3">
        <v>17.925556349892702</v>
      </c>
      <c r="J12" s="3">
        <v>16.8617181592275</v>
      </c>
      <c r="K12" s="3">
        <v>15.959553972410101</v>
      </c>
      <c r="L12" s="3">
        <v>16.234255572282599</v>
      </c>
      <c r="M12" s="3">
        <v>16.8625098297444</v>
      </c>
      <c r="N12" s="3">
        <v>15.020603346959501</v>
      </c>
    </row>
    <row r="13" spans="1:14" x14ac:dyDescent="0.35">
      <c r="A13" s="2">
        <v>42081</v>
      </c>
      <c r="B13" s="3">
        <v>18.7412794877628</v>
      </c>
      <c r="C13" s="3">
        <v>16.051714949430501</v>
      </c>
      <c r="D13" s="3">
        <v>17.176283950015002</v>
      </c>
      <c r="E13" s="3">
        <v>15.434756570543399</v>
      </c>
      <c r="F13" s="3">
        <v>15.6356368792858</v>
      </c>
      <c r="G13" s="3">
        <v>17.751172884706801</v>
      </c>
      <c r="H13" s="3">
        <v>15.611497812660501</v>
      </c>
      <c r="I13" s="3">
        <v>17.9886510030795</v>
      </c>
      <c r="J13" s="3">
        <v>16.799053088507101</v>
      </c>
      <c r="K13" s="3">
        <v>16.5420706782688</v>
      </c>
      <c r="L13" s="3">
        <v>17.521930011924901</v>
      </c>
      <c r="M13" s="3">
        <v>17.361517668948999</v>
      </c>
      <c r="N13" s="3">
        <v>15.4252538324667</v>
      </c>
    </row>
    <row r="14" spans="1:14" x14ac:dyDescent="0.35">
      <c r="A14" s="2">
        <v>42111</v>
      </c>
      <c r="B14" s="3">
        <v>18.433273265375099</v>
      </c>
      <c r="C14" s="3">
        <v>16.431156295136901</v>
      </c>
      <c r="D14" s="3">
        <v>17.443698689847299</v>
      </c>
      <c r="E14" s="3">
        <v>15.000404630431399</v>
      </c>
      <c r="F14" s="3">
        <v>15.6274564646433</v>
      </c>
      <c r="G14" s="3">
        <v>18.0300186729242</v>
      </c>
      <c r="H14" s="3">
        <v>16.035069337353601</v>
      </c>
      <c r="I14" s="3">
        <v>17.694638088964201</v>
      </c>
      <c r="J14" s="3">
        <v>16.606376521083199</v>
      </c>
      <c r="K14" s="3">
        <v>16.681820367625001</v>
      </c>
      <c r="L14" s="3">
        <v>17.177710483143201</v>
      </c>
      <c r="M14" s="3">
        <v>16.5876658927194</v>
      </c>
      <c r="N14" s="3">
        <v>15.6874618983984</v>
      </c>
    </row>
    <row r="15" spans="1:14" x14ac:dyDescent="0.35">
      <c r="A15" s="2">
        <v>42142</v>
      </c>
      <c r="B15" s="3">
        <v>18.2181894539528</v>
      </c>
      <c r="C15" s="3">
        <v>15.884022883195801</v>
      </c>
      <c r="D15" s="3">
        <v>16.772626317610801</v>
      </c>
      <c r="E15" s="3">
        <v>14.449482267157</v>
      </c>
      <c r="F15" s="3">
        <v>16.053425928746499</v>
      </c>
      <c r="G15" s="3">
        <v>17.789652895411098</v>
      </c>
      <c r="H15" s="3">
        <v>16.120855033741002</v>
      </c>
      <c r="I15" s="3">
        <v>18.089710941412999</v>
      </c>
      <c r="J15" s="3">
        <v>16.7690015945212</v>
      </c>
      <c r="K15" s="3">
        <v>16.230411830061499</v>
      </c>
      <c r="L15" s="3">
        <v>16.882120267783201</v>
      </c>
      <c r="M15" s="3">
        <v>15.888952797674101</v>
      </c>
      <c r="N15" s="3">
        <v>15.593859879559799</v>
      </c>
    </row>
    <row r="16" spans="1:14" x14ac:dyDescent="0.35">
      <c r="A16" s="2">
        <v>42173</v>
      </c>
      <c r="B16" s="3">
        <v>17.858163535580101</v>
      </c>
      <c r="C16" s="3">
        <v>15.3156530870609</v>
      </c>
      <c r="D16" s="3">
        <v>16.194833440538499</v>
      </c>
      <c r="E16" s="3">
        <v>13.5606436749507</v>
      </c>
      <c r="F16" s="3">
        <v>15.4071663000587</v>
      </c>
      <c r="G16" s="3">
        <v>17.079843833112999</v>
      </c>
      <c r="H16" s="3">
        <v>15.485614844093</v>
      </c>
      <c r="I16" s="3">
        <v>18.042000299079099</v>
      </c>
      <c r="J16" s="3">
        <v>16.585510181132801</v>
      </c>
      <c r="K16" s="3">
        <v>15.377329797451701</v>
      </c>
      <c r="L16" s="3">
        <v>16.168848519638502</v>
      </c>
      <c r="M16" s="3">
        <v>15.5451760461233</v>
      </c>
      <c r="N16" s="3">
        <v>14.8710142332207</v>
      </c>
    </row>
    <row r="17" spans="1:14" x14ac:dyDescent="0.35">
      <c r="A17" s="2">
        <v>42202</v>
      </c>
      <c r="B17" s="3">
        <v>18.1715087899683</v>
      </c>
      <c r="C17" s="3">
        <v>15.578087098154301</v>
      </c>
      <c r="D17" s="3">
        <v>15.8584294860784</v>
      </c>
      <c r="E17" s="3">
        <v>14.150343345254999</v>
      </c>
      <c r="F17" s="3">
        <v>15.6311543919345</v>
      </c>
      <c r="G17" s="3">
        <v>17.7916840278546</v>
      </c>
      <c r="H17" s="3">
        <v>15.6018789049891</v>
      </c>
      <c r="I17" s="3">
        <v>18.6502740976733</v>
      </c>
      <c r="J17" s="3">
        <v>16.6080094788332</v>
      </c>
      <c r="K17" s="3">
        <v>16.079066522744998</v>
      </c>
      <c r="L17" s="3">
        <v>17.095056775538701</v>
      </c>
      <c r="M17" s="3">
        <v>16.240203497934999</v>
      </c>
      <c r="N17" s="3">
        <v>15.530985017359599</v>
      </c>
    </row>
    <row r="18" spans="1:14" x14ac:dyDescent="0.35">
      <c r="A18" s="2">
        <v>42234</v>
      </c>
      <c r="B18" s="3">
        <v>17.651161423185599</v>
      </c>
      <c r="C18" s="3">
        <v>14.7778917780462</v>
      </c>
      <c r="D18" s="3">
        <v>15.334045794616401</v>
      </c>
      <c r="E18" s="3">
        <v>13.1872358951879</v>
      </c>
      <c r="F18" s="3">
        <v>15.494267862272601</v>
      </c>
      <c r="G18" s="3">
        <v>17.442275401620201</v>
      </c>
      <c r="H18" s="3">
        <v>15.0615006661324</v>
      </c>
      <c r="I18" s="3">
        <v>18.3906016216898</v>
      </c>
      <c r="J18" s="3">
        <v>16.342064336501998</v>
      </c>
      <c r="K18" s="3">
        <v>15.3308677496785</v>
      </c>
      <c r="L18" s="3">
        <v>16.078569079832899</v>
      </c>
      <c r="M18" s="3">
        <v>15.8068688520489</v>
      </c>
      <c r="N18" s="3">
        <v>15.344219376504</v>
      </c>
    </row>
    <row r="19" spans="1:14" x14ac:dyDescent="0.35">
      <c r="A19" s="2">
        <v>42265</v>
      </c>
      <c r="B19" s="3">
        <v>17.618080917889699</v>
      </c>
      <c r="C19" s="3">
        <v>14.6497971243511</v>
      </c>
      <c r="D19" s="3">
        <v>14.8540775433958</v>
      </c>
      <c r="E19" s="3">
        <v>12.0281615264763</v>
      </c>
      <c r="F19" s="3">
        <v>13.4773772927952</v>
      </c>
      <c r="G19" s="3">
        <v>16.4272544897483</v>
      </c>
      <c r="H19" s="3">
        <v>14.4146526173206</v>
      </c>
      <c r="I19" s="3">
        <v>17.381824758152899</v>
      </c>
      <c r="J19" s="3">
        <v>15.2485124762281</v>
      </c>
      <c r="K19" s="3">
        <v>14.115515318294401</v>
      </c>
      <c r="L19" s="3">
        <v>14.5339075503058</v>
      </c>
      <c r="M19" s="3">
        <v>14.429112433792501</v>
      </c>
      <c r="N19" s="3">
        <v>14.1646910539726</v>
      </c>
    </row>
    <row r="20" spans="1:14" x14ac:dyDescent="0.35">
      <c r="A20" s="2">
        <v>42293</v>
      </c>
      <c r="B20" s="3">
        <v>17.623606559610899</v>
      </c>
      <c r="C20" s="3">
        <v>15.073812673239701</v>
      </c>
      <c r="D20" s="3">
        <v>15.1105735831615</v>
      </c>
      <c r="E20" s="3">
        <v>12.4512656761967</v>
      </c>
      <c r="F20" s="3">
        <v>13.901785880767701</v>
      </c>
      <c r="G20" s="3">
        <v>16.634721580352899</v>
      </c>
      <c r="H20" s="3">
        <v>15.286524205425099</v>
      </c>
      <c r="I20" s="3">
        <v>17.7982614318244</v>
      </c>
      <c r="J20" s="3">
        <v>15.918646410385</v>
      </c>
      <c r="K20" s="3">
        <v>14.612536731074099</v>
      </c>
      <c r="L20" s="3">
        <v>15.1715846055331</v>
      </c>
      <c r="M20" s="3">
        <v>14.7821973688787</v>
      </c>
      <c r="N20" s="3">
        <v>14.6660591370084</v>
      </c>
    </row>
    <row r="21" spans="1:14" x14ac:dyDescent="0.35">
      <c r="A21" s="2">
        <v>42326</v>
      </c>
      <c r="B21" s="3">
        <v>17.873251895028702</v>
      </c>
      <c r="C21" s="3">
        <v>14.7432291458896</v>
      </c>
      <c r="D21" s="3">
        <v>14.6058209798219</v>
      </c>
      <c r="E21" s="3">
        <v>13.654211839827299</v>
      </c>
      <c r="F21" s="3">
        <v>14.6534958032028</v>
      </c>
      <c r="G21" s="3">
        <v>16.994216571568501</v>
      </c>
      <c r="H21" s="3">
        <v>15.2681498794073</v>
      </c>
      <c r="I21" s="3">
        <v>18.6424247427647</v>
      </c>
      <c r="J21" s="3">
        <v>16.3167699047432</v>
      </c>
      <c r="K21" s="3">
        <v>15.2278709758064</v>
      </c>
      <c r="L21" s="3">
        <v>16.239928324284602</v>
      </c>
      <c r="M21" s="3">
        <v>15.4538116078985</v>
      </c>
      <c r="N21" s="3">
        <v>14.7406462035595</v>
      </c>
    </row>
    <row r="22" spans="1:14" x14ac:dyDescent="0.35">
      <c r="A22" s="2">
        <v>42356</v>
      </c>
      <c r="B22" s="3">
        <v>17.909362724532901</v>
      </c>
      <c r="C22" s="3">
        <v>15.0527535956953</v>
      </c>
      <c r="D22" s="3">
        <v>14.287195597465599</v>
      </c>
      <c r="E22" s="3">
        <v>13.1989785674518</v>
      </c>
      <c r="F22" s="3">
        <v>13.993207167790301</v>
      </c>
      <c r="G22" s="3">
        <v>16.5793536674705</v>
      </c>
      <c r="H22" s="3">
        <v>14.7860308826089</v>
      </c>
      <c r="I22" s="3">
        <v>18.014363407706</v>
      </c>
      <c r="J22" s="3">
        <v>15.683974144028699</v>
      </c>
      <c r="K22" s="3">
        <v>14.5218531465315</v>
      </c>
      <c r="L22" s="3">
        <v>15.392730635689</v>
      </c>
      <c r="M22" s="3">
        <v>14.737310945667</v>
      </c>
      <c r="N22" s="3">
        <v>13.989875784543701</v>
      </c>
    </row>
    <row r="23" spans="1:14" x14ac:dyDescent="0.35">
      <c r="A23" s="2">
        <v>42384</v>
      </c>
      <c r="B23" s="3">
        <v>17.734603684898499</v>
      </c>
      <c r="C23" s="3">
        <v>14.5769176103174</v>
      </c>
      <c r="D23" s="3">
        <v>13.318075418393899</v>
      </c>
      <c r="E23" s="3">
        <v>11.922405109908601</v>
      </c>
      <c r="F23" s="3">
        <v>12.7150164356575</v>
      </c>
      <c r="G23" s="3">
        <v>15.6865596623357</v>
      </c>
      <c r="H23" s="3">
        <v>14.588535689746999</v>
      </c>
      <c r="I23" s="3">
        <v>16.673726400448601</v>
      </c>
      <c r="J23" s="3">
        <v>14.8633281655956</v>
      </c>
      <c r="K23" s="3">
        <v>13.465144185762099</v>
      </c>
      <c r="L23" s="3">
        <v>14.127197771931399</v>
      </c>
      <c r="M23" s="3">
        <v>13.5975182581164</v>
      </c>
      <c r="N23" s="3">
        <v>12.937563081157201</v>
      </c>
    </row>
    <row r="24" spans="1:14" x14ac:dyDescent="0.35">
      <c r="A24" s="2">
        <v>42418</v>
      </c>
      <c r="B24" s="3">
        <v>17.327676049627399</v>
      </c>
      <c r="C24" s="3">
        <v>15.415856193593999</v>
      </c>
      <c r="D24" s="3">
        <v>14.868237570801799</v>
      </c>
      <c r="E24" s="3">
        <v>12.035881812425</v>
      </c>
      <c r="F24" s="3">
        <v>12.198210280114001</v>
      </c>
      <c r="G24" s="3">
        <v>16.287577382540199</v>
      </c>
      <c r="H24" s="3">
        <v>15.296167772572</v>
      </c>
      <c r="I24" s="3">
        <v>16.734876598143799</v>
      </c>
      <c r="J24" s="3">
        <v>15.5099438140132</v>
      </c>
      <c r="K24" s="3">
        <v>13.8843484260046</v>
      </c>
      <c r="L24" s="3">
        <v>14.366481103035399</v>
      </c>
      <c r="M24" s="3">
        <v>15.0258406397252</v>
      </c>
      <c r="N24" s="3">
        <v>12.293569443206501</v>
      </c>
    </row>
    <row r="25" spans="1:14" x14ac:dyDescent="0.35">
      <c r="A25" s="2">
        <v>42447</v>
      </c>
      <c r="B25" s="3">
        <v>18.181524816871001</v>
      </c>
      <c r="C25" s="3">
        <v>16.1506061467616</v>
      </c>
      <c r="D25" s="3">
        <v>16.105628744258901</v>
      </c>
      <c r="E25" s="3">
        <v>12.6772453328285</v>
      </c>
      <c r="F25" s="3">
        <v>12.7838977739362</v>
      </c>
      <c r="G25" s="3">
        <v>16.4649299305242</v>
      </c>
      <c r="H25" s="3">
        <v>16.310752495787401</v>
      </c>
      <c r="I25" s="3">
        <v>17.593730638502699</v>
      </c>
      <c r="J25" s="3">
        <v>15.516736353630501</v>
      </c>
      <c r="K25" s="3">
        <v>14.5840893406383</v>
      </c>
      <c r="L25" s="3">
        <v>15.385481396206799</v>
      </c>
      <c r="M25" s="3">
        <v>15.321151552138399</v>
      </c>
      <c r="N25" s="3">
        <v>13.547049734579099</v>
      </c>
    </row>
    <row r="26" spans="1:14" x14ac:dyDescent="0.35">
      <c r="A26" s="2">
        <v>42478</v>
      </c>
      <c r="B26" s="3">
        <v>18.890365354892701</v>
      </c>
      <c r="C26" s="3">
        <v>15.8418266757079</v>
      </c>
      <c r="D26" s="3">
        <v>16.2859807051735</v>
      </c>
      <c r="E26" s="3">
        <v>12.881839461497099</v>
      </c>
      <c r="F26" s="3">
        <v>12.6247797216697</v>
      </c>
      <c r="G26" s="3">
        <v>16.904685724112699</v>
      </c>
      <c r="H26" s="3">
        <v>16.4880839124014</v>
      </c>
      <c r="I26" s="3">
        <v>18.121632615774502</v>
      </c>
      <c r="J26" s="3">
        <v>16.500463546018398</v>
      </c>
      <c r="K26" s="3">
        <v>14.735973644746</v>
      </c>
      <c r="L26" s="3">
        <v>15.372262128152199</v>
      </c>
      <c r="M26" s="3">
        <v>15.3064332394062</v>
      </c>
      <c r="N26" s="3">
        <v>13.371541268251599</v>
      </c>
    </row>
    <row r="27" spans="1:14" x14ac:dyDescent="0.35">
      <c r="A27" s="2">
        <v>42508</v>
      </c>
      <c r="B27" s="3">
        <v>19.435032795184998</v>
      </c>
      <c r="C27" s="3">
        <v>16.496888585673101</v>
      </c>
      <c r="D27" s="3">
        <v>16.5676373062362</v>
      </c>
      <c r="E27" s="3">
        <v>12.413569487222301</v>
      </c>
      <c r="F27" s="3">
        <v>13.151107577201801</v>
      </c>
      <c r="G27" s="3">
        <v>16.683902398745101</v>
      </c>
      <c r="H27" s="3">
        <v>15.830242227768499</v>
      </c>
      <c r="I27" s="3">
        <v>17.3863203094486</v>
      </c>
      <c r="J27" s="3">
        <v>16.522677016730398</v>
      </c>
      <c r="K27" s="3">
        <v>14.109316823233399</v>
      </c>
      <c r="L27" s="3">
        <v>14.7553358232917</v>
      </c>
      <c r="M27" s="3">
        <v>14.7323729860324</v>
      </c>
      <c r="N27" s="3">
        <v>13.522889927981099</v>
      </c>
    </row>
    <row r="28" spans="1:14" x14ac:dyDescent="0.35">
      <c r="A28" s="2">
        <v>42538</v>
      </c>
      <c r="B28" s="3">
        <v>18.921750472500801</v>
      </c>
      <c r="C28" s="3">
        <v>15.763073804868499</v>
      </c>
      <c r="D28" s="3">
        <v>16.299875888434698</v>
      </c>
      <c r="E28" s="3">
        <v>11.860282003659799</v>
      </c>
      <c r="F28" s="3">
        <v>12.5994391161941</v>
      </c>
      <c r="G28" s="3">
        <v>16.208104340357501</v>
      </c>
      <c r="H28" s="3">
        <v>15.180132865256599</v>
      </c>
      <c r="I28" s="3">
        <v>17.339218876508198</v>
      </c>
      <c r="J28" s="3">
        <v>16.3100236406347</v>
      </c>
      <c r="K28" s="3">
        <v>13.4661705103172</v>
      </c>
      <c r="L28" s="3">
        <v>13.951320330413401</v>
      </c>
      <c r="M28" s="3">
        <v>14.257975637837999</v>
      </c>
      <c r="N28" s="3">
        <v>12.3419643320221</v>
      </c>
    </row>
    <row r="29" spans="1:14" x14ac:dyDescent="0.35">
      <c r="A29" s="2">
        <v>42569</v>
      </c>
      <c r="B29" s="3">
        <v>19.575248129321199</v>
      </c>
      <c r="C29" s="3">
        <v>16.5215551682704</v>
      </c>
      <c r="D29" s="3">
        <v>16.595264896291599</v>
      </c>
      <c r="E29" s="3">
        <v>12.4171198016082</v>
      </c>
      <c r="F29" s="3">
        <v>13.506963705681301</v>
      </c>
      <c r="G29" s="3">
        <v>16.992276073684401</v>
      </c>
      <c r="H29" s="3">
        <v>16.1010128421809</v>
      </c>
      <c r="I29" s="3">
        <v>18.432464829609401</v>
      </c>
      <c r="J29" s="3">
        <v>16.9837643291891</v>
      </c>
      <c r="K29" s="3">
        <v>13.9280081902963</v>
      </c>
      <c r="L29" s="3">
        <v>14.542419943311399</v>
      </c>
      <c r="M29" s="3">
        <v>14.9372513661773</v>
      </c>
      <c r="N29" s="3">
        <v>12.356688395980999</v>
      </c>
    </row>
    <row r="30" spans="1:14" x14ac:dyDescent="0.35">
      <c r="A30" s="2">
        <v>42600</v>
      </c>
      <c r="B30" s="3">
        <v>20.334264891991499</v>
      </c>
      <c r="C30" s="3">
        <v>16.720156518589</v>
      </c>
      <c r="D30" s="3">
        <v>16.4555562045682</v>
      </c>
      <c r="E30" s="3">
        <v>13.0157574238191</v>
      </c>
      <c r="F30" s="3">
        <v>13.131155772565901</v>
      </c>
      <c r="G30" s="3">
        <v>17.443744394394201</v>
      </c>
      <c r="H30" s="3">
        <v>16.255703501348702</v>
      </c>
      <c r="I30" s="3">
        <v>18.768037759231699</v>
      </c>
      <c r="J30" s="3">
        <v>16.9787575123854</v>
      </c>
      <c r="K30" s="3">
        <v>13.993614454550301</v>
      </c>
      <c r="L30" s="3">
        <v>14.848145896940199</v>
      </c>
      <c r="M30" s="3">
        <v>15.414960557198</v>
      </c>
      <c r="N30" s="3">
        <v>12.5225482050175</v>
      </c>
    </row>
    <row r="31" spans="1:14" x14ac:dyDescent="0.35">
      <c r="A31" s="2">
        <v>42629</v>
      </c>
      <c r="B31" s="3">
        <v>20.199549799894701</v>
      </c>
      <c r="C31" s="3">
        <v>15.8920567278143</v>
      </c>
      <c r="D31" s="3">
        <v>15.946425188273199</v>
      </c>
      <c r="E31" s="3">
        <v>12.6510087153016</v>
      </c>
      <c r="F31" s="3">
        <v>13.254529973235901</v>
      </c>
      <c r="G31" s="3">
        <v>17.0451400333788</v>
      </c>
      <c r="H31" s="3">
        <v>15.4392493465808</v>
      </c>
      <c r="I31" s="3">
        <v>18.511185749232698</v>
      </c>
      <c r="J31" s="3">
        <v>16.484823090990499</v>
      </c>
      <c r="K31" s="3">
        <v>13.6024941273295</v>
      </c>
      <c r="L31" s="3">
        <v>14.4750377367676</v>
      </c>
      <c r="M31" s="3">
        <v>15.3242835708722</v>
      </c>
      <c r="N31" s="3">
        <v>11.6759630743512</v>
      </c>
    </row>
    <row r="32" spans="1:14" x14ac:dyDescent="0.35">
      <c r="A32" s="2">
        <v>42661</v>
      </c>
      <c r="B32" s="3">
        <v>19.092087495393201</v>
      </c>
      <c r="C32" s="3">
        <v>16.0813323264946</v>
      </c>
      <c r="D32" s="3">
        <v>16.044293565295799</v>
      </c>
      <c r="E32" s="3">
        <v>12.9804191076117</v>
      </c>
      <c r="F32" s="3">
        <v>13.5178351099685</v>
      </c>
      <c r="G32" s="3">
        <v>16.819945119890001</v>
      </c>
      <c r="H32" s="3">
        <v>15.269804961746599</v>
      </c>
      <c r="I32" s="3">
        <v>18.412759841402298</v>
      </c>
      <c r="J32" s="3">
        <v>16.355692795640898</v>
      </c>
      <c r="K32" s="3">
        <v>13.9861027491849</v>
      </c>
      <c r="L32" s="3">
        <v>14.8255191725871</v>
      </c>
      <c r="M32" s="3">
        <v>16.200515915772499</v>
      </c>
      <c r="N32" s="3">
        <v>12.0596888681987</v>
      </c>
    </row>
    <row r="33" spans="1:14" x14ac:dyDescent="0.35">
      <c r="A33" s="2">
        <v>42692</v>
      </c>
      <c r="B33" s="3">
        <v>18.746152472498501</v>
      </c>
      <c r="C33" s="3">
        <v>15.725058158022</v>
      </c>
      <c r="D33" s="3">
        <v>15.895660014382299</v>
      </c>
      <c r="E33" s="3">
        <v>12.7710283801612</v>
      </c>
      <c r="F33" s="3">
        <v>14.1084546273783</v>
      </c>
      <c r="G33" s="3">
        <v>16.415251249823299</v>
      </c>
      <c r="H33" s="3">
        <v>14.259125225058201</v>
      </c>
      <c r="I33" s="3">
        <v>18.111832625650699</v>
      </c>
      <c r="J33" s="3">
        <v>16.619656895871302</v>
      </c>
      <c r="K33" s="3">
        <v>13.690963944835399</v>
      </c>
      <c r="L33" s="3">
        <v>14.5486188107582</v>
      </c>
      <c r="M33" s="3">
        <v>16.144571135694701</v>
      </c>
      <c r="N33" s="3">
        <v>11.3868950540017</v>
      </c>
    </row>
    <row r="34" spans="1:14" x14ac:dyDescent="0.35">
      <c r="A34" s="2">
        <v>42720</v>
      </c>
      <c r="B34" s="3">
        <v>18.1634957042499</v>
      </c>
      <c r="C34" s="3">
        <v>15.567546220194201</v>
      </c>
      <c r="D34" s="3">
        <v>15.921878729519699</v>
      </c>
      <c r="E34" s="3">
        <v>13.582688290161</v>
      </c>
      <c r="F34" s="3">
        <v>15.0974042728696</v>
      </c>
      <c r="G34" s="3">
        <v>16.7363261949343</v>
      </c>
      <c r="H34" s="3">
        <v>14.347430424857601</v>
      </c>
      <c r="I34" s="3">
        <v>18.3237547324015</v>
      </c>
      <c r="J34" s="3">
        <v>17.019118731153998</v>
      </c>
      <c r="K34" s="3">
        <v>14.515871716706201</v>
      </c>
      <c r="L34" s="3">
        <v>14.946536712276</v>
      </c>
      <c r="M34" s="3">
        <v>16.751199717486301</v>
      </c>
      <c r="N34" s="3">
        <v>13.4700170878655</v>
      </c>
    </row>
    <row r="35" spans="1:14" x14ac:dyDescent="0.35">
      <c r="A35" s="2">
        <v>42753</v>
      </c>
      <c r="B35" s="3">
        <v>18.944920952669399</v>
      </c>
      <c r="C35" s="3">
        <v>15.810206219715299</v>
      </c>
      <c r="D35" s="3">
        <v>16.068183700571399</v>
      </c>
      <c r="E35" s="3">
        <v>13.7187646423552</v>
      </c>
      <c r="F35" s="3">
        <v>14.4778085306256</v>
      </c>
      <c r="G35" s="3">
        <v>17.0428851924238</v>
      </c>
      <c r="H35" s="3">
        <v>14.383207235493501</v>
      </c>
      <c r="I35" s="3">
        <v>18.673702009554301</v>
      </c>
      <c r="J35" s="3">
        <v>16.9449857393695</v>
      </c>
      <c r="K35" s="3">
        <v>14.517707767390499</v>
      </c>
      <c r="L35" s="3">
        <v>14.9759024964651</v>
      </c>
      <c r="M35" s="3">
        <v>16.037914218617701</v>
      </c>
      <c r="N35" s="3">
        <v>13.3095896859618</v>
      </c>
    </row>
    <row r="36" spans="1:14" x14ac:dyDescent="0.35">
      <c r="A36" s="2">
        <v>42783</v>
      </c>
      <c r="B36" s="3">
        <v>18.922786933211899</v>
      </c>
      <c r="C36" s="3">
        <v>16.060171072014299</v>
      </c>
      <c r="D36" s="3">
        <v>16.385075998960101</v>
      </c>
      <c r="E36" s="3">
        <v>13.3332944813125</v>
      </c>
      <c r="F36" s="3">
        <v>14.346113802570899</v>
      </c>
      <c r="G36" s="3">
        <v>17.5057578485245</v>
      </c>
      <c r="H36" s="3">
        <v>14.5152731486049</v>
      </c>
      <c r="I36" s="3">
        <v>20.083947065918998</v>
      </c>
      <c r="J36" s="3">
        <v>17.589442812159302</v>
      </c>
      <c r="K36" s="3">
        <v>14.273920010363</v>
      </c>
      <c r="L36" s="3">
        <v>15.678284271040701</v>
      </c>
      <c r="M36" s="3">
        <v>16.3751415979077</v>
      </c>
      <c r="N36" s="3">
        <v>13.0803427844456</v>
      </c>
    </row>
    <row r="37" spans="1:14" x14ac:dyDescent="0.35">
      <c r="A37" s="2">
        <v>42811</v>
      </c>
      <c r="B37" s="3">
        <v>18.796203249859801</v>
      </c>
      <c r="C37" s="3">
        <v>15.758833090724901</v>
      </c>
      <c r="D37" s="3">
        <v>15.8361930356761</v>
      </c>
      <c r="E37" s="3">
        <v>13.955854384831101</v>
      </c>
      <c r="F37" s="3">
        <v>14.2762787931405</v>
      </c>
      <c r="G37" s="3">
        <v>17.786644838320001</v>
      </c>
      <c r="H37" s="3">
        <v>14.551066394754701</v>
      </c>
      <c r="I37" s="3">
        <v>20.1588511394013</v>
      </c>
      <c r="J37" s="3">
        <v>17.686612792745901</v>
      </c>
      <c r="K37" s="3">
        <v>14.6149066064755</v>
      </c>
      <c r="L37" s="3">
        <v>16.097558091908098</v>
      </c>
      <c r="M37" s="3">
        <v>16.818742922799601</v>
      </c>
      <c r="N37" s="3">
        <v>13.5188472491037</v>
      </c>
    </row>
    <row r="38" spans="1:14" x14ac:dyDescent="0.35">
      <c r="A38" s="2">
        <v>42843</v>
      </c>
      <c r="B38" s="3">
        <v>19.1325259851472</v>
      </c>
      <c r="C38" s="3">
        <v>15.752964568729499</v>
      </c>
      <c r="D38" s="3">
        <v>15.8006709925046</v>
      </c>
      <c r="E38" s="3">
        <v>13.6417405631765</v>
      </c>
      <c r="F38" s="3">
        <v>13.337454298054</v>
      </c>
      <c r="G38" s="3">
        <v>17.195909864023299</v>
      </c>
      <c r="H38" s="3">
        <v>14.173314797206601</v>
      </c>
      <c r="I38" s="3">
        <v>19.863473037705401</v>
      </c>
      <c r="J38" s="3">
        <v>17.2488575878936</v>
      </c>
      <c r="K38" s="3">
        <v>14.474474032044901</v>
      </c>
      <c r="L38" s="3">
        <v>15.9751344097462</v>
      </c>
      <c r="M38" s="3">
        <v>16.7656466765294</v>
      </c>
      <c r="N38" s="3">
        <v>12.766427534876801</v>
      </c>
    </row>
    <row r="39" spans="1:14" x14ac:dyDescent="0.35">
      <c r="A39" s="2">
        <v>42873</v>
      </c>
      <c r="B39" s="3">
        <v>19.338251908927798</v>
      </c>
      <c r="C39" s="3">
        <v>15.378681682631701</v>
      </c>
      <c r="D39" s="3">
        <v>15.329737550121701</v>
      </c>
      <c r="E39" s="3">
        <v>13.7577457192801</v>
      </c>
      <c r="F39" s="3">
        <v>14.128656681763401</v>
      </c>
      <c r="G39" s="3">
        <v>17.848337220361302</v>
      </c>
      <c r="H39" s="3">
        <v>14.7263241411216</v>
      </c>
      <c r="I39" s="3">
        <v>20.4327921918516</v>
      </c>
      <c r="J39" s="3">
        <v>17.214667476213702</v>
      </c>
      <c r="K39" s="3">
        <v>15.1226104411049</v>
      </c>
      <c r="L39" s="3">
        <v>16.224519576604301</v>
      </c>
      <c r="M39" s="3">
        <v>17.832663204728298</v>
      </c>
      <c r="N39" s="3">
        <v>13.6950362976949</v>
      </c>
    </row>
    <row r="40" spans="1:14" x14ac:dyDescent="0.35">
      <c r="A40" s="2">
        <v>42902</v>
      </c>
      <c r="B40" s="3">
        <v>19.5568107789944</v>
      </c>
      <c r="C40" s="3">
        <v>15.4931070075755</v>
      </c>
      <c r="D40" s="3">
        <v>15.232667786430699</v>
      </c>
      <c r="E40" s="3">
        <v>13.786406918179599</v>
      </c>
      <c r="F40" s="3">
        <v>14.340645834621499</v>
      </c>
      <c r="G40" s="3">
        <v>18.008330383263399</v>
      </c>
      <c r="H40" s="3">
        <v>14.600598566393201</v>
      </c>
      <c r="I40" s="3">
        <v>20.3634873398926</v>
      </c>
      <c r="J40" s="3">
        <v>17.562141391508799</v>
      </c>
      <c r="K40" s="3">
        <v>14.9809724417214</v>
      </c>
      <c r="L40" s="3">
        <v>16.059606933031802</v>
      </c>
      <c r="M40" s="3">
        <v>16.837880659682799</v>
      </c>
      <c r="N40" s="3">
        <v>13.356857243235</v>
      </c>
    </row>
    <row r="41" spans="1:14" x14ac:dyDescent="0.35">
      <c r="A41" s="2">
        <v>42934</v>
      </c>
      <c r="B41" s="3">
        <v>19.733451352768199</v>
      </c>
      <c r="C41" s="3">
        <v>15.527511543296001</v>
      </c>
      <c r="D41" s="3">
        <v>15.4605385989897</v>
      </c>
      <c r="E41" s="3">
        <v>13.377755370884399</v>
      </c>
      <c r="F41" s="3">
        <v>14.2350139342393</v>
      </c>
      <c r="G41" s="3">
        <v>17.901140782051002</v>
      </c>
      <c r="H41" s="3">
        <v>14.6584263863953</v>
      </c>
      <c r="I41" s="3">
        <v>20.822379707566601</v>
      </c>
      <c r="J41" s="3">
        <v>17.651088430772798</v>
      </c>
      <c r="K41" s="3">
        <v>14.7796352235972</v>
      </c>
      <c r="L41" s="3">
        <v>15.8850028793428</v>
      </c>
      <c r="M41" s="3">
        <v>16.5856408612301</v>
      </c>
      <c r="N41" s="3">
        <v>13.497823637304601</v>
      </c>
    </row>
    <row r="42" spans="1:14" x14ac:dyDescent="0.35">
      <c r="A42" s="2">
        <v>42965</v>
      </c>
      <c r="B42" s="3">
        <v>20.288293392972001</v>
      </c>
      <c r="C42" s="3">
        <v>15.7267693305031</v>
      </c>
      <c r="D42" s="3">
        <v>15.3500408549878</v>
      </c>
      <c r="E42" s="3">
        <v>13.0382852891774</v>
      </c>
      <c r="F42" s="3">
        <v>13.696473894403599</v>
      </c>
      <c r="G42" s="3">
        <v>17.4238704641024</v>
      </c>
      <c r="H42" s="3">
        <v>14.359851163314501</v>
      </c>
      <c r="I42" s="3">
        <v>20.1422685649617</v>
      </c>
      <c r="J42" s="3">
        <v>17.2345952972235</v>
      </c>
      <c r="K42" s="3">
        <v>14.508315225811099</v>
      </c>
      <c r="L42" s="3">
        <v>15.7735999655174</v>
      </c>
      <c r="M42" s="3">
        <v>15.6324946227962</v>
      </c>
      <c r="N42" s="3">
        <v>13.371063167530901</v>
      </c>
    </row>
    <row r="43" spans="1:14" x14ac:dyDescent="0.35">
      <c r="A43" s="2">
        <v>42996</v>
      </c>
      <c r="B43" s="3">
        <v>19.573125670743899</v>
      </c>
      <c r="C43" s="3">
        <v>15.5867213235601</v>
      </c>
      <c r="D43" s="3">
        <v>15.376370509618599</v>
      </c>
      <c r="E43" s="3">
        <v>13.415274456916</v>
      </c>
      <c r="F43" s="3">
        <v>13.732786685999599</v>
      </c>
      <c r="G43" s="3">
        <v>17.682909559414998</v>
      </c>
      <c r="H43" s="3">
        <v>14.467843416486</v>
      </c>
      <c r="I43" s="3">
        <v>20.559856684097301</v>
      </c>
      <c r="J43" s="3">
        <v>17.685972201013499</v>
      </c>
      <c r="K43" s="3">
        <v>14.8685672333167</v>
      </c>
      <c r="L43" s="3">
        <v>15.93940672107</v>
      </c>
      <c r="M43" s="3">
        <v>16.2757063697814</v>
      </c>
      <c r="N43" s="3">
        <v>13.4853804971745</v>
      </c>
    </row>
    <row r="44" spans="1:14" x14ac:dyDescent="0.35">
      <c r="A44" s="2">
        <v>43026</v>
      </c>
      <c r="B44" s="3">
        <v>20.1075555513208</v>
      </c>
      <c r="C44" s="3">
        <v>15.8802002637073</v>
      </c>
      <c r="D44" s="3">
        <v>15.7074135106905</v>
      </c>
      <c r="E44" s="3">
        <v>13.8827283504737</v>
      </c>
      <c r="F44" s="3">
        <v>14.327602159474401</v>
      </c>
      <c r="G44" s="3">
        <v>17.939373206024499</v>
      </c>
      <c r="H44" s="3">
        <v>14.608216598293399</v>
      </c>
      <c r="I44" s="3">
        <v>20.6582006968146</v>
      </c>
      <c r="J44" s="3">
        <v>17.908902997272001</v>
      </c>
      <c r="K44" s="3">
        <v>15.207595505896901</v>
      </c>
      <c r="L44" s="3">
        <v>16.283567188769901</v>
      </c>
      <c r="M44" s="3">
        <v>16.938996411466501</v>
      </c>
      <c r="N44" s="3">
        <v>13.492523355770601</v>
      </c>
    </row>
    <row r="45" spans="1:14" x14ac:dyDescent="0.35">
      <c r="A45" s="2">
        <v>43056</v>
      </c>
      <c r="B45" s="3">
        <v>20.197324452538201</v>
      </c>
      <c r="C45" s="3">
        <v>15.8505622006117</v>
      </c>
      <c r="D45" s="3">
        <v>15.8463516639139</v>
      </c>
      <c r="E45" s="3">
        <v>13.8003083422623</v>
      </c>
      <c r="F45" s="3">
        <v>14.5129847382699</v>
      </c>
      <c r="G45" s="3">
        <v>17.607557883893101</v>
      </c>
      <c r="H45" s="3">
        <v>14.215054560518499</v>
      </c>
      <c r="I45" s="3">
        <v>20.832730611538299</v>
      </c>
      <c r="J45" s="3">
        <v>17.8547288172865</v>
      </c>
      <c r="K45" s="3">
        <v>14.8219308118101</v>
      </c>
      <c r="L45" s="3">
        <v>15.9378221525605</v>
      </c>
      <c r="M45" s="3">
        <v>16.6859208443406</v>
      </c>
      <c r="N45" s="3">
        <v>13.1060458015238</v>
      </c>
    </row>
    <row r="46" spans="1:14" x14ac:dyDescent="0.35">
      <c r="A46" s="2">
        <v>43087</v>
      </c>
      <c r="B46" s="3">
        <v>20.811608450457399</v>
      </c>
      <c r="C46" s="3">
        <v>15.9188657215044</v>
      </c>
      <c r="D46" s="3">
        <v>15.9536173082333</v>
      </c>
      <c r="E46" s="3">
        <v>14.181886956472299</v>
      </c>
      <c r="F46" s="3">
        <v>14.707438422074601</v>
      </c>
      <c r="G46" s="3">
        <v>17.826613971280398</v>
      </c>
      <c r="H46" s="3">
        <v>14.527737246319001</v>
      </c>
      <c r="I46" s="3">
        <v>21.3885348638468</v>
      </c>
      <c r="J46" s="3">
        <v>18.4234487710571</v>
      </c>
      <c r="K46" s="3">
        <v>15.103224871444301</v>
      </c>
      <c r="L46" s="3">
        <v>16.2159428409939</v>
      </c>
      <c r="M46" s="3">
        <v>16.541628309994099</v>
      </c>
      <c r="N46" s="3">
        <v>13.3743156154261</v>
      </c>
    </row>
    <row r="47" spans="1:14" x14ac:dyDescent="0.35">
      <c r="A47" s="2">
        <v>43118</v>
      </c>
      <c r="B47" s="3">
        <v>20.5036014843541</v>
      </c>
      <c r="C47" s="3">
        <v>15.726385610284501</v>
      </c>
      <c r="D47" s="3">
        <v>15.7499103770313</v>
      </c>
      <c r="E47" s="3">
        <v>14.0806015880163</v>
      </c>
      <c r="F47" s="3">
        <v>15.1755292760283</v>
      </c>
      <c r="G47" s="3">
        <v>17.8307879096938</v>
      </c>
      <c r="H47" s="3">
        <v>14.671677037241601</v>
      </c>
      <c r="I47" s="3">
        <v>21.8296535212286</v>
      </c>
      <c r="J47" s="3">
        <v>18.2979795404326</v>
      </c>
      <c r="K47" s="3">
        <v>15.224399738698599</v>
      </c>
      <c r="L47" s="3">
        <v>16.395427801976599</v>
      </c>
      <c r="M47" s="3">
        <v>16.649185674922201</v>
      </c>
      <c r="N47" s="3">
        <v>13.6615687520611</v>
      </c>
    </row>
    <row r="48" spans="1:14" x14ac:dyDescent="0.35">
      <c r="A48" s="2">
        <v>43147</v>
      </c>
      <c r="B48" s="3">
        <v>20.2818365986933</v>
      </c>
      <c r="C48" s="3">
        <v>15.3536324233092</v>
      </c>
      <c r="D48" s="3">
        <v>14.5794402462917</v>
      </c>
      <c r="E48" s="3">
        <v>13.197983061500899</v>
      </c>
      <c r="F48" s="3">
        <v>13.676500491688801</v>
      </c>
      <c r="G48" s="3">
        <v>16.906642917334999</v>
      </c>
      <c r="H48" s="3">
        <v>13.7878042820511</v>
      </c>
      <c r="I48" s="3">
        <v>20.639802904559101</v>
      </c>
      <c r="J48" s="3">
        <v>17.067900096512599</v>
      </c>
      <c r="K48" s="3">
        <v>14.600920569188499</v>
      </c>
      <c r="L48" s="3">
        <v>15.5175437484168</v>
      </c>
      <c r="M48" s="3">
        <v>16.156119724084299</v>
      </c>
      <c r="N48" s="3">
        <v>12.705610191554401</v>
      </c>
    </row>
    <row r="49" spans="1:14" x14ac:dyDescent="0.35">
      <c r="A49" s="2">
        <v>43175</v>
      </c>
      <c r="B49" s="3">
        <v>20.4977190042163</v>
      </c>
      <c r="C49" s="3">
        <v>15.2802382453732</v>
      </c>
      <c r="D49" s="3">
        <v>14.5510696313716</v>
      </c>
      <c r="E49" s="3">
        <v>13.051422367995899</v>
      </c>
      <c r="F49" s="3">
        <v>12.9926588377316</v>
      </c>
      <c r="G49" s="3">
        <v>16.344389973639402</v>
      </c>
      <c r="H49" s="3">
        <v>13.394161170834501</v>
      </c>
      <c r="I49" s="3">
        <v>21.1703525274099</v>
      </c>
      <c r="J49" s="3">
        <v>17.049454350359799</v>
      </c>
      <c r="K49" s="3">
        <v>14.5360915971499</v>
      </c>
      <c r="L49" s="3">
        <v>15.691995133409</v>
      </c>
      <c r="M49" s="3">
        <v>16.2175354668837</v>
      </c>
      <c r="N49" s="3">
        <v>12.70020595427</v>
      </c>
    </row>
    <row r="50" spans="1:14" x14ac:dyDescent="0.35">
      <c r="A50" s="2">
        <v>43208</v>
      </c>
      <c r="B50" s="3">
        <v>20.0407895226211</v>
      </c>
      <c r="C50" s="3">
        <v>15.013330123243801</v>
      </c>
      <c r="D50" s="3">
        <v>14.185319763815899</v>
      </c>
      <c r="E50" s="3">
        <v>13.2169129223246</v>
      </c>
      <c r="F50" s="3">
        <v>13.0219445908398</v>
      </c>
      <c r="G50" s="3">
        <v>16.1500442553059</v>
      </c>
      <c r="H50" s="3">
        <v>13.6632943242707</v>
      </c>
      <c r="I50" s="3">
        <v>20.397701712725599</v>
      </c>
      <c r="J50" s="3">
        <v>16.637330519478201</v>
      </c>
      <c r="K50" s="3">
        <v>14.643921374363201</v>
      </c>
      <c r="L50" s="3">
        <v>15.727059022694799</v>
      </c>
      <c r="M50" s="3">
        <v>15.939672802548101</v>
      </c>
      <c r="N50" s="3">
        <v>13.0114497089385</v>
      </c>
    </row>
    <row r="51" spans="1:14" x14ac:dyDescent="0.35">
      <c r="A51" s="2">
        <v>43238</v>
      </c>
      <c r="B51" s="3">
        <v>20.5097721667799</v>
      </c>
      <c r="C51" s="3">
        <v>15.4546380810113</v>
      </c>
      <c r="D51" s="3">
        <v>14.3911530738027</v>
      </c>
      <c r="E51" s="3">
        <v>13.451970542583</v>
      </c>
      <c r="F51" s="3">
        <v>13.471891098680301</v>
      </c>
      <c r="G51" s="3">
        <v>16.2786801961972</v>
      </c>
      <c r="H51" s="3">
        <v>13.986576479178099</v>
      </c>
      <c r="I51" s="3">
        <v>19.886168700202099</v>
      </c>
      <c r="J51" s="3">
        <v>16.2977817835718</v>
      </c>
      <c r="K51" s="3">
        <v>14.917427265212501</v>
      </c>
      <c r="L51" s="3">
        <v>15.8355442174791</v>
      </c>
      <c r="M51" s="3">
        <v>16.160214005172101</v>
      </c>
      <c r="N51" s="3">
        <v>12.493680329175399</v>
      </c>
    </row>
    <row r="52" spans="1:14" x14ac:dyDescent="0.35">
      <c r="A52" s="2">
        <v>43269</v>
      </c>
      <c r="B52" s="3">
        <v>21.359574602541901</v>
      </c>
      <c r="C52" s="3">
        <v>15.1487236634042</v>
      </c>
      <c r="D52" s="3">
        <v>14.439330373244299</v>
      </c>
      <c r="E52" s="3">
        <v>13.2645802346851</v>
      </c>
      <c r="F52" s="3">
        <v>13.082536193896299</v>
      </c>
      <c r="G52" s="3">
        <v>15.4693394129048</v>
      </c>
      <c r="H52" s="3">
        <v>13.370194849998899</v>
      </c>
      <c r="I52" s="3">
        <v>20.8117317496319</v>
      </c>
      <c r="J52" s="3">
        <v>16.515044599858001</v>
      </c>
      <c r="K52" s="3">
        <v>14.361762089539599</v>
      </c>
      <c r="L52" s="3">
        <v>15.8622472241377</v>
      </c>
      <c r="M52" s="3">
        <v>15.375296416568</v>
      </c>
      <c r="N52" s="3">
        <v>11.6199747750822</v>
      </c>
    </row>
    <row r="53" spans="1:14" x14ac:dyDescent="0.35">
      <c r="A53" s="2">
        <v>43299</v>
      </c>
      <c r="B53" s="3">
        <v>21.069912779924799</v>
      </c>
      <c r="C53" s="3">
        <v>15.548548017681901</v>
      </c>
      <c r="D53" s="3">
        <v>14.302109729795699</v>
      </c>
      <c r="E53" s="3">
        <v>13.1892300630685</v>
      </c>
      <c r="F53" s="3">
        <v>12.932624907194899</v>
      </c>
      <c r="G53" s="3">
        <v>16.060394139477001</v>
      </c>
      <c r="H53" s="3">
        <v>13.1272608755121</v>
      </c>
      <c r="I53" s="3">
        <v>20.969429043876701</v>
      </c>
      <c r="J53" s="3">
        <v>16.590330175078002</v>
      </c>
      <c r="K53" s="3">
        <v>14.161114175997399</v>
      </c>
      <c r="L53" s="3">
        <v>15.9415113954696</v>
      </c>
      <c r="M53" s="3">
        <v>15.349867893439299</v>
      </c>
      <c r="N53" s="3">
        <v>11.418487677630701</v>
      </c>
    </row>
    <row r="54" spans="1:14" x14ac:dyDescent="0.35">
      <c r="A54" s="2">
        <v>43329</v>
      </c>
      <c r="B54" s="3">
        <v>21.3168575086892</v>
      </c>
      <c r="C54" s="3">
        <v>15.788216800034499</v>
      </c>
      <c r="D54" s="3">
        <v>13.997146502642799</v>
      </c>
      <c r="E54" s="3">
        <v>12.664244864540001</v>
      </c>
      <c r="F54" s="3">
        <v>12.485941052281801</v>
      </c>
      <c r="G54" s="3">
        <v>15.942973507355401</v>
      </c>
      <c r="H54" s="3">
        <v>12.7957001057414</v>
      </c>
      <c r="I54" s="3">
        <v>20.4708595873138</v>
      </c>
      <c r="J54" s="3">
        <v>16.573742831805301</v>
      </c>
      <c r="K54" s="3">
        <v>13.6578535341948</v>
      </c>
      <c r="L54" s="3">
        <v>15.354632279996499</v>
      </c>
      <c r="M54" s="3">
        <v>15.555938769901701</v>
      </c>
      <c r="N54" s="3">
        <v>10.708590832916601</v>
      </c>
    </row>
    <row r="55" spans="1:14" x14ac:dyDescent="0.35">
      <c r="A55" s="2">
        <v>43361</v>
      </c>
      <c r="B55" s="3">
        <v>21.7118863674173</v>
      </c>
      <c r="C55" s="3">
        <v>15.1858530349023</v>
      </c>
      <c r="D55" s="3">
        <v>13.681038021492901</v>
      </c>
      <c r="E55" s="3">
        <v>12.609558181960001</v>
      </c>
      <c r="F55" s="3">
        <v>12.864794065285601</v>
      </c>
      <c r="G55" s="3">
        <v>15.904648998474499</v>
      </c>
      <c r="H55" s="3">
        <v>12.476985486397499</v>
      </c>
      <c r="I55" s="3">
        <v>20.545347306812101</v>
      </c>
      <c r="J55" s="3">
        <v>16.737556466855999</v>
      </c>
      <c r="K55" s="3">
        <v>13.619201706488001</v>
      </c>
      <c r="L55" s="3">
        <v>14.945615928039601</v>
      </c>
      <c r="M55" s="3">
        <v>15.538668622960801</v>
      </c>
      <c r="N55" s="3">
        <v>10.9139569561109</v>
      </c>
    </row>
    <row r="56" spans="1:14" x14ac:dyDescent="0.35">
      <c r="A56" s="2">
        <v>43391</v>
      </c>
      <c r="B56" s="3">
        <v>20.475220022933101</v>
      </c>
      <c r="C56" s="3">
        <v>14.547679499179701</v>
      </c>
      <c r="D56" s="3">
        <v>12.829264547573599</v>
      </c>
      <c r="E56" s="3">
        <v>11.995739449476</v>
      </c>
      <c r="F56" s="3">
        <v>12.4187274315551</v>
      </c>
      <c r="G56" s="3">
        <v>15.271439293844001</v>
      </c>
      <c r="H56" s="3">
        <v>11.839214528333301</v>
      </c>
      <c r="I56" s="3">
        <v>19.384432874828999</v>
      </c>
      <c r="J56" s="3">
        <v>15.857059764303299</v>
      </c>
      <c r="K56" s="3">
        <v>12.8480191887347</v>
      </c>
      <c r="L56" s="3">
        <v>14.166412309166001</v>
      </c>
      <c r="M56" s="3">
        <v>14.6137622625719</v>
      </c>
      <c r="N56" s="3">
        <v>9.8039653832362106</v>
      </c>
    </row>
    <row r="57" spans="1:14" x14ac:dyDescent="0.35">
      <c r="A57" s="2">
        <v>43420</v>
      </c>
      <c r="B57" s="3">
        <v>20.073527640433099</v>
      </c>
      <c r="C57" s="3">
        <v>14.175619304102399</v>
      </c>
      <c r="D57" s="3">
        <v>12.6451568470615</v>
      </c>
      <c r="E57" s="3">
        <v>11.6359773118956</v>
      </c>
      <c r="F57" s="3">
        <v>11.954737754808599</v>
      </c>
      <c r="G57" s="3">
        <v>15.4614244484418</v>
      </c>
      <c r="H57" s="3">
        <v>11.7389457056459</v>
      </c>
      <c r="I57" s="3">
        <v>18.624333458586001</v>
      </c>
      <c r="J57" s="3">
        <v>15.633484501414801</v>
      </c>
      <c r="K57" s="3">
        <v>12.6135588062794</v>
      </c>
      <c r="L57" s="3">
        <v>14.1917440632078</v>
      </c>
      <c r="M57" s="3">
        <v>14.100775528687899</v>
      </c>
      <c r="N57" s="3">
        <v>9.5888466101009708</v>
      </c>
    </row>
    <row r="58" spans="1:14" x14ac:dyDescent="0.35">
      <c r="A58" s="2">
        <v>43452</v>
      </c>
      <c r="B58" s="3">
        <v>19.811577963731601</v>
      </c>
      <c r="C58" s="3">
        <v>13.826889320628499</v>
      </c>
      <c r="D58" s="3">
        <v>12.215509792230799</v>
      </c>
      <c r="E58" s="3">
        <v>11.134280981007</v>
      </c>
      <c r="F58" s="3">
        <v>11.5811881456893</v>
      </c>
      <c r="G58" s="3">
        <v>14.684207727257601</v>
      </c>
      <c r="H58" s="3">
        <v>11.330430790769601</v>
      </c>
      <c r="I58" s="3">
        <v>17.5541969815317</v>
      </c>
      <c r="J58" s="3">
        <v>14.5793708465742</v>
      </c>
      <c r="K58" s="3">
        <v>11.971587065108499</v>
      </c>
      <c r="L58" s="3">
        <v>13.3865622334263</v>
      </c>
      <c r="M58" s="3">
        <v>13.6208500372184</v>
      </c>
      <c r="N58" s="3">
        <v>9.3586425131430104</v>
      </c>
    </row>
    <row r="59" spans="1:14" x14ac:dyDescent="0.35">
      <c r="A59" s="2">
        <v>43483</v>
      </c>
      <c r="B59" s="3">
        <v>20.643724861129801</v>
      </c>
      <c r="C59" s="3">
        <v>14.7056799229484</v>
      </c>
      <c r="D59" s="3">
        <v>13.328398825742299</v>
      </c>
      <c r="E59" s="3">
        <v>11.7177722778855</v>
      </c>
      <c r="F59" s="3">
        <v>11.752555212316301</v>
      </c>
      <c r="G59" s="3">
        <v>15.5836518380407</v>
      </c>
      <c r="H59" s="3">
        <v>12.0274366857112</v>
      </c>
      <c r="I59" s="3">
        <v>18.612319200318499</v>
      </c>
      <c r="J59" s="3">
        <v>15.517622270228401</v>
      </c>
      <c r="K59" s="3">
        <v>12.537702977058601</v>
      </c>
      <c r="L59" s="3">
        <v>13.6370287671703</v>
      </c>
      <c r="M59" s="3">
        <v>14.432259267403699</v>
      </c>
      <c r="N59" s="3">
        <v>9.8985619386426293</v>
      </c>
    </row>
    <row r="60" spans="1:14" x14ac:dyDescent="0.35">
      <c r="A60" s="2">
        <v>43511</v>
      </c>
      <c r="B60" s="3">
        <v>21.018988736511002</v>
      </c>
      <c r="C60" s="3">
        <v>15.0265526899971</v>
      </c>
      <c r="D60" s="3">
        <v>13.9455945451503</v>
      </c>
      <c r="E60" s="3">
        <v>11.918576844760301</v>
      </c>
      <c r="F60" s="3">
        <v>12.1300495250649</v>
      </c>
      <c r="G60" s="3">
        <v>15.8878373452864</v>
      </c>
      <c r="H60" s="3">
        <v>12.4858689884881</v>
      </c>
      <c r="I60" s="3">
        <v>19.5287904397589</v>
      </c>
      <c r="J60" s="3">
        <v>16.1790743240804</v>
      </c>
      <c r="K60" s="3">
        <v>13.193327705720099</v>
      </c>
      <c r="L60" s="3">
        <v>14.854793667672601</v>
      </c>
      <c r="M60" s="3">
        <v>14.9294651026098</v>
      </c>
      <c r="N60" s="3">
        <v>10.3589539345726</v>
      </c>
    </row>
    <row r="61" spans="1:14" x14ac:dyDescent="0.35">
      <c r="A61" s="2">
        <v>43542</v>
      </c>
      <c r="B61" s="3">
        <v>21.6878148063428</v>
      </c>
      <c r="C61" s="3">
        <v>15.287458241740399</v>
      </c>
      <c r="D61" s="3">
        <v>14.304505366043299</v>
      </c>
      <c r="E61" s="3">
        <v>12.3339784944811</v>
      </c>
      <c r="F61" s="3">
        <v>12.631748009883699</v>
      </c>
      <c r="G61" s="3">
        <v>16.556694035491098</v>
      </c>
      <c r="H61" s="3">
        <v>12.6996651726729</v>
      </c>
      <c r="I61" s="3">
        <v>20.2578514145155</v>
      </c>
      <c r="J61" s="3">
        <v>16.4643698437505</v>
      </c>
      <c r="K61" s="3">
        <v>13.824551805501599</v>
      </c>
      <c r="L61" s="3">
        <v>15.283863787551599</v>
      </c>
      <c r="M61" s="3">
        <v>15.0947907516833</v>
      </c>
      <c r="N61" s="3">
        <v>10.7479145788376</v>
      </c>
    </row>
    <row r="62" spans="1:14" x14ac:dyDescent="0.35">
      <c r="A62" s="2">
        <v>43573</v>
      </c>
      <c r="B62" s="3">
        <v>22.548448591100499</v>
      </c>
      <c r="C62" s="3">
        <v>15.305057363825799</v>
      </c>
      <c r="D62" s="3">
        <v>13.999462341573899</v>
      </c>
      <c r="E62" s="3">
        <v>12.891157790258401</v>
      </c>
      <c r="F62" s="3">
        <v>12.7032387453532</v>
      </c>
      <c r="G62" s="3">
        <v>16.872925771015598</v>
      </c>
      <c r="H62" s="3">
        <v>12.756563962563099</v>
      </c>
      <c r="I62" s="3">
        <v>21.071114329050801</v>
      </c>
      <c r="J62" s="3">
        <v>16.752089441639502</v>
      </c>
      <c r="K62" s="3">
        <v>14.117434404387</v>
      </c>
      <c r="L62" s="3">
        <v>15.762674385456201</v>
      </c>
      <c r="M62" s="3">
        <v>15.4924773199812</v>
      </c>
      <c r="N62" s="3">
        <v>10.9743371254587</v>
      </c>
    </row>
    <row r="63" spans="1:14" x14ac:dyDescent="0.35">
      <c r="A63" s="2">
        <v>43602</v>
      </c>
      <c r="B63" s="3">
        <v>23.1098901534411</v>
      </c>
      <c r="C63" s="3">
        <v>15.4211261748783</v>
      </c>
      <c r="D63" s="3">
        <v>13.6603926710374</v>
      </c>
      <c r="E63" s="3">
        <v>12.627160190613299</v>
      </c>
      <c r="F63" s="3">
        <v>12.351284292652201</v>
      </c>
      <c r="G63" s="3">
        <v>16.723283861496199</v>
      </c>
      <c r="H63" s="3">
        <v>12.377927137540899</v>
      </c>
      <c r="I63" s="3">
        <v>20.449279332865</v>
      </c>
      <c r="J63" s="3">
        <v>16.350766314040399</v>
      </c>
      <c r="K63" s="3">
        <v>13.754216614496</v>
      </c>
      <c r="L63" s="3">
        <v>15.3786629098857</v>
      </c>
      <c r="M63" s="3">
        <v>15.039152981408201</v>
      </c>
      <c r="N63" s="3">
        <v>10.4634374155735</v>
      </c>
    </row>
    <row r="64" spans="1:14" x14ac:dyDescent="0.35">
      <c r="A64" s="2">
        <v>43634</v>
      </c>
      <c r="B64" s="3">
        <v>22.8956250753916</v>
      </c>
      <c r="C64" s="3">
        <v>15.9813320732357</v>
      </c>
      <c r="D64" s="3">
        <v>13.7437106928285</v>
      </c>
      <c r="E64" s="3">
        <v>12.579660141130701</v>
      </c>
      <c r="F64" s="3">
        <v>12.489022785497699</v>
      </c>
      <c r="G64" s="3">
        <v>17.176034612642798</v>
      </c>
      <c r="H64" s="3">
        <v>12.537680642321</v>
      </c>
      <c r="I64" s="3">
        <v>20.6931475038134</v>
      </c>
      <c r="J64" s="3">
        <v>16.599706908375701</v>
      </c>
      <c r="K64" s="3">
        <v>13.8425102907275</v>
      </c>
      <c r="L64" s="3">
        <v>15.398837968414099</v>
      </c>
      <c r="M64" s="3">
        <v>14.9162537733959</v>
      </c>
      <c r="N64" s="3">
        <v>10.4526448633091</v>
      </c>
    </row>
    <row r="65" spans="1:14" x14ac:dyDescent="0.35">
      <c r="A65" s="2">
        <v>43664</v>
      </c>
      <c r="B65" s="3">
        <v>24.413434486190599</v>
      </c>
      <c r="C65" s="3">
        <v>16.158992742915999</v>
      </c>
      <c r="D65" s="3">
        <v>13.681256385783</v>
      </c>
      <c r="E65" s="3">
        <v>12.7145316061491</v>
      </c>
      <c r="F65" s="3">
        <v>12.600571946655</v>
      </c>
      <c r="G65" s="3">
        <v>17.242592410189499</v>
      </c>
      <c r="H65" s="3">
        <v>12.6089352688572</v>
      </c>
      <c r="I65" s="3">
        <v>21.302288522574599</v>
      </c>
      <c r="J65" s="3">
        <v>17.062563891844299</v>
      </c>
      <c r="K65" s="3">
        <v>13.9892381417284</v>
      </c>
      <c r="L65" s="3">
        <v>15.706822552575099</v>
      </c>
      <c r="M65" s="3">
        <v>14.793989146825799</v>
      </c>
      <c r="N65" s="3">
        <v>10.8956673297726</v>
      </c>
    </row>
    <row r="66" spans="1:14" x14ac:dyDescent="0.35">
      <c r="A66" s="2">
        <v>43693</v>
      </c>
      <c r="B66" s="3">
        <v>24.030331231260899</v>
      </c>
      <c r="C66" s="3">
        <v>15.631555354932001</v>
      </c>
      <c r="D66" s="3">
        <v>13.4515578282522</v>
      </c>
      <c r="E66" s="3">
        <v>12.222251066375501</v>
      </c>
      <c r="F66" s="3">
        <v>12.272016577698301</v>
      </c>
      <c r="G66" s="3">
        <v>16.719347687759701</v>
      </c>
      <c r="H66" s="3">
        <v>11.8195668557379</v>
      </c>
      <c r="I66" s="3">
        <v>20.328167536301802</v>
      </c>
      <c r="J66" s="3">
        <v>16.403562696147102</v>
      </c>
      <c r="K66" s="3">
        <v>13.4067156635136</v>
      </c>
      <c r="L66" s="3">
        <v>15.0658977755566</v>
      </c>
      <c r="M66" s="3">
        <v>13.5136919098557</v>
      </c>
      <c r="N66" s="3">
        <v>10.0166494519419</v>
      </c>
    </row>
    <row r="67" spans="1:14" x14ac:dyDescent="0.35">
      <c r="A67" s="2">
        <v>43726</v>
      </c>
      <c r="B67" s="3">
        <v>25.616626953783399</v>
      </c>
      <c r="C67" s="3">
        <v>16.6038791556273</v>
      </c>
      <c r="D67" s="3">
        <v>14.0472751188545</v>
      </c>
      <c r="E67" s="3">
        <v>13.0441752305882</v>
      </c>
      <c r="F67" s="3">
        <v>13.4081519710665</v>
      </c>
      <c r="G67" s="3">
        <v>17.046245812547699</v>
      </c>
      <c r="H67" s="3">
        <v>12.361826736821399</v>
      </c>
      <c r="I67" s="3">
        <v>20.849582130252699</v>
      </c>
      <c r="J67" s="3">
        <v>16.951475397128199</v>
      </c>
      <c r="K67" s="3">
        <v>14.103511416259201</v>
      </c>
      <c r="L67" s="3">
        <v>16.276329539983902</v>
      </c>
      <c r="M67" s="3">
        <v>14.6521540423952</v>
      </c>
      <c r="N67" s="3">
        <v>10.750347074027401</v>
      </c>
    </row>
    <row r="68" spans="1:14" x14ac:dyDescent="0.35">
      <c r="A68" s="2">
        <v>43756</v>
      </c>
      <c r="B68" s="3">
        <v>25.487088993533</v>
      </c>
      <c r="C68" s="3">
        <v>16.7442536849749</v>
      </c>
      <c r="D68" s="3">
        <v>13.746804619354901</v>
      </c>
      <c r="E68" s="3">
        <v>13.286895354173399</v>
      </c>
      <c r="F68" s="3">
        <v>13.5034079744861</v>
      </c>
      <c r="G68" s="3">
        <v>16.976173797932599</v>
      </c>
      <c r="H68" s="3">
        <v>12.3987223349943</v>
      </c>
      <c r="I68" s="3">
        <v>20.618400850776201</v>
      </c>
      <c r="J68" s="3">
        <v>16.8908542429871</v>
      </c>
      <c r="K68" s="3">
        <v>14.2395568006937</v>
      </c>
      <c r="L68" s="3">
        <v>16.126034595415899</v>
      </c>
      <c r="M68" s="3">
        <v>15.4682601326772</v>
      </c>
      <c r="N68" s="3">
        <v>10.877499851931301</v>
      </c>
    </row>
    <row r="69" spans="1:14" x14ac:dyDescent="0.35">
      <c r="A69" s="2">
        <v>43784</v>
      </c>
      <c r="B69" s="3">
        <v>24.685375243658601</v>
      </c>
      <c r="C69" s="3">
        <v>17.2038690780042</v>
      </c>
      <c r="D69" s="3">
        <v>14.383948085046599</v>
      </c>
      <c r="E69" s="3">
        <v>13.9988849745769</v>
      </c>
      <c r="F69" s="3">
        <v>14.1396350786853</v>
      </c>
      <c r="G69" s="3">
        <v>17.431014973769798</v>
      </c>
      <c r="H69" s="3">
        <v>12.8260097664957</v>
      </c>
      <c r="I69" s="3">
        <v>21.656477990939901</v>
      </c>
      <c r="J69" s="3">
        <v>17.598150778366499</v>
      </c>
      <c r="K69" s="3">
        <v>14.836786185661801</v>
      </c>
      <c r="L69" s="3">
        <v>16.743238638243898</v>
      </c>
      <c r="M69" s="3">
        <v>15.7120392481248</v>
      </c>
      <c r="N69" s="3">
        <v>11.3174221241967</v>
      </c>
    </row>
    <row r="70" spans="1:14" x14ac:dyDescent="0.35">
      <c r="A70" s="2">
        <v>43817</v>
      </c>
      <c r="B70" s="3">
        <v>25.726892436168001</v>
      </c>
      <c r="C70" s="3">
        <v>17.5504830409504</v>
      </c>
      <c r="D70" s="3">
        <v>14.4458239879429</v>
      </c>
      <c r="E70" s="3">
        <v>14.1454819323748</v>
      </c>
      <c r="F70" s="3">
        <v>14.6746641968203</v>
      </c>
      <c r="G70" s="3">
        <v>17.697643730144499</v>
      </c>
      <c r="H70" s="3">
        <v>13.418354019538199</v>
      </c>
      <c r="I70" s="3">
        <v>22.3323879332996</v>
      </c>
      <c r="J70" s="3">
        <v>17.952511656296501</v>
      </c>
      <c r="K70" s="3">
        <v>14.854996613726399</v>
      </c>
      <c r="L70" s="3">
        <v>17.043843578556</v>
      </c>
      <c r="M70" s="3">
        <v>16.301258777664899</v>
      </c>
      <c r="N70" s="3">
        <v>11.5032510299579</v>
      </c>
    </row>
    <row r="71" spans="1:14" x14ac:dyDescent="0.35">
      <c r="A71" s="2">
        <v>43847</v>
      </c>
      <c r="B71" s="3">
        <v>26.343827542687102</v>
      </c>
      <c r="C71" s="3">
        <v>18.036642423486999</v>
      </c>
      <c r="D71" s="3">
        <v>14.717578660921999</v>
      </c>
      <c r="E71" s="3">
        <v>14.380747508894601</v>
      </c>
      <c r="F71" s="3">
        <v>14.6604382858203</v>
      </c>
      <c r="G71" s="3">
        <v>18.222927339907798</v>
      </c>
      <c r="H71" s="3">
        <v>13.6208464082618</v>
      </c>
      <c r="I71" s="3">
        <v>23.740387383002901</v>
      </c>
      <c r="J71" s="3">
        <v>18.649678852307101</v>
      </c>
      <c r="K71" s="3">
        <v>15.1735496145974</v>
      </c>
      <c r="L71" s="3">
        <v>17.361706202470199</v>
      </c>
      <c r="M71" s="3">
        <v>16.491011925161299</v>
      </c>
      <c r="N71" s="3">
        <v>11.664904854808301</v>
      </c>
    </row>
    <row r="72" spans="1:14" x14ac:dyDescent="0.35">
      <c r="A72" s="2">
        <v>43879</v>
      </c>
      <c r="B72" s="3">
        <v>27.178093278384999</v>
      </c>
      <c r="C72" s="3">
        <v>18.308404359933899</v>
      </c>
      <c r="D72" s="3">
        <v>14.993373778443299</v>
      </c>
      <c r="E72" s="3">
        <v>14.442694339509901</v>
      </c>
      <c r="F72" s="3">
        <v>14.1115209892802</v>
      </c>
      <c r="G72" s="3">
        <v>18.478592725443399</v>
      </c>
      <c r="H72" s="3">
        <v>13.300376655853499</v>
      </c>
      <c r="I72" s="3">
        <v>24.350575853550701</v>
      </c>
      <c r="J72" s="3">
        <v>18.889304182725201</v>
      </c>
      <c r="K72" s="3">
        <v>15.1940060503446</v>
      </c>
      <c r="L72" s="3">
        <v>18.033528229776099</v>
      </c>
      <c r="M72" s="3">
        <v>16.941856106238401</v>
      </c>
      <c r="N72" s="3">
        <v>12.0400292459556</v>
      </c>
    </row>
    <row r="73" spans="1:14" x14ac:dyDescent="0.35">
      <c r="A73" s="2">
        <v>43908</v>
      </c>
      <c r="B73" s="3">
        <v>21.828053866760602</v>
      </c>
      <c r="C73" s="3">
        <v>12.856775128623701</v>
      </c>
      <c r="D73" s="3">
        <v>10.7294109755567</v>
      </c>
      <c r="E73" s="3">
        <v>9.1672835825559709</v>
      </c>
      <c r="F73" s="3">
        <v>10.979634880280001</v>
      </c>
      <c r="G73" s="3">
        <v>13.9790874264111</v>
      </c>
      <c r="H73" s="3">
        <v>9.7264521127159593</v>
      </c>
      <c r="I73" s="3">
        <v>18.310021518060399</v>
      </c>
      <c r="J73" s="3">
        <v>13.8132768210628</v>
      </c>
      <c r="K73" s="3">
        <v>10.0410668195819</v>
      </c>
      <c r="L73" s="3">
        <v>11.8970902657978</v>
      </c>
      <c r="M73" s="3">
        <v>11.9977178172909</v>
      </c>
      <c r="N73" s="3">
        <v>7.9332081487993102</v>
      </c>
    </row>
    <row r="74" spans="1:14" x14ac:dyDescent="0.35">
      <c r="A74" s="2">
        <v>43938</v>
      </c>
      <c r="B74" s="3">
        <v>29.2371303809708</v>
      </c>
      <c r="C74" s="3">
        <v>16.588577189591501</v>
      </c>
      <c r="D74" s="3">
        <v>15.400443669717699</v>
      </c>
      <c r="E74" s="3">
        <v>13.930438435828499</v>
      </c>
      <c r="F74" s="3">
        <v>13.464317008568001</v>
      </c>
      <c r="G74" s="3">
        <v>17.8451703911572</v>
      </c>
      <c r="H74" s="3">
        <v>13.710240677250299</v>
      </c>
      <c r="I74" s="3">
        <v>24.3781998474104</v>
      </c>
      <c r="J74" s="3">
        <v>19.353797404677</v>
      </c>
      <c r="K74" s="3">
        <v>15.2151726039703</v>
      </c>
      <c r="L74" s="3">
        <v>16.393724111135299</v>
      </c>
      <c r="M74" s="3">
        <v>16.472640049813101</v>
      </c>
      <c r="N74" s="3">
        <v>11.1768083775679</v>
      </c>
    </row>
    <row r="75" spans="1:14" x14ac:dyDescent="0.35">
      <c r="A75" s="2">
        <v>43969</v>
      </c>
      <c r="B75" s="3">
        <v>30.585497714239601</v>
      </c>
      <c r="C75" s="3">
        <v>17.435624315627798</v>
      </c>
      <c r="D75" s="3">
        <v>17.5194233322336</v>
      </c>
      <c r="E75" s="3">
        <v>15.758069359090999</v>
      </c>
      <c r="F75" s="3">
        <v>14.4570823566954</v>
      </c>
      <c r="G75" s="3">
        <v>18.815049007575102</v>
      </c>
      <c r="H75" s="3">
        <v>15.5141163064369</v>
      </c>
      <c r="I75" s="3">
        <v>26.684065420128999</v>
      </c>
      <c r="J75" s="3">
        <v>21.043509685536101</v>
      </c>
      <c r="K75" s="3">
        <v>16.725114038288599</v>
      </c>
      <c r="L75" s="3">
        <v>17.6065996500263</v>
      </c>
      <c r="M75" s="3">
        <v>17.785154082493801</v>
      </c>
      <c r="N75" s="3">
        <v>14.866607068621301</v>
      </c>
    </row>
    <row r="76" spans="1:14" x14ac:dyDescent="0.35">
      <c r="A76" s="2">
        <v>44000</v>
      </c>
      <c r="B76" s="3">
        <v>30.4751723263253</v>
      </c>
      <c r="C76" s="3">
        <v>19.054841000575699</v>
      </c>
      <c r="D76" s="3">
        <v>17.9063491096422</v>
      </c>
      <c r="E76" s="3">
        <v>17.8276210030733</v>
      </c>
      <c r="F76" s="3">
        <v>17.833774149619099</v>
      </c>
      <c r="G76" s="3">
        <v>19.467910999967302</v>
      </c>
      <c r="H76" s="3">
        <v>16.090215488845299</v>
      </c>
      <c r="I76" s="3">
        <v>28.319149152265101</v>
      </c>
      <c r="J76" s="3">
        <v>21.8774814004049</v>
      </c>
      <c r="K76" s="3">
        <v>18.816958584904299</v>
      </c>
      <c r="L76" s="3">
        <v>19.5781378875771</v>
      </c>
      <c r="M76" s="3">
        <v>19.027780307574599</v>
      </c>
      <c r="N76" s="3">
        <v>17.304706536146501</v>
      </c>
    </row>
    <row r="77" spans="1:14" x14ac:dyDescent="0.35">
      <c r="A77" s="2">
        <v>44029</v>
      </c>
      <c r="B77" s="3">
        <v>31.874926277259799</v>
      </c>
      <c r="C77" s="3">
        <v>19.1954402161942</v>
      </c>
      <c r="D77" s="3">
        <v>17.761878467539201</v>
      </c>
      <c r="E77" s="3">
        <v>18.5492634897501</v>
      </c>
      <c r="F77" s="3">
        <v>17.912425212817201</v>
      </c>
      <c r="G77" s="3">
        <v>19.9635500399866</v>
      </c>
      <c r="H77" s="3">
        <v>16.012668469245799</v>
      </c>
      <c r="I77" s="3">
        <v>29.321178724607801</v>
      </c>
      <c r="J77" s="3">
        <v>22.280147896539901</v>
      </c>
      <c r="K77" s="3">
        <v>19.796574098363202</v>
      </c>
      <c r="L77" s="3">
        <v>20.191288614387702</v>
      </c>
      <c r="M77" s="3">
        <v>19.921803546940499</v>
      </c>
      <c r="N77" s="3">
        <v>17.8707721558781</v>
      </c>
    </row>
    <row r="78" spans="1:14" x14ac:dyDescent="0.35">
      <c r="A78" s="2">
        <v>44061</v>
      </c>
      <c r="B78" s="3">
        <v>32.616234484254598</v>
      </c>
      <c r="C78" s="3">
        <v>19.7254312941756</v>
      </c>
      <c r="D78" s="3">
        <v>17.5686554542614</v>
      </c>
      <c r="E78" s="3">
        <v>17.930961211950599</v>
      </c>
      <c r="F78" s="3">
        <v>17.874277863370601</v>
      </c>
      <c r="G78" s="3">
        <v>19.532447839317602</v>
      </c>
      <c r="H78" s="3">
        <v>15.5929563069901</v>
      </c>
      <c r="I78" s="3">
        <v>29.8295504693453</v>
      </c>
      <c r="J78" s="3">
        <v>22.384433802051699</v>
      </c>
      <c r="K78" s="3">
        <v>19.574711226987802</v>
      </c>
      <c r="L78" s="3">
        <v>19.899994196063702</v>
      </c>
      <c r="M78" s="3">
        <v>18.096053644633201</v>
      </c>
      <c r="N78" s="3">
        <v>16.1391160297499</v>
      </c>
    </row>
    <row r="79" spans="1:14" x14ac:dyDescent="0.35">
      <c r="A79" s="2">
        <v>44092</v>
      </c>
      <c r="B79" s="3">
        <v>31.2049054436918</v>
      </c>
      <c r="C79" s="3">
        <v>18.436101200124298</v>
      </c>
      <c r="D79" s="3">
        <v>16.506369242096401</v>
      </c>
      <c r="E79" s="3">
        <v>17.5275538516916</v>
      </c>
      <c r="F79" s="3">
        <v>18.4542867671151</v>
      </c>
      <c r="G79" s="3">
        <v>19.6375739151113</v>
      </c>
      <c r="H79" s="3">
        <v>14.9387612209464</v>
      </c>
      <c r="I79" s="3">
        <v>28.127241199630301</v>
      </c>
      <c r="J79" s="3">
        <v>21.3800983898598</v>
      </c>
      <c r="K79" s="3">
        <v>18.8765615833967</v>
      </c>
      <c r="L79" s="3">
        <v>19.4091159570781</v>
      </c>
      <c r="M79" s="3">
        <v>18.513275821279102</v>
      </c>
      <c r="N79" s="3">
        <v>15.319540190811701</v>
      </c>
    </row>
    <row r="80" spans="1:14" x14ac:dyDescent="0.35">
      <c r="A80" s="2">
        <v>44120</v>
      </c>
      <c r="B80" s="3">
        <v>33.070645416792203</v>
      </c>
      <c r="C80" s="3">
        <v>18.584150881639399</v>
      </c>
      <c r="D80" s="3">
        <v>16.238927932402301</v>
      </c>
      <c r="E80" s="3">
        <v>16.6818198419327</v>
      </c>
      <c r="F80" s="3">
        <v>17.7788735998984</v>
      </c>
      <c r="G80" s="3">
        <v>18.883554978424101</v>
      </c>
      <c r="H80" s="3">
        <v>14.162600131418101</v>
      </c>
      <c r="I80" s="3">
        <v>30.015374388316001</v>
      </c>
      <c r="J80" s="3">
        <v>21.971240159606101</v>
      </c>
      <c r="K80" s="3">
        <v>18.230417507035298</v>
      </c>
      <c r="L80" s="3">
        <v>19.924063126124299</v>
      </c>
      <c r="M80" s="3">
        <v>17.376139648446198</v>
      </c>
      <c r="N80" s="3">
        <v>14.617566650201701</v>
      </c>
    </row>
    <row r="81" spans="1:14" x14ac:dyDescent="0.35">
      <c r="A81" s="2">
        <v>44153</v>
      </c>
      <c r="B81" s="3">
        <v>32.8466424206825</v>
      </c>
      <c r="C81" s="3">
        <v>19.465921732772198</v>
      </c>
      <c r="D81" s="3">
        <v>16.087991006789199</v>
      </c>
      <c r="E81" s="3">
        <v>16.163230146621999</v>
      </c>
      <c r="F81" s="3">
        <v>18.3886446144015</v>
      </c>
      <c r="G81" s="3">
        <v>19.0863968406121</v>
      </c>
      <c r="H81" s="3">
        <v>14.8410237652317</v>
      </c>
      <c r="I81" s="3">
        <v>28.9788370144719</v>
      </c>
      <c r="J81" s="3">
        <v>21.641654713627599</v>
      </c>
      <c r="K81" s="3">
        <v>19.230887833287099</v>
      </c>
      <c r="L81" s="3">
        <v>20.605510607530299</v>
      </c>
      <c r="M81" s="3">
        <v>17.322437934694999</v>
      </c>
      <c r="N81" s="3">
        <v>15.0887840831674</v>
      </c>
    </row>
    <row r="82" spans="1:14" x14ac:dyDescent="0.35">
      <c r="A82" s="2">
        <v>44183</v>
      </c>
      <c r="B82" s="3">
        <v>33.070929623481199</v>
      </c>
      <c r="C82" s="3">
        <v>19.374393928450299</v>
      </c>
      <c r="D82" s="3">
        <v>16.025281509342499</v>
      </c>
      <c r="E82" s="3">
        <v>16.187367221530401</v>
      </c>
      <c r="F82" s="3">
        <v>18.426780470674299</v>
      </c>
      <c r="G82" s="3">
        <v>18.640661498736499</v>
      </c>
      <c r="H82" s="3">
        <v>14.675401027521801</v>
      </c>
      <c r="I82" s="3">
        <v>30.2277698846768</v>
      </c>
      <c r="J82" s="3">
        <v>21.962723350478701</v>
      </c>
      <c r="K82" s="3">
        <v>18.277539054390701</v>
      </c>
      <c r="L82" s="3">
        <v>20.649680545255301</v>
      </c>
      <c r="M82" s="3">
        <v>17.2218758133812</v>
      </c>
      <c r="N82" s="3">
        <v>14.872253646943401</v>
      </c>
    </row>
    <row r="83" spans="1:14" x14ac:dyDescent="0.35">
      <c r="A83" s="2">
        <v>44211</v>
      </c>
      <c r="B83" s="3">
        <v>33.6408252776016</v>
      </c>
      <c r="C83" s="3">
        <v>19.178730788715502</v>
      </c>
      <c r="D83" s="3">
        <v>16.047430819803299</v>
      </c>
      <c r="E83" s="3">
        <v>15.991497074752401</v>
      </c>
      <c r="F83" s="3">
        <v>18.726932485936601</v>
      </c>
      <c r="G83" s="3">
        <v>18.972216167425898</v>
      </c>
      <c r="H83" s="3">
        <v>14.4658409862861</v>
      </c>
      <c r="I83" s="3">
        <v>29.606210810794401</v>
      </c>
      <c r="J83" s="3">
        <v>22.171631474645</v>
      </c>
      <c r="K83" s="3">
        <v>17.858078506853701</v>
      </c>
      <c r="L83" s="3">
        <v>21.262050401223899</v>
      </c>
      <c r="M83" s="3">
        <v>18.7174238345529</v>
      </c>
      <c r="N83" s="3">
        <v>14.548348032411599</v>
      </c>
    </row>
    <row r="84" spans="1:14" x14ac:dyDescent="0.35">
      <c r="A84" s="2">
        <v>44245</v>
      </c>
      <c r="B84" s="3">
        <v>32.106900530870199</v>
      </c>
      <c r="C84" s="3">
        <v>18.6336393140522</v>
      </c>
      <c r="D84" s="3">
        <v>16.0174136852734</v>
      </c>
      <c r="E84" s="3">
        <v>15.579557801929999</v>
      </c>
      <c r="F84" s="3">
        <v>18.729629211447399</v>
      </c>
      <c r="G84" s="3">
        <v>18.730246308260998</v>
      </c>
      <c r="H84" s="3">
        <v>14.189603317826901</v>
      </c>
      <c r="I84" s="3">
        <v>29.862149935736301</v>
      </c>
      <c r="J84" s="3">
        <v>22.100419395076798</v>
      </c>
      <c r="K84" s="3">
        <v>17.8953124024518</v>
      </c>
      <c r="L84" s="3">
        <v>22.2857601950382</v>
      </c>
      <c r="M84" s="3">
        <v>18.714674972480498</v>
      </c>
      <c r="N84" s="3">
        <v>13.858257179422299</v>
      </c>
    </row>
    <row r="85" spans="1:14" x14ac:dyDescent="0.35">
      <c r="A85" s="2">
        <v>44273</v>
      </c>
      <c r="B85" s="3">
        <v>32.440518030891297</v>
      </c>
      <c r="C85" s="3">
        <v>18.009940026571101</v>
      </c>
      <c r="D85" s="3">
        <v>15.5067364119971</v>
      </c>
      <c r="E85" s="3">
        <v>16.1479198955107</v>
      </c>
      <c r="F85" s="3">
        <v>18.1634297631627</v>
      </c>
      <c r="G85" s="3">
        <v>18.713393784015999</v>
      </c>
      <c r="H85" s="3">
        <v>14.0393992610782</v>
      </c>
      <c r="I85" s="3">
        <v>27.379915068245701</v>
      </c>
      <c r="J85" s="3">
        <v>21.674982125910699</v>
      </c>
      <c r="K85" s="3">
        <v>18.469490196206198</v>
      </c>
      <c r="L85" s="3">
        <v>21.872280427013699</v>
      </c>
      <c r="M85" s="3">
        <v>20.1402236033016</v>
      </c>
      <c r="N85" s="3">
        <v>14.108336006119799</v>
      </c>
    </row>
    <row r="86" spans="1:14" x14ac:dyDescent="0.35">
      <c r="A86" s="2">
        <v>44302</v>
      </c>
      <c r="B86" s="3">
        <v>32.380806143181097</v>
      </c>
      <c r="C86" s="3">
        <v>18.2188081801904</v>
      </c>
      <c r="D86" s="3">
        <v>15.6863838917343</v>
      </c>
      <c r="E86" s="3">
        <v>16.194937378936402</v>
      </c>
      <c r="F86" s="3">
        <v>17.394512170779201</v>
      </c>
      <c r="G86" s="3">
        <v>19.503202465277301</v>
      </c>
      <c r="H86" s="3">
        <v>13.623990812398</v>
      </c>
      <c r="I86" s="3">
        <v>29.751079521262099</v>
      </c>
      <c r="J86" s="3">
        <v>22.4559947785418</v>
      </c>
      <c r="K86" s="3">
        <v>18.346719872717099</v>
      </c>
      <c r="L86" s="3">
        <v>22.8318428446414</v>
      </c>
      <c r="M86" s="3">
        <v>20.7635329700299</v>
      </c>
      <c r="N86" s="3">
        <v>13.9800235170131</v>
      </c>
    </row>
    <row r="87" spans="1:14" x14ac:dyDescent="0.35">
      <c r="A87" s="2">
        <v>44334</v>
      </c>
      <c r="B87" s="3">
        <v>32.335264273053603</v>
      </c>
      <c r="C87" s="3">
        <v>17.8958608216466</v>
      </c>
      <c r="D87" s="3">
        <v>15.4058579648374</v>
      </c>
      <c r="E87" s="3">
        <v>14.8216472765462</v>
      </c>
      <c r="F87" s="3">
        <v>16.3887864041555</v>
      </c>
      <c r="G87" s="3">
        <v>19.037002997850202</v>
      </c>
      <c r="H87" s="3">
        <v>13.3149024160161</v>
      </c>
      <c r="I87" s="3">
        <v>26.2479538959157</v>
      </c>
      <c r="J87" s="3">
        <v>21.043529037173698</v>
      </c>
      <c r="K87" s="3">
        <v>17.7071057432453</v>
      </c>
      <c r="L87" s="3">
        <v>21.190755444793801</v>
      </c>
      <c r="M87" s="3">
        <v>18.003796499535699</v>
      </c>
      <c r="N87" s="3">
        <v>13.3553271800491</v>
      </c>
    </row>
    <row r="88" spans="1:14" x14ac:dyDescent="0.35">
      <c r="A88" s="2">
        <v>44365</v>
      </c>
      <c r="B88" s="3">
        <v>33.5443861814638</v>
      </c>
      <c r="C88" s="3">
        <v>18.043598240688699</v>
      </c>
      <c r="D88" s="3">
        <v>15.5159182354501</v>
      </c>
      <c r="E88" s="3">
        <v>14.7594169335065</v>
      </c>
      <c r="F88" s="3">
        <v>16.3647660660573</v>
      </c>
      <c r="G88" s="3">
        <v>19.8191424590105</v>
      </c>
      <c r="H88" s="3">
        <v>12.886113293343</v>
      </c>
      <c r="I88" s="3">
        <v>27.433139849248398</v>
      </c>
      <c r="J88" s="3">
        <v>20.828945445361299</v>
      </c>
      <c r="K88" s="3">
        <v>17.8114601386069</v>
      </c>
      <c r="L88" s="3">
        <v>21.161201087634002</v>
      </c>
      <c r="M88" s="3">
        <v>18.499777848140301</v>
      </c>
      <c r="N88" s="3">
        <v>13.5227577334767</v>
      </c>
    </row>
    <row r="89" spans="1:14" x14ac:dyDescent="0.35">
      <c r="A89" s="2">
        <v>44393</v>
      </c>
      <c r="B89" s="3">
        <v>34.207805498996102</v>
      </c>
      <c r="C89" s="3">
        <v>16.7966839522648</v>
      </c>
      <c r="D89" s="3">
        <v>15.070513582963899</v>
      </c>
      <c r="E89" s="3">
        <v>14.473323774871099</v>
      </c>
      <c r="F89" s="3">
        <v>15.9731755396833</v>
      </c>
      <c r="G89" s="3">
        <v>19.785202151722601</v>
      </c>
      <c r="H89" s="3">
        <v>12.371723627698399</v>
      </c>
      <c r="I89" s="3">
        <v>28.357474226427399</v>
      </c>
      <c r="J89" s="3">
        <v>21.2107754183493</v>
      </c>
      <c r="K89" s="3">
        <v>16.865611997704502</v>
      </c>
      <c r="L89" s="3">
        <v>21.080128604627301</v>
      </c>
      <c r="M89" s="3">
        <v>18.5991830699659</v>
      </c>
      <c r="N89" s="3">
        <v>12.968662598616</v>
      </c>
    </row>
    <row r="90" spans="1:14" x14ac:dyDescent="0.35">
      <c r="A90" s="2">
        <v>44426</v>
      </c>
      <c r="B90" s="3">
        <v>33.667523730394599</v>
      </c>
      <c r="C90" s="3">
        <v>17.097805373931401</v>
      </c>
      <c r="D90" s="3">
        <v>14.8788960629819</v>
      </c>
      <c r="E90" s="3">
        <v>14.3768946054381</v>
      </c>
      <c r="F90" s="3">
        <v>15.313239931234699</v>
      </c>
      <c r="G90" s="3">
        <v>20.128564659977101</v>
      </c>
      <c r="H90" s="3">
        <v>12.3059634754658</v>
      </c>
      <c r="I90" s="3">
        <v>27.433225882059901</v>
      </c>
      <c r="J90" s="3">
        <v>20.754059440911401</v>
      </c>
      <c r="K90" s="3">
        <v>16.5586850823139</v>
      </c>
      <c r="L90" s="3">
        <v>21.641774495087699</v>
      </c>
      <c r="M90" s="3">
        <v>18.4118498768071</v>
      </c>
      <c r="N90" s="3">
        <v>12.2811328706567</v>
      </c>
    </row>
    <row r="91" spans="1:14" x14ac:dyDescent="0.35">
      <c r="A91" s="2">
        <v>44456</v>
      </c>
      <c r="B91" s="3">
        <v>34.963842718276602</v>
      </c>
      <c r="C91" s="3">
        <v>16.987747232723599</v>
      </c>
      <c r="D91" s="3">
        <v>14.7014822850612</v>
      </c>
      <c r="E91" s="3">
        <v>13.8572574287072</v>
      </c>
      <c r="F91" s="3">
        <v>16.115115995942901</v>
      </c>
      <c r="G91" s="3">
        <v>18.932152524949899</v>
      </c>
      <c r="H91" s="3">
        <v>11.787829375080801</v>
      </c>
      <c r="I91" s="3">
        <v>27.987632415504098</v>
      </c>
      <c r="J91" s="3">
        <v>20.699539483824299</v>
      </c>
      <c r="K91" s="3">
        <v>15.890716175326601</v>
      </c>
      <c r="L91" s="3">
        <v>21.5889952107946</v>
      </c>
      <c r="M91" s="3">
        <v>18.378166924335702</v>
      </c>
      <c r="N91" s="3">
        <v>11.6240744240396</v>
      </c>
    </row>
    <row r="92" spans="1:14" x14ac:dyDescent="0.35">
      <c r="A92" s="2">
        <v>44487</v>
      </c>
      <c r="B92" s="3">
        <v>33.449155413733202</v>
      </c>
      <c r="C92" s="3">
        <v>17.432207492126299</v>
      </c>
      <c r="D92" s="3">
        <v>14.912518171703599</v>
      </c>
      <c r="E92" s="3">
        <v>13.696265171211699</v>
      </c>
      <c r="F92" s="3">
        <v>15.3664164771168</v>
      </c>
      <c r="G92" s="3">
        <v>18.778482694756001</v>
      </c>
      <c r="H92" s="3">
        <v>12.254825323291101</v>
      </c>
      <c r="I92" s="3">
        <v>27.848815482850402</v>
      </c>
      <c r="J92" s="3">
        <v>20.735545717634501</v>
      </c>
      <c r="K92" s="3">
        <v>15.547069017393101</v>
      </c>
      <c r="L92" s="3">
        <v>20.790116491940299</v>
      </c>
      <c r="M92" s="3">
        <v>18.4149930601615</v>
      </c>
      <c r="N92" s="3">
        <v>11.6255399174005</v>
      </c>
    </row>
    <row r="93" spans="1:14" x14ac:dyDescent="0.35">
      <c r="A93" s="2">
        <v>44518</v>
      </c>
      <c r="B93" s="3">
        <v>32.666829906453202</v>
      </c>
      <c r="C93" s="3">
        <v>17.171035239876801</v>
      </c>
      <c r="D93" s="3">
        <v>14.9369752480545</v>
      </c>
      <c r="E93" s="3">
        <v>13.867441827172</v>
      </c>
      <c r="F93" s="3">
        <v>15.2551222539881</v>
      </c>
      <c r="G93" s="3">
        <v>19.372313964636302</v>
      </c>
      <c r="H93" s="3">
        <v>12.034160073137899</v>
      </c>
      <c r="I93" s="3">
        <v>29.794104975183199</v>
      </c>
      <c r="J93" s="3">
        <v>21.390237032136</v>
      </c>
      <c r="K93" s="3">
        <v>16.0220112935915</v>
      </c>
      <c r="L93" s="3">
        <v>21.661581802405401</v>
      </c>
      <c r="M93" s="3">
        <v>18.863214207448301</v>
      </c>
      <c r="N93" s="3">
        <v>11.749022029687501</v>
      </c>
    </row>
    <row r="94" spans="1:14" x14ac:dyDescent="0.35">
      <c r="A94" s="2">
        <v>44547</v>
      </c>
      <c r="B94" s="3">
        <v>31.910548623456599</v>
      </c>
      <c r="C94" s="3">
        <v>17.1221553450961</v>
      </c>
      <c r="D94" s="3">
        <v>14.149471642573999</v>
      </c>
      <c r="E94" s="3">
        <v>13.1672388085472</v>
      </c>
      <c r="F94" s="3">
        <v>14.519007606049801</v>
      </c>
      <c r="G94" s="3">
        <v>19.4865517128557</v>
      </c>
      <c r="H94" s="3">
        <v>11.927028143704</v>
      </c>
      <c r="I94" s="3">
        <v>28.210686684932899</v>
      </c>
      <c r="J94" s="3">
        <v>20.746331528686</v>
      </c>
      <c r="K94" s="3">
        <v>15.372851789367701</v>
      </c>
      <c r="L94" s="3">
        <v>19.759420309432802</v>
      </c>
      <c r="M94" s="3">
        <v>17.726244849040999</v>
      </c>
      <c r="N94" s="3">
        <v>10.826669817685101</v>
      </c>
    </row>
    <row r="95" spans="1:14" x14ac:dyDescent="0.35">
      <c r="A95" s="2">
        <v>44579</v>
      </c>
      <c r="B95" s="3">
        <v>31.144763193364501</v>
      </c>
      <c r="C95" s="3">
        <v>17.401012774046801</v>
      </c>
      <c r="D95" s="3">
        <v>14.313993824417899</v>
      </c>
      <c r="E95" s="3">
        <v>13.2382370125489</v>
      </c>
      <c r="F95" s="3">
        <v>14.341491520410701</v>
      </c>
      <c r="G95" s="3">
        <v>18.840251641275401</v>
      </c>
      <c r="H95" s="3">
        <v>12.444286492952299</v>
      </c>
      <c r="I95" s="3">
        <v>26.999364977578999</v>
      </c>
      <c r="J95" s="3">
        <v>20.356319789769199</v>
      </c>
      <c r="K95" s="3">
        <v>15.505514370307401</v>
      </c>
      <c r="L95" s="3">
        <v>19.486576510872499</v>
      </c>
      <c r="M95" s="3">
        <v>17.2096871541012</v>
      </c>
      <c r="N95" s="3">
        <v>11.0330437246941</v>
      </c>
    </row>
    <row r="96" spans="1:14" x14ac:dyDescent="0.35">
      <c r="A96" s="2">
        <v>44610</v>
      </c>
      <c r="B96" s="3">
        <v>29.4572258063608</v>
      </c>
      <c r="C96" s="3">
        <v>15.761970279423499</v>
      </c>
      <c r="D96" s="3">
        <v>13.868393052125301</v>
      </c>
      <c r="E96" s="3">
        <v>12.353830908528201</v>
      </c>
      <c r="F96" s="3">
        <v>13.55126061967</v>
      </c>
      <c r="G96" s="3">
        <v>18.0838679852456</v>
      </c>
      <c r="H96" s="3">
        <v>12.1458130526728</v>
      </c>
      <c r="I96" s="3">
        <v>24.459080505390901</v>
      </c>
      <c r="J96" s="3">
        <v>19.0485066378162</v>
      </c>
      <c r="K96" s="3">
        <v>14.508692303025899</v>
      </c>
      <c r="L96" s="3">
        <v>18.042736165589702</v>
      </c>
      <c r="M96" s="3">
        <v>15.615379542874001</v>
      </c>
      <c r="N96" s="3">
        <v>10.444037929157</v>
      </c>
    </row>
    <row r="97" spans="1:14" x14ac:dyDescent="0.35">
      <c r="A97" s="2">
        <v>44638</v>
      </c>
      <c r="B97" s="3">
        <v>29.295119366737399</v>
      </c>
      <c r="C97" s="3">
        <v>16.0050291901089</v>
      </c>
      <c r="D97" s="3">
        <v>13.7564270125684</v>
      </c>
      <c r="E97" s="3">
        <v>11.7112988104842</v>
      </c>
      <c r="F97" s="3">
        <v>13.038158256846399</v>
      </c>
      <c r="G97" s="3">
        <v>18.309733650644301</v>
      </c>
      <c r="H97" s="3">
        <v>11.615370664280301</v>
      </c>
      <c r="I97" s="3">
        <v>24.932129172694701</v>
      </c>
      <c r="J97" s="3">
        <v>19.2567007859986</v>
      </c>
      <c r="K97" s="3">
        <v>13.7353897263833</v>
      </c>
      <c r="L97" s="3">
        <v>18.134897519930998</v>
      </c>
      <c r="M97" s="3">
        <v>15.6602048570424</v>
      </c>
      <c r="N97" s="3">
        <v>9.51395946272015</v>
      </c>
    </row>
    <row r="98" spans="1:14" x14ac:dyDescent="0.35">
      <c r="A98" s="2">
        <v>44669</v>
      </c>
      <c r="B98" s="3">
        <v>28.373018380006101</v>
      </c>
      <c r="C98" s="3">
        <v>15.5931052080236</v>
      </c>
      <c r="D98" s="3">
        <v>13.3903668772372</v>
      </c>
      <c r="E98" s="3">
        <v>11.3092849066282</v>
      </c>
      <c r="F98" s="3">
        <v>12.8112951830855</v>
      </c>
      <c r="G98" s="3">
        <v>18.5222604368916</v>
      </c>
      <c r="H98" s="3">
        <v>11.158487101001301</v>
      </c>
      <c r="I98" s="3">
        <v>23.903320767622699</v>
      </c>
      <c r="J98" s="3">
        <v>18.655746257924701</v>
      </c>
      <c r="K98" s="3">
        <v>13.1477264725815</v>
      </c>
      <c r="L98" s="3">
        <v>17.6668427016861</v>
      </c>
      <c r="M98" s="3">
        <v>14.9944690908975</v>
      </c>
      <c r="N98" s="3">
        <v>9.6995960304953606</v>
      </c>
    </row>
    <row r="99" spans="1:14" x14ac:dyDescent="0.35">
      <c r="A99" s="2">
        <v>44699</v>
      </c>
      <c r="B99" s="3">
        <v>27.4193243558707</v>
      </c>
      <c r="C99" s="3">
        <v>14.398719519213699</v>
      </c>
      <c r="D99" s="3">
        <v>12.1516264707716</v>
      </c>
      <c r="E99" s="3">
        <v>10.731827176236401</v>
      </c>
      <c r="F99" s="3">
        <v>12.714320418942799</v>
      </c>
      <c r="G99" s="3">
        <v>16.772701621848</v>
      </c>
      <c r="H99" s="3">
        <v>10.283500657541801</v>
      </c>
      <c r="I99" s="3">
        <v>20.653890530982601</v>
      </c>
      <c r="J99" s="3">
        <v>16.5436396123505</v>
      </c>
      <c r="K99" s="3">
        <v>12.130552680328799</v>
      </c>
      <c r="L99" s="3">
        <v>16.669293161820999</v>
      </c>
      <c r="M99" s="3">
        <v>15.8105808485338</v>
      </c>
      <c r="N99" s="3">
        <v>8.9294774143548494</v>
      </c>
    </row>
    <row r="100" spans="1:14" x14ac:dyDescent="0.35">
      <c r="A100" s="2">
        <v>44729</v>
      </c>
      <c r="B100" s="3">
        <v>25.0638707867245</v>
      </c>
      <c r="C100" s="3">
        <v>12.449674540391699</v>
      </c>
      <c r="D100" s="3">
        <v>11.2377397201909</v>
      </c>
      <c r="E100" s="3">
        <v>10.015099799724</v>
      </c>
      <c r="F100" s="3">
        <v>12.152899315052199</v>
      </c>
      <c r="G100" s="3">
        <v>15.1852769528944</v>
      </c>
      <c r="H100" s="3">
        <v>9.5137318292936595</v>
      </c>
      <c r="I100" s="3">
        <v>19.362728258357699</v>
      </c>
      <c r="J100" s="3">
        <v>15.3323964938762</v>
      </c>
      <c r="K100" s="3">
        <v>11.153136873363399</v>
      </c>
      <c r="L100" s="3">
        <v>15.426705855765301</v>
      </c>
      <c r="M100" s="3">
        <v>14.216141155139599</v>
      </c>
      <c r="N100" s="3">
        <v>7.8747926557335299</v>
      </c>
    </row>
    <row r="101" spans="1:14" x14ac:dyDescent="0.35">
      <c r="A101" s="2">
        <v>44760</v>
      </c>
      <c r="B101" s="3">
        <v>25.865642464672401</v>
      </c>
      <c r="C101" s="3">
        <v>12.9927089330318</v>
      </c>
      <c r="D101" s="3">
        <v>10.925996395471101</v>
      </c>
      <c r="E101" s="3">
        <v>9.8750642667257296</v>
      </c>
      <c r="F101" s="3">
        <v>12.4549221442869</v>
      </c>
      <c r="G101" s="3">
        <v>16.1589367933536</v>
      </c>
      <c r="H101" s="3">
        <v>9.6423583011879295</v>
      </c>
      <c r="I101" s="3">
        <v>20.632950416473999</v>
      </c>
      <c r="J101" s="3">
        <v>16.011792466920902</v>
      </c>
      <c r="K101" s="3">
        <v>11.308162215276401</v>
      </c>
      <c r="L101" s="3">
        <v>16.410159793391699</v>
      </c>
      <c r="M101" s="3">
        <v>14.570122758013699</v>
      </c>
      <c r="N101" s="3">
        <v>7.5090415734875604</v>
      </c>
    </row>
    <row r="102" spans="1:14" x14ac:dyDescent="0.35">
      <c r="A102" s="2">
        <v>44791</v>
      </c>
      <c r="B102" s="3">
        <v>27.335484682146301</v>
      </c>
      <c r="C102" s="3">
        <v>14.1590277535445</v>
      </c>
      <c r="D102" s="3">
        <v>11.9327726942988</v>
      </c>
      <c r="E102" s="3">
        <v>10.207756266396601</v>
      </c>
      <c r="F102" s="3">
        <v>13.0377555390862</v>
      </c>
      <c r="G102" s="3">
        <v>16.7739438563327</v>
      </c>
      <c r="H102" s="3">
        <v>9.8163897429189504</v>
      </c>
      <c r="I102" s="3">
        <v>24.047287934017199</v>
      </c>
      <c r="J102" s="3">
        <v>18.056252679837801</v>
      </c>
      <c r="K102" s="3">
        <v>11.8050199614155</v>
      </c>
      <c r="L102" s="3">
        <v>17.681103257351101</v>
      </c>
      <c r="M102" s="3">
        <v>15.0966327727033</v>
      </c>
      <c r="N102" s="3">
        <v>7.7700348440048304</v>
      </c>
    </row>
    <row r="103" spans="1:14" x14ac:dyDescent="0.35">
      <c r="A103" s="2">
        <v>44820</v>
      </c>
      <c r="B103" s="3">
        <v>26.243327448438599</v>
      </c>
      <c r="C103" s="3">
        <v>13.179504096022301</v>
      </c>
      <c r="D103" s="3">
        <v>11.3291722882641</v>
      </c>
      <c r="E103" s="3">
        <v>9.5114466163608906</v>
      </c>
      <c r="F103" s="3">
        <v>12.630677070949099</v>
      </c>
      <c r="G103" s="3">
        <v>15.6646012653244</v>
      </c>
      <c r="H103" s="3">
        <v>9.0916498729571007</v>
      </c>
      <c r="I103" s="3">
        <v>20.987637405746501</v>
      </c>
      <c r="J103" s="3">
        <v>16.271586292054899</v>
      </c>
      <c r="K103" s="3">
        <v>10.9692002733878</v>
      </c>
      <c r="L103" s="3">
        <v>15.4635639706857</v>
      </c>
      <c r="M103" s="3">
        <v>13.612112795220099</v>
      </c>
      <c r="N103" s="3">
        <v>7.6802228879005199</v>
      </c>
    </row>
    <row r="104" spans="1:14" x14ac:dyDescent="0.35">
      <c r="A104" s="2">
        <v>44852</v>
      </c>
      <c r="B104" s="3">
        <v>23.457917777212302</v>
      </c>
      <c r="C104" s="3">
        <v>13.050709241227899</v>
      </c>
      <c r="D104" s="3">
        <v>11.056525760895401</v>
      </c>
      <c r="E104" s="3">
        <v>9.5055486974140706</v>
      </c>
      <c r="F104" s="3">
        <v>12.3094755925624</v>
      </c>
      <c r="G104" s="3">
        <v>15.454435830420801</v>
      </c>
      <c r="H104" s="3">
        <v>8.6970760998317207</v>
      </c>
      <c r="I104" s="3">
        <v>19.964896150939399</v>
      </c>
      <c r="J104" s="3">
        <v>15.8012082877684</v>
      </c>
      <c r="K104" s="3">
        <v>10.8128355222207</v>
      </c>
      <c r="L104" s="3">
        <v>14.444569235187799</v>
      </c>
      <c r="M104" s="3">
        <v>13.6462099312918</v>
      </c>
      <c r="N104" s="3">
        <v>7.4888461811300502</v>
      </c>
    </row>
    <row r="105" spans="1:14" x14ac:dyDescent="0.35">
      <c r="A105" s="2">
        <v>44883</v>
      </c>
      <c r="B105" s="3">
        <v>23.6882726341079</v>
      </c>
      <c r="C105" s="3">
        <v>14.2856401299225</v>
      </c>
      <c r="D105" s="3">
        <v>11.926496284067101</v>
      </c>
      <c r="E105" s="3">
        <v>10.766845382392701</v>
      </c>
      <c r="F105" s="3">
        <v>12.8079442841141</v>
      </c>
      <c r="G105" s="3">
        <v>16.7596316419502</v>
      </c>
      <c r="H105" s="3">
        <v>9.5597927613648501</v>
      </c>
      <c r="I105" s="3">
        <v>21.7048818923376</v>
      </c>
      <c r="J105" s="3">
        <v>17.167535932271502</v>
      </c>
      <c r="K105" s="3">
        <v>11.9352685096227</v>
      </c>
      <c r="L105" s="3">
        <v>16.433099986954801</v>
      </c>
      <c r="M105" s="3">
        <v>12.9406906640064</v>
      </c>
      <c r="N105" s="3">
        <v>8.2938264280828502</v>
      </c>
    </row>
    <row r="106" spans="1:14" x14ac:dyDescent="0.35">
      <c r="A106" s="2">
        <v>44911</v>
      </c>
      <c r="B106" s="3">
        <v>23.446420303450601</v>
      </c>
      <c r="C106" s="3">
        <v>14.058936771690799</v>
      </c>
      <c r="D106" s="3">
        <v>11.854512317126</v>
      </c>
      <c r="E106" s="3">
        <v>10.364873172371899</v>
      </c>
      <c r="F106" s="3">
        <v>12.6370085948442</v>
      </c>
      <c r="G106" s="3">
        <v>16.3163836625688</v>
      </c>
      <c r="H106" s="3">
        <v>9.6553558926665293</v>
      </c>
      <c r="I106" s="3">
        <v>20.880156857686099</v>
      </c>
      <c r="J106" s="3">
        <v>16.677839519174501</v>
      </c>
      <c r="K106" s="3">
        <v>11.7529638088832</v>
      </c>
      <c r="L106" s="3">
        <v>15.7371948245057</v>
      </c>
      <c r="M106" s="3">
        <v>12.742621749480399</v>
      </c>
      <c r="N106" s="3">
        <v>7.5960515960609198</v>
      </c>
    </row>
    <row r="107" spans="1:14" x14ac:dyDescent="0.35">
      <c r="A107" s="2">
        <v>44944</v>
      </c>
      <c r="B107" s="3">
        <v>23.951343045436399</v>
      </c>
      <c r="C107" s="3">
        <v>14.807591741039399</v>
      </c>
      <c r="D107" s="3">
        <v>12.775420944505701</v>
      </c>
      <c r="E107" s="3">
        <v>11.493137151704699</v>
      </c>
      <c r="F107" s="3">
        <v>12.612545108833601</v>
      </c>
      <c r="G107" s="3">
        <v>17.428742796683299</v>
      </c>
      <c r="H107" s="3">
        <v>10.6007896962877</v>
      </c>
      <c r="I107" s="3">
        <v>21.8052537641695</v>
      </c>
      <c r="J107" s="3">
        <v>17.171121338857901</v>
      </c>
      <c r="K107" s="3">
        <v>13.072502459403401</v>
      </c>
      <c r="L107" s="3">
        <v>17.027958888123202</v>
      </c>
      <c r="M107" s="3">
        <v>13.730582815645</v>
      </c>
      <c r="N107" s="3">
        <v>8.2941061960482205</v>
      </c>
    </row>
    <row r="108" spans="1:14" x14ac:dyDescent="0.35">
      <c r="A108" s="2">
        <v>44974</v>
      </c>
      <c r="B108" s="3">
        <v>24.843766188912902</v>
      </c>
      <c r="C108" s="3">
        <v>14.6878779855471</v>
      </c>
      <c r="D108" s="3">
        <v>12.888014581734</v>
      </c>
      <c r="E108" s="3">
        <v>11.6785249298047</v>
      </c>
      <c r="F108" s="3">
        <v>13.059887947414399</v>
      </c>
      <c r="G108" s="3">
        <v>17.3205236707445</v>
      </c>
      <c r="H108" s="3">
        <v>10.6982000658722</v>
      </c>
      <c r="I108" s="3">
        <v>23.7858269611691</v>
      </c>
      <c r="J108" s="3">
        <v>17.981534480268099</v>
      </c>
      <c r="K108" s="3">
        <v>13.442726568609601</v>
      </c>
      <c r="L108" s="3">
        <v>17.039091797021701</v>
      </c>
      <c r="M108" s="3">
        <v>14.1822357395213</v>
      </c>
      <c r="N108" s="3">
        <v>8.4859409152170997</v>
      </c>
    </row>
    <row r="109" spans="1:14" x14ac:dyDescent="0.35">
      <c r="A109" s="2">
        <v>45002</v>
      </c>
      <c r="B109" s="3">
        <v>22.762178317453099</v>
      </c>
      <c r="C109" s="3">
        <v>13.9201466758633</v>
      </c>
      <c r="D109" s="3">
        <v>12.1917695931824</v>
      </c>
      <c r="E109" s="3">
        <v>10.8973533860669</v>
      </c>
      <c r="F109" s="3">
        <v>12.8373398712694</v>
      </c>
      <c r="G109" s="3">
        <v>16.3645322204117</v>
      </c>
      <c r="H109" s="3">
        <v>9.7830173400822602</v>
      </c>
      <c r="I109" s="3">
        <v>23.838246710848701</v>
      </c>
      <c r="J109" s="3">
        <v>17.1797259598507</v>
      </c>
      <c r="K109" s="3">
        <v>12.5903534248567</v>
      </c>
      <c r="L109" s="3">
        <v>15.745841032102501</v>
      </c>
      <c r="M109" s="3">
        <v>13.093661597727699</v>
      </c>
      <c r="N109" s="3">
        <v>7.9871599128336603</v>
      </c>
    </row>
    <row r="110" spans="1:14" x14ac:dyDescent="0.35">
      <c r="A110" s="2">
        <v>45034</v>
      </c>
      <c r="B110" s="3">
        <v>23.2690551914841</v>
      </c>
      <c r="C110" s="3">
        <v>14.706914757080201</v>
      </c>
      <c r="D110" s="3">
        <v>13.137344596477099</v>
      </c>
      <c r="E110" s="3">
        <v>11.475777954358801</v>
      </c>
      <c r="F110" s="3">
        <v>13.439488245973701</v>
      </c>
      <c r="G110" s="3">
        <v>17.495853577035799</v>
      </c>
      <c r="H110" s="3">
        <v>10.8482112101689</v>
      </c>
      <c r="I110" s="3">
        <v>24.7477366053342</v>
      </c>
      <c r="J110" s="3">
        <v>18.237382439692102</v>
      </c>
      <c r="K110" s="3">
        <v>13.723048630248901</v>
      </c>
      <c r="L110" s="3">
        <v>16.3422239841337</v>
      </c>
      <c r="M110" s="3">
        <v>14.0939580201005</v>
      </c>
      <c r="N110" s="3">
        <v>8.7686614106528094</v>
      </c>
    </row>
    <row r="111" spans="1:14" x14ac:dyDescent="0.35">
      <c r="A111" s="2">
        <v>45064</v>
      </c>
      <c r="B111" s="3">
        <v>23.584549184558998</v>
      </c>
      <c r="C111" s="3">
        <v>14.5169657813233</v>
      </c>
      <c r="D111" s="3">
        <v>12.9681078127483</v>
      </c>
      <c r="E111" s="3">
        <v>11.100848148258001</v>
      </c>
      <c r="F111" s="3">
        <v>14.210998262928699</v>
      </c>
      <c r="G111" s="3">
        <v>17.221430884230301</v>
      </c>
      <c r="H111" s="3">
        <v>10.4337071833589</v>
      </c>
      <c r="I111" s="3">
        <v>25.435125626174401</v>
      </c>
      <c r="J111" s="3">
        <v>18.239668507101001</v>
      </c>
      <c r="K111" s="3">
        <v>13.366897821007701</v>
      </c>
      <c r="L111" s="3">
        <v>15.874485115348399</v>
      </c>
      <c r="M111" s="3">
        <v>13.4847194541651</v>
      </c>
      <c r="N111" s="3">
        <v>8.2679560348651506</v>
      </c>
    </row>
    <row r="112" spans="1:14" x14ac:dyDescent="0.35">
      <c r="A112" s="2">
        <v>45093</v>
      </c>
      <c r="B112" s="3">
        <v>20.817202729168802</v>
      </c>
      <c r="C112" s="3">
        <v>15.051679781637899</v>
      </c>
      <c r="D112" s="3">
        <v>12.915971112549601</v>
      </c>
      <c r="E112" s="3">
        <v>11.008389599145699</v>
      </c>
      <c r="F112" s="3">
        <v>15.026623625827501</v>
      </c>
      <c r="G112" s="3">
        <v>16.668232110123601</v>
      </c>
      <c r="H112" s="3">
        <v>10.5011317447909</v>
      </c>
      <c r="I112" s="3">
        <v>26.9904359614378</v>
      </c>
      <c r="J112" s="3">
        <v>18.9439679330982</v>
      </c>
      <c r="K112" s="3">
        <v>13.3461550047671</v>
      </c>
      <c r="L112" s="3">
        <v>15.8433562183007</v>
      </c>
      <c r="M112" s="3">
        <v>13.8305195227812</v>
      </c>
      <c r="N112" s="3">
        <v>8.7982824764171692</v>
      </c>
    </row>
    <row r="113" spans="1:25" x14ac:dyDescent="0.35">
      <c r="A113" s="2">
        <v>45125</v>
      </c>
      <c r="B113" s="3">
        <v>20.930948261932599</v>
      </c>
      <c r="C113" s="3">
        <v>15.3367142145221</v>
      </c>
      <c r="D113" s="3">
        <v>13.3624378060157</v>
      </c>
      <c r="E113" s="3">
        <v>10.794986539243901</v>
      </c>
      <c r="F113" s="3">
        <v>14.532371022820399</v>
      </c>
      <c r="G113" s="3">
        <v>16.627464519307399</v>
      </c>
      <c r="H113" s="3">
        <v>10.470591716244</v>
      </c>
      <c r="I113" s="3">
        <v>27.714530755579499</v>
      </c>
      <c r="J113" s="3">
        <v>19.593475064081002</v>
      </c>
      <c r="K113" s="3">
        <v>13.1986817540371</v>
      </c>
      <c r="L113" s="3">
        <v>16.0969871159114</v>
      </c>
      <c r="M113" s="3">
        <v>13.453353138694499</v>
      </c>
      <c r="N113" s="3">
        <v>8.8289918965847107</v>
      </c>
    </row>
    <row r="114" spans="1:25" x14ac:dyDescent="0.35">
      <c r="A114" s="2">
        <v>45156</v>
      </c>
      <c r="B114" s="3">
        <v>20.074708993074701</v>
      </c>
      <c r="C114" s="3">
        <v>14.9345129982042</v>
      </c>
      <c r="D114" s="3">
        <v>12.883129985119</v>
      </c>
      <c r="E114" s="3">
        <v>10.453047499221199</v>
      </c>
      <c r="F114" s="3">
        <v>14.042929270936201</v>
      </c>
      <c r="G114" s="3">
        <v>16.202791883783402</v>
      </c>
      <c r="H114" s="3">
        <v>10.146840317337601</v>
      </c>
      <c r="I114" s="3">
        <v>23.780109043318301</v>
      </c>
      <c r="J114" s="3">
        <v>18.4429518650368</v>
      </c>
      <c r="K114" s="3">
        <v>12.7073823799177</v>
      </c>
      <c r="L114" s="3">
        <v>14.6780439954087</v>
      </c>
      <c r="M114" s="3">
        <v>12.541369490191</v>
      </c>
      <c r="N114" s="3">
        <v>8.0934216661729899</v>
      </c>
    </row>
    <row r="115" spans="1:25" x14ac:dyDescent="0.35">
      <c r="A115" s="2">
        <v>45187</v>
      </c>
      <c r="B115" s="3">
        <v>20.411115116343201</v>
      </c>
      <c r="C115" s="3">
        <v>15.3992115387349</v>
      </c>
      <c r="D115" s="3">
        <v>13.2270550357657</v>
      </c>
      <c r="E115" s="3">
        <v>10.5527831481924</v>
      </c>
      <c r="F115" s="3">
        <v>15.0905403686392</v>
      </c>
      <c r="G115" s="3">
        <v>16.516955785515901</v>
      </c>
      <c r="H115" s="3">
        <v>10.5582242634827</v>
      </c>
      <c r="I115" s="3">
        <v>24.0566496439689</v>
      </c>
      <c r="J115" s="3">
        <v>18.580938481834</v>
      </c>
      <c r="K115" s="3">
        <v>12.816293320984499</v>
      </c>
      <c r="L115" s="3">
        <v>13.8714748337689</v>
      </c>
      <c r="M115" s="3">
        <v>13.022762095789901</v>
      </c>
      <c r="N115" s="3">
        <v>8.4148878695300695</v>
      </c>
    </row>
    <row r="116" spans="1:25" x14ac:dyDescent="0.35">
      <c r="A116" s="2">
        <v>45217</v>
      </c>
      <c r="B116" s="3">
        <v>19.731082351688599</v>
      </c>
      <c r="C116" s="3">
        <v>14.866249779956201</v>
      </c>
      <c r="D116" s="3">
        <v>12.479552703516999</v>
      </c>
      <c r="E116" s="3">
        <v>10.0605637707823</v>
      </c>
      <c r="F116" s="3">
        <v>14.1588536016608</v>
      </c>
      <c r="G116" s="3">
        <v>15.864908110561901</v>
      </c>
      <c r="H116" s="3">
        <v>10.331968832970199</v>
      </c>
      <c r="I116" s="3">
        <v>23.306453521560599</v>
      </c>
      <c r="J116" s="3">
        <v>17.896362096586</v>
      </c>
      <c r="K116" s="3">
        <v>12.171171633912</v>
      </c>
      <c r="L116" s="3">
        <v>13.320833429633399</v>
      </c>
      <c r="M116" s="3">
        <v>13.0310546147031</v>
      </c>
      <c r="N116" s="3">
        <v>8.1327933412010793</v>
      </c>
    </row>
    <row r="117" spans="1:25" x14ac:dyDescent="0.35">
      <c r="A117" s="2">
        <v>45247</v>
      </c>
      <c r="B117" s="3">
        <v>20.127002704203299</v>
      </c>
      <c r="C117" s="3">
        <v>15.058379216313501</v>
      </c>
      <c r="D117" s="3">
        <v>12.8197702660282</v>
      </c>
      <c r="E117" s="3">
        <v>10.775979696904701</v>
      </c>
      <c r="F117" s="3">
        <v>14.5351435542131</v>
      </c>
      <c r="G117" s="3">
        <v>16.102043619737302</v>
      </c>
      <c r="H117" s="3">
        <v>10.373838574306699</v>
      </c>
      <c r="I117" s="3">
        <v>24.401617257570798</v>
      </c>
      <c r="J117" s="3">
        <v>18.631992371390702</v>
      </c>
      <c r="K117" s="3">
        <v>12.823271523012901</v>
      </c>
      <c r="L117" s="3">
        <v>14.6755630986315</v>
      </c>
      <c r="M117" s="3">
        <v>13.3425651866105</v>
      </c>
      <c r="N117" s="3">
        <v>8.3244444999797196</v>
      </c>
    </row>
    <row r="118" spans="1:25" x14ac:dyDescent="0.35">
      <c r="A118" s="2">
        <v>45278</v>
      </c>
      <c r="B118" s="3">
        <v>22.5962071345471</v>
      </c>
      <c r="C118" s="3">
        <v>15.975125134486699</v>
      </c>
      <c r="D118" s="3">
        <v>13.4124810837193</v>
      </c>
      <c r="E118" s="3">
        <v>11.1526362626729</v>
      </c>
      <c r="F118" s="3">
        <v>13.8247453309381</v>
      </c>
      <c r="G118" s="3">
        <v>16.768776123489001</v>
      </c>
      <c r="H118" s="3">
        <v>10.7595687428811</v>
      </c>
      <c r="I118" s="3">
        <v>25.124943750635602</v>
      </c>
      <c r="J118" s="3">
        <v>19.455165918199199</v>
      </c>
      <c r="K118" s="3">
        <v>13.4273472129046</v>
      </c>
      <c r="L118" s="3">
        <v>15.1486687775491</v>
      </c>
      <c r="M118" s="3">
        <v>15.594902720987401</v>
      </c>
      <c r="N118" s="3">
        <v>8.8299640831954704</v>
      </c>
    </row>
    <row r="119" spans="1:25" x14ac:dyDescent="0.35">
      <c r="A119" s="2">
        <v>45309</v>
      </c>
      <c r="B119" s="3">
        <v>22.177009051325498</v>
      </c>
      <c r="C119" s="3">
        <v>15.713352522544101</v>
      </c>
      <c r="D119" s="3">
        <v>13.519744540813999</v>
      </c>
      <c r="E119" s="3">
        <v>11.011992236036299</v>
      </c>
      <c r="F119" s="3">
        <v>14.7855536021004</v>
      </c>
      <c r="G119" s="3">
        <v>16.8369418871169</v>
      </c>
      <c r="H119" s="3">
        <v>10.697851429641901</v>
      </c>
      <c r="I119" s="3">
        <v>25.137548964827499</v>
      </c>
      <c r="J119" s="3">
        <v>19.5306983094871</v>
      </c>
      <c r="K119" s="3">
        <v>13.228809801529</v>
      </c>
      <c r="L119" s="3">
        <v>14.826520507282099</v>
      </c>
      <c r="M119" s="3">
        <v>15.1846266462664</v>
      </c>
      <c r="N119" s="3">
        <v>8.9573960831909893</v>
      </c>
    </row>
    <row r="120" spans="1:25" x14ac:dyDescent="0.35">
      <c r="A120" s="2">
        <v>45338</v>
      </c>
      <c r="B120" s="3">
        <v>22.2964802939291</v>
      </c>
      <c r="C120" s="3">
        <v>16.4506059541011</v>
      </c>
      <c r="D120" s="3">
        <v>14.069992563508899</v>
      </c>
      <c r="E120" s="3">
        <v>11.657167950618099</v>
      </c>
      <c r="F120" s="3">
        <v>15.3692308187787</v>
      </c>
      <c r="G120" s="3">
        <v>17.3858455905395</v>
      </c>
      <c r="H120" s="3">
        <v>11.2020330485963</v>
      </c>
      <c r="I120" s="3">
        <v>25.9042023481055</v>
      </c>
      <c r="J120" s="3">
        <v>20.250544677337199</v>
      </c>
      <c r="K120" s="3">
        <v>13.9967806829472</v>
      </c>
      <c r="L120" s="3">
        <v>16.3590225154175</v>
      </c>
      <c r="M120" s="3">
        <v>16.042892695051702</v>
      </c>
      <c r="N120" s="3">
        <v>9.0017160139680801</v>
      </c>
    </row>
    <row r="121" spans="1:25" x14ac:dyDescent="0.35">
      <c r="A121" s="2">
        <v>45369</v>
      </c>
      <c r="B121" s="3">
        <v>24.728874740024299</v>
      </c>
      <c r="C121" s="3">
        <v>16.42598283837</v>
      </c>
      <c r="D121" s="3">
        <v>14.471140244805801</v>
      </c>
      <c r="E121" s="3">
        <v>12.069091852883099</v>
      </c>
      <c r="F121" s="3">
        <v>15.639915624732399</v>
      </c>
      <c r="G121" s="3">
        <v>17.6596696503941</v>
      </c>
      <c r="H121" s="3">
        <v>11.277326102672101</v>
      </c>
      <c r="I121" s="3">
        <v>25.980679464786</v>
      </c>
      <c r="J121" s="3">
        <v>20.607160058929001</v>
      </c>
      <c r="K121" s="3">
        <v>14.617233072561</v>
      </c>
      <c r="L121" s="3">
        <v>15.950270674290399</v>
      </c>
      <c r="M121" s="3">
        <v>16.524569399018301</v>
      </c>
      <c r="N121" s="3">
        <v>9.6348726619336897</v>
      </c>
    </row>
    <row r="122" spans="1:25" x14ac:dyDescent="0.35">
      <c r="A122" s="2">
        <v>45397</v>
      </c>
      <c r="B122" s="3">
        <v>24.989094574081701</v>
      </c>
      <c r="C122" s="3">
        <v>16.476263825906301</v>
      </c>
      <c r="D122" s="3">
        <v>14.1409055493399</v>
      </c>
      <c r="E122" s="3">
        <v>12.019487908431501</v>
      </c>
      <c r="F122" s="3">
        <v>15.6457867150851</v>
      </c>
      <c r="G122" s="3">
        <v>16.9985445497671</v>
      </c>
      <c r="H122" s="3">
        <v>11.4417257444358</v>
      </c>
      <c r="I122" s="3">
        <v>24.906798572062101</v>
      </c>
      <c r="J122" s="3">
        <v>20.057770722766602</v>
      </c>
      <c r="K122" s="3">
        <v>14.374265084774599</v>
      </c>
      <c r="L122" s="3">
        <v>15.906409302638499</v>
      </c>
      <c r="M122" s="3">
        <v>16.256772636034199</v>
      </c>
      <c r="N122" s="3">
        <v>9.4499010594735999</v>
      </c>
    </row>
    <row r="124" spans="1:25" x14ac:dyDescent="0.35">
      <c r="A124" s="2" t="s">
        <v>91</v>
      </c>
      <c r="B124" s="3" cm="1">
        <f t="array" ref="B124">MIN(_xlfn._xlws.FILTER(B1:B122, ISNUMBER(B1:B122)))</f>
        <v>16.7401097983836</v>
      </c>
      <c r="C124" s="3" cm="1">
        <f t="array" ref="C124">MIN(_xlfn._xlws.FILTER(C1:C122, ISNUMBER(C1:C122)))</f>
        <v>12.449674540391699</v>
      </c>
      <c r="D124" s="3" cm="1">
        <f t="array" ref="D124">MIN(_xlfn._xlws.FILTER(D1:D122, ISNUMBER(D1:D122)))</f>
        <v>10.7294109755567</v>
      </c>
      <c r="E124" s="3" cm="1">
        <f t="array" ref="E124">MIN(_xlfn._xlws.FILTER(E1:E122, ISNUMBER(E1:E122)))</f>
        <v>9.1672835825559709</v>
      </c>
      <c r="F124" s="3" cm="1">
        <f t="array" ref="F124">MIN(_xlfn._xlws.FILTER(F1:F122, ISNUMBER(F1:F122)))</f>
        <v>10.979634880280001</v>
      </c>
      <c r="G124" s="3" cm="1">
        <f t="array" ref="G124">MIN(_xlfn._xlws.FILTER(G1:G122, ISNUMBER(G1:G122)))</f>
        <v>13.9790874264111</v>
      </c>
      <c r="H124" s="3" cm="1">
        <f t="array" ref="H124">MIN(_xlfn._xlws.FILTER(H1:H122, ISNUMBER(H1:H122)))</f>
        <v>8.6970760998317207</v>
      </c>
      <c r="I124" s="3" cm="1">
        <f t="array" ref="I124">MIN(_xlfn._xlws.FILTER(I1:I122, ISNUMBER(I1:I122)))</f>
        <v>16.357041465684201</v>
      </c>
      <c r="J124" s="3" cm="1">
        <f t="array" ref="J124">MIN(_xlfn._xlws.FILTER(J1:J122, ISNUMBER(J1:J122)))</f>
        <v>13.8132768210628</v>
      </c>
      <c r="K124" s="3" cm="1">
        <f t="array" ref="K124">MIN(_xlfn._xlws.FILTER(K1:K122, ISNUMBER(K1:K122)))</f>
        <v>10.0410668195819</v>
      </c>
      <c r="L124" s="3" cm="1">
        <f t="array" ref="L124">MIN(_xlfn._xlws.FILTER(L1:L122, ISNUMBER(L1:L122)))</f>
        <v>11.8970902657978</v>
      </c>
      <c r="M124" s="3" cm="1">
        <f t="array" ref="M124">MIN(_xlfn._xlws.FILTER(M1:M122, ISNUMBER(M1:M122)))</f>
        <v>11.9977178172909</v>
      </c>
      <c r="N124" s="3" cm="1">
        <f t="array" ref="N124">MIN(_xlfn._xlws.FILTER(N1:N122, ISNUMBER(N1:N122)))</f>
        <v>7.4888461811300502</v>
      </c>
    </row>
    <row r="125" spans="1:25" x14ac:dyDescent="0.35">
      <c r="A125" s="2" t="s">
        <v>92</v>
      </c>
      <c r="B125" s="3" cm="1">
        <f t="array" ref="B125">MAX(_xlfn._xlws.FILTER(B1:B122, ISNUMBER(B1:B122)))</f>
        <v>34.963842718276602</v>
      </c>
      <c r="C125" s="3" cm="1">
        <f t="array" ref="C125">MAX(_xlfn._xlws.FILTER(C1:C122, ISNUMBER(C1:C122)))</f>
        <v>19.7254312941756</v>
      </c>
      <c r="D125" s="3" cm="1">
        <f t="array" ref="D125">MAX(_xlfn._xlws.FILTER(D1:D122, ISNUMBER(D1:D122)))</f>
        <v>17.9063491096422</v>
      </c>
      <c r="E125" s="3" cm="1">
        <f t="array" ref="E125">MAX(_xlfn._xlws.FILTER(E1:E122, ISNUMBER(E1:E122)))</f>
        <v>18.5492634897501</v>
      </c>
      <c r="F125" s="3" cm="1">
        <f t="array" ref="F125">MAX(_xlfn._xlws.FILTER(F1:F122, ISNUMBER(F1:F122)))</f>
        <v>18.729629211447399</v>
      </c>
      <c r="G125" s="3" cm="1">
        <f t="array" ref="G125">MAX(_xlfn._xlws.FILTER(G1:G122, ISNUMBER(G1:G122)))</f>
        <v>20.128564659977101</v>
      </c>
      <c r="H125" s="3" cm="1">
        <f t="array" ref="H125">MAX(_xlfn._xlws.FILTER(H1:H122, ISNUMBER(H1:H122)))</f>
        <v>16.4880839124014</v>
      </c>
      <c r="I125" s="3" cm="1">
        <f t="array" ref="I125">MAX(_xlfn._xlws.FILTER(I1:I122, ISNUMBER(I1:I122)))</f>
        <v>30.2277698846768</v>
      </c>
      <c r="J125" s="3" cm="1">
        <f t="array" ref="J125">MAX(_xlfn._xlws.FILTER(J1:J122, ISNUMBER(J1:J122)))</f>
        <v>22.4559947785418</v>
      </c>
      <c r="K125" s="3" cm="1">
        <f t="array" ref="K125">MAX(_xlfn._xlws.FILTER(K1:K122, ISNUMBER(K1:K122)))</f>
        <v>19.796574098363202</v>
      </c>
      <c r="L125" s="3" cm="1">
        <f t="array" ref="L125">MAX(_xlfn._xlws.FILTER(L1:L122, ISNUMBER(L1:L122)))</f>
        <v>22.8318428446414</v>
      </c>
      <c r="M125" s="3" cm="1">
        <f t="array" ref="M125">MAX(_xlfn._xlws.FILTER(M1:M122, ISNUMBER(M1:M122)))</f>
        <v>20.7635329700299</v>
      </c>
      <c r="N125" s="3" cm="1">
        <f t="array" ref="N125">MAX(_xlfn._xlws.FILTER(N1:N122, ISNUMBER(N1:N122)))</f>
        <v>17.8707721558781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0.70399999999999996</v>
      </c>
      <c r="C127" s="9" cm="1">
        <f t="array" ref="C127">_xlfn.PERCENTRANK.EXC(_xlfn._xlws.FILTER(C1:C122, ISNUMBER(C1:C122)),C122)</f>
        <v>0.73699999999999999</v>
      </c>
      <c r="D127" s="9" cm="1">
        <f t="array" ref="D127">_xlfn.PERCENTRANK.EXC(_xlfn._xlws.FILTER(D1:D122, ISNUMBER(D1:D122)),D122)</f>
        <v>0.35199999999999998</v>
      </c>
      <c r="E127" s="9" cm="1">
        <f t="array" ref="E127">_xlfn.PERCENTRANK.EXC(_xlfn._xlws.FILTER(E1:E122, ISNUMBER(E1:E122)),E122)</f>
        <v>0.27800000000000002</v>
      </c>
      <c r="F127" s="9" cm="1">
        <f t="array" ref="F127">_xlfn.PERCENTRANK.EXC(_xlfn._xlws.FILTER(F1:F122, ISNUMBER(F1:F122)),F122)</f>
        <v>0.86</v>
      </c>
      <c r="G127" s="9" cm="1">
        <f t="array" ref="G127">_xlfn.PERCENTRANK.EXC(_xlfn._xlws.FILTER(G1:G122, ISNUMBER(G1:G122)),G122)</f>
        <v>0.5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0.754</v>
      </c>
      <c r="J127" s="9" cm="1">
        <f t="array" ref="J127">_xlfn.PERCENTRANK.EXC(_xlfn._xlws.FILTER(J1:J122, ISNUMBER(J1:J122)),J122)</f>
        <v>0.80300000000000005</v>
      </c>
      <c r="K127" s="9" cm="1">
        <f t="array" ref="K127">_xlfn.PERCENTRANK.EXC(_xlfn._xlws.FILTER(K1:K122, ISNUMBER(K1:K122)),K122)</f>
        <v>0.52400000000000002</v>
      </c>
      <c r="L127" s="9" cm="1">
        <f t="array" ref="L127">_xlfn.PERCENTRANK.EXC(_xlfn._xlws.FILTER(L1:L122, ISNUMBER(L1:L122)),L122)</f>
        <v>0.50800000000000001</v>
      </c>
      <c r="M127" s="9" cm="1">
        <f t="array" ref="M127">_xlfn.PERCENTRANK.EXC(_xlfn._xlws.FILTER(M1:M122, ISNUMBER(M1:M122)),M122)</f>
        <v>0.65500000000000003</v>
      </c>
      <c r="N127" s="9" cm="1">
        <f t="array" ref="N127">_xlfn.PERCENTRANK.EXC(_xlfn._xlws.FILTER(N1:N122, ISNUMBER(N1:N122)),N122)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41746</v>
      </c>
      <c r="B2" s="3" cm="1">
        <f t="array" ref="B2:B122">_xll.FDS(B1,"FMA_DIV_YLD(NTMA,-10AY,0,AM,""PORTAGG"",""MEANR"")")</f>
        <v>4.1204522216268904</v>
      </c>
      <c r="C2" s="3" cm="1">
        <f t="array" ref="C2:C122">_xll.FDS(C1,"FMA_DIV_YLD(NTMA,-10AY,0,AM,""PORTAGG"",""MEANR"")")</f>
        <v>4.7720048493327996</v>
      </c>
      <c r="D2" s="3" cm="1">
        <f t="array" ref="D2:D122">_xll.FDS(D1,"FMA_DIV_YLD(NTMA,-10AY,0,AM,""PORTAGG"",""MEANR"")")</f>
        <v>2.89881921790283</v>
      </c>
      <c r="E2" s="3" cm="1">
        <f t="array" ref="E2:E122">_xll.FDS(E1,"FMA_DIV_YLD(NTMA,-10AY,0,AM,""PORTAGG"",""MEANR"")")</f>
        <v>3.0316973652426098</v>
      </c>
      <c r="F2" s="3" cm="1">
        <f t="array" ref="F2:F122">_xll.FDS(F1,"FMA_DIV_YLD(NTMA,-10AY,0,AM,""PORTAGG"",""MEANR"")")</f>
        <v>2.1722945324408802</v>
      </c>
      <c r="G2" s="3" cm="1">
        <f t="array" ref="G2:G122">_xll.FDS(G1,"FMA_DIV_YLD(NTMA,-10AY,0,AM,""PORTAGG"",""MEANR"")")</f>
        <v>3.2230358130297199</v>
      </c>
      <c r="H2" s="3" cm="1">
        <f t="array" ref="H2:H122">_xll.FDS(H1,"FMA_DIV_YLD(NTMA,-10AY,0,AM,""PORTAGG"",""MEANR"")")</f>
        <v>3.9234727856981801</v>
      </c>
      <c r="I2" s="3" cm="1">
        <f t="array" ref="I2:I122">_xll.FDS(I1,"FMA_DIV_YLD(NTMA,-10AY,0,AM,""PORTAGG"",""MEANR"")")</f>
        <v>1.42599569709091</v>
      </c>
      <c r="J2" s="3" cm="1">
        <f t="array" ref="J2:J122">_xll.FDS(J1,"FMA_DIV_YLD(NTMA,-10AY,0,AM,""PORTAGG"",""MEANR"")")</f>
        <v>2.1822895838876</v>
      </c>
      <c r="K2" s="3" cm="1">
        <f t="array" ref="K2:K122">_xll.FDS(K1,"FMA_DIV_YLD(NTMA,-10AY,0,AM,""PORTAGG"",""MEANR"")")</f>
        <v>3.4962788490989301</v>
      </c>
      <c r="L2" s="3" cm="1">
        <f t="array" ref="L2:L122">_xll.FDS(L1,"FMA_DIV_YLD(NTMA,-10AY,0,AM,""PORTAGG"",""MEANR"")")</f>
        <v>2.7913655921482898</v>
      </c>
      <c r="M2" s="3" cm="1">
        <f t="array" ref="M2:M122">_xll.FDS(M1,"FMA_DIV_YLD(NTMA,-10AY,0,AM,""PORTAGG"",""MEANR"")")</f>
        <v>4.10658685633339</v>
      </c>
      <c r="N2" s="3" cm="1">
        <f t="array" ref="N2:N122">_xll.FDS(N1,"FMA_DIV_YLD(NTMA,-10AY,0,AM,""PORTAGG"",""MEANR"")")</f>
        <v>3.4234116935046499</v>
      </c>
    </row>
    <row r="3" spans="1:14" x14ac:dyDescent="0.35">
      <c r="A3" s="2">
        <v>41775</v>
      </c>
      <c r="B3" s="3">
        <v>4.0991171766373702</v>
      </c>
      <c r="C3" s="3">
        <v>4.7630739684545098</v>
      </c>
      <c r="D3" s="3">
        <v>2.904279209262</v>
      </c>
      <c r="E3" s="3">
        <v>3.0333414789886901</v>
      </c>
      <c r="F3" s="3">
        <v>2.2299672182645001</v>
      </c>
      <c r="G3" s="3">
        <v>3.1911466666582098</v>
      </c>
      <c r="H3" s="3">
        <v>3.8146263331355601</v>
      </c>
      <c r="I3" s="3">
        <v>1.3610841111847101</v>
      </c>
      <c r="J3" s="3">
        <v>2.1687679128631401</v>
      </c>
      <c r="K3" s="3">
        <v>3.43694173022317</v>
      </c>
      <c r="L3" s="3">
        <v>2.8392747704218699</v>
      </c>
      <c r="M3" s="3">
        <v>4.0569970670433397</v>
      </c>
      <c r="N3" s="3">
        <v>3.5804874817272698</v>
      </c>
    </row>
    <row r="4" spans="1:14" x14ac:dyDescent="0.35">
      <c r="A4" s="2">
        <v>41808</v>
      </c>
      <c r="B4" s="3">
        <v>4.2195911617865596</v>
      </c>
      <c r="C4" s="3">
        <v>4.8758255487608304</v>
      </c>
      <c r="D4" s="3">
        <v>2.8112935581389098</v>
      </c>
      <c r="E4" s="3">
        <v>2.98055588104772</v>
      </c>
      <c r="F4" s="3">
        <v>2.0896984409577302</v>
      </c>
      <c r="G4" s="3">
        <v>3.2285670755990301</v>
      </c>
      <c r="H4" s="3">
        <v>3.86762515863267</v>
      </c>
      <c r="I4" s="3">
        <v>1.2927123016406801</v>
      </c>
      <c r="J4" s="3">
        <v>2.0966265962869199</v>
      </c>
      <c r="K4" s="3">
        <v>3.3903411280568898</v>
      </c>
      <c r="L4" s="3">
        <v>2.7996261763689199</v>
      </c>
      <c r="M4" s="3">
        <v>4.1471512154330998</v>
      </c>
      <c r="N4" s="3">
        <v>3.3997324093076302</v>
      </c>
    </row>
    <row r="5" spans="1:14" x14ac:dyDescent="0.35">
      <c r="A5" s="2">
        <v>41838</v>
      </c>
      <c r="B5" s="3">
        <v>4.4765602180081201</v>
      </c>
      <c r="C5" s="3">
        <v>4.7179302717835796</v>
      </c>
      <c r="D5" s="3">
        <v>2.7750665953467499</v>
      </c>
      <c r="E5" s="3">
        <v>3.0889425424774402</v>
      </c>
      <c r="F5" s="3">
        <v>2.0795388452004699</v>
      </c>
      <c r="G5" s="3">
        <v>3.33887104729427</v>
      </c>
      <c r="H5" s="3">
        <v>3.8826089659649701</v>
      </c>
      <c r="I5" s="3">
        <v>1.24390524008023</v>
      </c>
      <c r="J5" s="3">
        <v>2.0922085510154398</v>
      </c>
      <c r="K5" s="3">
        <v>3.5235448160503302</v>
      </c>
      <c r="L5" s="3">
        <v>2.9211790202216599</v>
      </c>
      <c r="M5" s="3">
        <v>4.1838059556476201</v>
      </c>
      <c r="N5" s="3">
        <v>3.4851945992556201</v>
      </c>
    </row>
    <row r="6" spans="1:14" x14ac:dyDescent="0.35">
      <c r="A6" s="2">
        <v>41869</v>
      </c>
      <c r="B6" s="3">
        <v>4.5605740120510001</v>
      </c>
      <c r="C6" s="3">
        <v>4.7053556297063199</v>
      </c>
      <c r="D6" s="3">
        <v>2.7926376324491899</v>
      </c>
      <c r="E6" s="3">
        <v>3.24072192158195</v>
      </c>
      <c r="F6" s="3">
        <v>2.08554540726632</v>
      </c>
      <c r="G6" s="3">
        <v>3.3747863465858901</v>
      </c>
      <c r="H6" s="3">
        <v>3.9350719540105099</v>
      </c>
      <c r="I6" s="3">
        <v>1.22691945960181</v>
      </c>
      <c r="J6" s="3">
        <v>2.1142155424329898</v>
      </c>
      <c r="K6" s="3">
        <v>3.6359325321473301</v>
      </c>
      <c r="L6" s="3">
        <v>3.05920107032426</v>
      </c>
      <c r="M6" s="3">
        <v>4.2606988414255103</v>
      </c>
      <c r="N6" s="3">
        <v>3.7161628306574199</v>
      </c>
    </row>
    <row r="7" spans="1:14" x14ac:dyDescent="0.35">
      <c r="A7" s="2">
        <v>41900</v>
      </c>
      <c r="B7" s="3">
        <v>4.6461072172193596</v>
      </c>
      <c r="C7" s="3">
        <v>4.9158416295192398</v>
      </c>
      <c r="D7" s="3">
        <v>2.7702221782474399</v>
      </c>
      <c r="E7" s="3">
        <v>3.0816993014901701</v>
      </c>
      <c r="F7" s="3">
        <v>2.0248291704070298</v>
      </c>
      <c r="G7" s="3">
        <v>3.2822330937430402</v>
      </c>
      <c r="H7" s="3">
        <v>3.90545421881157</v>
      </c>
      <c r="I7" s="3">
        <v>1.2237062574338999</v>
      </c>
      <c r="J7" s="3">
        <v>2.0888183125261701</v>
      </c>
      <c r="K7" s="3">
        <v>3.4997417174632499</v>
      </c>
      <c r="L7" s="3">
        <v>2.9971070718116799</v>
      </c>
      <c r="M7" s="3">
        <v>4.1432569117314904</v>
      </c>
      <c r="N7" s="3">
        <v>3.5192491595608399</v>
      </c>
    </row>
    <row r="8" spans="1:14" x14ac:dyDescent="0.35">
      <c r="A8" s="2">
        <v>41929</v>
      </c>
      <c r="B8" s="3">
        <v>4.69560903056722</v>
      </c>
      <c r="C8" s="3">
        <v>5.0655415651363001</v>
      </c>
      <c r="D8" s="3">
        <v>3.0457948089814701</v>
      </c>
      <c r="E8" s="3">
        <v>3.4220880623055998</v>
      </c>
      <c r="F8" s="3">
        <v>2.29140445203823</v>
      </c>
      <c r="G8" s="3">
        <v>3.54645452129457</v>
      </c>
      <c r="H8" s="3">
        <v>4.2619356724209698</v>
      </c>
      <c r="I8" s="3">
        <v>1.3227353949337499</v>
      </c>
      <c r="J8" s="3">
        <v>2.23666301759582</v>
      </c>
      <c r="K8" s="3">
        <v>3.87472559405058</v>
      </c>
      <c r="L8" s="3">
        <v>3.2845385973182899</v>
      </c>
      <c r="M8" s="3">
        <v>4.5027189134297503</v>
      </c>
      <c r="N8" s="3">
        <v>4.0885771342913602</v>
      </c>
    </row>
    <row r="9" spans="1:14" x14ac:dyDescent="0.35">
      <c r="A9" s="2">
        <v>41961</v>
      </c>
      <c r="B9" s="3">
        <v>4.4214508398475001</v>
      </c>
      <c r="C9" s="3">
        <v>4.9676840009469796</v>
      </c>
      <c r="D9" s="3">
        <v>2.9041929643201101</v>
      </c>
      <c r="E9" s="3">
        <v>3.2865301464408798</v>
      </c>
      <c r="F9" s="3">
        <v>1.95113057667888</v>
      </c>
      <c r="G9" s="3">
        <v>3.2571914717265402</v>
      </c>
      <c r="H9" s="3">
        <v>4.0355701270264701</v>
      </c>
      <c r="I9" s="3">
        <v>1.2077129258013499</v>
      </c>
      <c r="J9" s="3">
        <v>2.07928408186141</v>
      </c>
      <c r="K9" s="3">
        <v>3.6628937923883602</v>
      </c>
      <c r="L9" s="3">
        <v>3.0882386361639398</v>
      </c>
      <c r="M9" s="3">
        <v>4.1427135964674298</v>
      </c>
      <c r="N9" s="3">
        <v>3.9567003076812202</v>
      </c>
    </row>
    <row r="10" spans="1:14" x14ac:dyDescent="0.35">
      <c r="A10" s="2">
        <v>41991</v>
      </c>
      <c r="B10" s="3">
        <v>4.47131171207156</v>
      </c>
      <c r="C10" s="3">
        <v>5.1631384755866803</v>
      </c>
      <c r="D10" s="3">
        <v>2.9997162808914899</v>
      </c>
      <c r="E10" s="3">
        <v>3.1853657438323499</v>
      </c>
      <c r="F10" s="3">
        <v>2.0218761024567198</v>
      </c>
      <c r="G10" s="3">
        <v>3.2862902870938902</v>
      </c>
      <c r="H10" s="3">
        <v>4.1908504737910297</v>
      </c>
      <c r="I10" s="3">
        <v>1.2161439689418201</v>
      </c>
      <c r="J10" s="3">
        <v>2.0918990926763801</v>
      </c>
      <c r="K10" s="3">
        <v>3.6634413666791801</v>
      </c>
      <c r="L10" s="3">
        <v>3.10076029850251</v>
      </c>
      <c r="M10" s="3">
        <v>4.15425656112496</v>
      </c>
      <c r="N10" s="3">
        <v>4.0459155927400303</v>
      </c>
    </row>
    <row r="11" spans="1:14" x14ac:dyDescent="0.35">
      <c r="A11" s="2">
        <v>42020</v>
      </c>
      <c r="B11" s="3">
        <v>4.3756312525740597</v>
      </c>
      <c r="C11" s="3">
        <v>5.0782640421049701</v>
      </c>
      <c r="D11" s="3">
        <v>3.0249021577465101</v>
      </c>
      <c r="E11" s="3">
        <v>3.0859012896154199</v>
      </c>
      <c r="F11" s="3">
        <v>2.0637344099051802</v>
      </c>
      <c r="G11" s="3">
        <v>3.5452035248247</v>
      </c>
      <c r="H11" s="3">
        <v>4.1815640027383596</v>
      </c>
      <c r="I11" s="3">
        <v>1.2356419380417001</v>
      </c>
      <c r="J11" s="3">
        <v>2.15191508541109</v>
      </c>
      <c r="K11" s="3">
        <v>3.5576478375525999</v>
      </c>
      <c r="L11" s="3">
        <v>3.0338750475643499</v>
      </c>
      <c r="M11" s="3">
        <v>4.1085346438435897</v>
      </c>
      <c r="N11" s="3">
        <v>4.04382352170221</v>
      </c>
    </row>
    <row r="12" spans="1:14" x14ac:dyDescent="0.35">
      <c r="A12" s="2">
        <v>42053</v>
      </c>
      <c r="B12" s="3">
        <v>4.2771828611827196</v>
      </c>
      <c r="C12" s="3">
        <v>4.5867940554626001</v>
      </c>
      <c r="D12" s="3">
        <v>2.8544816285162602</v>
      </c>
      <c r="E12" s="3">
        <v>2.8761842101799502</v>
      </c>
      <c r="F12" s="3">
        <v>1.92468316343739</v>
      </c>
      <c r="G12" s="3">
        <v>3.2367823331475698</v>
      </c>
      <c r="H12" s="3">
        <v>3.9510297523139499</v>
      </c>
      <c r="I12" s="3">
        <v>1.2269443232045201</v>
      </c>
      <c r="J12" s="3">
        <v>2.10566773466853</v>
      </c>
      <c r="K12" s="3">
        <v>3.2091543421489499</v>
      </c>
      <c r="L12" s="3">
        <v>2.8150581604223999</v>
      </c>
      <c r="M12" s="3">
        <v>3.67128737280383</v>
      </c>
      <c r="N12" s="3">
        <v>3.51855245144576</v>
      </c>
    </row>
    <row r="13" spans="1:14" x14ac:dyDescent="0.35">
      <c r="A13" s="2">
        <v>42081</v>
      </c>
      <c r="B13" s="3">
        <v>4.3744463098021198</v>
      </c>
      <c r="C13" s="3">
        <v>4.6513853193405001</v>
      </c>
      <c r="D13" s="3">
        <v>2.90202090771268</v>
      </c>
      <c r="E13" s="3">
        <v>2.6737368099180601</v>
      </c>
      <c r="F13" s="3">
        <v>1.82298778811567</v>
      </c>
      <c r="G13" s="3">
        <v>3.1228310666393599</v>
      </c>
      <c r="H13" s="3">
        <v>3.9610864606151899</v>
      </c>
      <c r="I13" s="3">
        <v>1.2471960136524201</v>
      </c>
      <c r="J13" s="3">
        <v>2.1565272083557798</v>
      </c>
      <c r="K13" s="3">
        <v>3.1921676011056901</v>
      </c>
      <c r="L13" s="3">
        <v>2.6239987457569698</v>
      </c>
      <c r="M13" s="3">
        <v>3.5933567898380701</v>
      </c>
      <c r="N13" s="3">
        <v>3.20481426593504</v>
      </c>
    </row>
    <row r="14" spans="1:14" x14ac:dyDescent="0.35">
      <c r="A14" s="2">
        <v>42111</v>
      </c>
      <c r="B14" s="3">
        <v>4.4222828019013898</v>
      </c>
      <c r="C14" s="3">
        <v>4.6012899565879701</v>
      </c>
      <c r="D14" s="3">
        <v>2.8305374130283298</v>
      </c>
      <c r="E14" s="3">
        <v>2.7642407410067902</v>
      </c>
      <c r="F14" s="3">
        <v>1.8476845247831499</v>
      </c>
      <c r="G14" s="3">
        <v>3.0714786018148801</v>
      </c>
      <c r="H14" s="3">
        <v>3.9116101551318101</v>
      </c>
      <c r="I14" s="3">
        <v>1.27587998522588</v>
      </c>
      <c r="J14" s="3">
        <v>2.1714633195704298</v>
      </c>
      <c r="K14" s="3">
        <v>3.1403116872166299</v>
      </c>
      <c r="L14" s="3">
        <v>2.6814342588545199</v>
      </c>
      <c r="M14" s="3">
        <v>3.7147761123012599</v>
      </c>
      <c r="N14" s="3">
        <v>3.1645834053086799</v>
      </c>
    </row>
    <row r="15" spans="1:14" x14ac:dyDescent="0.35">
      <c r="A15" s="2">
        <v>42142</v>
      </c>
      <c r="B15" s="3">
        <v>4.4403639728469901</v>
      </c>
      <c r="C15" s="3">
        <v>4.7571824729411301</v>
      </c>
      <c r="D15" s="3">
        <v>2.8764485513473201</v>
      </c>
      <c r="E15" s="3">
        <v>2.8679497845143098</v>
      </c>
      <c r="F15" s="3">
        <v>1.8599030830861101</v>
      </c>
      <c r="G15" s="3">
        <v>3.0897560537395599</v>
      </c>
      <c r="H15" s="3">
        <v>3.87814626370242</v>
      </c>
      <c r="I15" s="3">
        <v>1.2338568758656601</v>
      </c>
      <c r="J15" s="3">
        <v>2.1358762803119502</v>
      </c>
      <c r="K15" s="3">
        <v>3.2691095849313401</v>
      </c>
      <c r="L15" s="3">
        <v>2.7389718532162699</v>
      </c>
      <c r="M15" s="3">
        <v>3.8396452751492101</v>
      </c>
      <c r="N15" s="3">
        <v>3.2073565135226998</v>
      </c>
    </row>
    <row r="16" spans="1:14" x14ac:dyDescent="0.35">
      <c r="A16" s="2">
        <v>42173</v>
      </c>
      <c r="B16" s="3">
        <v>4.5286203026256704</v>
      </c>
      <c r="C16" s="3">
        <v>4.9008123175007796</v>
      </c>
      <c r="D16" s="3">
        <v>2.9536754688993101</v>
      </c>
      <c r="E16" s="3">
        <v>3.0437188436241098</v>
      </c>
      <c r="F16" s="3">
        <v>1.9255611580975101</v>
      </c>
      <c r="G16" s="3">
        <v>3.22876970439316</v>
      </c>
      <c r="H16" s="3">
        <v>4.0426893471574497</v>
      </c>
      <c r="I16" s="3">
        <v>1.2361954828364601</v>
      </c>
      <c r="J16" s="3">
        <v>2.1505575836026898</v>
      </c>
      <c r="K16" s="3">
        <v>3.4264371609548601</v>
      </c>
      <c r="L16" s="3">
        <v>2.9572576748944002</v>
      </c>
      <c r="M16" s="3">
        <v>4.0202636975491304</v>
      </c>
      <c r="N16" s="3">
        <v>3.3747119323474002</v>
      </c>
    </row>
    <row r="17" spans="1:14" x14ac:dyDescent="0.35">
      <c r="A17" s="2">
        <v>42202</v>
      </c>
      <c r="B17" s="3">
        <v>4.6065262367507103</v>
      </c>
      <c r="C17" s="3">
        <v>4.8176592052246097</v>
      </c>
      <c r="D17" s="3">
        <v>3.0053928156556702</v>
      </c>
      <c r="E17" s="3">
        <v>2.9104922810393901</v>
      </c>
      <c r="F17" s="3">
        <v>1.8925005214513899</v>
      </c>
      <c r="G17" s="3">
        <v>3.1078588723756999</v>
      </c>
      <c r="H17" s="3">
        <v>4.0630025934881999</v>
      </c>
      <c r="I17" s="3">
        <v>1.2049462773283499</v>
      </c>
      <c r="J17" s="3">
        <v>2.1474293646387399</v>
      </c>
      <c r="K17" s="3">
        <v>3.2509637437728101</v>
      </c>
      <c r="L17" s="3">
        <v>2.8166705338715698</v>
      </c>
      <c r="M17" s="3">
        <v>3.88469336882092</v>
      </c>
      <c r="N17" s="3">
        <v>3.1554905469398</v>
      </c>
    </row>
    <row r="18" spans="1:14" x14ac:dyDescent="0.35">
      <c r="A18" s="2">
        <v>42234</v>
      </c>
      <c r="B18" s="3">
        <v>4.7354061583613003</v>
      </c>
      <c r="C18" s="3">
        <v>5.1899866091157802</v>
      </c>
      <c r="D18" s="3">
        <v>3.0907310652715698</v>
      </c>
      <c r="E18" s="3">
        <v>3.12619945034466</v>
      </c>
      <c r="F18" s="3">
        <v>1.9010723022982601</v>
      </c>
      <c r="G18" s="3">
        <v>3.1394845386332899</v>
      </c>
      <c r="H18" s="3">
        <v>4.1690969476762296</v>
      </c>
      <c r="I18" s="3">
        <v>1.27896330519033</v>
      </c>
      <c r="J18" s="3">
        <v>2.2054966951715</v>
      </c>
      <c r="K18" s="3">
        <v>3.3795361040612</v>
      </c>
      <c r="L18" s="3">
        <v>3.1706300047601701</v>
      </c>
      <c r="M18" s="3">
        <v>4.0589725736755602</v>
      </c>
      <c r="N18" s="3">
        <v>3.1494002909805801</v>
      </c>
    </row>
    <row r="19" spans="1:14" x14ac:dyDescent="0.35">
      <c r="A19" s="2">
        <v>42265</v>
      </c>
      <c r="B19" s="3">
        <v>5.0859333925198804</v>
      </c>
      <c r="C19" s="3">
        <v>5.3132180308080201</v>
      </c>
      <c r="D19" s="3">
        <v>3.2198397285535898</v>
      </c>
      <c r="E19" s="3">
        <v>3.4409000124830098</v>
      </c>
      <c r="F19" s="3">
        <v>2.1836933325747498</v>
      </c>
      <c r="G19" s="3">
        <v>3.3483882155779798</v>
      </c>
      <c r="H19" s="3">
        <v>4.4755550463083402</v>
      </c>
      <c r="I19" s="3">
        <v>1.3507350108871801</v>
      </c>
      <c r="J19" s="3">
        <v>2.3753046133809801</v>
      </c>
      <c r="K19" s="3">
        <v>3.7033798196565799</v>
      </c>
      <c r="L19" s="3">
        <v>3.5203705998270101</v>
      </c>
      <c r="M19" s="3">
        <v>4.4508588154883704</v>
      </c>
      <c r="N19" s="3">
        <v>3.4685225434539202</v>
      </c>
    </row>
    <row r="20" spans="1:14" x14ac:dyDescent="0.35">
      <c r="A20" s="2">
        <v>42293</v>
      </c>
      <c r="B20" s="3">
        <v>5.0685488039503497</v>
      </c>
      <c r="C20" s="3">
        <v>5.1778192920332202</v>
      </c>
      <c r="D20" s="3">
        <v>3.1786732062189702</v>
      </c>
      <c r="E20" s="3">
        <v>3.3165236299719099</v>
      </c>
      <c r="F20" s="3">
        <v>2.1166005519027</v>
      </c>
      <c r="G20" s="3">
        <v>3.33290528003426</v>
      </c>
      <c r="H20" s="3">
        <v>4.2359408377922296</v>
      </c>
      <c r="I20" s="3">
        <v>1.3189035111695799</v>
      </c>
      <c r="J20" s="3">
        <v>2.2914358358195899</v>
      </c>
      <c r="K20" s="3">
        <v>3.5532851388434601</v>
      </c>
      <c r="L20" s="3">
        <v>3.40588988344419</v>
      </c>
      <c r="M20" s="3">
        <v>4.3969491942472896</v>
      </c>
      <c r="N20" s="3">
        <v>3.55207073737418</v>
      </c>
    </row>
    <row r="21" spans="1:14" x14ac:dyDescent="0.35">
      <c r="A21" s="2">
        <v>42326</v>
      </c>
      <c r="B21" s="3">
        <v>4.9243941518582197</v>
      </c>
      <c r="C21" s="3">
        <v>5.3531667010569803</v>
      </c>
      <c r="D21" s="3">
        <v>3.2981383600141299</v>
      </c>
      <c r="E21" s="3">
        <v>2.9553539825481101</v>
      </c>
      <c r="F21" s="3">
        <v>2.0238262772061399</v>
      </c>
      <c r="G21" s="3">
        <v>3.24209646510552</v>
      </c>
      <c r="H21" s="3">
        <v>4.2651076391932703</v>
      </c>
      <c r="I21" s="3">
        <v>1.27537320258251</v>
      </c>
      <c r="J21" s="3">
        <v>2.2698045739012098</v>
      </c>
      <c r="K21" s="3">
        <v>3.4370051895489602</v>
      </c>
      <c r="L21" s="3">
        <v>3.1544963214544599</v>
      </c>
      <c r="M21" s="3">
        <v>4.16521830291504</v>
      </c>
      <c r="N21" s="3">
        <v>3.64272232206201</v>
      </c>
    </row>
    <row r="22" spans="1:14" x14ac:dyDescent="0.35">
      <c r="A22" s="2">
        <v>42356</v>
      </c>
      <c r="B22" s="3">
        <v>4.8429830955724302</v>
      </c>
      <c r="C22" s="3">
        <v>5.3253624343487402</v>
      </c>
      <c r="D22" s="3">
        <v>3.3831627680443699</v>
      </c>
      <c r="E22" s="3">
        <v>3.0731820869576398</v>
      </c>
      <c r="F22" s="3">
        <v>2.1006724451341801</v>
      </c>
      <c r="G22" s="3">
        <v>3.3425077328558701</v>
      </c>
      <c r="H22" s="3">
        <v>4.4282252604865198</v>
      </c>
      <c r="I22" s="3">
        <v>1.3174945921802901</v>
      </c>
      <c r="J22" s="3">
        <v>2.3545630070759702</v>
      </c>
      <c r="K22" s="3">
        <v>3.6169675696544301</v>
      </c>
      <c r="L22" s="3">
        <v>3.3303674894999502</v>
      </c>
      <c r="M22" s="3">
        <v>4.3986764108285401</v>
      </c>
      <c r="N22" s="3">
        <v>3.8488681421563502</v>
      </c>
    </row>
    <row r="23" spans="1:14" x14ac:dyDescent="0.35">
      <c r="A23" s="2">
        <v>42384</v>
      </c>
      <c r="B23" s="3">
        <v>4.8511473043034901</v>
      </c>
      <c r="C23" s="3">
        <v>5.5744427831521399</v>
      </c>
      <c r="D23" s="3">
        <v>3.6441240487109501</v>
      </c>
      <c r="E23" s="3">
        <v>3.4250055800479702</v>
      </c>
      <c r="F23" s="3">
        <v>2.3224706219909801</v>
      </c>
      <c r="G23" s="3">
        <v>3.5595216982005802</v>
      </c>
      <c r="H23" s="3">
        <v>4.6428090972616198</v>
      </c>
      <c r="I23" s="3">
        <v>1.3990240856816201</v>
      </c>
      <c r="J23" s="3">
        <v>2.5257732265288801</v>
      </c>
      <c r="K23" s="3">
        <v>3.9706067891239401</v>
      </c>
      <c r="L23" s="3">
        <v>3.3918077322730702</v>
      </c>
      <c r="M23" s="3">
        <v>4.7561241283537603</v>
      </c>
      <c r="N23" s="3">
        <v>4.3098521474506502</v>
      </c>
    </row>
    <row r="24" spans="1:14" x14ac:dyDescent="0.35">
      <c r="A24" s="2">
        <v>42418</v>
      </c>
      <c r="B24" s="3">
        <v>4.8920194114924902</v>
      </c>
      <c r="C24" s="3">
        <v>5.0656990170471099</v>
      </c>
      <c r="D24" s="3">
        <v>3.3093086196452401</v>
      </c>
      <c r="E24" s="3">
        <v>3.4715513601287098</v>
      </c>
      <c r="F24" s="3">
        <v>2.4763955118468801</v>
      </c>
      <c r="G24" s="3">
        <v>3.5253621161659199</v>
      </c>
      <c r="H24" s="3">
        <v>4.5850890245471296</v>
      </c>
      <c r="I24" s="3">
        <v>1.42378277712552</v>
      </c>
      <c r="J24" s="3">
        <v>2.4518202590146898</v>
      </c>
      <c r="K24" s="3">
        <v>3.9065091765625999</v>
      </c>
      <c r="L24" s="3">
        <v>3.4718589841198102</v>
      </c>
      <c r="M24" s="3">
        <v>4.3978005044743202</v>
      </c>
      <c r="N24" s="3">
        <v>4.6544534043588897</v>
      </c>
    </row>
    <row r="25" spans="1:14" x14ac:dyDescent="0.35">
      <c r="A25" s="2">
        <v>42447</v>
      </c>
      <c r="B25" s="3">
        <v>4.6259586806645698</v>
      </c>
      <c r="C25" s="3">
        <v>4.7105205045726102</v>
      </c>
      <c r="D25" s="3">
        <v>3.1416451998097399</v>
      </c>
      <c r="E25" s="3">
        <v>3.3041986626276101</v>
      </c>
      <c r="F25" s="3">
        <v>2.40351552637257</v>
      </c>
      <c r="G25" s="3">
        <v>3.5190994637953401</v>
      </c>
      <c r="H25" s="3">
        <v>4.3258878198385302</v>
      </c>
      <c r="I25" s="3">
        <v>1.35619406980042</v>
      </c>
      <c r="J25" s="3">
        <v>2.4751977345461702</v>
      </c>
      <c r="K25" s="3">
        <v>3.7102781091852699</v>
      </c>
      <c r="L25" s="3">
        <v>3.2842317030068</v>
      </c>
      <c r="M25" s="3">
        <v>4.31475585889011</v>
      </c>
      <c r="N25" s="3">
        <v>4.2599417813522296</v>
      </c>
    </row>
    <row r="26" spans="1:14" x14ac:dyDescent="0.35">
      <c r="A26" s="2">
        <v>42478</v>
      </c>
      <c r="B26" s="3">
        <v>4.5291619067172002</v>
      </c>
      <c r="C26" s="3">
        <v>4.7663268416850304</v>
      </c>
      <c r="D26" s="3">
        <v>3.0999381255902199</v>
      </c>
      <c r="E26" s="3">
        <v>3.2513749596042198</v>
      </c>
      <c r="F26" s="3">
        <v>2.4395088361294199</v>
      </c>
      <c r="G26" s="3">
        <v>3.4678940505640901</v>
      </c>
      <c r="H26" s="3">
        <v>4.2369645996991903</v>
      </c>
      <c r="I26" s="3">
        <v>1.31698923386867</v>
      </c>
      <c r="J26" s="3">
        <v>2.2917987413403398</v>
      </c>
      <c r="K26" s="3">
        <v>3.6832992589006399</v>
      </c>
      <c r="L26" s="3">
        <v>3.2450461543397702</v>
      </c>
      <c r="M26" s="3">
        <v>4.3302258932012903</v>
      </c>
      <c r="N26" s="3">
        <v>4.37673608520483</v>
      </c>
    </row>
    <row r="27" spans="1:14" x14ac:dyDescent="0.35">
      <c r="A27" s="2">
        <v>42508</v>
      </c>
      <c r="B27" s="3">
        <v>4.4268206942082502</v>
      </c>
      <c r="C27" s="3">
        <v>4.57128520061198</v>
      </c>
      <c r="D27" s="3">
        <v>3.0729200935101901</v>
      </c>
      <c r="E27" s="3">
        <v>3.3614923495679001</v>
      </c>
      <c r="F27" s="3">
        <v>2.3914523530643201</v>
      </c>
      <c r="G27" s="3">
        <v>3.54445566580022</v>
      </c>
      <c r="H27" s="3">
        <v>4.33347016560145</v>
      </c>
      <c r="I27" s="3">
        <v>1.3963514728794699</v>
      </c>
      <c r="J27" s="3">
        <v>2.2927014117324598</v>
      </c>
      <c r="K27" s="3">
        <v>3.8183748746919601</v>
      </c>
      <c r="L27" s="3">
        <v>3.4027867949215902</v>
      </c>
      <c r="M27" s="3">
        <v>4.4535764018130104</v>
      </c>
      <c r="N27" s="3">
        <v>4.5446889385867104</v>
      </c>
    </row>
    <row r="28" spans="1:14" x14ac:dyDescent="0.35">
      <c r="A28" s="2">
        <v>42538</v>
      </c>
      <c r="B28" s="3">
        <v>4.4497488045998796</v>
      </c>
      <c r="C28" s="3">
        <v>4.7553197926033004</v>
      </c>
      <c r="D28" s="3">
        <v>3.0980306284357999</v>
      </c>
      <c r="E28" s="3">
        <v>3.50515725063525</v>
      </c>
      <c r="F28" s="3">
        <v>2.5203569002255302</v>
      </c>
      <c r="G28" s="3">
        <v>3.6457634453746</v>
      </c>
      <c r="H28" s="3">
        <v>4.4590307063252297</v>
      </c>
      <c r="I28" s="3">
        <v>1.3908508814267699</v>
      </c>
      <c r="J28" s="3">
        <v>2.3065160911528801</v>
      </c>
      <c r="K28" s="3">
        <v>3.9560201232904899</v>
      </c>
      <c r="L28" s="3">
        <v>3.3930899600251201</v>
      </c>
      <c r="M28" s="3">
        <v>4.6139499504247103</v>
      </c>
      <c r="N28" s="3">
        <v>4.8366151161657003</v>
      </c>
    </row>
    <row r="29" spans="1:14" x14ac:dyDescent="0.35">
      <c r="A29" s="2">
        <v>42569</v>
      </c>
      <c r="B29" s="3">
        <v>4.2609096973332701</v>
      </c>
      <c r="C29" s="3">
        <v>4.5040807247331696</v>
      </c>
      <c r="D29" s="3">
        <v>2.9870003179016802</v>
      </c>
      <c r="E29" s="3">
        <v>3.35075186455563</v>
      </c>
      <c r="F29" s="3">
        <v>2.38540902628952</v>
      </c>
      <c r="G29" s="3">
        <v>3.5012024271703899</v>
      </c>
      <c r="H29" s="3">
        <v>4.1323384069544504</v>
      </c>
      <c r="I29" s="3">
        <v>1.3173109672535399</v>
      </c>
      <c r="J29" s="3">
        <v>2.21527882536496</v>
      </c>
      <c r="K29" s="3">
        <v>3.8030199993560698</v>
      </c>
      <c r="L29" s="3">
        <v>3.2388843635576401</v>
      </c>
      <c r="M29" s="3">
        <v>4.3665952362567797</v>
      </c>
      <c r="N29" s="3">
        <v>4.7622833390613497</v>
      </c>
    </row>
    <row r="30" spans="1:14" x14ac:dyDescent="0.35">
      <c r="A30" s="2">
        <v>42600</v>
      </c>
      <c r="B30" s="3">
        <v>4.1406754865884796</v>
      </c>
      <c r="C30" s="3">
        <v>4.4613930380145703</v>
      </c>
      <c r="D30" s="3">
        <v>2.9556748148065299</v>
      </c>
      <c r="E30" s="3">
        <v>3.1750492975857099</v>
      </c>
      <c r="F30" s="3">
        <v>2.4374003362613101</v>
      </c>
      <c r="G30" s="3">
        <v>3.4405438861362501</v>
      </c>
      <c r="H30" s="3">
        <v>4.0640442314657497</v>
      </c>
      <c r="I30" s="3">
        <v>1.2759703757418299</v>
      </c>
      <c r="J30" s="3">
        <v>2.20145066959804</v>
      </c>
      <c r="K30" s="3">
        <v>3.7289687118995301</v>
      </c>
      <c r="L30" s="3">
        <v>3.1604170320950198</v>
      </c>
      <c r="M30" s="3">
        <v>4.2542839515070403</v>
      </c>
      <c r="N30" s="3">
        <v>4.77295699418237</v>
      </c>
    </row>
    <row r="31" spans="1:14" x14ac:dyDescent="0.35">
      <c r="A31" s="2">
        <v>42629</v>
      </c>
      <c r="B31" s="3">
        <v>4.3240413098721602</v>
      </c>
      <c r="C31" s="3">
        <v>4.6656017471717597</v>
      </c>
      <c r="D31" s="3">
        <v>3.0005249791321398</v>
      </c>
      <c r="E31" s="3">
        <v>3.2653186169392701</v>
      </c>
      <c r="F31" s="3">
        <v>2.4169492770179901</v>
      </c>
      <c r="G31" s="3">
        <v>3.5114593426159102</v>
      </c>
      <c r="H31" s="3">
        <v>4.2303691389317803</v>
      </c>
      <c r="I31" s="3">
        <v>1.2805825751655</v>
      </c>
      <c r="J31" s="3">
        <v>2.25397209924511</v>
      </c>
      <c r="K31" s="3">
        <v>3.8135661315122</v>
      </c>
      <c r="L31" s="3">
        <v>3.23886909330247</v>
      </c>
      <c r="M31" s="3">
        <v>4.2813052189787504</v>
      </c>
      <c r="N31" s="3">
        <v>5.0148205504686096</v>
      </c>
    </row>
    <row r="32" spans="1:14" x14ac:dyDescent="0.35">
      <c r="A32" s="2">
        <v>42661</v>
      </c>
      <c r="B32" s="3">
        <v>4.5712678855422899</v>
      </c>
      <c r="C32" s="3">
        <v>4.5604336266424799</v>
      </c>
      <c r="D32" s="3">
        <v>2.9348699841488401</v>
      </c>
      <c r="E32" s="3">
        <v>3.12948328121217</v>
      </c>
      <c r="F32" s="3">
        <v>2.3575121895518598</v>
      </c>
      <c r="G32" s="3">
        <v>3.5526431441498398</v>
      </c>
      <c r="H32" s="3">
        <v>4.2629385153749002</v>
      </c>
      <c r="I32" s="3">
        <v>1.2726301639191899</v>
      </c>
      <c r="J32" s="3">
        <v>2.2549550458033698</v>
      </c>
      <c r="K32" s="3">
        <v>3.70952777022391</v>
      </c>
      <c r="L32" s="3">
        <v>3.1079305459962399</v>
      </c>
      <c r="M32" s="3">
        <v>4.0766170382640698</v>
      </c>
      <c r="N32" s="3">
        <v>4.8466559412702104</v>
      </c>
    </row>
    <row r="33" spans="1:14" x14ac:dyDescent="0.35">
      <c r="A33" s="2">
        <v>42692</v>
      </c>
      <c r="B33" s="3">
        <v>4.6269166610360202</v>
      </c>
      <c r="C33" s="3">
        <v>4.6344411482718098</v>
      </c>
      <c r="D33" s="3">
        <v>2.9086157395075101</v>
      </c>
      <c r="E33" s="3">
        <v>3.17988647226837</v>
      </c>
      <c r="F33" s="3">
        <v>2.2488987612715601</v>
      </c>
      <c r="G33" s="3">
        <v>3.6380582748222898</v>
      </c>
      <c r="H33" s="3">
        <v>4.4472982744485998</v>
      </c>
      <c r="I33" s="3">
        <v>1.2941431650908499</v>
      </c>
      <c r="J33" s="3">
        <v>2.2282962137790499</v>
      </c>
      <c r="K33" s="3">
        <v>3.7315664671370499</v>
      </c>
      <c r="L33" s="3">
        <v>3.1442382567643499</v>
      </c>
      <c r="M33" s="3">
        <v>4.0431277434556199</v>
      </c>
      <c r="N33" s="3">
        <v>4.8978262857806696</v>
      </c>
    </row>
    <row r="34" spans="1:14" x14ac:dyDescent="0.35">
      <c r="A34" s="2">
        <v>42720</v>
      </c>
      <c r="B34" s="3">
        <v>4.7126412528621202</v>
      </c>
      <c r="C34" s="3">
        <v>4.6088293285485102</v>
      </c>
      <c r="D34" s="3">
        <v>2.8392288205718001</v>
      </c>
      <c r="E34" s="3">
        <v>2.9886997332384699</v>
      </c>
      <c r="F34" s="3">
        <v>2.0748656114284598</v>
      </c>
      <c r="G34" s="3">
        <v>3.5724479746801299</v>
      </c>
      <c r="H34" s="3">
        <v>4.33122110045207</v>
      </c>
      <c r="I34" s="3">
        <v>1.2833098366340201</v>
      </c>
      <c r="J34" s="3">
        <v>2.1662274050803201</v>
      </c>
      <c r="K34" s="3">
        <v>3.5008556419686299</v>
      </c>
      <c r="L34" s="3">
        <v>3.0037962282239898</v>
      </c>
      <c r="M34" s="3">
        <v>3.8318206558959802</v>
      </c>
      <c r="N34" s="3">
        <v>4.3350002750323497</v>
      </c>
    </row>
    <row r="35" spans="1:14" x14ac:dyDescent="0.35">
      <c r="A35" s="2">
        <v>42753</v>
      </c>
      <c r="B35" s="3">
        <v>4.5118123530848102</v>
      </c>
      <c r="C35" s="3">
        <v>4.50792332120316</v>
      </c>
      <c r="D35" s="3">
        <v>2.83107301605413</v>
      </c>
      <c r="E35" s="3">
        <v>2.9531091862955101</v>
      </c>
      <c r="F35" s="3">
        <v>2.1454268338521798</v>
      </c>
      <c r="G35" s="3">
        <v>3.5007096530822799</v>
      </c>
      <c r="H35" s="3">
        <v>4.2634144891981602</v>
      </c>
      <c r="I35" s="3">
        <v>1.2561194527772399</v>
      </c>
      <c r="J35" s="3">
        <v>2.1673892635977001</v>
      </c>
      <c r="K35" s="3">
        <v>3.4641179946515499</v>
      </c>
      <c r="L35" s="3">
        <v>2.9671999586550299</v>
      </c>
      <c r="M35" s="3">
        <v>3.8995151201529401</v>
      </c>
      <c r="N35" s="3">
        <v>4.3321748449899404</v>
      </c>
    </row>
    <row r="36" spans="1:14" x14ac:dyDescent="0.35">
      <c r="A36" s="2">
        <v>42783</v>
      </c>
      <c r="B36" s="3">
        <v>4.5504052889121702</v>
      </c>
      <c r="C36" s="3">
        <v>4.4597647114230297</v>
      </c>
      <c r="D36" s="3">
        <v>2.7799235385460999</v>
      </c>
      <c r="E36" s="3">
        <v>2.9369768530488298</v>
      </c>
      <c r="F36" s="3">
        <v>2.14000132546178</v>
      </c>
      <c r="G36" s="3">
        <v>3.3788704363158701</v>
      </c>
      <c r="H36" s="3">
        <v>4.2566232951870502</v>
      </c>
      <c r="I36" s="3">
        <v>1.22228062311592</v>
      </c>
      <c r="J36" s="3">
        <v>2.1133184846347599</v>
      </c>
      <c r="K36" s="3">
        <v>3.49149768559694</v>
      </c>
      <c r="L36" s="3">
        <v>2.8388598865328798</v>
      </c>
      <c r="M36" s="3">
        <v>3.6441262141201398</v>
      </c>
      <c r="N36" s="3">
        <v>4.4389166641506899</v>
      </c>
    </row>
    <row r="37" spans="1:14" x14ac:dyDescent="0.35">
      <c r="A37" s="2">
        <v>42811</v>
      </c>
      <c r="B37" s="3">
        <v>4.5963088148128701</v>
      </c>
      <c r="C37" s="3">
        <v>4.5523279458675798</v>
      </c>
      <c r="D37" s="3">
        <v>2.9168189117046901</v>
      </c>
      <c r="E37" s="3">
        <v>2.9358251026174398</v>
      </c>
      <c r="F37" s="3">
        <v>2.1346583131967898</v>
      </c>
      <c r="G37" s="3">
        <v>3.3236699324429999</v>
      </c>
      <c r="H37" s="3">
        <v>4.2851686566291303</v>
      </c>
      <c r="I37" s="3">
        <v>1.2115395831872899</v>
      </c>
      <c r="J37" s="3">
        <v>2.0988752808481701</v>
      </c>
      <c r="K37" s="3">
        <v>3.4038990585678901</v>
      </c>
      <c r="L37" s="3">
        <v>2.7613475358337598</v>
      </c>
      <c r="M37" s="3">
        <v>3.63830171573328</v>
      </c>
      <c r="N37" s="3">
        <v>3.9863165802137002</v>
      </c>
    </row>
    <row r="38" spans="1:14" x14ac:dyDescent="0.35">
      <c r="A38" s="2">
        <v>42843</v>
      </c>
      <c r="B38" s="3">
        <v>4.5646845439164299</v>
      </c>
      <c r="C38" s="3">
        <v>4.5366961745882701</v>
      </c>
      <c r="D38" s="3">
        <v>2.92164313635441</v>
      </c>
      <c r="E38" s="3">
        <v>2.9706868172864098</v>
      </c>
      <c r="F38" s="3">
        <v>2.2924208546233098</v>
      </c>
      <c r="G38" s="3">
        <v>3.46438664289369</v>
      </c>
      <c r="H38" s="3">
        <v>4.4251504919618601</v>
      </c>
      <c r="I38" s="3">
        <v>1.22407711765224</v>
      </c>
      <c r="J38" s="3">
        <v>2.1422831361168</v>
      </c>
      <c r="K38" s="3">
        <v>3.44040193220652</v>
      </c>
      <c r="L38" s="3">
        <v>2.7972845459927398</v>
      </c>
      <c r="M38" s="3">
        <v>3.6966450654636902</v>
      </c>
      <c r="N38" s="3">
        <v>4.1260138764585399</v>
      </c>
    </row>
    <row r="39" spans="1:14" x14ac:dyDescent="0.35">
      <c r="A39" s="2">
        <v>42873</v>
      </c>
      <c r="B39" s="3">
        <v>4.5134926821528101</v>
      </c>
      <c r="C39" s="3">
        <v>4.6387655650060298</v>
      </c>
      <c r="D39" s="3">
        <v>3.0129478142556501</v>
      </c>
      <c r="E39" s="3">
        <v>2.9307969861816399</v>
      </c>
      <c r="F39" s="3">
        <v>2.2037430605142698</v>
      </c>
      <c r="G39" s="3">
        <v>3.3315107329667302</v>
      </c>
      <c r="H39" s="3">
        <v>4.2506181408856403</v>
      </c>
      <c r="I39" s="3">
        <v>1.1881659757060199</v>
      </c>
      <c r="J39" s="3">
        <v>2.1351349879955599</v>
      </c>
      <c r="K39" s="3">
        <v>3.2611972028856702</v>
      </c>
      <c r="L39" s="3">
        <v>2.75399925229295</v>
      </c>
      <c r="M39" s="3">
        <v>3.4304055115749299</v>
      </c>
      <c r="N39" s="3">
        <v>3.8097312120563598</v>
      </c>
    </row>
    <row r="40" spans="1:14" x14ac:dyDescent="0.35">
      <c r="A40" s="2">
        <v>42902</v>
      </c>
      <c r="B40" s="3">
        <v>4.3972567422723996</v>
      </c>
      <c r="C40" s="3">
        <v>4.6055726321059796</v>
      </c>
      <c r="D40" s="3">
        <v>3.03561012837462</v>
      </c>
      <c r="E40" s="3">
        <v>2.9239219170810502</v>
      </c>
      <c r="F40" s="3">
        <v>2.1818093094039299</v>
      </c>
      <c r="G40" s="3">
        <v>3.27060393818847</v>
      </c>
      <c r="H40" s="3">
        <v>4.2805682780138703</v>
      </c>
      <c r="I40" s="3">
        <v>1.1841711194523901</v>
      </c>
      <c r="J40" s="3">
        <v>2.0865770458337698</v>
      </c>
      <c r="K40" s="3">
        <v>3.2865296113915199</v>
      </c>
      <c r="L40" s="3">
        <v>2.74498051575446</v>
      </c>
      <c r="M40" s="3">
        <v>3.5232241665946402</v>
      </c>
      <c r="N40" s="3">
        <v>3.7853080044945</v>
      </c>
    </row>
    <row r="41" spans="1:14" x14ac:dyDescent="0.35">
      <c r="A41" s="2">
        <v>42934</v>
      </c>
      <c r="B41" s="3">
        <v>4.3935477464985304</v>
      </c>
      <c r="C41" s="3">
        <v>4.6151444174931102</v>
      </c>
      <c r="D41" s="3">
        <v>3.0470886985031602</v>
      </c>
      <c r="E41" s="3">
        <v>3.0152306639221602</v>
      </c>
      <c r="F41" s="3">
        <v>2.1663708954363901</v>
      </c>
      <c r="G41" s="3">
        <v>3.2662174669906299</v>
      </c>
      <c r="H41" s="3">
        <v>4.2974590871711502</v>
      </c>
      <c r="I41" s="3">
        <v>1.1705016148492999</v>
      </c>
      <c r="J41" s="3">
        <v>2.0893290773198299</v>
      </c>
      <c r="K41" s="3">
        <v>3.35506506266417</v>
      </c>
      <c r="L41" s="3">
        <v>2.7890817952748601</v>
      </c>
      <c r="M41" s="3">
        <v>3.6157139977435402</v>
      </c>
      <c r="N41" s="3">
        <v>3.7646844778202402</v>
      </c>
    </row>
    <row r="42" spans="1:14" x14ac:dyDescent="0.35">
      <c r="A42" s="2">
        <v>42965</v>
      </c>
      <c r="B42" s="3">
        <v>4.3164240788739496</v>
      </c>
      <c r="C42" s="3">
        <v>4.5450769294858704</v>
      </c>
      <c r="D42" s="3">
        <v>3.0902377614944698</v>
      </c>
      <c r="E42" s="3">
        <v>3.1177176948962999</v>
      </c>
      <c r="F42" s="3">
        <v>2.2175294405593302</v>
      </c>
      <c r="G42" s="3">
        <v>3.33854731677605</v>
      </c>
      <c r="H42" s="3">
        <v>4.3894288421289502</v>
      </c>
      <c r="I42" s="3">
        <v>1.19792496937399</v>
      </c>
      <c r="J42" s="3">
        <v>2.13162864726519</v>
      </c>
      <c r="K42" s="3">
        <v>3.4111370490711899</v>
      </c>
      <c r="L42" s="3">
        <v>2.8088726025717499</v>
      </c>
      <c r="M42" s="3">
        <v>3.7928706729305302</v>
      </c>
      <c r="N42" s="3">
        <v>3.7637243979391499</v>
      </c>
    </row>
    <row r="43" spans="1:14" x14ac:dyDescent="0.35">
      <c r="A43" s="2">
        <v>42996</v>
      </c>
      <c r="B43" s="3">
        <v>4.4520171141967397</v>
      </c>
      <c r="C43" s="3">
        <v>4.58276776137191</v>
      </c>
      <c r="D43" s="3">
        <v>3.0630526230081498</v>
      </c>
      <c r="E43" s="3">
        <v>3.0424178198340002</v>
      </c>
      <c r="F43" s="3">
        <v>2.1973656864568998</v>
      </c>
      <c r="G43" s="3">
        <v>3.2811862197591299</v>
      </c>
      <c r="H43" s="3">
        <v>4.3515433125471397</v>
      </c>
      <c r="I43" s="3">
        <v>1.16243030629624</v>
      </c>
      <c r="J43" s="3">
        <v>2.0711223717103802</v>
      </c>
      <c r="K43" s="3">
        <v>3.34248411890569</v>
      </c>
      <c r="L43" s="3">
        <v>2.8046722481156698</v>
      </c>
      <c r="M43" s="3">
        <v>3.6901738833551301</v>
      </c>
      <c r="N43" s="3">
        <v>3.70665795433972</v>
      </c>
    </row>
    <row r="44" spans="1:14" x14ac:dyDescent="0.35">
      <c r="A44" s="2">
        <v>43026</v>
      </c>
      <c r="B44" s="3">
        <v>4.3474669913041</v>
      </c>
      <c r="C44" s="3">
        <v>4.4901819565498204</v>
      </c>
      <c r="D44" s="3">
        <v>2.9545311868866699</v>
      </c>
      <c r="E44" s="3">
        <v>2.9451105286204302</v>
      </c>
      <c r="F44" s="3">
        <v>2.1024414903791899</v>
      </c>
      <c r="G44" s="3">
        <v>3.2377322823799699</v>
      </c>
      <c r="H44" s="3">
        <v>4.26817368488196</v>
      </c>
      <c r="I44" s="3">
        <v>1.1406913341471001</v>
      </c>
      <c r="J44" s="3">
        <v>2.03491244531615</v>
      </c>
      <c r="K44" s="3">
        <v>3.2756793287759001</v>
      </c>
      <c r="L44" s="3">
        <v>2.7463391264584698</v>
      </c>
      <c r="M44" s="3">
        <v>3.5681633816885001</v>
      </c>
      <c r="N44" s="3">
        <v>3.8314244834064199</v>
      </c>
    </row>
    <row r="45" spans="1:14" x14ac:dyDescent="0.35">
      <c r="A45" s="2">
        <v>43056</v>
      </c>
      <c r="B45" s="3">
        <v>4.4109494783467298</v>
      </c>
      <c r="C45" s="3">
        <v>4.4920154688001599</v>
      </c>
      <c r="D45" s="3">
        <v>2.9274110237563602</v>
      </c>
      <c r="E45" s="3">
        <v>2.9571967747432901</v>
      </c>
      <c r="F45" s="3">
        <v>2.0895612701289901</v>
      </c>
      <c r="G45" s="3">
        <v>3.2745856005257599</v>
      </c>
      <c r="H45" s="3">
        <v>4.3905943990352103</v>
      </c>
      <c r="I45" s="3">
        <v>1.1103940742871801</v>
      </c>
      <c r="J45" s="3">
        <v>2.0195176532151899</v>
      </c>
      <c r="K45" s="3">
        <v>3.3416682622057898</v>
      </c>
      <c r="L45" s="3">
        <v>2.8439330676821699</v>
      </c>
      <c r="M45" s="3">
        <v>3.6414021338989602</v>
      </c>
      <c r="N45" s="3">
        <v>3.9226686147602301</v>
      </c>
    </row>
    <row r="46" spans="1:14" x14ac:dyDescent="0.35">
      <c r="A46" s="2">
        <v>43087</v>
      </c>
      <c r="B46" s="3">
        <v>4.2279226025675101</v>
      </c>
      <c r="C46" s="3">
        <v>4.4802022956662704</v>
      </c>
      <c r="D46" s="3">
        <v>2.91178706250022</v>
      </c>
      <c r="E46" s="3">
        <v>2.8636495629398899</v>
      </c>
      <c r="F46" s="3">
        <v>2.0528279083483998</v>
      </c>
      <c r="G46" s="3">
        <v>3.19530609284126</v>
      </c>
      <c r="H46" s="3">
        <v>4.2855083461834003</v>
      </c>
      <c r="I46" s="3">
        <v>1.07906830380132</v>
      </c>
      <c r="J46" s="3">
        <v>1.9461014755502399</v>
      </c>
      <c r="K46" s="3">
        <v>3.2557103609646698</v>
      </c>
      <c r="L46" s="3">
        <v>2.7989252999829199</v>
      </c>
      <c r="M46" s="3">
        <v>3.6770131064749698</v>
      </c>
      <c r="N46" s="3">
        <v>3.87702585838985</v>
      </c>
    </row>
    <row r="47" spans="1:14" x14ac:dyDescent="0.35">
      <c r="A47" s="2">
        <v>43118</v>
      </c>
      <c r="B47" s="3">
        <v>4.2846469391850199</v>
      </c>
      <c r="C47" s="3">
        <v>4.5292682609686397</v>
      </c>
      <c r="D47" s="3">
        <v>2.9026474979902601</v>
      </c>
      <c r="E47" s="3">
        <v>2.8801871274447</v>
      </c>
      <c r="F47" s="3">
        <v>1.9966293088187701</v>
      </c>
      <c r="G47" s="3">
        <v>3.1815242560959698</v>
      </c>
      <c r="H47" s="3">
        <v>4.1824043665724</v>
      </c>
      <c r="I47" s="3">
        <v>1.0392840812256601</v>
      </c>
      <c r="J47" s="3">
        <v>1.8865714170277801</v>
      </c>
      <c r="K47" s="3">
        <v>3.2194491848131501</v>
      </c>
      <c r="L47" s="3">
        <v>2.7675320941241401</v>
      </c>
      <c r="M47" s="3">
        <v>3.6562417755727101</v>
      </c>
      <c r="N47" s="3">
        <v>3.73747517532804</v>
      </c>
    </row>
    <row r="48" spans="1:14" x14ac:dyDescent="0.35">
      <c r="A48" s="2">
        <v>43147</v>
      </c>
      <c r="B48" s="3">
        <v>4.3958586661376096</v>
      </c>
      <c r="C48" s="3">
        <v>4.6455670556995701</v>
      </c>
      <c r="D48" s="3">
        <v>3.1120355843575802</v>
      </c>
      <c r="E48" s="3">
        <v>3.1143043065409799</v>
      </c>
      <c r="F48" s="3">
        <v>2.1987146831294302</v>
      </c>
      <c r="G48" s="3">
        <v>3.3272749018032202</v>
      </c>
      <c r="H48" s="3">
        <v>4.38697091576425</v>
      </c>
      <c r="I48" s="3">
        <v>1.07551022921951</v>
      </c>
      <c r="J48" s="3">
        <v>1.9639033488611199</v>
      </c>
      <c r="K48" s="3">
        <v>3.3762409839032599</v>
      </c>
      <c r="L48" s="3">
        <v>2.9422214687307302</v>
      </c>
      <c r="M48" s="3">
        <v>3.8880906545787801</v>
      </c>
      <c r="N48" s="3">
        <v>3.9250307391829802</v>
      </c>
    </row>
    <row r="49" spans="1:14" x14ac:dyDescent="0.35">
      <c r="A49" s="2">
        <v>43175</v>
      </c>
      <c r="B49" s="3">
        <v>4.2236547874025101</v>
      </c>
      <c r="C49" s="3">
        <v>4.6797804831310801</v>
      </c>
      <c r="D49" s="3">
        <v>3.1056301166168598</v>
      </c>
      <c r="E49" s="3">
        <v>3.1606718054261198</v>
      </c>
      <c r="F49" s="3">
        <v>2.23127629619239</v>
      </c>
      <c r="G49" s="3">
        <v>3.4427233308913099</v>
      </c>
      <c r="H49" s="3">
        <v>4.5079576677181503</v>
      </c>
      <c r="I49" s="3">
        <v>1.04764985965845</v>
      </c>
      <c r="J49" s="3">
        <v>1.9697714850046899</v>
      </c>
      <c r="K49" s="3">
        <v>3.3845888950857601</v>
      </c>
      <c r="L49" s="3">
        <v>2.9177647552149502</v>
      </c>
      <c r="M49" s="3">
        <v>3.88744848062447</v>
      </c>
      <c r="N49" s="3">
        <v>4.0138424460728803</v>
      </c>
    </row>
    <row r="50" spans="1:14" x14ac:dyDescent="0.35">
      <c r="A50" s="2">
        <v>43208</v>
      </c>
      <c r="B50" s="3">
        <v>4.2886951846848902</v>
      </c>
      <c r="C50" s="3">
        <v>4.7681521637981197</v>
      </c>
      <c r="D50" s="3">
        <v>3.16663565156527</v>
      </c>
      <c r="E50" s="3">
        <v>3.1476239238522901</v>
      </c>
      <c r="F50" s="3">
        <v>2.2342083297344502</v>
      </c>
      <c r="G50" s="3">
        <v>3.4239825596324001</v>
      </c>
      <c r="H50" s="3">
        <v>4.3945279744634798</v>
      </c>
      <c r="I50" s="3">
        <v>1.0867352509839601</v>
      </c>
      <c r="J50" s="3">
        <v>2.01843802190974</v>
      </c>
      <c r="K50" s="3">
        <v>3.34567367045535</v>
      </c>
      <c r="L50" s="3">
        <v>2.9136931292246202</v>
      </c>
      <c r="M50" s="3">
        <v>4.0524072494577998</v>
      </c>
      <c r="N50" s="3">
        <v>3.9132791161871401</v>
      </c>
    </row>
    <row r="51" spans="1:14" x14ac:dyDescent="0.35">
      <c r="A51" s="2">
        <v>43238</v>
      </c>
      <c r="B51" s="3">
        <v>4.2079379691947096</v>
      </c>
      <c r="C51" s="3">
        <v>4.62891811807485</v>
      </c>
      <c r="D51" s="3">
        <v>3.0510189842002</v>
      </c>
      <c r="E51" s="3">
        <v>3.0942485206036898</v>
      </c>
      <c r="F51" s="3">
        <v>2.1760897238028001</v>
      </c>
      <c r="G51" s="3">
        <v>3.4370520939280298</v>
      </c>
      <c r="H51" s="3">
        <v>4.2489289133567301</v>
      </c>
      <c r="I51" s="3">
        <v>1.0975758356040599</v>
      </c>
      <c r="J51" s="3">
        <v>2.0354519873589401</v>
      </c>
      <c r="K51" s="3">
        <v>3.26335878984565</v>
      </c>
      <c r="L51" s="3">
        <v>2.8820753357642102</v>
      </c>
      <c r="M51" s="3">
        <v>3.9441588967668699</v>
      </c>
      <c r="N51" s="3">
        <v>4.0271298103291899</v>
      </c>
    </row>
    <row r="52" spans="1:14" x14ac:dyDescent="0.35">
      <c r="A52" s="2">
        <v>43269</v>
      </c>
      <c r="B52" s="3">
        <v>4.0047162511764203</v>
      </c>
      <c r="C52" s="3">
        <v>4.7243666601187302</v>
      </c>
      <c r="D52" s="3">
        <v>3.0425261356791999</v>
      </c>
      <c r="E52" s="3">
        <v>3.13805354113238</v>
      </c>
      <c r="F52" s="3">
        <v>2.2502745938234998</v>
      </c>
      <c r="G52" s="3">
        <v>3.5972210675628999</v>
      </c>
      <c r="H52" s="3">
        <v>4.3909869654445197</v>
      </c>
      <c r="I52" s="3">
        <v>1.04018742267516</v>
      </c>
      <c r="J52" s="3">
        <v>2.0087654991743098</v>
      </c>
      <c r="K52" s="3">
        <v>3.3803214154491599</v>
      </c>
      <c r="L52" s="3">
        <v>2.8776076067952401</v>
      </c>
      <c r="M52" s="3">
        <v>4.1220305809551796</v>
      </c>
      <c r="N52" s="3">
        <v>4.3918816694805898</v>
      </c>
    </row>
    <row r="53" spans="1:14" x14ac:dyDescent="0.35">
      <c r="A53" s="2">
        <v>43299</v>
      </c>
      <c r="B53" s="3">
        <v>4.0749615677252304</v>
      </c>
      <c r="C53" s="3">
        <v>4.6043042750715699</v>
      </c>
      <c r="D53" s="3">
        <v>3.0487365278546399</v>
      </c>
      <c r="E53" s="3">
        <v>3.1636703723791402</v>
      </c>
      <c r="F53" s="3">
        <v>2.27516761885478</v>
      </c>
      <c r="G53" s="3">
        <v>3.4478631389802201</v>
      </c>
      <c r="H53" s="3">
        <v>4.4164645445403199</v>
      </c>
      <c r="I53" s="3">
        <v>1.03121051046054</v>
      </c>
      <c r="J53" s="3">
        <v>1.9975387581491</v>
      </c>
      <c r="K53" s="3">
        <v>3.3883001838117499</v>
      </c>
      <c r="L53" s="3">
        <v>2.8795240890298799</v>
      </c>
      <c r="M53" s="3">
        <v>4.1406296392688704</v>
      </c>
      <c r="N53" s="3">
        <v>4.4640113912018897</v>
      </c>
    </row>
    <row r="54" spans="1:14" x14ac:dyDescent="0.35">
      <c r="A54" s="2">
        <v>43329</v>
      </c>
      <c r="B54" s="3">
        <v>4.02999009094997</v>
      </c>
      <c r="C54" s="3">
        <v>4.5546858528368102</v>
      </c>
      <c r="D54" s="3">
        <v>3.0875653910289</v>
      </c>
      <c r="E54" s="3">
        <v>3.30404631047552</v>
      </c>
      <c r="F54" s="3">
        <v>2.3571363167612098</v>
      </c>
      <c r="G54" s="3">
        <v>3.4443624173770702</v>
      </c>
      <c r="H54" s="3">
        <v>4.5274438705012701</v>
      </c>
      <c r="I54" s="3">
        <v>1.08343174443854</v>
      </c>
      <c r="J54" s="3">
        <v>1.98834390657188</v>
      </c>
      <c r="K54" s="3">
        <v>3.4908319109852202</v>
      </c>
      <c r="L54" s="3">
        <v>2.9565734826592598</v>
      </c>
      <c r="M54" s="3">
        <v>4.0951742996453397</v>
      </c>
      <c r="N54" s="3">
        <v>4.7053372359055201</v>
      </c>
    </row>
    <row r="55" spans="1:14" x14ac:dyDescent="0.35">
      <c r="A55" s="2">
        <v>43361</v>
      </c>
      <c r="B55" s="3">
        <v>3.9460634073004099</v>
      </c>
      <c r="C55" s="3">
        <v>4.7661847816823801</v>
      </c>
      <c r="D55" s="3">
        <v>3.1468699411201801</v>
      </c>
      <c r="E55" s="3">
        <v>3.32161276605737</v>
      </c>
      <c r="F55" s="3">
        <v>2.2840417766175198</v>
      </c>
      <c r="G55" s="3">
        <v>3.4300611062967801</v>
      </c>
      <c r="H55" s="3">
        <v>4.6247992122529897</v>
      </c>
      <c r="I55" s="3">
        <v>1.0784307480994</v>
      </c>
      <c r="J55" s="3">
        <v>1.95974024764434</v>
      </c>
      <c r="K55" s="3">
        <v>3.4860246662054299</v>
      </c>
      <c r="L55" s="3">
        <v>3.0333831741642499</v>
      </c>
      <c r="M55" s="3">
        <v>4.1259033561630902</v>
      </c>
      <c r="N55" s="3">
        <v>4.57409903242044</v>
      </c>
    </row>
    <row r="56" spans="1:14" x14ac:dyDescent="0.35">
      <c r="A56" s="2">
        <v>43391</v>
      </c>
      <c r="B56" s="3">
        <v>4.2016861985846203</v>
      </c>
      <c r="C56" s="3">
        <v>4.97674056487448</v>
      </c>
      <c r="D56" s="3">
        <v>3.3426818288063398</v>
      </c>
      <c r="E56" s="3">
        <v>3.51172059860775</v>
      </c>
      <c r="F56" s="3">
        <v>2.3685616797053002</v>
      </c>
      <c r="G56" s="3">
        <v>3.5851459567317998</v>
      </c>
      <c r="H56" s="3">
        <v>4.84337983689624</v>
      </c>
      <c r="I56" s="3">
        <v>1.1454018013363401</v>
      </c>
      <c r="J56" s="3">
        <v>2.06891448110474</v>
      </c>
      <c r="K56" s="3">
        <v>3.6848174515094398</v>
      </c>
      <c r="L56" s="3">
        <v>3.1729802720224001</v>
      </c>
      <c r="M56" s="3">
        <v>4.3008853904759503</v>
      </c>
      <c r="N56" s="3">
        <v>5.0904140090352499</v>
      </c>
    </row>
    <row r="57" spans="1:14" x14ac:dyDescent="0.35">
      <c r="A57" s="2">
        <v>43420</v>
      </c>
      <c r="B57" s="3">
        <v>4.2358056780564501</v>
      </c>
      <c r="C57" s="3">
        <v>5.2237283516148896</v>
      </c>
      <c r="D57" s="3">
        <v>3.3939544835930602</v>
      </c>
      <c r="E57" s="3">
        <v>3.6365224523809898</v>
      </c>
      <c r="F57" s="3">
        <v>2.5028888889397298</v>
      </c>
      <c r="G57" s="3">
        <v>3.5657887256342402</v>
      </c>
      <c r="H57" s="3">
        <v>4.9284017371767099</v>
      </c>
      <c r="I57" s="3">
        <v>1.1946007980068301</v>
      </c>
      <c r="J57" s="3">
        <v>2.09826917852094</v>
      </c>
      <c r="K57" s="3">
        <v>3.7664009755233701</v>
      </c>
      <c r="L57" s="3">
        <v>3.2051702115171499</v>
      </c>
      <c r="M57" s="3">
        <v>4.4699384013506496</v>
      </c>
      <c r="N57" s="3">
        <v>5.1721903534940701</v>
      </c>
    </row>
    <row r="58" spans="1:14" x14ac:dyDescent="0.35">
      <c r="A58" s="2">
        <v>43452</v>
      </c>
      <c r="B58" s="3">
        <v>4.22915756435075</v>
      </c>
      <c r="C58" s="3">
        <v>5.4254408324884302</v>
      </c>
      <c r="D58" s="3">
        <v>3.5725284610752199</v>
      </c>
      <c r="E58" s="3">
        <v>3.8878840839689</v>
      </c>
      <c r="F58" s="3">
        <v>2.6054153579175998</v>
      </c>
      <c r="G58" s="3">
        <v>3.6905873601201802</v>
      </c>
      <c r="H58" s="3">
        <v>5.2342839102744296</v>
      </c>
      <c r="I58" s="3">
        <v>1.2902866927229499</v>
      </c>
      <c r="J58" s="3">
        <v>2.2747105669699899</v>
      </c>
      <c r="K58" s="3">
        <v>3.9821277753059099</v>
      </c>
      <c r="L58" s="3">
        <v>3.4110031748016998</v>
      </c>
      <c r="M58" s="3">
        <v>4.6382839536097498</v>
      </c>
      <c r="N58" s="3">
        <v>5.3194275139573204</v>
      </c>
    </row>
    <row r="59" spans="1:14" x14ac:dyDescent="0.35">
      <c r="A59" s="2">
        <v>43483</v>
      </c>
      <c r="B59" s="3">
        <v>4.0373834466379099</v>
      </c>
      <c r="C59" s="3">
        <v>5.0832202253432097</v>
      </c>
      <c r="D59" s="3">
        <v>3.3649424151579601</v>
      </c>
      <c r="E59" s="3">
        <v>3.7141151633146099</v>
      </c>
      <c r="F59" s="3">
        <v>2.6476194049570898</v>
      </c>
      <c r="G59" s="3">
        <v>3.4635429401433799</v>
      </c>
      <c r="H59" s="3">
        <v>5.1148731332854398</v>
      </c>
      <c r="I59" s="3">
        <v>1.2360889910347601</v>
      </c>
      <c r="J59" s="3">
        <v>2.1802797338775899</v>
      </c>
      <c r="K59" s="3">
        <v>3.8790938569913398</v>
      </c>
      <c r="L59" s="3">
        <v>3.3241366164834201</v>
      </c>
      <c r="M59" s="3">
        <v>4.37893456688104</v>
      </c>
      <c r="N59" s="3">
        <v>5.07212143979012</v>
      </c>
    </row>
    <row r="60" spans="1:14" x14ac:dyDescent="0.35">
      <c r="A60" s="2">
        <v>43511</v>
      </c>
      <c r="B60" s="3">
        <v>4.0285821611894903</v>
      </c>
      <c r="C60" s="3">
        <v>4.9593625054295796</v>
      </c>
      <c r="D60" s="3">
        <v>3.30233583513369</v>
      </c>
      <c r="E60" s="3">
        <v>3.6714910407130499</v>
      </c>
      <c r="F60" s="3">
        <v>2.61644662750196</v>
      </c>
      <c r="G60" s="3">
        <v>3.3766955986703699</v>
      </c>
      <c r="H60" s="3">
        <v>4.9429895069669296</v>
      </c>
      <c r="I60" s="3">
        <v>1.1959758197735499</v>
      </c>
      <c r="J60" s="3">
        <v>2.1081699541846199</v>
      </c>
      <c r="K60" s="3">
        <v>3.7069251535267398</v>
      </c>
      <c r="L60" s="3">
        <v>3.1191075135589199</v>
      </c>
      <c r="M60" s="3">
        <v>4.1224156400405603</v>
      </c>
      <c r="N60" s="3">
        <v>4.9193612340890001</v>
      </c>
    </row>
    <row r="61" spans="1:14" x14ac:dyDescent="0.35">
      <c r="A61" s="2">
        <v>43542</v>
      </c>
      <c r="B61" s="3">
        <v>3.87259080521858</v>
      </c>
      <c r="C61" s="3">
        <v>4.9450326825669997</v>
      </c>
      <c r="D61" s="3">
        <v>3.2386701864498599</v>
      </c>
      <c r="E61" s="3">
        <v>3.5675175641732699</v>
      </c>
      <c r="F61" s="3">
        <v>2.5585872776616601</v>
      </c>
      <c r="G61" s="3">
        <v>3.3116531475672999</v>
      </c>
      <c r="H61" s="3">
        <v>4.8577437808464996</v>
      </c>
      <c r="I61" s="3">
        <v>1.1412697161321499</v>
      </c>
      <c r="J61" s="3">
        <v>2.0796477550455799</v>
      </c>
      <c r="K61" s="3">
        <v>3.5465427491115502</v>
      </c>
      <c r="L61" s="3">
        <v>3.04109009885337</v>
      </c>
      <c r="M61" s="3">
        <v>4.0799436995744403</v>
      </c>
      <c r="N61" s="3">
        <v>4.7014335639845397</v>
      </c>
    </row>
    <row r="62" spans="1:14" x14ac:dyDescent="0.35">
      <c r="A62" s="2">
        <v>43573</v>
      </c>
      <c r="B62" s="3">
        <v>3.7053522706424702</v>
      </c>
      <c r="C62" s="3">
        <v>4.9071890749254896</v>
      </c>
      <c r="D62" s="3">
        <v>3.1781409264264102</v>
      </c>
      <c r="E62" s="3">
        <v>3.4165338769173399</v>
      </c>
      <c r="F62" s="3">
        <v>2.56631366895633</v>
      </c>
      <c r="G62" s="3">
        <v>3.2880070669422299</v>
      </c>
      <c r="H62" s="3">
        <v>4.8220768974166903</v>
      </c>
      <c r="I62" s="3">
        <v>1.1004173465179501</v>
      </c>
      <c r="J62" s="3">
        <v>2.0486549005715098</v>
      </c>
      <c r="K62" s="3">
        <v>3.4723192274072199</v>
      </c>
      <c r="L62" s="3">
        <v>2.95777907764433</v>
      </c>
      <c r="M62" s="3">
        <v>3.96434695606085</v>
      </c>
      <c r="N62" s="3">
        <v>4.6089562362465504</v>
      </c>
    </row>
    <row r="63" spans="1:14" x14ac:dyDescent="0.35">
      <c r="A63" s="2">
        <v>43602</v>
      </c>
      <c r="B63" s="3">
        <v>3.66575340239948</v>
      </c>
      <c r="C63" s="3">
        <v>4.8554133020960402</v>
      </c>
      <c r="D63" s="3">
        <v>3.2969120635823099</v>
      </c>
      <c r="E63" s="3">
        <v>3.5050223889262502</v>
      </c>
      <c r="F63" s="3">
        <v>2.6666226118718499</v>
      </c>
      <c r="G63" s="3">
        <v>3.2914434844968001</v>
      </c>
      <c r="H63" s="3">
        <v>4.93330965937235</v>
      </c>
      <c r="I63" s="3">
        <v>1.13461876556907</v>
      </c>
      <c r="J63" s="3">
        <v>2.0908482574389899</v>
      </c>
      <c r="K63" s="3">
        <v>3.5673970690891901</v>
      </c>
      <c r="L63" s="3">
        <v>3.0295237356265901</v>
      </c>
      <c r="M63" s="3">
        <v>4.19112178304092</v>
      </c>
      <c r="N63" s="3">
        <v>4.8213518921036798</v>
      </c>
    </row>
    <row r="64" spans="1:14" x14ac:dyDescent="0.35">
      <c r="A64" s="2">
        <v>43634</v>
      </c>
      <c r="B64" s="3">
        <v>3.66335689286533</v>
      </c>
      <c r="C64" s="3">
        <v>4.6647921838237503</v>
      </c>
      <c r="D64" s="3">
        <v>3.2931748799240701</v>
      </c>
      <c r="E64" s="3">
        <v>3.5117586367906299</v>
      </c>
      <c r="F64" s="3">
        <v>2.7253142993695798</v>
      </c>
      <c r="G64" s="3">
        <v>3.21003685849989</v>
      </c>
      <c r="H64" s="3">
        <v>4.7935298200038101</v>
      </c>
      <c r="I64" s="3">
        <v>1.1225770625765601</v>
      </c>
      <c r="J64" s="3">
        <v>2.0622266908881799</v>
      </c>
      <c r="K64" s="3">
        <v>3.5395293900841298</v>
      </c>
      <c r="L64" s="3">
        <v>3.03577739490688</v>
      </c>
      <c r="M64" s="3">
        <v>4.1908696408346104</v>
      </c>
      <c r="N64" s="3">
        <v>4.8459968176775901</v>
      </c>
    </row>
    <row r="65" spans="1:14" x14ac:dyDescent="0.35">
      <c r="A65" s="2">
        <v>43664</v>
      </c>
      <c r="B65" s="3">
        <v>3.4302335732679698</v>
      </c>
      <c r="C65" s="3">
        <v>4.60366493040884</v>
      </c>
      <c r="D65" s="3">
        <v>3.3169578067637602</v>
      </c>
      <c r="E65" s="3">
        <v>3.48570311267477</v>
      </c>
      <c r="F65" s="3">
        <v>2.7155806386105401</v>
      </c>
      <c r="G65" s="3">
        <v>3.19870640978022</v>
      </c>
      <c r="H65" s="3">
        <v>4.8249968549895002</v>
      </c>
      <c r="I65" s="3">
        <v>1.0856203699582401</v>
      </c>
      <c r="J65" s="3">
        <v>2.0194563186458199</v>
      </c>
      <c r="K65" s="3">
        <v>3.53363978602767</v>
      </c>
      <c r="L65" s="3">
        <v>2.9437036955216902</v>
      </c>
      <c r="M65" s="3">
        <v>4.1144748577367496</v>
      </c>
      <c r="N65" s="3">
        <v>4.6653510772926596</v>
      </c>
    </row>
    <row r="66" spans="1:14" x14ac:dyDescent="0.35">
      <c r="A66" s="2">
        <v>43693</v>
      </c>
      <c r="B66" s="3">
        <v>3.4806186740490301</v>
      </c>
      <c r="C66" s="3">
        <v>4.7719494142005097</v>
      </c>
      <c r="D66" s="3">
        <v>3.4360843370924199</v>
      </c>
      <c r="E66" s="3">
        <v>3.6392544086428802</v>
      </c>
      <c r="F66" s="3">
        <v>2.8038415397096799</v>
      </c>
      <c r="G66" s="3">
        <v>3.29323438479681</v>
      </c>
      <c r="H66" s="3">
        <v>5.1542738645309996</v>
      </c>
      <c r="I66" s="3">
        <v>1.1285316484043699</v>
      </c>
      <c r="J66" s="3">
        <v>2.1022358907475098</v>
      </c>
      <c r="K66" s="3">
        <v>3.7148551393360298</v>
      </c>
      <c r="L66" s="3">
        <v>3.0256457133094501</v>
      </c>
      <c r="M66" s="3">
        <v>4.3252603492905202</v>
      </c>
      <c r="N66" s="3">
        <v>5.10238955572681</v>
      </c>
    </row>
    <row r="67" spans="1:14" x14ac:dyDescent="0.35">
      <c r="A67" s="2">
        <v>43726</v>
      </c>
      <c r="B67" s="3">
        <v>3.3775781637234501</v>
      </c>
      <c r="C67" s="3">
        <v>4.4532013534128696</v>
      </c>
      <c r="D67" s="3">
        <v>3.2990366180211401</v>
      </c>
      <c r="E67" s="3">
        <v>3.40148424619104</v>
      </c>
      <c r="F67" s="3">
        <v>2.5866469884387602</v>
      </c>
      <c r="G67" s="3">
        <v>3.21831526598451</v>
      </c>
      <c r="H67" s="3">
        <v>4.93558578111851</v>
      </c>
      <c r="I67" s="3">
        <v>1.0938485468261001</v>
      </c>
      <c r="J67" s="3">
        <v>2.0313515835023401</v>
      </c>
      <c r="K67" s="3">
        <v>3.5147295400468699</v>
      </c>
      <c r="L67" s="3">
        <v>2.74588343932367</v>
      </c>
      <c r="M67" s="3">
        <v>3.89842056387304</v>
      </c>
      <c r="N67" s="3">
        <v>4.7648716617621503</v>
      </c>
    </row>
    <row r="68" spans="1:14" x14ac:dyDescent="0.35">
      <c r="A68" s="2">
        <v>43756</v>
      </c>
      <c r="B68" s="3">
        <v>3.2955096328446301</v>
      </c>
      <c r="C68" s="3">
        <v>4.4371615426861801</v>
      </c>
      <c r="D68" s="3">
        <v>3.3798735259252899</v>
      </c>
      <c r="E68" s="3">
        <v>3.3376327782681501</v>
      </c>
      <c r="F68" s="3">
        <v>2.5732435987789399</v>
      </c>
      <c r="G68" s="3">
        <v>3.22751445493823</v>
      </c>
      <c r="H68" s="3">
        <v>4.9286442889218396</v>
      </c>
      <c r="I68" s="3">
        <v>1.1038044568190699</v>
      </c>
      <c r="J68" s="3">
        <v>2.0544980387018499</v>
      </c>
      <c r="K68" s="3">
        <v>3.51209770241445</v>
      </c>
      <c r="L68" s="3">
        <v>2.7472953950663799</v>
      </c>
      <c r="M68" s="3">
        <v>3.8399256953447898</v>
      </c>
      <c r="N68" s="3">
        <v>4.7094468540645096</v>
      </c>
    </row>
    <row r="69" spans="1:14" x14ac:dyDescent="0.35">
      <c r="A69" s="2">
        <v>43784</v>
      </c>
      <c r="B69" s="3">
        <v>3.3529102884806599</v>
      </c>
      <c r="C69" s="3">
        <v>4.32655033288796</v>
      </c>
      <c r="D69" s="3">
        <v>3.24560170914196</v>
      </c>
      <c r="E69" s="3">
        <v>3.12058324061507</v>
      </c>
      <c r="F69" s="3">
        <v>2.4713619156101401</v>
      </c>
      <c r="G69" s="3">
        <v>3.12120591475967</v>
      </c>
      <c r="H69" s="3">
        <v>4.8032999270792196</v>
      </c>
      <c r="I69" s="3">
        <v>1.0570611803008401</v>
      </c>
      <c r="J69" s="3">
        <v>1.98008937503882</v>
      </c>
      <c r="K69" s="3">
        <v>3.3595110267594701</v>
      </c>
      <c r="L69" s="3">
        <v>2.64504965820371</v>
      </c>
      <c r="M69" s="3">
        <v>3.6793363270295201</v>
      </c>
      <c r="N69" s="3">
        <v>4.5329913097660803</v>
      </c>
    </row>
    <row r="70" spans="1:14" x14ac:dyDescent="0.35">
      <c r="A70" s="2">
        <v>43817</v>
      </c>
      <c r="B70" s="3">
        <v>3.2030271555741998</v>
      </c>
      <c r="C70" s="3">
        <v>4.2244680825023604</v>
      </c>
      <c r="D70" s="3">
        <v>3.2579407494352801</v>
      </c>
      <c r="E70" s="3">
        <v>3.0946606734684501</v>
      </c>
      <c r="F70" s="3">
        <v>2.41660068204592</v>
      </c>
      <c r="G70" s="3">
        <v>3.07009863648479</v>
      </c>
      <c r="H70" s="3">
        <v>4.59969138504729</v>
      </c>
      <c r="I70" s="3">
        <v>1.05979996496252</v>
      </c>
      <c r="J70" s="3">
        <v>1.9555595901742899</v>
      </c>
      <c r="K70" s="3">
        <v>3.36131462877275</v>
      </c>
      <c r="L70" s="3">
        <v>2.5987937226574598</v>
      </c>
      <c r="M70" s="3">
        <v>3.5668989256816999</v>
      </c>
      <c r="N70" s="3">
        <v>4.46580460180627</v>
      </c>
    </row>
    <row r="71" spans="1:14" x14ac:dyDescent="0.35">
      <c r="A71" s="2">
        <v>43847</v>
      </c>
      <c r="B71" s="3">
        <v>3.0882819784322302</v>
      </c>
      <c r="C71" s="3">
        <v>4.1227299844786502</v>
      </c>
      <c r="D71" s="3">
        <v>3.2113730137079899</v>
      </c>
      <c r="E71" s="3">
        <v>3.0382588387476002</v>
      </c>
      <c r="F71" s="3">
        <v>2.4229258842840302</v>
      </c>
      <c r="G71" s="3">
        <v>2.9842273900563998</v>
      </c>
      <c r="H71" s="3">
        <v>4.5267949364873701</v>
      </c>
      <c r="I71" s="3">
        <v>1.0011926549438099</v>
      </c>
      <c r="J71" s="3">
        <v>1.8847425225352501</v>
      </c>
      <c r="K71" s="3">
        <v>3.2871063743425601</v>
      </c>
      <c r="L71" s="3">
        <v>2.5745146130840499</v>
      </c>
      <c r="M71" s="3">
        <v>3.4965738086417399</v>
      </c>
      <c r="N71" s="3">
        <v>4.4043477400786797</v>
      </c>
    </row>
    <row r="72" spans="1:14" x14ac:dyDescent="0.35">
      <c r="A72" s="2">
        <v>43879</v>
      </c>
      <c r="B72" s="3">
        <v>3.0407135877895799</v>
      </c>
      <c r="C72" s="3">
        <v>4.0617876104280599</v>
      </c>
      <c r="D72" s="3">
        <v>3.21508857350989</v>
      </c>
      <c r="E72" s="3">
        <v>3.0171965543607899</v>
      </c>
      <c r="F72" s="3">
        <v>2.5201589138020801</v>
      </c>
      <c r="G72" s="3">
        <v>2.9321683583173499</v>
      </c>
      <c r="H72" s="3">
        <v>4.7095192212260297</v>
      </c>
      <c r="I72" s="3">
        <v>0.95857984245806305</v>
      </c>
      <c r="J72" s="3">
        <v>1.87547686452081</v>
      </c>
      <c r="K72" s="3">
        <v>3.2893661838349901</v>
      </c>
      <c r="L72" s="3">
        <v>2.49261328818368</v>
      </c>
      <c r="M72" s="3">
        <v>3.4233463357984402</v>
      </c>
      <c r="N72" s="3">
        <v>4.3922310337886197</v>
      </c>
    </row>
    <row r="73" spans="1:14" x14ac:dyDescent="0.35">
      <c r="A73" s="2">
        <v>43908</v>
      </c>
      <c r="B73" s="3">
        <v>3.76471332409713</v>
      </c>
      <c r="C73" s="3">
        <v>5.8210006270701697</v>
      </c>
      <c r="D73" s="3">
        <v>4.9606404174757701</v>
      </c>
      <c r="E73" s="3">
        <v>4.8417821256364899</v>
      </c>
      <c r="F73" s="3">
        <v>3.2919059566512701</v>
      </c>
      <c r="G73" s="3">
        <v>3.9309354264907399</v>
      </c>
      <c r="H73" s="3">
        <v>7.1297621466653904</v>
      </c>
      <c r="I73" s="3">
        <v>1.2943831037245599</v>
      </c>
      <c r="J73" s="3">
        <v>2.63953254932545</v>
      </c>
      <c r="K73" s="3">
        <v>5.2481554340615402</v>
      </c>
      <c r="L73" s="3">
        <v>3.8253400948159602</v>
      </c>
      <c r="M73" s="3">
        <v>4.7789856393162502</v>
      </c>
      <c r="N73" s="3">
        <v>7.0148410442448297</v>
      </c>
    </row>
    <row r="74" spans="1:14" x14ac:dyDescent="0.35">
      <c r="A74" s="2">
        <v>43938</v>
      </c>
      <c r="B74" s="3">
        <v>2.6967849350156499</v>
      </c>
      <c r="C74" s="3">
        <v>4.2906887378623999</v>
      </c>
      <c r="D74" s="3">
        <v>4.0173274114853301</v>
      </c>
      <c r="E74" s="3">
        <v>3.49349703415107</v>
      </c>
      <c r="F74" s="3">
        <v>2.8466046297941898</v>
      </c>
      <c r="G74" s="3">
        <v>3.33388939220045</v>
      </c>
      <c r="H74" s="3">
        <v>5.6901027777493303</v>
      </c>
      <c r="I74" s="3">
        <v>1.04959925817893</v>
      </c>
      <c r="J74" s="3">
        <v>2.14012061352184</v>
      </c>
      <c r="K74" s="3">
        <v>3.7878367330729099</v>
      </c>
      <c r="L74" s="3">
        <v>2.8504699437598302</v>
      </c>
      <c r="M74" s="3">
        <v>3.4471789549535301</v>
      </c>
      <c r="N74" s="3">
        <v>5.83046663565817</v>
      </c>
    </row>
    <row r="75" spans="1:14" x14ac:dyDescent="0.35">
      <c r="A75" s="2">
        <v>43969</v>
      </c>
      <c r="B75" s="3">
        <v>2.61427378938233</v>
      </c>
      <c r="C75" s="3">
        <v>3.79016215805302</v>
      </c>
      <c r="D75" s="3">
        <v>3.8006428356545299</v>
      </c>
      <c r="E75" s="3">
        <v>3.2752319075673002</v>
      </c>
      <c r="F75" s="3">
        <v>2.7992468648496698</v>
      </c>
      <c r="G75" s="3">
        <v>3.2157710210836399</v>
      </c>
      <c r="H75" s="3">
        <v>4.3945561186562898</v>
      </c>
      <c r="I75" s="3">
        <v>0.97914579909615496</v>
      </c>
      <c r="J75" s="3">
        <v>2.0527693693978399</v>
      </c>
      <c r="K75" s="3">
        <v>3.51075306035733</v>
      </c>
      <c r="L75" s="3">
        <v>2.5990131145604698</v>
      </c>
      <c r="M75" s="3">
        <v>3.2851194031667501</v>
      </c>
      <c r="N75" s="3">
        <v>4.9543252294727598</v>
      </c>
    </row>
    <row r="76" spans="1:14" x14ac:dyDescent="0.35">
      <c r="A76" s="2">
        <v>44000</v>
      </c>
      <c r="B76" s="3">
        <v>2.5125734021245298</v>
      </c>
      <c r="C76" s="3">
        <v>3.42883168040535</v>
      </c>
      <c r="D76" s="3">
        <v>3.5472585443590101</v>
      </c>
      <c r="E76" s="3">
        <v>2.9044541593647799</v>
      </c>
      <c r="F76" s="3">
        <v>2.4780788131885001</v>
      </c>
      <c r="G76" s="3">
        <v>3.05901856704735</v>
      </c>
      <c r="H76" s="3">
        <v>4.10222697431462</v>
      </c>
      <c r="I76" s="3">
        <v>0.90803791188323002</v>
      </c>
      <c r="J76" s="3">
        <v>1.93286886651364</v>
      </c>
      <c r="K76" s="3">
        <v>3.1457510980149701</v>
      </c>
      <c r="L76" s="3">
        <v>2.3806634866218999</v>
      </c>
      <c r="M76" s="3">
        <v>3.0265223267636299</v>
      </c>
      <c r="N76" s="3">
        <v>4.2907147283594398</v>
      </c>
    </row>
    <row r="77" spans="1:14" x14ac:dyDescent="0.35">
      <c r="A77" s="2">
        <v>44029</v>
      </c>
      <c r="B77" s="3">
        <v>2.4430174207278101</v>
      </c>
      <c r="C77" s="3">
        <v>3.41837081258369</v>
      </c>
      <c r="D77" s="3">
        <v>3.4239207833980498</v>
      </c>
      <c r="E77" s="3">
        <v>2.8068345795369498</v>
      </c>
      <c r="F77" s="3">
        <v>2.4830021263376301</v>
      </c>
      <c r="G77" s="3">
        <v>2.9938219993283499</v>
      </c>
      <c r="H77" s="3">
        <v>3.97825903614762</v>
      </c>
      <c r="I77" s="3">
        <v>0.85778804957864796</v>
      </c>
      <c r="J77" s="3">
        <v>1.84429243146746</v>
      </c>
      <c r="K77" s="3">
        <v>3.0574810490408302</v>
      </c>
      <c r="L77" s="3">
        <v>2.324077545118</v>
      </c>
      <c r="M77" s="3">
        <v>2.9282905079915502</v>
      </c>
      <c r="N77" s="3">
        <v>4.1957287080757704</v>
      </c>
    </row>
    <row r="78" spans="1:14" x14ac:dyDescent="0.35">
      <c r="A78" s="2">
        <v>44061</v>
      </c>
      <c r="B78" s="3">
        <v>2.3764115305525602</v>
      </c>
      <c r="C78" s="3">
        <v>3.3529888310727798</v>
      </c>
      <c r="D78" s="3">
        <v>3.3313192043873001</v>
      </c>
      <c r="E78" s="3">
        <v>2.81392277993741</v>
      </c>
      <c r="F78" s="3">
        <v>2.40329404543585</v>
      </c>
      <c r="G78" s="3">
        <v>2.9491400529207299</v>
      </c>
      <c r="H78" s="3">
        <v>3.9778913587045901</v>
      </c>
      <c r="I78" s="3">
        <v>0.80207205029494999</v>
      </c>
      <c r="J78" s="3">
        <v>1.7581741716492501</v>
      </c>
      <c r="K78" s="3">
        <v>3.1446197941636802</v>
      </c>
      <c r="L78" s="3">
        <v>2.3444477060728999</v>
      </c>
      <c r="M78" s="3">
        <v>3.0187952783814298</v>
      </c>
      <c r="N78" s="3">
        <v>3.9718491110409802</v>
      </c>
    </row>
    <row r="79" spans="1:14" x14ac:dyDescent="0.35">
      <c r="A79" s="2">
        <v>44092</v>
      </c>
      <c r="B79" s="3">
        <v>2.4669632054208201</v>
      </c>
      <c r="C79" s="3">
        <v>3.6185460494892601</v>
      </c>
      <c r="D79" s="3">
        <v>3.4387043280318501</v>
      </c>
      <c r="E79" s="3">
        <v>2.8129156304455498</v>
      </c>
      <c r="F79" s="3">
        <v>2.3499725246559202</v>
      </c>
      <c r="G79" s="3">
        <v>2.8787582459357099</v>
      </c>
      <c r="H79" s="3">
        <v>4.1019504857873397</v>
      </c>
      <c r="I79" s="3">
        <v>0.836947939371678</v>
      </c>
      <c r="J79" s="3">
        <v>1.8002244376072101</v>
      </c>
      <c r="K79" s="3">
        <v>3.1653670205368201</v>
      </c>
      <c r="L79" s="3">
        <v>2.3302442286462099</v>
      </c>
      <c r="M79" s="3">
        <v>2.9636007012519898</v>
      </c>
      <c r="N79" s="3">
        <v>4.0972180767685602</v>
      </c>
    </row>
    <row r="80" spans="1:14" x14ac:dyDescent="0.35">
      <c r="A80" s="2">
        <v>44120</v>
      </c>
      <c r="B80" s="3">
        <v>2.3508735801479199</v>
      </c>
      <c r="C80" s="3">
        <v>3.5636325381602298</v>
      </c>
      <c r="D80" s="3">
        <v>3.39720943577472</v>
      </c>
      <c r="E80" s="3">
        <v>2.8130917074190598</v>
      </c>
      <c r="F80" s="3">
        <v>2.3994509717069801</v>
      </c>
      <c r="G80" s="3">
        <v>2.9640610031654999</v>
      </c>
      <c r="H80" s="3">
        <v>4.2950204318512997</v>
      </c>
      <c r="I80" s="3">
        <v>0.77661825004438201</v>
      </c>
      <c r="J80" s="3">
        <v>1.71781403298747</v>
      </c>
      <c r="K80" s="3">
        <v>3.2064142717446402</v>
      </c>
      <c r="L80" s="3">
        <v>2.2722668351137201</v>
      </c>
      <c r="M80" s="3">
        <v>3.0211529251415499</v>
      </c>
      <c r="N80" s="3">
        <v>4.1389315143047503</v>
      </c>
    </row>
    <row r="81" spans="1:14" x14ac:dyDescent="0.35">
      <c r="A81" s="2">
        <v>44153</v>
      </c>
      <c r="B81" s="3">
        <v>2.3743276205941299</v>
      </c>
      <c r="C81" s="3">
        <v>3.4400316855813902</v>
      </c>
      <c r="D81" s="3">
        <v>3.2651808052995199</v>
      </c>
      <c r="E81" s="3">
        <v>2.82592670791488</v>
      </c>
      <c r="F81" s="3">
        <v>2.25592002536033</v>
      </c>
      <c r="G81" s="3">
        <v>2.86715145208183</v>
      </c>
      <c r="H81" s="3">
        <v>3.9868259034930298</v>
      </c>
      <c r="I81" s="3">
        <v>0.77894448487909795</v>
      </c>
      <c r="J81" s="3">
        <v>1.67933463337181</v>
      </c>
      <c r="K81" s="3">
        <v>2.9026267958131799</v>
      </c>
      <c r="L81" s="3">
        <v>2.1772105563782498</v>
      </c>
      <c r="M81" s="3">
        <v>3.0116357204970798</v>
      </c>
      <c r="N81" s="3">
        <v>3.94143905936604</v>
      </c>
    </row>
    <row r="82" spans="1:14" x14ac:dyDescent="0.35">
      <c r="A82" s="2">
        <v>44183</v>
      </c>
      <c r="B82" s="3">
        <v>2.4570720966671802</v>
      </c>
      <c r="C82" s="3">
        <v>3.5239176249223401</v>
      </c>
      <c r="D82" s="3">
        <v>3.1143015873774198</v>
      </c>
      <c r="E82" s="3">
        <v>2.7224585786397899</v>
      </c>
      <c r="F82" s="3">
        <v>2.1532168881826501</v>
      </c>
      <c r="G82" s="3">
        <v>2.86796468733837</v>
      </c>
      <c r="H82" s="3">
        <v>3.9044137622288702</v>
      </c>
      <c r="I82" s="3">
        <v>0.73249044749509495</v>
      </c>
      <c r="J82" s="3">
        <v>1.6218424589500899</v>
      </c>
      <c r="K82" s="3">
        <v>2.9323489628217598</v>
      </c>
      <c r="L82" s="3">
        <v>2.0298932079729299</v>
      </c>
      <c r="M82" s="3">
        <v>3.07918785637133</v>
      </c>
      <c r="N82" s="3">
        <v>3.9576184699139501</v>
      </c>
    </row>
    <row r="83" spans="1:14" x14ac:dyDescent="0.35">
      <c r="A83" s="2">
        <v>44211</v>
      </c>
      <c r="B83" s="3">
        <v>2.4548774803997899</v>
      </c>
      <c r="C83" s="3">
        <v>3.5583476738329498</v>
      </c>
      <c r="D83" s="3">
        <v>3.0347145820632702</v>
      </c>
      <c r="E83" s="3">
        <v>2.7331116577835801</v>
      </c>
      <c r="F83" s="3">
        <v>2.0855242132070302</v>
      </c>
      <c r="G83" s="3">
        <v>2.8036622942479599</v>
      </c>
      <c r="H83" s="3">
        <v>3.8919815715581301</v>
      </c>
      <c r="I83" s="3">
        <v>0.77115176150699305</v>
      </c>
      <c r="J83" s="3">
        <v>1.57750184465775</v>
      </c>
      <c r="K83" s="3">
        <v>2.9280626323539098</v>
      </c>
      <c r="L83" s="3">
        <v>1.96606909281491</v>
      </c>
      <c r="M83" s="3">
        <v>3.0127729206982998</v>
      </c>
      <c r="N83" s="3">
        <v>3.9855176020304999</v>
      </c>
    </row>
    <row r="84" spans="1:14" x14ac:dyDescent="0.35">
      <c r="A84" s="2">
        <v>44245</v>
      </c>
      <c r="B84" s="3">
        <v>2.5455681250486499</v>
      </c>
      <c r="C84" s="3">
        <v>3.8018145233149698</v>
      </c>
      <c r="D84" s="3">
        <v>2.95102456058504</v>
      </c>
      <c r="E84" s="3">
        <v>2.77299960684647</v>
      </c>
      <c r="F84" s="3">
        <v>2.02397930256409</v>
      </c>
      <c r="G84" s="3">
        <v>2.8453936735089802</v>
      </c>
      <c r="H84" s="3">
        <v>4.0053565931429196</v>
      </c>
      <c r="I84" s="3">
        <v>0.731494847930652</v>
      </c>
      <c r="J84" s="3">
        <v>1.53431157401028</v>
      </c>
      <c r="K84" s="3">
        <v>2.8616123084682301</v>
      </c>
      <c r="L84" s="3">
        <v>1.9152335327319101</v>
      </c>
      <c r="M84" s="3">
        <v>2.98631746002772</v>
      </c>
      <c r="N84" s="3">
        <v>4.0406466001100103</v>
      </c>
    </row>
    <row r="85" spans="1:14" x14ac:dyDescent="0.35">
      <c r="A85" s="2">
        <v>44273</v>
      </c>
      <c r="B85" s="3">
        <v>2.5634635665774601</v>
      </c>
      <c r="C85" s="3">
        <v>3.9028386462246401</v>
      </c>
      <c r="D85" s="3">
        <v>2.8389633353375801</v>
      </c>
      <c r="E85" s="3">
        <v>2.72205186859517</v>
      </c>
      <c r="F85" s="3">
        <v>2.0076395250574102</v>
      </c>
      <c r="G85" s="3">
        <v>2.8207027750342402</v>
      </c>
      <c r="H85" s="3">
        <v>3.9533268928357201</v>
      </c>
      <c r="I85" s="3">
        <v>0.78487934122689795</v>
      </c>
      <c r="J85" s="3">
        <v>1.5443149626513</v>
      </c>
      <c r="K85" s="3">
        <v>2.7368017651133298</v>
      </c>
      <c r="L85" s="3">
        <v>2.0075282747155598</v>
      </c>
      <c r="M85" s="3">
        <v>2.7757278583873402</v>
      </c>
      <c r="N85" s="3">
        <v>4.0134632437123496</v>
      </c>
    </row>
    <row r="86" spans="1:14" x14ac:dyDescent="0.35">
      <c r="A86" s="2">
        <v>44302</v>
      </c>
      <c r="B86" s="3">
        <v>2.56196760003025</v>
      </c>
      <c r="C86" s="3">
        <v>3.85939079817717</v>
      </c>
      <c r="D86" s="3">
        <v>2.7377678768976001</v>
      </c>
      <c r="E86" s="3">
        <v>2.6676902770815198</v>
      </c>
      <c r="F86" s="3">
        <v>2.07493649289888</v>
      </c>
      <c r="G86" s="3">
        <v>2.71758254894283</v>
      </c>
      <c r="H86" s="3">
        <v>3.9279916375724899</v>
      </c>
      <c r="I86" s="3">
        <v>0.71754794976963399</v>
      </c>
      <c r="J86" s="3">
        <v>1.4540453797793</v>
      </c>
      <c r="K86" s="3">
        <v>2.6792662387334798</v>
      </c>
      <c r="L86" s="3">
        <v>1.90607266614583</v>
      </c>
      <c r="M86" s="3">
        <v>2.6773996709321199</v>
      </c>
      <c r="N86" s="3">
        <v>4.0613448081006602</v>
      </c>
    </row>
    <row r="87" spans="1:14" x14ac:dyDescent="0.35">
      <c r="A87" s="2">
        <v>44334</v>
      </c>
      <c r="B87" s="3">
        <v>2.6755476828342202</v>
      </c>
      <c r="C87" s="3">
        <v>3.90787594670637</v>
      </c>
      <c r="D87" s="3">
        <v>2.71183330959312</v>
      </c>
      <c r="E87" s="3">
        <v>2.8189826291936999</v>
      </c>
      <c r="F87" s="3">
        <v>2.1804140602173501</v>
      </c>
      <c r="G87" s="3">
        <v>2.7533963865008499</v>
      </c>
      <c r="H87" s="3">
        <v>3.8965389069403602</v>
      </c>
      <c r="I87" s="3">
        <v>0.76526325952872898</v>
      </c>
      <c r="J87" s="3">
        <v>1.4816375864998901</v>
      </c>
      <c r="K87" s="3">
        <v>2.7173439004624802</v>
      </c>
      <c r="L87" s="3">
        <v>1.9997980646592699</v>
      </c>
      <c r="M87" s="3">
        <v>2.8352534216662599</v>
      </c>
      <c r="N87" s="3">
        <v>4.1616815629889699</v>
      </c>
    </row>
    <row r="88" spans="1:14" x14ac:dyDescent="0.35">
      <c r="A88" s="2">
        <v>44365</v>
      </c>
      <c r="B88" s="3">
        <v>2.68001705021394</v>
      </c>
      <c r="C88" s="3">
        <v>3.88464716373025</v>
      </c>
      <c r="D88" s="3">
        <v>2.5841841593230299</v>
      </c>
      <c r="E88" s="3">
        <v>2.8207430957488899</v>
      </c>
      <c r="F88" s="3">
        <v>2.1782633633322801</v>
      </c>
      <c r="G88" s="3">
        <v>2.6349121131214299</v>
      </c>
      <c r="H88" s="3">
        <v>3.9774847604285499</v>
      </c>
      <c r="I88" s="3">
        <v>0.72745025768778704</v>
      </c>
      <c r="J88" s="3">
        <v>1.4815612930936799</v>
      </c>
      <c r="K88" s="3">
        <v>2.6689363425922799</v>
      </c>
      <c r="L88" s="3">
        <v>2.01673955056041</v>
      </c>
      <c r="M88" s="3">
        <v>2.71030861114013</v>
      </c>
      <c r="N88" s="3">
        <v>4.1161787737800601</v>
      </c>
    </row>
    <row r="89" spans="1:14" x14ac:dyDescent="0.35">
      <c r="A89" s="2">
        <v>44393</v>
      </c>
      <c r="B89" s="3">
        <v>2.6168884274558599</v>
      </c>
      <c r="C89" s="3">
        <v>4.1867600027396499</v>
      </c>
      <c r="D89" s="3">
        <v>2.7423913748421</v>
      </c>
      <c r="E89" s="3">
        <v>2.83445374430217</v>
      </c>
      <c r="F89" s="3">
        <v>2.2254557234654699</v>
      </c>
      <c r="G89" s="3">
        <v>2.6219549006462399</v>
      </c>
      <c r="H89" s="3">
        <v>4.0829688308351804</v>
      </c>
      <c r="I89" s="3">
        <v>0.69988428412920201</v>
      </c>
      <c r="J89" s="3">
        <v>1.4472007978314601</v>
      </c>
      <c r="K89" s="3">
        <v>2.7357767299175002</v>
      </c>
      <c r="L89" s="3">
        <v>2.0199678575506601</v>
      </c>
      <c r="M89" s="3">
        <v>2.68426057221577</v>
      </c>
      <c r="N89" s="3">
        <v>4.2401707888096603</v>
      </c>
    </row>
    <row r="90" spans="1:14" x14ac:dyDescent="0.35">
      <c r="A90" s="2">
        <v>44426</v>
      </c>
      <c r="B90" s="3">
        <v>2.6821496161953502</v>
      </c>
      <c r="C90" s="3">
        <v>4.0752907933276497</v>
      </c>
      <c r="D90" s="3">
        <v>2.7183748797290401</v>
      </c>
      <c r="E90" s="3">
        <v>2.8217174681538899</v>
      </c>
      <c r="F90" s="3">
        <v>2.2709274867257898</v>
      </c>
      <c r="G90" s="3">
        <v>2.53677680783492</v>
      </c>
      <c r="H90" s="3">
        <v>4.1600607329255102</v>
      </c>
      <c r="I90" s="3">
        <v>0.71217925430013296</v>
      </c>
      <c r="J90" s="3">
        <v>1.4347505001032099</v>
      </c>
      <c r="K90" s="3">
        <v>2.7162268514254202</v>
      </c>
      <c r="L90" s="3">
        <v>1.8625831330179701</v>
      </c>
      <c r="M90" s="3">
        <v>2.7427568506557498</v>
      </c>
      <c r="N90" s="3">
        <v>4.3060691747673197</v>
      </c>
    </row>
    <row r="91" spans="1:14" x14ac:dyDescent="0.35">
      <c r="A91" s="2">
        <v>44456</v>
      </c>
      <c r="B91" s="3">
        <v>2.5871272407791102</v>
      </c>
      <c r="C91" s="3">
        <v>4.0988890255172699</v>
      </c>
      <c r="D91" s="3">
        <v>2.7706155274688702</v>
      </c>
      <c r="E91" s="3">
        <v>2.9137704794274</v>
      </c>
      <c r="F91" s="3">
        <v>2.1269036049446299</v>
      </c>
      <c r="G91" s="3">
        <v>2.6748487709520798</v>
      </c>
      <c r="H91" s="3">
        <v>4.2853318548677501</v>
      </c>
      <c r="I91" s="3">
        <v>0.69341769401620701</v>
      </c>
      <c r="J91" s="3">
        <v>1.43173901762723</v>
      </c>
      <c r="K91" s="3">
        <v>2.8222942345308102</v>
      </c>
      <c r="L91" s="3">
        <v>1.85337318279996</v>
      </c>
      <c r="M91" s="3">
        <v>2.78291656286128</v>
      </c>
      <c r="N91" s="3">
        <v>4.5441278435050299</v>
      </c>
    </row>
    <row r="92" spans="1:14" x14ac:dyDescent="0.35">
      <c r="A92" s="2">
        <v>44487</v>
      </c>
      <c r="B92" s="3">
        <v>2.6823882085163899</v>
      </c>
      <c r="C92" s="3">
        <v>3.97565010535906</v>
      </c>
      <c r="D92" s="3">
        <v>2.7046106333746001</v>
      </c>
      <c r="E92" s="3">
        <v>2.9599172673087701</v>
      </c>
      <c r="F92" s="3">
        <v>2.2162577758978501</v>
      </c>
      <c r="G92" s="3">
        <v>2.6927693780870001</v>
      </c>
      <c r="H92" s="3">
        <v>4.0628594145919097</v>
      </c>
      <c r="I92" s="3">
        <v>0.70109033356115102</v>
      </c>
      <c r="J92" s="3">
        <v>1.42424953435735</v>
      </c>
      <c r="K92" s="3">
        <v>2.8417962652422002</v>
      </c>
      <c r="L92" s="3">
        <v>1.93470913595237</v>
      </c>
      <c r="M92" s="3">
        <v>2.8256639764740599</v>
      </c>
      <c r="N92" s="3">
        <v>4.4328295515136604</v>
      </c>
    </row>
    <row r="93" spans="1:14" x14ac:dyDescent="0.35">
      <c r="A93" s="2">
        <v>44518</v>
      </c>
      <c r="B93" s="3">
        <v>2.7397573754052198</v>
      </c>
      <c r="C93" s="3">
        <v>4.0281612870232699</v>
      </c>
      <c r="D93" s="3">
        <v>2.6932160047993099</v>
      </c>
      <c r="E93" s="3">
        <v>2.9302107759287601</v>
      </c>
      <c r="F93" s="3">
        <v>2.2232899547009199</v>
      </c>
      <c r="G93" s="3">
        <v>2.5785957712961101</v>
      </c>
      <c r="H93" s="3">
        <v>4.0506961796011902</v>
      </c>
      <c r="I93" s="3">
        <v>0.65535676654203101</v>
      </c>
      <c r="J93" s="3">
        <v>1.3664830761340401</v>
      </c>
      <c r="K93" s="3">
        <v>2.7174661217629001</v>
      </c>
      <c r="L93" s="3">
        <v>1.83708553992021</v>
      </c>
      <c r="M93" s="3">
        <v>2.9347462138237099</v>
      </c>
      <c r="N93" s="3">
        <v>4.3262713546601903</v>
      </c>
    </row>
    <row r="94" spans="1:14" x14ac:dyDescent="0.35">
      <c r="A94" s="2">
        <v>44547</v>
      </c>
      <c r="B94" s="3">
        <v>2.8054971195546101</v>
      </c>
      <c r="C94" s="3">
        <v>3.9639030979513099</v>
      </c>
      <c r="D94" s="3">
        <v>2.8431435482919398</v>
      </c>
      <c r="E94" s="3">
        <v>3.0832330559958598</v>
      </c>
      <c r="F94" s="3">
        <v>2.3180879999363402</v>
      </c>
      <c r="G94" s="3">
        <v>2.5667918358259398</v>
      </c>
      <c r="H94" s="3">
        <v>4.0174725068855599</v>
      </c>
      <c r="I94" s="3">
        <v>0.68901613800858197</v>
      </c>
      <c r="J94" s="3">
        <v>1.3973226631159801</v>
      </c>
      <c r="K94" s="3">
        <v>2.82357296380611</v>
      </c>
      <c r="L94" s="3">
        <v>2.0080865542202</v>
      </c>
      <c r="M94" s="3">
        <v>2.97097185833616</v>
      </c>
      <c r="N94" s="3">
        <v>4.6980861489123402</v>
      </c>
    </row>
    <row r="95" spans="1:14" x14ac:dyDescent="0.35">
      <c r="A95" s="2">
        <v>44579</v>
      </c>
      <c r="B95" s="3">
        <v>2.8423847005522198</v>
      </c>
      <c r="C95" s="3">
        <v>3.9023644807006201</v>
      </c>
      <c r="D95" s="3">
        <v>2.7871592283203901</v>
      </c>
      <c r="E95" s="3">
        <v>3.0909734521072698</v>
      </c>
      <c r="F95" s="3">
        <v>2.3500633954093502</v>
      </c>
      <c r="G95" s="3">
        <v>2.6374684291173001</v>
      </c>
      <c r="H95" s="3">
        <v>3.8361715784784298</v>
      </c>
      <c r="I95" s="3">
        <v>0.71902365736417795</v>
      </c>
      <c r="J95" s="3">
        <v>1.41608197691966</v>
      </c>
      <c r="K95" s="3">
        <v>2.78495833078127</v>
      </c>
      <c r="L95" s="3">
        <v>2.03817765799494</v>
      </c>
      <c r="M95" s="3">
        <v>2.8128983139255799</v>
      </c>
      <c r="N95" s="3">
        <v>4.6353212900209702</v>
      </c>
    </row>
    <row r="96" spans="1:14" x14ac:dyDescent="0.35">
      <c r="A96" s="2">
        <v>44610</v>
      </c>
      <c r="B96" s="3">
        <v>2.9952490545086299</v>
      </c>
      <c r="C96" s="3">
        <v>4.30660238195959</v>
      </c>
      <c r="D96" s="3">
        <v>2.8718280154101201</v>
      </c>
      <c r="E96" s="3">
        <v>3.3004058297646801</v>
      </c>
      <c r="F96" s="3">
        <v>2.4766957038611901</v>
      </c>
      <c r="G96" s="3">
        <v>2.7905322962796602</v>
      </c>
      <c r="H96" s="3">
        <v>3.8392393982199899</v>
      </c>
      <c r="I96" s="3">
        <v>0.79325830669337904</v>
      </c>
      <c r="J96" s="3">
        <v>1.51283470727679</v>
      </c>
      <c r="K96" s="3">
        <v>2.9508587885195698</v>
      </c>
      <c r="L96" s="3">
        <v>2.25422524696023</v>
      </c>
      <c r="M96" s="3">
        <v>3.0680029603013801</v>
      </c>
      <c r="N96" s="3">
        <v>4.8796272158819303</v>
      </c>
    </row>
    <row r="97" spans="1:14" x14ac:dyDescent="0.35">
      <c r="A97" s="2">
        <v>44638</v>
      </c>
      <c r="B97" s="3">
        <v>3.0189098779665602</v>
      </c>
      <c r="C97" s="3">
        <v>4.2344433873843803</v>
      </c>
      <c r="D97" s="3">
        <v>2.80596353088321</v>
      </c>
      <c r="E97" s="3">
        <v>3.5096794176649801</v>
      </c>
      <c r="F97" s="3">
        <v>2.55499825223119</v>
      </c>
      <c r="G97" s="3">
        <v>2.7719871706838202</v>
      </c>
      <c r="H97" s="3">
        <v>3.9901141540290901</v>
      </c>
      <c r="I97" s="3">
        <v>0.78066427315944398</v>
      </c>
      <c r="J97" s="3">
        <v>1.4776748262120301</v>
      </c>
      <c r="K97" s="3">
        <v>3.1085936770954299</v>
      </c>
      <c r="L97" s="3">
        <v>2.2457920887425802</v>
      </c>
      <c r="M97" s="3">
        <v>3.0248663323215199</v>
      </c>
      <c r="N97" s="3">
        <v>5.2267751703213596</v>
      </c>
    </row>
    <row r="98" spans="1:14" x14ac:dyDescent="0.35">
      <c r="A98" s="2">
        <v>44669</v>
      </c>
      <c r="B98" s="3">
        <v>3.1381217009208502</v>
      </c>
      <c r="C98" s="3">
        <v>4.3577323799289998</v>
      </c>
      <c r="D98" s="3">
        <v>2.8404851017732602</v>
      </c>
      <c r="E98" s="3">
        <v>3.6298842527080799</v>
      </c>
      <c r="F98" s="3">
        <v>2.60515518565271</v>
      </c>
      <c r="G98" s="3">
        <v>2.7526643114590001</v>
      </c>
      <c r="H98" s="3">
        <v>3.9411828922440799</v>
      </c>
      <c r="I98" s="3">
        <v>0.81219298414219598</v>
      </c>
      <c r="J98" s="3">
        <v>1.5021258075291499</v>
      </c>
      <c r="K98" s="3">
        <v>3.1314107148799102</v>
      </c>
      <c r="L98" s="3">
        <v>2.3221374993880102</v>
      </c>
      <c r="M98" s="3">
        <v>3.1673914547519</v>
      </c>
      <c r="N98" s="3">
        <v>5.0394935013942002</v>
      </c>
    </row>
    <row r="99" spans="1:14" x14ac:dyDescent="0.35">
      <c r="A99" s="2">
        <v>44699</v>
      </c>
      <c r="B99" s="3">
        <v>3.21473660584327</v>
      </c>
      <c r="C99" s="3">
        <v>4.6548764632726201</v>
      </c>
      <c r="D99" s="3">
        <v>3.1961731986375299</v>
      </c>
      <c r="E99" s="3">
        <v>3.8471032574811401</v>
      </c>
      <c r="F99" s="3">
        <v>2.63045068180215</v>
      </c>
      <c r="G99" s="3">
        <v>2.9903637515784398</v>
      </c>
      <c r="H99" s="3">
        <v>4.1285880471062901</v>
      </c>
      <c r="I99" s="3">
        <v>0.95225286560014299</v>
      </c>
      <c r="J99" s="3">
        <v>1.69191963675555</v>
      </c>
      <c r="K99" s="3">
        <v>3.26980877930824</v>
      </c>
      <c r="L99" s="3">
        <v>2.5765870057631002</v>
      </c>
      <c r="M99" s="3">
        <v>3.4242421727883001</v>
      </c>
      <c r="N99" s="3">
        <v>5.1853689159879099</v>
      </c>
    </row>
    <row r="100" spans="1:14" x14ac:dyDescent="0.35">
      <c r="A100" s="2">
        <v>44729</v>
      </c>
      <c r="B100" s="3">
        <v>3.46124124041875</v>
      </c>
      <c r="C100" s="3">
        <v>5.33004498627038</v>
      </c>
      <c r="D100" s="3">
        <v>3.4160420672326901</v>
      </c>
      <c r="E100" s="3">
        <v>4.0989774498590501</v>
      </c>
      <c r="F100" s="3">
        <v>2.74569886537871</v>
      </c>
      <c r="G100" s="3">
        <v>3.3002602220363699</v>
      </c>
      <c r="H100" s="3">
        <v>4.4296262273914904</v>
      </c>
      <c r="I100" s="3">
        <v>1.0153826597762701</v>
      </c>
      <c r="J100" s="3">
        <v>1.81982012931444</v>
      </c>
      <c r="K100" s="3">
        <v>3.5552242370379701</v>
      </c>
      <c r="L100" s="3">
        <v>3.5686272539998001</v>
      </c>
      <c r="M100" s="3">
        <v>3.6213600173434299</v>
      </c>
      <c r="N100" s="3">
        <v>5.8274422682442699</v>
      </c>
    </row>
    <row r="101" spans="1:14" x14ac:dyDescent="0.35">
      <c r="A101" s="2">
        <v>44760</v>
      </c>
      <c r="B101" s="3">
        <v>3.3295635269422399</v>
      </c>
      <c r="C101" s="3">
        <v>5.14332869655862</v>
      </c>
      <c r="D101" s="3">
        <v>3.4896998520004701</v>
      </c>
      <c r="E101" s="3">
        <v>4.1681998542817196</v>
      </c>
      <c r="F101" s="3">
        <v>2.67359759376642</v>
      </c>
      <c r="G101" s="3">
        <v>3.1367401025461699</v>
      </c>
      <c r="H101" s="3">
        <v>4.3024736299270296</v>
      </c>
      <c r="I101" s="3">
        <v>0.97142837896449397</v>
      </c>
      <c r="J101" s="3">
        <v>1.75813064061019</v>
      </c>
      <c r="K101" s="3">
        <v>3.4508597890439101</v>
      </c>
      <c r="L101" s="3">
        <v>3.3148484843505002</v>
      </c>
      <c r="M101" s="3">
        <v>3.6935985317967299</v>
      </c>
      <c r="N101" s="3">
        <v>6.0196065586899996</v>
      </c>
    </row>
    <row r="102" spans="1:14" x14ac:dyDescent="0.35">
      <c r="A102" s="2">
        <v>44791</v>
      </c>
      <c r="B102" s="3">
        <v>3.1260000001565298</v>
      </c>
      <c r="C102" s="3">
        <v>4.6745277393420199</v>
      </c>
      <c r="D102" s="3">
        <v>3.2878542815774301</v>
      </c>
      <c r="E102" s="3">
        <v>3.9527156203681901</v>
      </c>
      <c r="F102" s="3">
        <v>2.5523855504058801</v>
      </c>
      <c r="G102" s="3">
        <v>3.0840111123592302</v>
      </c>
      <c r="H102" s="3">
        <v>4.1823799220946603</v>
      </c>
      <c r="I102" s="3">
        <v>0.857918526068155</v>
      </c>
      <c r="J102" s="3">
        <v>1.58779513128753</v>
      </c>
      <c r="K102" s="3">
        <v>3.2650833879616399</v>
      </c>
      <c r="L102" s="3">
        <v>3.0548806257966099</v>
      </c>
      <c r="M102" s="3">
        <v>3.46342658468236</v>
      </c>
      <c r="N102" s="3">
        <v>5.5406003126059602</v>
      </c>
    </row>
    <row r="103" spans="1:14" x14ac:dyDescent="0.35">
      <c r="A103" s="2">
        <v>44820</v>
      </c>
      <c r="B103" s="3">
        <v>3.2615933149511198</v>
      </c>
      <c r="C103" s="3">
        <v>5.0021664852770602</v>
      </c>
      <c r="D103" s="3">
        <v>3.4532239669468798</v>
      </c>
      <c r="E103" s="3">
        <v>4.24143564349116</v>
      </c>
      <c r="F103" s="3">
        <v>2.64386893650906</v>
      </c>
      <c r="G103" s="3">
        <v>3.2865422619023001</v>
      </c>
      <c r="H103" s="3">
        <v>4.4965746045660397</v>
      </c>
      <c r="I103" s="3">
        <v>0.98394543073971397</v>
      </c>
      <c r="J103" s="3">
        <v>1.76800327044546</v>
      </c>
      <c r="K103" s="3">
        <v>3.5524625983700502</v>
      </c>
      <c r="L103" s="3">
        <v>3.7610381831481101</v>
      </c>
      <c r="M103" s="3">
        <v>3.77923447684383</v>
      </c>
      <c r="N103" s="3">
        <v>5.6420821421266698</v>
      </c>
    </row>
    <row r="104" spans="1:14" x14ac:dyDescent="0.35">
      <c r="A104" s="2">
        <v>44852</v>
      </c>
      <c r="B104" s="3">
        <v>3.4751099196892001</v>
      </c>
      <c r="C104" s="3">
        <v>5.07761763796253</v>
      </c>
      <c r="D104" s="3">
        <v>3.5679121622405101</v>
      </c>
      <c r="E104" s="3">
        <v>4.2375417895197103</v>
      </c>
      <c r="F104" s="3">
        <v>2.7174147456740299</v>
      </c>
      <c r="G104" s="3">
        <v>3.3314124220091998</v>
      </c>
      <c r="H104" s="3">
        <v>4.6261324013354796</v>
      </c>
      <c r="I104" s="3">
        <v>1.0576065136178501</v>
      </c>
      <c r="J104" s="3">
        <v>1.8485882608084301</v>
      </c>
      <c r="K104" s="3">
        <v>3.5943589684625099</v>
      </c>
      <c r="L104" s="3">
        <v>3.0647799571185299</v>
      </c>
      <c r="M104" s="3">
        <v>3.6252791014593</v>
      </c>
      <c r="N104" s="3">
        <v>5.9920156967403599</v>
      </c>
    </row>
    <row r="105" spans="1:14" x14ac:dyDescent="0.35">
      <c r="A105" s="2">
        <v>44883</v>
      </c>
      <c r="B105" s="3">
        <v>3.3531563802674902</v>
      </c>
      <c r="C105" s="3">
        <v>4.6226268346278196</v>
      </c>
      <c r="D105" s="3">
        <v>3.3310903360044302</v>
      </c>
      <c r="E105" s="3">
        <v>3.7500427463874502</v>
      </c>
      <c r="F105" s="3">
        <v>2.61883700486419</v>
      </c>
      <c r="G105" s="3">
        <v>3.1358297504462298</v>
      </c>
      <c r="H105" s="3">
        <v>4.2902397343130403</v>
      </c>
      <c r="I105" s="3">
        <v>1.0180280244214399</v>
      </c>
      <c r="J105" s="3">
        <v>1.74709298452346</v>
      </c>
      <c r="K105" s="3">
        <v>3.2972278885248301</v>
      </c>
      <c r="L105" s="3">
        <v>2.6782220030063599</v>
      </c>
      <c r="M105" s="3">
        <v>3.61986969368066</v>
      </c>
      <c r="N105" s="3">
        <v>5.43678694208399</v>
      </c>
    </row>
    <row r="106" spans="1:14" x14ac:dyDescent="0.35">
      <c r="A106" s="2">
        <v>44911</v>
      </c>
      <c r="B106" s="3">
        <v>3.4301381323171198</v>
      </c>
      <c r="C106" s="3">
        <v>4.5937799453083299</v>
      </c>
      <c r="D106" s="3">
        <v>3.46249639725673</v>
      </c>
      <c r="E106" s="3">
        <v>3.8713863414443699</v>
      </c>
      <c r="F106" s="3">
        <v>2.6661279503009001</v>
      </c>
      <c r="G106" s="3">
        <v>3.2259846073168301</v>
      </c>
      <c r="H106" s="3">
        <v>4.3425952952977598</v>
      </c>
      <c r="I106" s="3">
        <v>1.0521387759936001</v>
      </c>
      <c r="J106" s="3">
        <v>1.80075888719772</v>
      </c>
      <c r="K106" s="3">
        <v>3.3913862445229399</v>
      </c>
      <c r="L106" s="3">
        <v>2.7408345668572398</v>
      </c>
      <c r="M106" s="3">
        <v>3.7302699648947502</v>
      </c>
      <c r="N106" s="3">
        <v>5.9359655397273903</v>
      </c>
    </row>
    <row r="107" spans="1:14" x14ac:dyDescent="0.35">
      <c r="A107" s="2">
        <v>44944</v>
      </c>
      <c r="B107" s="3">
        <v>3.3453830610792701</v>
      </c>
      <c r="C107" s="3">
        <v>4.3410529171717496</v>
      </c>
      <c r="D107" s="3">
        <v>3.3460570829277101</v>
      </c>
      <c r="E107" s="3">
        <v>3.5004805207398602</v>
      </c>
      <c r="F107" s="3">
        <v>2.6781739429604698</v>
      </c>
      <c r="G107" s="3">
        <v>3.03228918937856</v>
      </c>
      <c r="H107" s="3">
        <v>4.0350339777275996</v>
      </c>
      <c r="I107" s="3">
        <v>0.99987349151887295</v>
      </c>
      <c r="J107" s="3">
        <v>1.7726101070068301</v>
      </c>
      <c r="K107" s="3">
        <v>3.0992702677898798</v>
      </c>
      <c r="L107" s="3">
        <v>2.5553770184124298</v>
      </c>
      <c r="M107" s="3">
        <v>3.4917374855987999</v>
      </c>
      <c r="N107" s="3">
        <v>5.4260681418032197</v>
      </c>
    </row>
    <row r="108" spans="1:14" x14ac:dyDescent="0.35">
      <c r="A108" s="2">
        <v>44974</v>
      </c>
      <c r="B108" s="3">
        <v>3.2363946454474299</v>
      </c>
      <c r="C108" s="3">
        <v>4.3951920127213997</v>
      </c>
      <c r="D108" s="3">
        <v>3.2975136109051402</v>
      </c>
      <c r="E108" s="3">
        <v>3.4566762946310199</v>
      </c>
      <c r="F108" s="3">
        <v>2.6086020742040299</v>
      </c>
      <c r="G108" s="3">
        <v>3.0775083928221001</v>
      </c>
      <c r="H108" s="3">
        <v>4.0575064568477703</v>
      </c>
      <c r="I108" s="3">
        <v>0.93529105315613903</v>
      </c>
      <c r="J108" s="3">
        <v>1.7191033042544599</v>
      </c>
      <c r="K108" s="3">
        <v>3.1012504008497301</v>
      </c>
      <c r="L108" s="3">
        <v>2.5548196442823601</v>
      </c>
      <c r="M108" s="3">
        <v>3.5215994192006899</v>
      </c>
      <c r="N108" s="3">
        <v>5.3971464736011896</v>
      </c>
    </row>
    <row r="109" spans="1:14" x14ac:dyDescent="0.35">
      <c r="A109" s="2">
        <v>45002</v>
      </c>
      <c r="B109" s="3">
        <v>3.5005369776181201</v>
      </c>
      <c r="C109" s="3">
        <v>4.6624189659986701</v>
      </c>
      <c r="D109" s="3">
        <v>3.4915003066351402</v>
      </c>
      <c r="E109" s="3">
        <v>3.7223656495583701</v>
      </c>
      <c r="F109" s="3">
        <v>2.66443171899992</v>
      </c>
      <c r="G109" s="3">
        <v>3.2986505606686198</v>
      </c>
      <c r="H109" s="3">
        <v>4.4402437809633604</v>
      </c>
      <c r="I109" s="3">
        <v>0.92752329480749196</v>
      </c>
      <c r="J109" s="3">
        <v>1.7941711546361601</v>
      </c>
      <c r="K109" s="3">
        <v>3.3344350705035901</v>
      </c>
      <c r="L109" s="3">
        <v>2.7623079752579498</v>
      </c>
      <c r="M109" s="3">
        <v>3.8349946717837602</v>
      </c>
      <c r="N109" s="3">
        <v>5.7603362415911601</v>
      </c>
    </row>
    <row r="110" spans="1:14" x14ac:dyDescent="0.35">
      <c r="A110" s="2">
        <v>45034</v>
      </c>
      <c r="B110" s="3">
        <v>3.4188794528171602</v>
      </c>
      <c r="C110" s="3">
        <v>4.3668447680579296</v>
      </c>
      <c r="D110" s="3">
        <v>3.2326432089112398</v>
      </c>
      <c r="E110" s="3">
        <v>3.49683856584736</v>
      </c>
      <c r="F110" s="3">
        <v>2.5714523727279701</v>
      </c>
      <c r="G110" s="3">
        <v>3.0917529600216902</v>
      </c>
      <c r="H110" s="3">
        <v>4.1325291978995304</v>
      </c>
      <c r="I110" s="3">
        <v>0.89102966396792704</v>
      </c>
      <c r="J110" s="3">
        <v>1.70272034914865</v>
      </c>
      <c r="K110" s="3">
        <v>3.0949211000125199</v>
      </c>
      <c r="L110" s="3">
        <v>2.6610177466432101</v>
      </c>
      <c r="M110" s="3">
        <v>3.59480363676915</v>
      </c>
      <c r="N110" s="3">
        <v>5.2953954728083099</v>
      </c>
    </row>
    <row r="111" spans="1:14" x14ac:dyDescent="0.35">
      <c r="A111" s="2">
        <v>45064</v>
      </c>
      <c r="B111" s="3">
        <v>3.4743872738491901</v>
      </c>
      <c r="C111" s="3">
        <v>4.4515428573529396</v>
      </c>
      <c r="D111" s="3">
        <v>3.2812930948162302</v>
      </c>
      <c r="E111" s="3">
        <v>3.5610677075893098</v>
      </c>
      <c r="F111" s="3">
        <v>2.4534567463381101</v>
      </c>
      <c r="G111" s="3">
        <v>3.11834434164922</v>
      </c>
      <c r="H111" s="3">
        <v>4.2981607627290197</v>
      </c>
      <c r="I111" s="3">
        <v>0.82837141685402504</v>
      </c>
      <c r="J111" s="3">
        <v>1.68118463017085</v>
      </c>
      <c r="K111" s="3">
        <v>3.18378489617661</v>
      </c>
      <c r="L111" s="3">
        <v>2.6601652859451099</v>
      </c>
      <c r="M111" s="3">
        <v>3.7546042693430799</v>
      </c>
      <c r="N111" s="3">
        <v>5.58334893437973</v>
      </c>
    </row>
    <row r="112" spans="1:14" x14ac:dyDescent="0.35">
      <c r="A112" s="2">
        <v>45093</v>
      </c>
      <c r="B112" s="3">
        <v>3.4676137174194599</v>
      </c>
      <c r="C112" s="3">
        <v>4.2999305771371397</v>
      </c>
      <c r="D112" s="3">
        <v>3.2994423575329499</v>
      </c>
      <c r="E112" s="3">
        <v>3.56407236529932</v>
      </c>
      <c r="F112" s="3">
        <v>2.3080248798249601</v>
      </c>
      <c r="G112" s="3">
        <v>3.13594939452627</v>
      </c>
      <c r="H112" s="3">
        <v>4.3085062960466001</v>
      </c>
      <c r="I112" s="3">
        <v>0.76737257667883796</v>
      </c>
      <c r="J112" s="3">
        <v>1.6115774763234001</v>
      </c>
      <c r="K112" s="3">
        <v>3.2132730952353601</v>
      </c>
      <c r="L112" s="3">
        <v>2.6517914821457</v>
      </c>
      <c r="M112" s="3">
        <v>3.6722052582850702</v>
      </c>
      <c r="N112" s="3">
        <v>5.3185836217429596</v>
      </c>
    </row>
    <row r="113" spans="1:25" x14ac:dyDescent="0.35">
      <c r="A113" s="2">
        <v>45125</v>
      </c>
      <c r="B113" s="3">
        <v>3.43601775427463</v>
      </c>
      <c r="C113" s="3">
        <v>4.1938358654030896</v>
      </c>
      <c r="D113" s="3">
        <v>3.19886250810687</v>
      </c>
      <c r="E113" s="3">
        <v>3.6473698406858799</v>
      </c>
      <c r="F113" s="3">
        <v>2.3838999111153401</v>
      </c>
      <c r="G113" s="3">
        <v>3.16836354380106</v>
      </c>
      <c r="H113" s="3">
        <v>4.37156099657917</v>
      </c>
      <c r="I113" s="3">
        <v>0.73404160280247699</v>
      </c>
      <c r="J113" s="3">
        <v>1.56372610873179</v>
      </c>
      <c r="K113" s="3">
        <v>3.2700744756394302</v>
      </c>
      <c r="L113" s="3">
        <v>2.6597274500626802</v>
      </c>
      <c r="M113" s="3">
        <v>3.7803697052381402</v>
      </c>
      <c r="N113" s="3">
        <v>5.2447652633445401</v>
      </c>
    </row>
    <row r="114" spans="1:25" x14ac:dyDescent="0.35">
      <c r="A114" s="2">
        <v>45156</v>
      </c>
      <c r="B114" s="3">
        <v>3.4865808080924299</v>
      </c>
      <c r="C114" s="3">
        <v>4.3125098202911101</v>
      </c>
      <c r="D114" s="3">
        <v>3.5779244443509302</v>
      </c>
      <c r="E114" s="3">
        <v>3.7770068569090198</v>
      </c>
      <c r="F114" s="3">
        <v>2.4420983295563499</v>
      </c>
      <c r="G114" s="3">
        <v>3.2986495433148502</v>
      </c>
      <c r="H114" s="3">
        <v>4.5811770375862899</v>
      </c>
      <c r="I114" s="3">
        <v>0.91964055615566798</v>
      </c>
      <c r="J114" s="3">
        <v>1.64277244160174</v>
      </c>
      <c r="K114" s="3">
        <v>3.3942644506326101</v>
      </c>
      <c r="L114" s="3">
        <v>2.8902836677172101</v>
      </c>
      <c r="M114" s="3">
        <v>4.0098581785954703</v>
      </c>
      <c r="N114" s="3">
        <v>5.6685892922506804</v>
      </c>
    </row>
    <row r="115" spans="1:25" x14ac:dyDescent="0.35">
      <c r="A115" s="2">
        <v>45187</v>
      </c>
      <c r="B115" s="3">
        <v>3.4040388495346798</v>
      </c>
      <c r="C115" s="3">
        <v>4.1678385469854904</v>
      </c>
      <c r="D115" s="3">
        <v>3.4611026707973598</v>
      </c>
      <c r="E115" s="3">
        <v>3.75949796682846</v>
      </c>
      <c r="F115" s="3">
        <v>2.2703336200422899</v>
      </c>
      <c r="G115" s="3">
        <v>3.2855565121869499</v>
      </c>
      <c r="H115" s="3">
        <v>4.3893709720625296</v>
      </c>
      <c r="I115" s="3">
        <v>0.89106849797363896</v>
      </c>
      <c r="J115" s="3">
        <v>1.6191661778391899</v>
      </c>
      <c r="K115" s="3">
        <v>3.3487079396855099</v>
      </c>
      <c r="L115" s="3">
        <v>3.0084114105809401</v>
      </c>
      <c r="M115" s="3">
        <v>3.9634142012397402</v>
      </c>
      <c r="N115" s="3">
        <v>5.4253408836573698</v>
      </c>
    </row>
    <row r="116" spans="1:25" x14ac:dyDescent="0.35">
      <c r="A116" s="2">
        <v>45217</v>
      </c>
      <c r="B116" s="3">
        <v>3.4603465061212102</v>
      </c>
      <c r="C116" s="3">
        <v>4.3283518281142301</v>
      </c>
      <c r="D116" s="3">
        <v>3.6583796641435198</v>
      </c>
      <c r="E116" s="3">
        <v>3.9553236760112802</v>
      </c>
      <c r="F116" s="3">
        <v>2.4144681360728599</v>
      </c>
      <c r="G116" s="3">
        <v>3.4340204993597498</v>
      </c>
      <c r="H116" s="3">
        <v>4.4781436504105203</v>
      </c>
      <c r="I116" s="3">
        <v>0.93799602909481306</v>
      </c>
      <c r="J116" s="3">
        <v>1.6818417597976101</v>
      </c>
      <c r="K116" s="3">
        <v>3.5154440050653402</v>
      </c>
      <c r="L116" s="3">
        <v>3.0832346521363898</v>
      </c>
      <c r="M116" s="3">
        <v>3.8419865352936502</v>
      </c>
      <c r="N116" s="3">
        <v>5.6003841714866498</v>
      </c>
    </row>
    <row r="117" spans="1:25" x14ac:dyDescent="0.35">
      <c r="A117" s="2">
        <v>45247</v>
      </c>
      <c r="B117" s="3">
        <v>3.4648363430823998</v>
      </c>
      <c r="C117" s="3">
        <v>4.3308144095817802</v>
      </c>
      <c r="D117" s="3">
        <v>3.5036229185541199</v>
      </c>
      <c r="E117" s="3">
        <v>3.70744764725446</v>
      </c>
      <c r="F117" s="3">
        <v>2.3474132049002301</v>
      </c>
      <c r="G117" s="3">
        <v>3.41026481144872</v>
      </c>
      <c r="H117" s="3">
        <v>4.4923152984090402</v>
      </c>
      <c r="I117" s="3">
        <v>0.89347477287088495</v>
      </c>
      <c r="J117" s="3">
        <v>1.61436840190243</v>
      </c>
      <c r="K117" s="3">
        <v>3.3645493274645801</v>
      </c>
      <c r="L117" s="3">
        <v>2.8226430327047001</v>
      </c>
      <c r="M117" s="3">
        <v>3.7011214646836001</v>
      </c>
      <c r="N117" s="3">
        <v>5.4869531158973199</v>
      </c>
    </row>
    <row r="118" spans="1:25" x14ac:dyDescent="0.35">
      <c r="A118" s="2">
        <v>45278</v>
      </c>
      <c r="B118" s="3">
        <v>3.0192400300822402</v>
      </c>
      <c r="C118" s="3">
        <v>4.0940561217937397</v>
      </c>
      <c r="D118" s="3">
        <v>3.4171726774025299</v>
      </c>
      <c r="E118" s="3">
        <v>3.5644422004369698</v>
      </c>
      <c r="F118" s="3">
        <v>2.4708995533304798</v>
      </c>
      <c r="G118" s="3">
        <v>3.2955286416915999</v>
      </c>
      <c r="H118" s="3">
        <v>4.3418463259099802</v>
      </c>
      <c r="I118" s="3">
        <v>0.92115951868833501</v>
      </c>
      <c r="J118" s="3">
        <v>1.5493227937407901</v>
      </c>
      <c r="K118" s="3">
        <v>3.2277012527553799</v>
      </c>
      <c r="L118" s="3">
        <v>2.6754152410093499</v>
      </c>
      <c r="M118" s="3">
        <v>2.9522835020299998</v>
      </c>
      <c r="N118" s="3">
        <v>5.4969341511885501</v>
      </c>
    </row>
    <row r="119" spans="1:25" x14ac:dyDescent="0.35">
      <c r="A119" s="2">
        <v>45309</v>
      </c>
      <c r="B119" s="3">
        <v>3.0343671501419398</v>
      </c>
      <c r="C119" s="3">
        <v>4.1672340556336698</v>
      </c>
      <c r="D119" s="3">
        <v>3.3871726238387199</v>
      </c>
      <c r="E119" s="3">
        <v>3.6341528099116198</v>
      </c>
      <c r="F119" s="3">
        <v>2.2988146056139902</v>
      </c>
      <c r="G119" s="3">
        <v>3.3320851368119699</v>
      </c>
      <c r="H119" s="3">
        <v>4.4515005769765299</v>
      </c>
      <c r="I119" s="3">
        <v>0.90781989051019096</v>
      </c>
      <c r="J119" s="3">
        <v>1.5447361820482599</v>
      </c>
      <c r="K119" s="3">
        <v>3.2902575314110898</v>
      </c>
      <c r="L119" s="3">
        <v>2.7146212147710398</v>
      </c>
      <c r="M119" s="3">
        <v>3.05813118590169</v>
      </c>
      <c r="N119" s="3">
        <v>5.4285669734836297</v>
      </c>
    </row>
    <row r="120" spans="1:25" x14ac:dyDescent="0.35">
      <c r="A120" s="2">
        <v>45338</v>
      </c>
      <c r="B120" s="3">
        <v>2.9089946386691699</v>
      </c>
      <c r="C120" s="3">
        <v>3.9852637984766202</v>
      </c>
      <c r="D120" s="3">
        <v>3.28420160477217</v>
      </c>
      <c r="E120" s="3">
        <v>3.4870085078870301</v>
      </c>
      <c r="F120" s="3">
        <v>2.2229959835695299</v>
      </c>
      <c r="G120" s="3">
        <v>3.3274283772095501</v>
      </c>
      <c r="H120" s="3">
        <v>4.2259861261446998</v>
      </c>
      <c r="I120" s="3">
        <v>0.89427526948029001</v>
      </c>
      <c r="J120" s="3">
        <v>1.4961636924519199</v>
      </c>
      <c r="K120" s="3">
        <v>3.1675845457078999</v>
      </c>
      <c r="L120" s="3">
        <v>2.46904986943145</v>
      </c>
      <c r="M120" s="3">
        <v>3.3311920643851498</v>
      </c>
      <c r="N120" s="3">
        <v>5.4413182294671403</v>
      </c>
    </row>
    <row r="121" spans="1:25" x14ac:dyDescent="0.35">
      <c r="A121" s="2">
        <v>45369</v>
      </c>
      <c r="B121" s="3">
        <v>2.8028477853795901</v>
      </c>
      <c r="C121" s="3">
        <v>4.0060706224295899</v>
      </c>
      <c r="D121" s="3">
        <v>3.15120075809683</v>
      </c>
      <c r="E121" s="3">
        <v>3.3226900647503799</v>
      </c>
      <c r="F121" s="3">
        <v>2.1775661022941901</v>
      </c>
      <c r="G121" s="3">
        <v>3.2709984566255899</v>
      </c>
      <c r="H121" s="3">
        <v>4.1298002675379299</v>
      </c>
      <c r="I121" s="3">
        <v>0.89643158109382104</v>
      </c>
      <c r="J121" s="3">
        <v>1.45730620887522</v>
      </c>
      <c r="K121" s="3">
        <v>3.06441021829017</v>
      </c>
      <c r="L121" s="3">
        <v>2.6032326063743301</v>
      </c>
      <c r="M121" s="3">
        <v>3.2192575531928602</v>
      </c>
      <c r="N121" s="3">
        <v>5.1654617755259702</v>
      </c>
    </row>
    <row r="122" spans="1:25" x14ac:dyDescent="0.35">
      <c r="A122" s="2">
        <v>45397</v>
      </c>
      <c r="B122" s="3">
        <v>2.7758215418509198</v>
      </c>
      <c r="C122" s="3">
        <v>3.9804448887579098</v>
      </c>
      <c r="D122" s="3">
        <v>3.16707993282987</v>
      </c>
      <c r="E122" s="3">
        <v>3.3512086489116699</v>
      </c>
      <c r="F122" s="3">
        <v>2.18772890632457</v>
      </c>
      <c r="G122" s="3">
        <v>3.3611492490148098</v>
      </c>
      <c r="H122" s="3">
        <v>4.0328001443435104</v>
      </c>
      <c r="I122" s="3">
        <v>0.92619133966643497</v>
      </c>
      <c r="J122" s="3">
        <v>1.49379854275783</v>
      </c>
      <c r="K122" s="3">
        <v>3.13307174610877</v>
      </c>
      <c r="L122" s="3">
        <v>2.5850179912423701</v>
      </c>
      <c r="M122" s="3">
        <v>3.27732794893413</v>
      </c>
      <c r="N122" s="3">
        <v>5.3178599876800901</v>
      </c>
    </row>
    <row r="125" spans="1:25" x14ac:dyDescent="0.35">
      <c r="A125" s="2" t="s">
        <v>91</v>
      </c>
      <c r="B125" s="3" cm="1">
        <f t="array" ref="B125">MIN(_xlfn._xlws.FILTER(B1:B122, ISNUMBER(B1:B122)))</f>
        <v>2.3508735801479199</v>
      </c>
      <c r="C125" s="3" cm="1">
        <f t="array" ref="C125">MIN(_xlfn._xlws.FILTER(C1:C122, ISNUMBER(C1:C122)))</f>
        <v>3.3529888310727798</v>
      </c>
      <c r="D125" s="3" cm="1">
        <f t="array" ref="D125">MIN(_xlfn._xlws.FILTER(D1:D122, ISNUMBER(D1:D122)))</f>
        <v>2.5841841593230299</v>
      </c>
      <c r="E125" s="3" cm="1">
        <f t="array" ref="E125">MIN(_xlfn._xlws.FILTER(E1:E122, ISNUMBER(E1:E122)))</f>
        <v>2.6676902770815198</v>
      </c>
      <c r="F125" s="3" cm="1">
        <f t="array" ref="F125">MIN(_xlfn._xlws.FILTER(F1:F122, ISNUMBER(F1:F122)))</f>
        <v>1.82298778811567</v>
      </c>
      <c r="G125" s="3" cm="1">
        <f t="array" ref="G125">MIN(_xlfn._xlws.FILTER(G1:G122, ISNUMBER(G1:G122)))</f>
        <v>2.53677680783492</v>
      </c>
      <c r="H125" s="3" cm="1">
        <f t="array" ref="H125">MIN(_xlfn._xlws.FILTER(H1:H122, ISNUMBER(H1:H122)))</f>
        <v>3.8146263331355601</v>
      </c>
      <c r="I125" s="3" cm="1">
        <f t="array" ref="I125">MIN(_xlfn._xlws.FILTER(I1:I122, ISNUMBER(I1:I122)))</f>
        <v>0.65535676654203101</v>
      </c>
      <c r="J125" s="3" cm="1">
        <f t="array" ref="J125">MIN(_xlfn._xlws.FILTER(J1:J122, ISNUMBER(J1:J122)))</f>
        <v>1.3664830761340401</v>
      </c>
      <c r="K125" s="3" cm="1">
        <f t="array" ref="K125">MIN(_xlfn._xlws.FILTER(K1:K122, ISNUMBER(K1:K122)))</f>
        <v>2.6689363425922799</v>
      </c>
      <c r="L125" s="3" cm="1">
        <f t="array" ref="L125">MIN(_xlfn._xlws.FILTER(L1:L122, ISNUMBER(L1:L122)))</f>
        <v>1.83708553992021</v>
      </c>
      <c r="M125" s="3" cm="1">
        <f t="array" ref="M125">MIN(_xlfn._xlws.FILTER(M1:M122, ISNUMBER(M1:M122)))</f>
        <v>2.6773996709321199</v>
      </c>
      <c r="N125" s="3" cm="1">
        <f t="array" ref="N125">MIN(_xlfn._xlws.FILTER(N1:N122, ISNUMBER(N1:N122)))</f>
        <v>3.1494002909805801</v>
      </c>
    </row>
    <row r="126" spans="1:25" x14ac:dyDescent="0.35">
      <c r="A126" s="2" t="s">
        <v>92</v>
      </c>
      <c r="B126" s="3" cm="1">
        <f t="array" ref="B126">MAX(_xlfn._xlws.FILTER(B1:B122, ISNUMBER(B1:B122)))</f>
        <v>5.0859333925198804</v>
      </c>
      <c r="C126" s="3" cm="1">
        <f t="array" ref="C126">MAX(_xlfn._xlws.FILTER(C1:C122, ISNUMBER(C1:C122)))</f>
        <v>5.8210006270701697</v>
      </c>
      <c r="D126" s="3" cm="1">
        <f t="array" ref="D126">MAX(_xlfn._xlws.FILTER(D1:D122, ISNUMBER(D1:D122)))</f>
        <v>4.9606404174757701</v>
      </c>
      <c r="E126" s="3" cm="1">
        <f t="array" ref="E126">MAX(_xlfn._xlws.FILTER(E1:E122, ISNUMBER(E1:E122)))</f>
        <v>4.8417821256364899</v>
      </c>
      <c r="F126" s="3" cm="1">
        <f t="array" ref="F126">MAX(_xlfn._xlws.FILTER(F1:F122, ISNUMBER(F1:F122)))</f>
        <v>3.2919059566512701</v>
      </c>
      <c r="G126" s="3" cm="1">
        <f t="array" ref="G126">MAX(_xlfn._xlws.FILTER(G1:G122, ISNUMBER(G1:G122)))</f>
        <v>3.9309354264907399</v>
      </c>
      <c r="H126" s="3" cm="1">
        <f t="array" ref="H126">MAX(_xlfn._xlws.FILTER(H1:H122, ISNUMBER(H1:H122)))</f>
        <v>7.1297621466653904</v>
      </c>
      <c r="I126" s="3" cm="1">
        <f t="array" ref="I126">MAX(_xlfn._xlws.FILTER(I1:I122, ISNUMBER(I1:I122)))</f>
        <v>1.42599569709091</v>
      </c>
      <c r="J126" s="3" cm="1">
        <f t="array" ref="J126">MAX(_xlfn._xlws.FILTER(J1:J122, ISNUMBER(J1:J122)))</f>
        <v>2.63953254932545</v>
      </c>
      <c r="K126" s="3" cm="1">
        <f t="array" ref="K126">MAX(_xlfn._xlws.FILTER(K1:K122, ISNUMBER(K1:K122)))</f>
        <v>5.2481554340615402</v>
      </c>
      <c r="L126" s="3" cm="1">
        <f t="array" ref="L126">MAX(_xlfn._xlws.FILTER(L1:L122, ISNUMBER(L1:L122)))</f>
        <v>3.8253400948159602</v>
      </c>
      <c r="M126" s="3" cm="1">
        <f t="array" ref="M126">MAX(_xlfn._xlws.FILTER(M1:M122, ISNUMBER(M1:M122)))</f>
        <v>4.7789856393162502</v>
      </c>
      <c r="N126" s="3" cm="1">
        <f t="array" ref="N126">MAX(_xlfn._xlws.FILTER(N1:N122, ISNUMBER(N1:N122)))</f>
        <v>7.0148410442448297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0.14699999999999999</v>
      </c>
      <c r="D128" s="9" cm="1">
        <f t="array" ref="D128">_xlfn.PERCENTRANK.EXC(_xlfn._xlws.FILTER(D1:D122, ISNUMBER(D1:D122)),D122)</f>
        <v>0.54900000000000004</v>
      </c>
      <c r="E128" s="9" cm="1">
        <f t="array" ref="E128">_xlfn.PERCENTRANK.EXC(_xlfn._xlws.FILTER(E1:E122, ISNUMBER(E1:E122)),E122)</f>
        <v>0.63100000000000001</v>
      </c>
      <c r="F128" s="9" cm="1">
        <f t="array" ref="F128">_xlfn.PERCENTRANK.EXC(_xlfn._xlws.FILTER(F1:F122, ISNUMBER(F1:F122)),F122)</f>
        <v>0.32700000000000001</v>
      </c>
      <c r="G128" s="9" cm="1">
        <f t="array" ref="G128">_xlfn.PERCENTRANK.EXC(_xlfn._xlws.FILTER(G1:G122, ISNUMBER(G1:G122)),G122)</f>
        <v>0.72099999999999997</v>
      </c>
      <c r="H128" s="9" cm="1">
        <f t="array" ref="H128">_xlfn.PERCENTRANK.EXC(_xlfn._xlws.FILTER(H1:H122, ISNUMBER(H1:H122)),H122)</f>
        <v>0.21299999999999999</v>
      </c>
      <c r="I128" s="9" cm="1">
        <f t="array" ref="I128">_xlfn.PERCENTRANK.EXC(_xlfn._xlws.FILTER(I1:I122, ISNUMBER(I1:I122)),I122)</f>
        <v>0.29499999999999998</v>
      </c>
      <c r="J128" s="9" cm="1">
        <f t="array" ref="J128">_xlfn.PERCENTRANK.EXC(_xlfn._xlws.FILTER(J1:J122, ISNUMBER(J1:J122)),J122)</f>
        <v>0.106</v>
      </c>
      <c r="K128" s="9" cm="1">
        <f t="array" ref="K128">_xlfn.PERCENTRANK.EXC(_xlfn._xlws.FILTER(K1:K122, ISNUMBER(K1:K122)),K122)</f>
        <v>0.19600000000000001</v>
      </c>
      <c r="L128" s="9" cm="1">
        <f t="array" ref="L128">_xlfn.PERCENTRANK.EXC(_xlfn._xlws.FILTER(L1:L122, ISNUMBER(L1:L122)),L122)</f>
        <v>0.245</v>
      </c>
      <c r="M128" s="9" cm="1">
        <f t="array" ref="M128">_xlfn.PERCENTRANK.EXC(_xlfn._xlws.FILTER(M1:M122, ISNUMBER(M1:M122)),M122)</f>
        <v>0.221</v>
      </c>
      <c r="N128" s="9" cm="1">
        <f t="array" ref="N128">_xlfn.PERCENTRANK.EXC(_xlfn._xlws.FILTER(N1:N122, ISNUMBER(N1:N122)),N122)</f>
        <v>0.81100000000000005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41746</v>
      </c>
      <c r="B2" s="24" cm="1">
        <f t="array" ref="B2:B122">_xll.FDS(B1,"FG_TOTAL_RETURNC(-10AY,0,AM)")/100</f>
        <v>-1.3781846E-2</v>
      </c>
      <c r="C2" s="24" cm="1">
        <f t="array" ref="C2:C122">_xll.FDS(C1,"FG_TOTAL_RETURNC(-10AY,0,AM)")/100</f>
        <v>4.7939777000000003E-2</v>
      </c>
      <c r="D2" s="24" cm="1">
        <f t="array" ref="D2:D122">_xll.FDS(D1,"FG_TOTAL_RETURNC(-10AY,0,AM)")/100</f>
        <v>2.0797849E-2</v>
      </c>
      <c r="E2" s="24" cm="1">
        <f t="array" ref="E2:E122">_xll.FDS(E1,"FG_TOTAL_RETURNC(-10AY,0,AM)")/100</f>
        <v>8.4525347000000001E-3</v>
      </c>
      <c r="F2" s="24" cm="1">
        <f t="array" ref="F2:F122">_xll.FDS(F1,"FG_TOTAL_RETURNC(-10AY,0,AM)")/100</f>
        <v>2.6906730000000002E-3</v>
      </c>
      <c r="G2" s="24" cm="1">
        <f t="array" ref="G2:G122">_xll.FDS(G1,"FG_TOTAL_RETURNC(-10AY,0,AM)")/100</f>
        <v>1.5463829E-2</v>
      </c>
      <c r="H2" s="24" cm="1">
        <f t="array" ref="H2:H122">_xll.FDS(H1,"FG_TOTAL_RETURNC(-10AY,0,AM)")/100</f>
        <v>2.0507813E-2</v>
      </c>
      <c r="I2" s="24" cm="1">
        <f t="array" ref="I2:I122">_xll.FDS(I1,"FG_TOTAL_RETURNC(-10AY,0,AM)")/100</f>
        <v>-4.5624913999999996E-2</v>
      </c>
      <c r="J2" s="24" cm="1">
        <f t="array" ref="J2:J122">_xll.FDS(J1,"FG_TOTAL_RETURNC(-10AY,0,AM)")/100</f>
        <v>-2.3689270000000003E-3</v>
      </c>
      <c r="K2" s="24" cm="1">
        <f t="array" ref="K2:K122">_xll.FDS(K1,"FG_TOTAL_RETURNC(-10AY,0,AM)")/100</f>
        <v>2.1258235E-2</v>
      </c>
      <c r="L2" s="24" cm="1">
        <f t="array" ref="L2:L122">_xll.FDS(L1,"FG_TOTAL_RETURNC(-10AY,0,AM)")/100</f>
        <v>3.9184093000000004E-4</v>
      </c>
      <c r="M2" s="24" cm="1">
        <f t="array" ref="M2:M122">_xll.FDS(M1,"FG_TOTAL_RETURNC(-10AY,0,AM)")/100</f>
        <v>-2.4972916000000001E-2</v>
      </c>
      <c r="N2" s="24" cm="1">
        <f t="array" ref="N2:N122">_xll.FDS(N1,"FG_TOTAL_RETURNC(-10AY,0,AM)")/100</f>
        <v>2.8307319000000001E-2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41775</v>
      </c>
      <c r="B3" s="24">
        <v>2.3922324000000002E-2</v>
      </c>
      <c r="C3" s="24">
        <v>1.0586023E-2</v>
      </c>
      <c r="D3" s="24">
        <v>1.7368077999999999E-2</v>
      </c>
      <c r="E3" s="24">
        <v>9.671210999999999E-3</v>
      </c>
      <c r="F3" s="24">
        <v>-2.6834010000000002E-3</v>
      </c>
      <c r="G3" s="24">
        <v>2.3060203000000001E-2</v>
      </c>
      <c r="H3" s="24">
        <v>4.5933010000000003E-2</v>
      </c>
      <c r="I3" s="24">
        <v>1.7517446999999998E-2</v>
      </c>
      <c r="J3" s="24">
        <v>8.9061260000000003E-3</v>
      </c>
      <c r="K3" s="24">
        <v>6.2615869999999999E-3</v>
      </c>
      <c r="L3" s="24">
        <v>-4.3047667000000005E-3</v>
      </c>
      <c r="M3" s="24">
        <v>3.6748409999999995E-2</v>
      </c>
      <c r="N3" s="24">
        <v>-5.5617989999999999E-2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41808</v>
      </c>
      <c r="B4" s="24">
        <v>1.3879538E-3</v>
      </c>
      <c r="C4" s="24">
        <v>-1.2345672E-2</v>
      </c>
      <c r="D4" s="24">
        <v>4.1365743000000003E-2</v>
      </c>
      <c r="E4" s="24">
        <v>2.7139186999999999E-2</v>
      </c>
      <c r="F4" s="24">
        <v>7.3542713999999995E-2</v>
      </c>
      <c r="G4" s="24">
        <v>1.7012358E-3</v>
      </c>
      <c r="H4" s="24">
        <v>3.2022000000000001E-3</v>
      </c>
      <c r="I4" s="24">
        <v>5.9970379999999997E-2</v>
      </c>
      <c r="J4" s="24">
        <v>4.3632030000000002E-2</v>
      </c>
      <c r="K4" s="24">
        <v>1.9845247E-2</v>
      </c>
      <c r="L4" s="24">
        <v>3.6581278000000002E-2</v>
      </c>
      <c r="M4" s="24">
        <v>-1.1278272000000001E-2</v>
      </c>
      <c r="N4" s="24">
        <v>8.0904249999999997E-2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41838</v>
      </c>
      <c r="B5" s="24">
        <v>-2.0977974E-2</v>
      </c>
      <c r="C5" s="24">
        <v>2.7746916E-2</v>
      </c>
      <c r="D5" s="24">
        <v>3.0602573999999997E-2</v>
      </c>
      <c r="E5" s="24">
        <v>-2.9931843E-2</v>
      </c>
      <c r="F5" s="24">
        <v>1.9461274000000001E-2</v>
      </c>
      <c r="G5" s="24">
        <v>-1.8713772E-2</v>
      </c>
      <c r="H5" s="24">
        <v>-2.0074844000000001E-3</v>
      </c>
      <c r="I5" s="24">
        <v>3.6658048999999998E-2</v>
      </c>
      <c r="J5" s="24">
        <v>1.2229204E-2</v>
      </c>
      <c r="K5" s="24">
        <v>-4.8766494000000001E-2</v>
      </c>
      <c r="L5" s="24">
        <v>-4.8482894999999998E-2</v>
      </c>
      <c r="M5" s="24">
        <v>-2.640313E-2</v>
      </c>
      <c r="N5" s="24">
        <v>-6.3005804999999998E-2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41869</v>
      </c>
      <c r="B6" s="24">
        <v>-2.8698979999999999E-2</v>
      </c>
      <c r="C6" s="24">
        <v>4.4894218000000007E-3</v>
      </c>
      <c r="D6" s="24">
        <v>-7.7041389999999996E-3</v>
      </c>
      <c r="E6" s="24">
        <v>-5.7862042999999995E-2</v>
      </c>
      <c r="F6" s="24">
        <v>-9.0758799999999997E-3</v>
      </c>
      <c r="G6" s="24">
        <v>-1.8884598999999998E-2</v>
      </c>
      <c r="H6" s="24">
        <v>-1.917553E-2</v>
      </c>
      <c r="I6" s="24">
        <v>2.1119474999999999E-2</v>
      </c>
      <c r="J6" s="24">
        <v>-1.7697811E-3</v>
      </c>
      <c r="K6" s="24">
        <v>-3.9469004000000002E-2</v>
      </c>
      <c r="L6" s="24">
        <v>-1.9902586999999999E-2</v>
      </c>
      <c r="M6" s="24">
        <v>-1.6642690000000002E-2</v>
      </c>
      <c r="N6" s="24">
        <v>-6.9088816999999997E-2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41900</v>
      </c>
      <c r="B7" s="24">
        <v>-2.4626671999999999E-2</v>
      </c>
      <c r="C7" s="24">
        <v>-5.5865946E-2</v>
      </c>
      <c r="D7" s="24">
        <v>8.3850620000000004E-3</v>
      </c>
      <c r="E7" s="24">
        <v>1.596117E-2</v>
      </c>
      <c r="F7" s="24">
        <v>-1.8318117000000002E-2</v>
      </c>
      <c r="G7" s="24">
        <v>4.8120022000000002E-3</v>
      </c>
      <c r="H7" s="24">
        <v>-1.0752678E-2</v>
      </c>
      <c r="I7" s="24">
        <v>2.1701454999999998E-2</v>
      </c>
      <c r="J7" s="24">
        <v>2.2598386000000002E-2</v>
      </c>
      <c r="K7" s="24">
        <v>1.4925361E-2</v>
      </c>
      <c r="L7" s="24">
        <v>2.6937484999999997E-2</v>
      </c>
      <c r="M7" s="24">
        <v>-2.9180645999999999E-3</v>
      </c>
      <c r="N7" s="24">
        <v>3.3909082E-2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41929</v>
      </c>
      <c r="B8" s="24">
        <v>-1.9617855999999999E-2</v>
      </c>
      <c r="C8" s="24">
        <v>-4.1420164000000002E-2</v>
      </c>
      <c r="D8" s="24">
        <v>-0.10594397999999999</v>
      </c>
      <c r="E8" s="24">
        <v>-0.10655742999999999</v>
      </c>
      <c r="F8" s="24">
        <v>-7.2095037000000001E-2</v>
      </c>
      <c r="G8" s="24">
        <v>-8.2310680000000011E-2</v>
      </c>
      <c r="H8" s="24">
        <v>-9.1897249999999986E-2</v>
      </c>
      <c r="I8" s="24">
        <v>-7.0390882000000002E-2</v>
      </c>
      <c r="J8" s="24">
        <v>-6.1778069999999997E-2</v>
      </c>
      <c r="K8" s="24">
        <v>-0.10675382999999999</v>
      </c>
      <c r="L8" s="24">
        <v>-8.8377709999999998E-2</v>
      </c>
      <c r="M8" s="24">
        <v>-9.1308120000000006E-2</v>
      </c>
      <c r="N8" s="24">
        <v>-0.12190598499999999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41961</v>
      </c>
      <c r="B9" s="24">
        <v>7.5103879999999998E-2</v>
      </c>
      <c r="C9" s="24">
        <v>1.7283916E-2</v>
      </c>
      <c r="D9" s="24">
        <v>4.4781209999999995E-2</v>
      </c>
      <c r="E9" s="24">
        <v>3.1727789999999999E-2</v>
      </c>
      <c r="F9" s="24">
        <v>7.3126197000000004E-2</v>
      </c>
      <c r="G9" s="24">
        <v>7.2080850000000002E-2</v>
      </c>
      <c r="H9" s="24">
        <v>3.9173125999999996E-2</v>
      </c>
      <c r="I9" s="24">
        <v>0.11483871000000001</v>
      </c>
      <c r="J9" s="24">
        <v>9.0624570000000002E-2</v>
      </c>
      <c r="K9" s="24">
        <v>4.9186945000000003E-2</v>
      </c>
      <c r="L9" s="24">
        <v>7.7025175000000001E-2</v>
      </c>
      <c r="M9" s="24">
        <v>7.4396133000000003E-2</v>
      </c>
      <c r="N9" s="24">
        <v>2.8893589999999997E-2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41991</v>
      </c>
      <c r="B10" s="24">
        <v>-1.1210679999999999E-2</v>
      </c>
      <c r="C10" s="24">
        <v>-8.6960739999999995E-2</v>
      </c>
      <c r="D10" s="24">
        <v>-5.6051073E-2</v>
      </c>
      <c r="E10" s="24">
        <v>4.1496873000000004E-2</v>
      </c>
      <c r="F10" s="24">
        <v>-1.8962502000000003E-2</v>
      </c>
      <c r="G10" s="24">
        <v>-1.3081849000000001E-2</v>
      </c>
      <c r="H10" s="24">
        <v>-3.0982435000000003E-2</v>
      </c>
      <c r="I10" s="24">
        <v>5.497694E-3</v>
      </c>
      <c r="J10" s="24">
        <v>5.9839489999999997E-3</v>
      </c>
      <c r="K10" s="24">
        <v>-1.5742898000000002E-2</v>
      </c>
      <c r="L10" s="24">
        <v>-2.9718280000000001E-3</v>
      </c>
      <c r="M10" s="24">
        <v>-3.2213748E-2</v>
      </c>
      <c r="N10" s="24">
        <v>-3.7190378000000003E-2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42020</v>
      </c>
      <c r="B11" s="24">
        <v>2.3372769999999998E-2</v>
      </c>
      <c r="C11" s="24">
        <v>2.1042942999999998E-2</v>
      </c>
      <c r="D11" s="24">
        <v>-3.4702540000000004E-2</v>
      </c>
      <c r="E11" s="24">
        <v>-1.4941275E-2</v>
      </c>
      <c r="F11" s="24">
        <v>-9.6069573999999994E-3</v>
      </c>
      <c r="G11" s="24">
        <v>5.2405595999999999E-3</v>
      </c>
      <c r="H11" s="24">
        <v>-1.9834638000000002E-2</v>
      </c>
      <c r="I11" s="24">
        <v>-2.9315709999999998E-2</v>
      </c>
      <c r="J11" s="24">
        <v>-1.9547044999999999E-2</v>
      </c>
      <c r="K11" s="24">
        <v>-2.6211261999999999E-2</v>
      </c>
      <c r="L11" s="24">
        <v>-2.5025845000000001E-2</v>
      </c>
      <c r="M11" s="24">
        <v>-3.3697366999999999E-2</v>
      </c>
      <c r="N11" s="24">
        <v>-4.6561600000000002E-2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42053</v>
      </c>
      <c r="B12" s="24">
        <v>-1.7927288999999999E-2</v>
      </c>
      <c r="C12" s="24">
        <v>5.2419304999999999E-2</v>
      </c>
      <c r="D12" s="24">
        <v>2.9346943E-2</v>
      </c>
      <c r="E12" s="24">
        <v>5.2004336999999998E-2</v>
      </c>
      <c r="F12" s="24">
        <v>6.9664955000000001E-2</v>
      </c>
      <c r="G12" s="24">
        <v>1.0732889000000001E-2</v>
      </c>
      <c r="H12" s="24">
        <v>6.7453503999999997E-2</v>
      </c>
      <c r="I12" s="24">
        <v>6.2884330000000002E-2</v>
      </c>
      <c r="J12" s="24">
        <v>4.2156459999999993E-2</v>
      </c>
      <c r="K12" s="24">
        <v>7.3409440000000006E-2</v>
      </c>
      <c r="L12" s="24">
        <v>6.1094639999999999E-2</v>
      </c>
      <c r="M12" s="24">
        <v>9.3961950000000002E-2</v>
      </c>
      <c r="N12" s="24">
        <v>0.10668659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42081</v>
      </c>
      <c r="B13" s="24">
        <v>1.4003396E-2</v>
      </c>
      <c r="C13" s="24">
        <v>-8.5145234999999995E-4</v>
      </c>
      <c r="D13" s="24">
        <v>-1.9600809E-2</v>
      </c>
      <c r="E13" s="24">
        <v>2.8149723999999997E-2</v>
      </c>
      <c r="F13" s="24">
        <v>5.1525116000000003E-2</v>
      </c>
      <c r="G13" s="24">
        <v>1.7293691999999999E-2</v>
      </c>
      <c r="H13" s="24">
        <v>-1.8430769999999999E-2</v>
      </c>
      <c r="I13" s="24">
        <v>7.0921179999999997E-3</v>
      </c>
      <c r="J13" s="24">
        <v>1.5704631999999999E-3</v>
      </c>
      <c r="K13" s="24">
        <v>-4.9391985000000003E-3</v>
      </c>
      <c r="L13" s="24">
        <v>3.5185933000000003E-2</v>
      </c>
      <c r="M13" s="24">
        <v>-5.9032439999999995E-4</v>
      </c>
      <c r="N13" s="24">
        <v>-1.6293287E-2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42111</v>
      </c>
      <c r="B14" s="24">
        <v>1.8495679000000001E-2</v>
      </c>
      <c r="C14" s="24">
        <v>-8.0953836000000005E-3</v>
      </c>
      <c r="D14" s="24">
        <v>5.4525613999999993E-2</v>
      </c>
      <c r="E14" s="24">
        <v>-1.8697858000000001E-2</v>
      </c>
      <c r="F14" s="24">
        <v>1.3328075E-2</v>
      </c>
      <c r="G14" s="24">
        <v>3.2209992E-2</v>
      </c>
      <c r="H14" s="24">
        <v>1.072967E-2</v>
      </c>
      <c r="I14" s="24">
        <v>-1.5453099999999999E-2</v>
      </c>
      <c r="J14" s="24">
        <v>-7.5553060000000003E-3</v>
      </c>
      <c r="K14" s="24">
        <v>1.8327593999999999E-2</v>
      </c>
      <c r="L14" s="24">
        <v>-8.8837146999999998E-3</v>
      </c>
      <c r="M14" s="24">
        <v>-9.4506739999999992E-3</v>
      </c>
      <c r="N14" s="24">
        <v>2.4844765999999997E-2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42142</v>
      </c>
      <c r="B15" s="24">
        <v>-4.4794140000000003E-2</v>
      </c>
      <c r="C15" s="24">
        <v>-2.1477938000000001E-3</v>
      </c>
      <c r="D15" s="24">
        <v>-1.0341286999999999E-2</v>
      </c>
      <c r="E15" s="24">
        <v>3.6406874999999998E-2</v>
      </c>
      <c r="F15" s="24">
        <v>2.5145054E-2</v>
      </c>
      <c r="G15" s="24">
        <v>3.4094213999999998E-2</v>
      </c>
      <c r="H15" s="24">
        <v>4.7239899999999994E-2</v>
      </c>
      <c r="I15" s="24">
        <v>3.8203954999999998E-2</v>
      </c>
      <c r="J15" s="24">
        <v>2.4765609999999997E-2</v>
      </c>
      <c r="K15" s="24">
        <v>3.4870625000000002E-2</v>
      </c>
      <c r="L15" s="24">
        <v>5.1831602999999997E-2</v>
      </c>
      <c r="M15" s="24">
        <v>3.0709504999999998E-2</v>
      </c>
      <c r="N15" s="24">
        <v>7.0033669999999992E-2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42173</v>
      </c>
      <c r="B16" s="24">
        <v>-6.5906285999999994E-2</v>
      </c>
      <c r="C16" s="24">
        <v>-3.9603948999999999E-2</v>
      </c>
      <c r="D16" s="24">
        <v>-3.1347930000000003E-2</v>
      </c>
      <c r="E16" s="24">
        <v>-3.9067565999999998E-2</v>
      </c>
      <c r="F16" s="24">
        <v>-3.0943393999999999E-2</v>
      </c>
      <c r="G16" s="24">
        <v>-3.2411276999999995E-2</v>
      </c>
      <c r="H16" s="24">
        <v>-1.9766808E-2</v>
      </c>
      <c r="I16" s="24">
        <v>5.7241916999999998E-3</v>
      </c>
      <c r="J16" s="24">
        <v>-1.5016794E-3</v>
      </c>
      <c r="K16" s="24">
        <v>-3.115946E-2</v>
      </c>
      <c r="L16" s="24">
        <v>-1.9636929000000001E-2</v>
      </c>
      <c r="M16" s="24">
        <v>-1.0124325999999999E-2</v>
      </c>
      <c r="N16" s="24">
        <v>-2.6431740000000002E-2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42202</v>
      </c>
      <c r="B17" s="24">
        <v>-5.1518917000000004E-2</v>
      </c>
      <c r="C17" s="24">
        <v>-3.4070669999999997E-2</v>
      </c>
      <c r="D17" s="24">
        <v>-6.1510800000000004E-2</v>
      </c>
      <c r="E17" s="24">
        <v>3.1039715000000002E-3</v>
      </c>
      <c r="F17" s="24">
        <v>1.6003727999999998E-2</v>
      </c>
      <c r="G17" s="24">
        <v>1.3535619E-2</v>
      </c>
      <c r="H17" s="24">
        <v>-1.1258066000000001E-2</v>
      </c>
      <c r="I17" s="24">
        <v>2.8572679E-2</v>
      </c>
      <c r="J17" s="24">
        <v>3.4694672E-3</v>
      </c>
      <c r="K17" s="24">
        <v>1.3875961000000001E-2</v>
      </c>
      <c r="L17" s="24">
        <v>1.3309002E-2</v>
      </c>
      <c r="M17" s="24">
        <v>-2.0779788E-2</v>
      </c>
      <c r="N17" s="24">
        <v>1.4328718000000001E-2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42234</v>
      </c>
      <c r="B18" s="24">
        <v>-1.6436815E-2</v>
      </c>
      <c r="C18" s="24">
        <v>-6.3688220000000004E-2</v>
      </c>
      <c r="D18" s="24">
        <v>-3.3204555999999996E-2</v>
      </c>
      <c r="E18" s="24">
        <v>-4.712409E-2</v>
      </c>
      <c r="F18" s="24">
        <v>-9.2449783999999993E-3</v>
      </c>
      <c r="G18" s="24">
        <v>-2.4504066000000001E-2</v>
      </c>
      <c r="H18" s="24">
        <v>-2.9819011999999999E-2</v>
      </c>
      <c r="I18" s="24">
        <v>-2.4033785000000002E-2</v>
      </c>
      <c r="J18" s="24">
        <v>-1.1765837999999999E-2</v>
      </c>
      <c r="K18" s="24">
        <v>-1.1627913E-2</v>
      </c>
      <c r="L18" s="24">
        <v>-2.8301895000000001E-2</v>
      </c>
      <c r="M18" s="24">
        <v>-2.2551715E-2</v>
      </c>
      <c r="N18" s="24">
        <v>1.9454956000000002E-3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42265</v>
      </c>
      <c r="B19" s="24">
        <v>-2.7156055000000002E-2</v>
      </c>
      <c r="C19" s="24">
        <v>-5.5329980000000001E-2</v>
      </c>
      <c r="D19" s="24">
        <v>-4.7923326000000002E-2</v>
      </c>
      <c r="E19" s="24">
        <v>-6.3272715000000007E-2</v>
      </c>
      <c r="F19" s="24">
        <v>-0.10497664999999999</v>
      </c>
      <c r="G19" s="24">
        <v>-5.4425774000000003E-2</v>
      </c>
      <c r="H19" s="24">
        <v>-7.3545575000000002E-2</v>
      </c>
      <c r="I19" s="24">
        <v>-4.7356844000000002E-2</v>
      </c>
      <c r="J19" s="24">
        <v>-6.4275502999999998E-2</v>
      </c>
      <c r="K19" s="24">
        <v>-6.4895687000000007E-2</v>
      </c>
      <c r="L19" s="24">
        <v>-7.4174759999999992E-2</v>
      </c>
      <c r="M19" s="24">
        <v>-4.8988579999999997E-2</v>
      </c>
      <c r="N19" s="24">
        <v>-5.7605146999999995E-2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42293</v>
      </c>
      <c r="B20" s="24">
        <v>8.8527679999999997E-2</v>
      </c>
      <c r="C20" s="24">
        <v>5.1585080000000005E-2</v>
      </c>
      <c r="D20" s="24">
        <v>3.8171172000000003E-2</v>
      </c>
      <c r="E20" s="24">
        <v>1.8633485000000002E-2</v>
      </c>
      <c r="F20" s="24">
        <v>6.0816646000000002E-2</v>
      </c>
      <c r="G20" s="24">
        <v>1.6445279E-2</v>
      </c>
      <c r="H20" s="24">
        <v>4.5023679999999996E-2</v>
      </c>
      <c r="I20" s="24">
        <v>2.6293397E-2</v>
      </c>
      <c r="J20" s="24">
        <v>4.0010214000000002E-2</v>
      </c>
      <c r="K20" s="24">
        <v>4.6672105999999998E-2</v>
      </c>
      <c r="L20" s="24">
        <v>4.3624162999999994E-2</v>
      </c>
      <c r="M20" s="24">
        <v>7.9760549999999993E-3</v>
      </c>
      <c r="N20" s="24">
        <v>4.8763750000000002E-2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42326</v>
      </c>
      <c r="B21" s="24">
        <v>-2.3558557000000001E-2</v>
      </c>
      <c r="C21" s="24">
        <v>-4.2922853999999996E-2</v>
      </c>
      <c r="D21" s="24">
        <v>-6.1414185000000003E-2</v>
      </c>
      <c r="E21" s="24">
        <v>1.7530560000000001E-2</v>
      </c>
      <c r="F21" s="24">
        <v>2.8665066000000003E-2</v>
      </c>
      <c r="G21" s="24">
        <v>-2.8935909999999999E-2</v>
      </c>
      <c r="H21" s="24">
        <v>-2.4376452E-2</v>
      </c>
      <c r="I21" s="24">
        <v>5.0961850000000003E-2</v>
      </c>
      <c r="J21" s="24">
        <v>2.6860833000000001E-2</v>
      </c>
      <c r="K21" s="24">
        <v>-1.822418E-2</v>
      </c>
      <c r="L21" s="24">
        <v>-4.0192603999999995E-3</v>
      </c>
      <c r="M21" s="24">
        <v>-1.1539756999999999E-2</v>
      </c>
      <c r="N21" s="24">
        <v>-7.2036686000000003E-2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42356</v>
      </c>
      <c r="B22" s="24">
        <v>5.8585762999999999E-2</v>
      </c>
      <c r="C22" s="24">
        <v>-1.0677992999999998E-2</v>
      </c>
      <c r="D22" s="24">
        <v>-6.8876450000000006E-2</v>
      </c>
      <c r="E22" s="24">
        <v>-2.2846459999999999E-2</v>
      </c>
      <c r="F22" s="24">
        <v>-3.7022292999999998E-2</v>
      </c>
      <c r="G22" s="24">
        <v>-2.2428691000000001E-2</v>
      </c>
      <c r="H22" s="24">
        <v>-6.7983627000000005E-2</v>
      </c>
      <c r="I22" s="24">
        <v>-3.0429184000000001E-2</v>
      </c>
      <c r="J22" s="24">
        <v>-3.5920321999999998E-2</v>
      </c>
      <c r="K22" s="24">
        <v>-4.9763019999999998E-2</v>
      </c>
      <c r="L22" s="24">
        <v>-4.9636839999999995E-2</v>
      </c>
      <c r="M22" s="24">
        <v>-5.0366936000000001E-2</v>
      </c>
      <c r="N22" s="24">
        <v>-3.2462955000000002E-2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42384</v>
      </c>
      <c r="B23" s="24">
        <v>-4.2671384999999999E-2</v>
      </c>
      <c r="C23" s="24">
        <v>-9.8553710000000003E-2</v>
      </c>
      <c r="D23" s="24">
        <v>-0.11106605</v>
      </c>
      <c r="E23" s="24">
        <v>-9.4289059999999994E-2</v>
      </c>
      <c r="F23" s="24">
        <v>-6.9338319999999995E-2</v>
      </c>
      <c r="G23" s="24">
        <v>-6.2602400000000002E-2</v>
      </c>
      <c r="H23" s="24">
        <v>-7.7959239999999999E-2</v>
      </c>
      <c r="I23" s="24">
        <v>-8.1853809999999999E-2</v>
      </c>
      <c r="J23" s="24">
        <v>-6.1047672999999997E-2</v>
      </c>
      <c r="K23" s="24">
        <v>-7.7709379999999995E-2</v>
      </c>
      <c r="L23" s="24">
        <v>-6.0072184000000001E-2</v>
      </c>
      <c r="M23" s="24">
        <v>-8.0674170000000003E-2</v>
      </c>
      <c r="N23" s="24">
        <v>-8.9891319999999997E-2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42418</v>
      </c>
      <c r="B24" s="24">
        <v>2.9138565000000002E-2</v>
      </c>
      <c r="C24" s="24">
        <v>8.6769219999999994E-2</v>
      </c>
      <c r="D24" s="24">
        <v>0.13547718</v>
      </c>
      <c r="E24" s="24">
        <v>1.4388442E-2</v>
      </c>
      <c r="F24" s="24">
        <v>-2.6398242000000002E-2</v>
      </c>
      <c r="G24" s="24">
        <v>-3.4964084999999998E-4</v>
      </c>
      <c r="H24" s="24">
        <v>4.2068960000000002E-2</v>
      </c>
      <c r="I24" s="24">
        <v>4.8592089999999998E-3</v>
      </c>
      <c r="J24" s="24">
        <v>2.2789001E-2</v>
      </c>
      <c r="K24" s="24">
        <v>3.0303001E-2</v>
      </c>
      <c r="L24" s="24">
        <v>2.4545549999999999E-2</v>
      </c>
      <c r="M24" s="24">
        <v>6.3097476999999999E-2</v>
      </c>
      <c r="N24" s="24">
        <v>-9.4855250000000002E-2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42447</v>
      </c>
      <c r="B25" s="24">
        <v>0.11280322</v>
      </c>
      <c r="C25" s="24">
        <v>0.12287653000000001</v>
      </c>
      <c r="D25" s="24">
        <v>0.1007427</v>
      </c>
      <c r="E25" s="24">
        <v>6.5915704000000006E-2</v>
      </c>
      <c r="F25" s="24">
        <v>5.2389619999999998E-2</v>
      </c>
      <c r="G25" s="24">
        <v>3.7425636999999998E-2</v>
      </c>
      <c r="H25" s="24">
        <v>5.1621436999999999E-2</v>
      </c>
      <c r="I25" s="24">
        <v>6.2743544999999998E-2</v>
      </c>
      <c r="J25" s="24">
        <v>6.9444537000000001E-2</v>
      </c>
      <c r="K25" s="24">
        <v>7.2870970000000007E-2</v>
      </c>
      <c r="L25" s="24">
        <v>9.2723960000000008E-2</v>
      </c>
      <c r="M25" s="24">
        <v>5.8273434999999998E-2</v>
      </c>
      <c r="N25" s="24">
        <v>0.10657190999999999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42478</v>
      </c>
      <c r="B26" s="24">
        <v>6.9183945999999996E-2</v>
      </c>
      <c r="C26" s="24">
        <v>1.5128612999999999E-2</v>
      </c>
      <c r="D26" s="24">
        <v>3.1210542000000001E-2</v>
      </c>
      <c r="E26" s="24">
        <v>2.1135092000000001E-2</v>
      </c>
      <c r="F26" s="24">
        <v>3.6681175000000003E-2</v>
      </c>
      <c r="G26" s="24">
        <v>3.5738350000000002E-2</v>
      </c>
      <c r="H26" s="24">
        <v>1.5103816999999999E-2</v>
      </c>
      <c r="I26" s="24">
        <v>3.5950422000000003E-2</v>
      </c>
      <c r="J26" s="24">
        <v>2.3775339999999999E-2</v>
      </c>
      <c r="K26" s="24">
        <v>9.4107389999999996E-3</v>
      </c>
      <c r="L26" s="24">
        <v>1.2180328000000001E-2</v>
      </c>
      <c r="M26" s="24">
        <v>3.0591369E-2</v>
      </c>
      <c r="N26" s="24">
        <v>-8.0257060000000005E-3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42508</v>
      </c>
      <c r="B27" s="24">
        <v>-1.9909917999999999E-2</v>
      </c>
      <c r="C27" s="24">
        <v>-3.4773885999999997E-2</v>
      </c>
      <c r="D27" s="24">
        <v>-1.0224937999999999E-2</v>
      </c>
      <c r="E27" s="24">
        <v>-2.8746665000000001E-2</v>
      </c>
      <c r="F27" s="24">
        <v>-2.106148E-2</v>
      </c>
      <c r="G27" s="24">
        <v>-2.5390565E-2</v>
      </c>
      <c r="H27" s="24">
        <v>-8.059442E-3</v>
      </c>
      <c r="I27" s="24">
        <v>-4.8278389999999997E-2</v>
      </c>
      <c r="J27" s="24">
        <v>-2.0690143000000001E-2</v>
      </c>
      <c r="K27" s="24">
        <v>-3.2428025999999999E-2</v>
      </c>
      <c r="L27" s="24">
        <v>-3.4496605E-2</v>
      </c>
      <c r="M27" s="24">
        <v>-5.1780996000000003E-2</v>
      </c>
      <c r="N27" s="24">
        <v>-4.6925544999999999E-2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42538</v>
      </c>
      <c r="B28" s="24">
        <v>3.7726759999999998E-2</v>
      </c>
      <c r="C28" s="24">
        <v>-1.6469358999999999E-2</v>
      </c>
      <c r="D28" s="24">
        <v>1.5702486000000002E-2</v>
      </c>
      <c r="E28" s="24">
        <v>-1.6179919000000001E-2</v>
      </c>
      <c r="F28" s="24">
        <v>-1.6351104000000002E-2</v>
      </c>
      <c r="G28" s="24">
        <v>1.670003E-3</v>
      </c>
      <c r="H28" s="24">
        <v>-2.4999976E-2</v>
      </c>
      <c r="I28" s="24">
        <v>8.6591244000000008E-3</v>
      </c>
      <c r="J28" s="24">
        <v>1.3120054999999999E-2</v>
      </c>
      <c r="K28" s="24">
        <v>-9.6355677000000001E-3</v>
      </c>
      <c r="L28" s="24">
        <v>-2.5758146999999999E-2</v>
      </c>
      <c r="M28" s="24">
        <v>-1.6347825999999999E-2</v>
      </c>
      <c r="N28" s="24">
        <v>-1.0186732E-2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42569</v>
      </c>
      <c r="B29" s="24">
        <v>4.5322895000000002E-2</v>
      </c>
      <c r="C29" s="24">
        <v>8.6885089999999998E-2</v>
      </c>
      <c r="D29" s="24">
        <v>4.0746209999999998E-2</v>
      </c>
      <c r="E29" s="24">
        <v>1.6493200999999999E-2</v>
      </c>
      <c r="F29" s="24">
        <v>5.0263046999999998E-2</v>
      </c>
      <c r="G29" s="24">
        <v>2.2513390000000001E-2</v>
      </c>
      <c r="H29" s="24">
        <v>2.2048830000000002E-2</v>
      </c>
      <c r="I29" s="24">
        <v>5.6812882000000002E-2</v>
      </c>
      <c r="J29" s="24">
        <v>4.7884940000000001E-2</v>
      </c>
      <c r="K29" s="24">
        <v>8.8602304000000003E-3</v>
      </c>
      <c r="L29" s="24">
        <v>1.9217491E-2</v>
      </c>
      <c r="M29" s="24">
        <v>1.6063808999999998E-2</v>
      </c>
      <c r="N29" s="24">
        <v>-2.7078570000000003E-2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42600</v>
      </c>
      <c r="B30" s="24">
        <v>6.5477489999999999E-2</v>
      </c>
      <c r="C30" s="24">
        <v>2.5390625E-2</v>
      </c>
      <c r="D30" s="24">
        <v>2.6004790999999999E-2</v>
      </c>
      <c r="E30" s="24">
        <v>8.0840700000000001E-2</v>
      </c>
      <c r="F30" s="24">
        <v>3.5264492000000001E-2</v>
      </c>
      <c r="G30" s="24">
        <v>3.7495731999999997E-2</v>
      </c>
      <c r="H30" s="24">
        <v>2.8277635999999998E-2</v>
      </c>
      <c r="I30" s="24">
        <v>4.220724E-2</v>
      </c>
      <c r="J30" s="24">
        <v>1.1324882999999999E-2</v>
      </c>
      <c r="K30" s="24">
        <v>4.5591354000000001E-2</v>
      </c>
      <c r="L30" s="24">
        <v>5.4329394999999996E-2</v>
      </c>
      <c r="M30" s="24">
        <v>5.1374793000000002E-2</v>
      </c>
      <c r="N30" s="24">
        <v>2.3572087000000002E-2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42629</v>
      </c>
      <c r="B31" s="24">
        <v>-2.6700556E-2</v>
      </c>
      <c r="C31" s="24">
        <v>-5.7618976000000002E-2</v>
      </c>
      <c r="D31" s="24">
        <v>-4.3394804000000002E-2</v>
      </c>
      <c r="E31" s="24">
        <v>-4.5624494999999994E-2</v>
      </c>
      <c r="F31" s="24">
        <v>-1.9464730999999999E-2</v>
      </c>
      <c r="G31" s="24">
        <v>-3.0009687E-2</v>
      </c>
      <c r="H31" s="24">
        <v>-3.125E-2</v>
      </c>
      <c r="I31" s="24">
        <v>2.5055407999999999E-3</v>
      </c>
      <c r="J31" s="24">
        <v>-2.0140470000000001E-2</v>
      </c>
      <c r="K31" s="24">
        <v>-3.5787702000000005E-2</v>
      </c>
      <c r="L31" s="24">
        <v>-2.7777790000000004E-2</v>
      </c>
      <c r="M31" s="24">
        <v>-2.1335125E-2</v>
      </c>
      <c r="N31" s="24">
        <v>-4.3401240000000001E-2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42661</v>
      </c>
      <c r="B32" s="24">
        <v>-5.6825640000000004E-2</v>
      </c>
      <c r="C32" s="24">
        <v>5.6088924000000005E-2</v>
      </c>
      <c r="D32" s="24">
        <v>3.3319950000000001E-2</v>
      </c>
      <c r="E32" s="24">
        <v>1.4498352999999999E-2</v>
      </c>
      <c r="F32" s="24">
        <v>2.7295231999999999E-2</v>
      </c>
      <c r="G32" s="24">
        <v>-1.0312676E-2</v>
      </c>
      <c r="H32" s="24">
        <v>-1.9354880000000001E-2</v>
      </c>
      <c r="I32" s="24">
        <v>4.859805E-3</v>
      </c>
      <c r="J32" s="24">
        <v>1.5935898000000001E-3</v>
      </c>
      <c r="K32" s="24">
        <v>2.2184252999999998E-2</v>
      </c>
      <c r="L32" s="24">
        <v>1.4906882999999999E-2</v>
      </c>
      <c r="M32" s="24">
        <v>1.4064312000000002E-3</v>
      </c>
      <c r="N32" s="24">
        <v>3.1481504E-2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42692</v>
      </c>
      <c r="B33" s="24">
        <v>-3.808868E-2</v>
      </c>
      <c r="C33" s="24">
        <v>-4.1626750000000004E-2</v>
      </c>
      <c r="D33" s="24">
        <v>-1.0878026000000001E-2</v>
      </c>
      <c r="E33" s="24">
        <v>-3.9783657E-2</v>
      </c>
      <c r="F33" s="24">
        <v>-5.837381E-3</v>
      </c>
      <c r="G33" s="24">
        <v>-3.7647069000000005E-2</v>
      </c>
      <c r="H33" s="24">
        <v>-2.3684204E-2</v>
      </c>
      <c r="I33" s="24">
        <v>-4.5816898000000002E-3</v>
      </c>
      <c r="J33" s="24">
        <v>2.2413492E-2</v>
      </c>
      <c r="K33" s="24">
        <v>-3.3806323999999999E-2</v>
      </c>
      <c r="L33" s="24">
        <v>-4.3655633999999999E-2</v>
      </c>
      <c r="M33" s="24">
        <v>-4.1081486E-2</v>
      </c>
      <c r="N33" s="24">
        <v>-6.328547000000001E-2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42720</v>
      </c>
      <c r="B34" s="24">
        <v>-2.5437891000000001E-2</v>
      </c>
      <c r="C34" s="24">
        <v>2.6959537999999998E-2</v>
      </c>
      <c r="D34" s="24">
        <v>4.4383407000000007E-2</v>
      </c>
      <c r="E34" s="24">
        <v>5.1086070000000004E-2</v>
      </c>
      <c r="F34" s="24">
        <v>1.4780283E-2</v>
      </c>
      <c r="G34" s="24">
        <v>1.7464160999999999E-2</v>
      </c>
      <c r="H34" s="24">
        <v>4.5822143999999995E-2</v>
      </c>
      <c r="I34" s="24">
        <v>2.2459387999999997E-2</v>
      </c>
      <c r="J34" s="24">
        <v>3.6013364999999999E-2</v>
      </c>
      <c r="K34" s="24">
        <v>5.2267910000000001E-2</v>
      </c>
      <c r="L34" s="24">
        <v>2.3037553000000002E-2</v>
      </c>
      <c r="M34" s="24">
        <v>4.1743040000000002E-2</v>
      </c>
      <c r="N34" s="24">
        <v>0.14518439999999999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42753</v>
      </c>
      <c r="B35" s="24">
        <v>7.1740390000000001E-2</v>
      </c>
      <c r="C35" s="24">
        <v>5.8185099999999997E-2</v>
      </c>
      <c r="D35" s="24">
        <v>1.4549731999999999E-2</v>
      </c>
      <c r="E35" s="24">
        <v>4.0541169999999994E-2</v>
      </c>
      <c r="F35" s="24">
        <v>1.5564084000000001E-2</v>
      </c>
      <c r="G35" s="24">
        <v>3.9783240000000004E-2</v>
      </c>
      <c r="H35" s="24">
        <v>2.0053386999999999E-2</v>
      </c>
      <c r="I35" s="24">
        <v>2.8762579999999999E-2</v>
      </c>
      <c r="J35" s="24">
        <v>7.5986385000000002E-3</v>
      </c>
      <c r="K35" s="24">
        <v>3.1609058000000002E-2</v>
      </c>
      <c r="L35" s="24">
        <v>3.8228869999999998E-2</v>
      </c>
      <c r="M35" s="24">
        <v>3.1107068000000002E-2</v>
      </c>
      <c r="N35" s="24">
        <v>3.3718944000000001E-2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42783</v>
      </c>
      <c r="B36" s="24">
        <v>1.2835741000000001E-2</v>
      </c>
      <c r="C36" s="24">
        <v>4.9056530000000001E-2</v>
      </c>
      <c r="D36" s="24">
        <v>4.0059924000000004E-2</v>
      </c>
      <c r="E36" s="24">
        <v>1.3245106E-2</v>
      </c>
      <c r="F36" s="24">
        <v>1.749146E-2</v>
      </c>
      <c r="G36" s="24">
        <v>2.5768042000000001E-2</v>
      </c>
      <c r="H36" s="24">
        <v>2.3054838000000001E-2</v>
      </c>
      <c r="I36" s="24">
        <v>5.5022716999999999E-2</v>
      </c>
      <c r="J36" s="24">
        <v>3.6780595999999999E-2</v>
      </c>
      <c r="K36" s="24">
        <v>-7.9876184000000005E-4</v>
      </c>
      <c r="L36" s="24">
        <v>4.7599672999999995E-2</v>
      </c>
      <c r="M36" s="24">
        <v>5.1824092999999995E-2</v>
      </c>
      <c r="N36" s="24">
        <v>-2.9003203000000002E-2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42811</v>
      </c>
      <c r="B37" s="24">
        <v>-1.7366827000000001E-2</v>
      </c>
      <c r="C37" s="24">
        <v>1.1240959E-2</v>
      </c>
      <c r="D37" s="24">
        <v>-3.8516997999999997E-2</v>
      </c>
      <c r="E37" s="24">
        <v>3.1590343E-2</v>
      </c>
      <c r="F37" s="24">
        <v>1.2502550999999999E-2</v>
      </c>
      <c r="G37" s="24">
        <v>3.4138559999999998E-2</v>
      </c>
      <c r="H37" s="24">
        <v>2.2222160999999997E-2</v>
      </c>
      <c r="I37" s="24">
        <v>1.6594648E-2</v>
      </c>
      <c r="J37" s="24">
        <v>1.2646675000000001E-2</v>
      </c>
      <c r="K37" s="24">
        <v>4.3565154000000002E-2</v>
      </c>
      <c r="L37" s="24">
        <v>4.4271827000000007E-2</v>
      </c>
      <c r="M37" s="24">
        <v>2.3014545000000001E-2</v>
      </c>
      <c r="N37" s="24">
        <v>6.8573833000000001E-2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42843</v>
      </c>
      <c r="B38" s="24">
        <v>1.7912626000000001E-2</v>
      </c>
      <c r="C38" s="24">
        <v>-1.0226727E-2</v>
      </c>
      <c r="D38" s="24">
        <v>3.3695698E-3</v>
      </c>
      <c r="E38" s="24">
        <v>-5.6318045000000004E-3</v>
      </c>
      <c r="F38" s="24">
        <v>-1.620686E-2</v>
      </c>
      <c r="G38" s="24">
        <v>-3.4257174000000001E-3</v>
      </c>
      <c r="H38" s="24">
        <v>-3.6742089999999999E-3</v>
      </c>
      <c r="I38" s="24">
        <v>-3.1133889999999998E-3</v>
      </c>
      <c r="J38" s="24">
        <v>-1.3331652000000001E-2</v>
      </c>
      <c r="K38" s="24">
        <v>-4.9789548000000001E-3</v>
      </c>
      <c r="L38" s="24">
        <v>-2.7890799999999998E-3</v>
      </c>
      <c r="M38" s="24">
        <v>-1.4258504E-2</v>
      </c>
      <c r="N38" s="24">
        <v>-2.9133856E-2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42873</v>
      </c>
      <c r="B39" s="24">
        <v>4.4580698000000005E-3</v>
      </c>
      <c r="C39" s="24">
        <v>-3.4141958E-2</v>
      </c>
      <c r="D39" s="24">
        <v>-3.6940277000000001E-2</v>
      </c>
      <c r="E39" s="24">
        <v>8.4247700000000009E-2</v>
      </c>
      <c r="F39" s="24">
        <v>3.1967044E-2</v>
      </c>
      <c r="G39" s="24">
        <v>7.2812557E-2</v>
      </c>
      <c r="H39" s="24">
        <v>5.9618830000000005E-2</v>
      </c>
      <c r="I39" s="24">
        <v>4.5551420000000002E-2</v>
      </c>
      <c r="J39" s="24">
        <v>1.240015E-2</v>
      </c>
      <c r="K39" s="24">
        <v>0.115473385</v>
      </c>
      <c r="L39" s="24">
        <v>8.2230089999999992E-2</v>
      </c>
      <c r="M39" s="24">
        <v>6.9752454999999991E-2</v>
      </c>
      <c r="N39" s="24">
        <v>0.13787508000000001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42902</v>
      </c>
      <c r="B40" s="24">
        <v>8.3158129999999997E-2</v>
      </c>
      <c r="C40" s="24">
        <v>3.0697703E-2</v>
      </c>
      <c r="D40" s="24">
        <v>2.8671025999999999E-2</v>
      </c>
      <c r="E40" s="24">
        <v>1.9588708999999999E-2</v>
      </c>
      <c r="F40" s="24">
        <v>3.0406713000000002E-2</v>
      </c>
      <c r="G40" s="24">
        <v>1.3399362999999999E-2</v>
      </c>
      <c r="H40" s="24">
        <v>-7.2506070000000001E-3</v>
      </c>
      <c r="I40" s="24">
        <v>9.2409850000000002E-3</v>
      </c>
      <c r="J40" s="24">
        <v>2.9788852000000001E-2</v>
      </c>
      <c r="K40" s="24">
        <v>1.3112545E-2</v>
      </c>
      <c r="L40" s="24">
        <v>1.1026859E-2</v>
      </c>
      <c r="M40" s="24">
        <v>2.7644277000000002E-2</v>
      </c>
      <c r="N40" s="24">
        <v>5.702019E-3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42934</v>
      </c>
      <c r="B41" s="24">
        <v>2.9440284000000001E-2</v>
      </c>
      <c r="C41" s="24">
        <v>2.6137948000000001E-2</v>
      </c>
      <c r="D41" s="24">
        <v>4.5843243999999998E-2</v>
      </c>
      <c r="E41" s="24">
        <v>6.0908793999999997E-3</v>
      </c>
      <c r="F41" s="24">
        <v>-6.1166286000000005E-4</v>
      </c>
      <c r="G41" s="24">
        <v>1.7857909000000002E-2</v>
      </c>
      <c r="H41" s="24">
        <v>9.2877150000000002E-3</v>
      </c>
      <c r="I41" s="24">
        <v>3.6120176000000004E-2</v>
      </c>
      <c r="J41" s="24">
        <v>1.2446403999999999E-2</v>
      </c>
      <c r="K41" s="24">
        <v>1.7289162E-2</v>
      </c>
      <c r="L41" s="24">
        <v>2.8820275999999999E-2</v>
      </c>
      <c r="M41" s="24">
        <v>2.6599287999999999E-2</v>
      </c>
      <c r="N41" s="24">
        <v>4.670477E-2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42965</v>
      </c>
      <c r="B42" s="24">
        <v>1.3657688999999999E-2</v>
      </c>
      <c r="C42" s="24">
        <v>1.6179800000000001E-2</v>
      </c>
      <c r="D42" s="24">
        <v>-9.803951E-3</v>
      </c>
      <c r="E42" s="24">
        <v>-5.8403609999999996E-3</v>
      </c>
      <c r="F42" s="24">
        <v>1.1329888999999999E-2</v>
      </c>
      <c r="G42" s="24">
        <v>-2.192092E-2</v>
      </c>
      <c r="H42" s="24">
        <v>-1.775682E-2</v>
      </c>
      <c r="I42" s="24">
        <v>-1.3343632000000001E-2</v>
      </c>
      <c r="J42" s="24">
        <v>-1.2008429000000001E-2</v>
      </c>
      <c r="K42" s="24">
        <v>1.3623237999999998E-3</v>
      </c>
      <c r="L42" s="24">
        <v>2.0456076E-2</v>
      </c>
      <c r="M42" s="24">
        <v>-1.9807755999999999E-2</v>
      </c>
      <c r="N42" s="24">
        <v>3.1713247E-2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42996</v>
      </c>
      <c r="B43" s="24">
        <v>-2.463156E-2</v>
      </c>
      <c r="C43" s="24">
        <v>9.7302200000000012E-3</v>
      </c>
      <c r="D43" s="24">
        <v>4.4737816E-2</v>
      </c>
      <c r="E43" s="24">
        <v>4.7650100000000001E-2</v>
      </c>
      <c r="F43" s="24">
        <v>1.4692307E-2</v>
      </c>
      <c r="G43" s="24">
        <v>2.5951027999999998E-2</v>
      </c>
      <c r="H43" s="24">
        <v>4.0674925000000001E-2</v>
      </c>
      <c r="I43" s="24">
        <v>3.2849908000000004E-2</v>
      </c>
      <c r="J43" s="24">
        <v>3.3979653999999998E-2</v>
      </c>
      <c r="K43" s="24">
        <v>4.0476203000000002E-2</v>
      </c>
      <c r="L43" s="24">
        <v>3.1547785000000002E-2</v>
      </c>
      <c r="M43" s="24">
        <v>5.3491829999999997E-2</v>
      </c>
      <c r="N43" s="24">
        <v>4.4437049999999999E-2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43026</v>
      </c>
      <c r="B44" s="24">
        <v>2.8707027E-2</v>
      </c>
      <c r="C44" s="24">
        <v>1.0512471000000001E-2</v>
      </c>
      <c r="D44" s="24">
        <v>2.7729034E-2</v>
      </c>
      <c r="E44" s="24">
        <v>2.4922251999999999E-2</v>
      </c>
      <c r="F44" s="24">
        <v>4.1085960000000005E-2</v>
      </c>
      <c r="G44" s="24">
        <v>9.7728970000000009E-3</v>
      </c>
      <c r="H44" s="24">
        <v>1.6502619E-2</v>
      </c>
      <c r="I44" s="24">
        <v>2.2741318E-2</v>
      </c>
      <c r="J44" s="24">
        <v>2.4026869999999999E-2</v>
      </c>
      <c r="K44" s="24">
        <v>1.8633485000000002E-2</v>
      </c>
      <c r="L44" s="24">
        <v>1.5928625999999998E-2</v>
      </c>
      <c r="M44" s="24">
        <v>1.2694001E-2</v>
      </c>
      <c r="N44" s="24">
        <v>-1.3435721000000001E-2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43056</v>
      </c>
      <c r="B45" s="24">
        <v>-5.7729780000000001E-2</v>
      </c>
      <c r="C45" s="24">
        <v>-1.9072413E-2</v>
      </c>
      <c r="D45" s="24">
        <v>-7.8552364999999996E-3</v>
      </c>
      <c r="E45" s="24">
        <v>-5.7751536000000001E-3</v>
      </c>
      <c r="F45" s="24">
        <v>2.034068E-2</v>
      </c>
      <c r="G45" s="24">
        <v>-2.1064639999999999E-2</v>
      </c>
      <c r="H45" s="24">
        <v>-1.9082962999999998E-2</v>
      </c>
      <c r="I45" s="24">
        <v>3.4193158000000001E-2</v>
      </c>
      <c r="J45" s="24">
        <v>8.3684919999999999E-3</v>
      </c>
      <c r="K45" s="24">
        <v>-1.4120698000000001E-2</v>
      </c>
      <c r="L45" s="24">
        <v>-2.3518324E-2</v>
      </c>
      <c r="M45" s="24">
        <v>-4.4568299999999998E-2</v>
      </c>
      <c r="N45" s="24">
        <v>-1.5888453E-2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43087</v>
      </c>
      <c r="B46" s="24">
        <v>6.8169594E-2</v>
      </c>
      <c r="C46" s="24">
        <v>2.96067E-2</v>
      </c>
      <c r="D46" s="24">
        <v>4.8192740000000001E-3</v>
      </c>
      <c r="E46" s="24">
        <v>2.5374531999999998E-2</v>
      </c>
      <c r="F46" s="24">
        <v>3.2884598000000001E-2</v>
      </c>
      <c r="G46" s="24">
        <v>2.9950500000000001E-2</v>
      </c>
      <c r="H46" s="24">
        <v>3.6875724999999998E-2</v>
      </c>
      <c r="I46" s="24">
        <v>3.2604097999999998E-2</v>
      </c>
      <c r="J46" s="24">
        <v>4.5373080000000003E-2</v>
      </c>
      <c r="K46" s="24">
        <v>1.9856809999999999E-2</v>
      </c>
      <c r="L46" s="24">
        <v>2.5690436000000001E-2</v>
      </c>
      <c r="M46" s="24">
        <v>-4.0816070000000001E-3</v>
      </c>
      <c r="N46" s="24">
        <v>1.6144991000000001E-2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43118</v>
      </c>
      <c r="B47" s="24">
        <v>2.5583148000000003E-2</v>
      </c>
      <c r="C47" s="24">
        <v>3.8255214999999995E-2</v>
      </c>
      <c r="D47" s="24">
        <v>4.8892379999999999E-2</v>
      </c>
      <c r="E47" s="24">
        <v>4.1680454999999998E-2</v>
      </c>
      <c r="F47" s="24">
        <v>5.3365349999999999E-2</v>
      </c>
      <c r="G47" s="24">
        <v>3.4726262000000001E-2</v>
      </c>
      <c r="H47" s="24">
        <v>6.2550069999999999E-2</v>
      </c>
      <c r="I47" s="24">
        <v>4.5259714000000006E-2</v>
      </c>
      <c r="J47" s="24">
        <v>4.0790439999999997E-2</v>
      </c>
      <c r="K47" s="24">
        <v>5.4904580000000001E-2</v>
      </c>
      <c r="L47" s="24">
        <v>5.1943659999999996E-2</v>
      </c>
      <c r="M47" s="24">
        <v>6.5891504000000004E-2</v>
      </c>
      <c r="N47" s="24">
        <v>9.1592549999999995E-2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43147</v>
      </c>
      <c r="B48" s="24">
        <v>-5.3864120000000001E-3</v>
      </c>
      <c r="C48" s="24">
        <v>-2.6683629E-2</v>
      </c>
      <c r="D48" s="24">
        <v>-6.4836206000000007E-2</v>
      </c>
      <c r="E48" s="24">
        <v>-4.5050199999999999E-2</v>
      </c>
      <c r="F48" s="24">
        <v>-2.8850733999999999E-2</v>
      </c>
      <c r="G48" s="24">
        <v>-1.9099592999999998E-2</v>
      </c>
      <c r="H48" s="24">
        <v>-4.3501672999999998E-2</v>
      </c>
      <c r="I48" s="24">
        <v>-5.1863789999999996E-3</v>
      </c>
      <c r="J48" s="24">
        <v>-2.1602153999999998E-2</v>
      </c>
      <c r="K48" s="24">
        <v>-2.4279176999999999E-2</v>
      </c>
      <c r="L48" s="24">
        <v>-3.3522843999999996E-2</v>
      </c>
      <c r="M48" s="24">
        <v>-3.1900048E-2</v>
      </c>
      <c r="N48" s="24">
        <v>-1.9713282999999998E-2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43175</v>
      </c>
      <c r="B49" s="24">
        <v>2.7286052999999998E-2</v>
      </c>
      <c r="C49" s="24">
        <v>-9.1383460000000003E-3</v>
      </c>
      <c r="D49" s="24">
        <v>-2.1223903000000002E-2</v>
      </c>
      <c r="E49" s="24">
        <v>-1.953119E-2</v>
      </c>
      <c r="F49" s="24">
        <v>-1.4772713E-2</v>
      </c>
      <c r="G49" s="24">
        <v>-3.0041753999999997E-2</v>
      </c>
      <c r="H49" s="24">
        <v>-2.1336257000000001E-2</v>
      </c>
      <c r="I49" s="24">
        <v>3.6736129999999999E-2</v>
      </c>
      <c r="J49" s="24">
        <v>8.0070495999999998E-3</v>
      </c>
      <c r="K49" s="24">
        <v>-8.3982349999999987E-3</v>
      </c>
      <c r="L49" s="24">
        <v>3.4066439999999999E-3</v>
      </c>
      <c r="M49" s="24">
        <v>-1.2320935999999999E-2</v>
      </c>
      <c r="N49" s="24">
        <v>-7.9219340000000003E-3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43208</v>
      </c>
      <c r="B50" s="24">
        <v>-8.1104039999999999E-4</v>
      </c>
      <c r="C50" s="24">
        <v>-5.7092905000000003E-3</v>
      </c>
      <c r="D50" s="24">
        <v>2.5659559999999998E-2</v>
      </c>
      <c r="E50" s="24">
        <v>2.2372006999999999E-2</v>
      </c>
      <c r="F50" s="24">
        <v>5.7671070000000005E-3</v>
      </c>
      <c r="G50" s="24">
        <v>-5.4487585999999999E-3</v>
      </c>
      <c r="H50" s="24">
        <v>4.733217E-2</v>
      </c>
      <c r="I50" s="24">
        <v>-2.5169790000000001E-2</v>
      </c>
      <c r="J50" s="24">
        <v>-1.3894975E-2</v>
      </c>
      <c r="K50" s="24">
        <v>3.0426620999999997E-2</v>
      </c>
      <c r="L50" s="24">
        <v>1.9753098E-2</v>
      </c>
      <c r="M50" s="24">
        <v>-2.0307539999999999E-2</v>
      </c>
      <c r="N50" s="24">
        <v>4.8832893000000002E-2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43238</v>
      </c>
      <c r="B51" s="24">
        <v>-2.9017866E-2</v>
      </c>
      <c r="C51" s="24">
        <v>2.6502609999999997E-3</v>
      </c>
      <c r="D51" s="24">
        <v>2.6779413000000002E-2</v>
      </c>
      <c r="E51" s="24">
        <v>-1.4388502000000001E-2</v>
      </c>
      <c r="F51" s="24">
        <v>-4.9149989999999993E-4</v>
      </c>
      <c r="G51" s="24">
        <v>-8.6504817000000005E-3</v>
      </c>
      <c r="H51" s="24">
        <v>1.1777638999999999E-2</v>
      </c>
      <c r="I51" s="24">
        <v>6.128311E-3</v>
      </c>
      <c r="J51" s="24">
        <v>3.4763812999999998E-3</v>
      </c>
      <c r="K51" s="24">
        <v>-4.566133E-3</v>
      </c>
      <c r="L51" s="24">
        <v>-3.2990336000000002E-2</v>
      </c>
      <c r="M51" s="24">
        <v>7.9952479999999999E-3</v>
      </c>
      <c r="N51" s="24">
        <v>-6.3543262000000003E-2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43269</v>
      </c>
      <c r="B52" s="24">
        <v>5.2664638000000007E-2</v>
      </c>
      <c r="C52" s="24">
        <v>-8.8107585999999997E-4</v>
      </c>
      <c r="D52" s="24">
        <v>-1.098144E-2</v>
      </c>
      <c r="E52" s="24">
        <v>-2.8588830999999999E-2</v>
      </c>
      <c r="F52" s="24">
        <v>-1.8521487999999999E-2</v>
      </c>
      <c r="G52" s="24">
        <v>-3.2867967999999997E-2</v>
      </c>
      <c r="H52" s="24">
        <v>-3.1402289999999999E-2</v>
      </c>
      <c r="I52" s="24">
        <v>5.6242466000000005E-2</v>
      </c>
      <c r="J52" s="24">
        <v>2.3856639999999998E-2</v>
      </c>
      <c r="K52" s="24">
        <v>-2.3853242E-2</v>
      </c>
      <c r="L52" s="24">
        <v>-8.1377029999999996E-3</v>
      </c>
      <c r="M52" s="24">
        <v>-4.2009410000000004E-2</v>
      </c>
      <c r="N52" s="24">
        <v>-5.5972457000000003E-2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43299</v>
      </c>
      <c r="B53" s="24">
        <v>-2.8386414000000002E-2</v>
      </c>
      <c r="C53" s="24">
        <v>2.1357417E-2</v>
      </c>
      <c r="D53" s="24">
        <v>1.0037898999999999E-2</v>
      </c>
      <c r="E53" s="24">
        <v>-5.3549409999999993E-3</v>
      </c>
      <c r="F53" s="24">
        <v>-2.3810445999999999E-2</v>
      </c>
      <c r="G53" s="24">
        <v>3.5558342999999999E-2</v>
      </c>
      <c r="H53" s="24">
        <v>-8.8333490000000008E-3</v>
      </c>
      <c r="I53" s="24">
        <v>1.9433379000000001E-2</v>
      </c>
      <c r="J53" s="24">
        <v>1.6271352999999999E-2</v>
      </c>
      <c r="K53" s="24">
        <v>2.9798745999999997E-3</v>
      </c>
      <c r="L53" s="24">
        <v>1.3376951E-2</v>
      </c>
      <c r="M53" s="24">
        <v>6.0439109999999996E-5</v>
      </c>
      <c r="N53" s="24">
        <v>-3.9868354999999999E-3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43329</v>
      </c>
      <c r="B54" s="24">
        <v>-9.3497040000000003E-3</v>
      </c>
      <c r="C54" s="24">
        <v>1.2323976E-2</v>
      </c>
      <c r="D54" s="24">
        <v>2.4238825000000002E-3</v>
      </c>
      <c r="E54" s="24">
        <v>-5.1579657000000001E-2</v>
      </c>
      <c r="F54" s="24">
        <v>-1.3965547E-2</v>
      </c>
      <c r="G54" s="24">
        <v>1.2205957999999999E-2</v>
      </c>
      <c r="H54" s="24">
        <v>-3.2621264000000004E-2</v>
      </c>
      <c r="I54" s="24">
        <v>-3.889799E-4</v>
      </c>
      <c r="J54" s="24">
        <v>1.4231800999999999E-2</v>
      </c>
      <c r="K54" s="24">
        <v>-3.4757674000000002E-2</v>
      </c>
      <c r="L54" s="24">
        <v>-4.1139307E-2</v>
      </c>
      <c r="M54" s="24">
        <v>-1.2836455999999999E-3</v>
      </c>
      <c r="N54" s="24">
        <v>-8.1025659999999999E-2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43361</v>
      </c>
      <c r="B55" s="24">
        <v>2.0763397000000003E-2</v>
      </c>
      <c r="C55" s="24">
        <v>-3.7826119999999998E-2</v>
      </c>
      <c r="D55" s="24">
        <v>-4.8359632000000005E-3</v>
      </c>
      <c r="E55" s="24">
        <v>1.7335176000000001E-2</v>
      </c>
      <c r="F55" s="24">
        <v>4.1091084E-2</v>
      </c>
      <c r="G55" s="24">
        <v>2.382362E-2</v>
      </c>
      <c r="H55" s="24">
        <v>-1.193583E-3</v>
      </c>
      <c r="I55" s="24">
        <v>1.6568421999999999E-2</v>
      </c>
      <c r="J55" s="24">
        <v>2.0521998E-2</v>
      </c>
      <c r="K55" s="24">
        <v>2.3785949000000001E-2</v>
      </c>
      <c r="L55" s="24">
        <v>1.6502142E-3</v>
      </c>
      <c r="M55" s="24">
        <v>3.1812309999999996E-2</v>
      </c>
      <c r="N55" s="24">
        <v>5.9895873000000002E-2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43391</v>
      </c>
      <c r="B56" s="24">
        <v>-5.7119369999999996E-2</v>
      </c>
      <c r="C56" s="24">
        <v>-6.4166306999999992E-2</v>
      </c>
      <c r="D56" s="24">
        <v>-5.9354362000000001E-2</v>
      </c>
      <c r="E56" s="24">
        <v>-7.4173093000000009E-2</v>
      </c>
      <c r="F56" s="24">
        <v>-5.0554275999999995E-2</v>
      </c>
      <c r="G56" s="24">
        <v>-6.4923943999999997E-2</v>
      </c>
      <c r="H56" s="24">
        <v>-4.5712590000000004E-2</v>
      </c>
      <c r="I56" s="24">
        <v>-5.1134586000000003E-2</v>
      </c>
      <c r="J56" s="24">
        <v>-4.5574307000000001E-2</v>
      </c>
      <c r="K56" s="24">
        <v>-6.7763804999999996E-2</v>
      </c>
      <c r="L56" s="24">
        <v>-6.8204284000000004E-2</v>
      </c>
      <c r="M56" s="24">
        <v>-6.5711617E-2</v>
      </c>
      <c r="N56" s="24">
        <v>-0.11723412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43420</v>
      </c>
      <c r="B57" s="24">
        <v>4.7504900000000003E-2</v>
      </c>
      <c r="C57" s="24">
        <v>1.4968634000000001E-2</v>
      </c>
      <c r="D57" s="24">
        <v>-1.2915134E-2</v>
      </c>
      <c r="E57" s="24">
        <v>-1.5517830999999999E-2</v>
      </c>
      <c r="F57" s="24">
        <v>-3.2372177000000002E-2</v>
      </c>
      <c r="G57" s="24">
        <v>1.1059879999999999E-2</v>
      </c>
      <c r="H57" s="24">
        <v>-7.2010755999999997E-3</v>
      </c>
      <c r="I57" s="24">
        <v>-3.2798229999999998E-2</v>
      </c>
      <c r="J57" s="24">
        <v>-9.6598269999999993E-3</v>
      </c>
      <c r="K57" s="24">
        <v>-1.5576303E-2</v>
      </c>
      <c r="L57" s="24">
        <v>1.1315465E-2</v>
      </c>
      <c r="M57" s="24">
        <v>-2.2333324000000002E-2</v>
      </c>
      <c r="N57" s="24">
        <v>3.1808615000000003E-3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43452</v>
      </c>
      <c r="B58" s="24">
        <v>-1.8862068999999999E-2</v>
      </c>
      <c r="C58" s="24">
        <v>-4.6391010000000003E-2</v>
      </c>
      <c r="D58" s="24">
        <v>-7.0677279999999995E-2</v>
      </c>
      <c r="E58" s="24">
        <v>-6.4516125000000007E-2</v>
      </c>
      <c r="F58" s="24">
        <v>-3.6828697000000001E-2</v>
      </c>
      <c r="G58" s="24">
        <v>-4.4971110000000002E-2</v>
      </c>
      <c r="H58" s="24">
        <v>-6.0635567000000001E-2</v>
      </c>
      <c r="I58" s="24">
        <v>-5.4208993999999996E-2</v>
      </c>
      <c r="J58" s="24">
        <v>-6.8132876999999994E-2</v>
      </c>
      <c r="K58" s="24">
        <v>-5.8630109999999999E-2</v>
      </c>
      <c r="L58" s="24">
        <v>-5.7370243000000001E-2</v>
      </c>
      <c r="M58" s="24">
        <v>-4.1364249999999998E-2</v>
      </c>
      <c r="N58" s="24">
        <v>-9.2995166999999997E-3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43483</v>
      </c>
      <c r="B59" s="24">
        <v>4.0146710000000002E-2</v>
      </c>
      <c r="C59" s="24">
        <v>6.6321253999999996E-2</v>
      </c>
      <c r="D59" s="24">
        <v>8.0572605000000005E-2</v>
      </c>
      <c r="E59" s="24">
        <v>4.5846343000000005E-2</v>
      </c>
      <c r="F59" s="24">
        <v>3.5768985999999996E-2</v>
      </c>
      <c r="G59" s="24">
        <v>6.1724424000000007E-2</v>
      </c>
      <c r="H59" s="24">
        <v>6.2092660000000001E-2</v>
      </c>
      <c r="I59" s="24">
        <v>4.6170710000000004E-2</v>
      </c>
      <c r="J59" s="24">
        <v>5.0843119999999999E-2</v>
      </c>
      <c r="K59" s="24">
        <v>2.4015069999999999E-2</v>
      </c>
      <c r="L59" s="24">
        <v>2.3481130000000003E-2</v>
      </c>
      <c r="M59" s="24">
        <v>5.2313090000000007E-2</v>
      </c>
      <c r="N59" s="24">
        <v>4.6596409999999998E-2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43511</v>
      </c>
      <c r="B60" s="24">
        <v>3.2786965000000001E-2</v>
      </c>
      <c r="C60" s="24">
        <v>2.429545E-2</v>
      </c>
      <c r="D60" s="24">
        <v>3.7471652000000001E-2</v>
      </c>
      <c r="E60" s="24">
        <v>3.7467479999999997E-4</v>
      </c>
      <c r="F60" s="24">
        <v>6.2788725000000002E-3</v>
      </c>
      <c r="G60" s="24">
        <v>1.7980336999999999E-2</v>
      </c>
      <c r="H60" s="24">
        <v>4.0697694E-2</v>
      </c>
      <c r="I60" s="24">
        <v>4.0484070000000004E-2</v>
      </c>
      <c r="J60" s="24">
        <v>4.0944219999999996E-2</v>
      </c>
      <c r="K60" s="24">
        <v>4.9835086000000001E-2</v>
      </c>
      <c r="L60" s="24">
        <v>7.0284009999999994E-2</v>
      </c>
      <c r="M60" s="24">
        <v>2.5363563999999998E-2</v>
      </c>
      <c r="N60" s="24">
        <v>2.4777412000000002E-2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43542</v>
      </c>
      <c r="B61" s="24">
        <v>2.1699785999999999E-2</v>
      </c>
      <c r="C61" s="24">
        <v>2.0872831000000001E-2</v>
      </c>
      <c r="D61" s="24">
        <v>2.0065665E-2</v>
      </c>
      <c r="E61" s="24">
        <v>3.3707857000000001E-2</v>
      </c>
      <c r="F61" s="24">
        <v>-5.5062769999999995E-4</v>
      </c>
      <c r="G61" s="24">
        <v>4.0329694999999999E-2</v>
      </c>
      <c r="H61" s="24">
        <v>4.2830466999999997E-2</v>
      </c>
      <c r="I61" s="24">
        <v>3.9747715000000003E-2</v>
      </c>
      <c r="J61" s="24">
        <v>2.2344111999999999E-2</v>
      </c>
      <c r="K61" s="24">
        <v>5.1308990000000006E-2</v>
      </c>
      <c r="L61" s="24">
        <v>3.164339E-2</v>
      </c>
      <c r="M61" s="24">
        <v>1.9459128000000003E-2</v>
      </c>
      <c r="N61" s="24">
        <v>5.3645610000000003E-2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43573</v>
      </c>
      <c r="B62" s="24">
        <v>1.8879056000000002E-2</v>
      </c>
      <c r="C62" s="24">
        <v>1.8587351000000002E-2</v>
      </c>
      <c r="D62" s="24">
        <v>2.5035740000000001E-2</v>
      </c>
      <c r="E62" s="24">
        <v>3.5144925E-2</v>
      </c>
      <c r="F62" s="24">
        <v>1.6342282E-2</v>
      </c>
      <c r="G62" s="24">
        <v>1.3016343E-2</v>
      </c>
      <c r="H62" s="24">
        <v>6.2501430000000005E-3</v>
      </c>
      <c r="I62" s="24">
        <v>5.009806E-2</v>
      </c>
      <c r="J62" s="24">
        <v>2.7237654E-2</v>
      </c>
      <c r="K62" s="24">
        <v>2.1912335999999998E-2</v>
      </c>
      <c r="L62" s="24">
        <v>3.2321929999999999E-2</v>
      </c>
      <c r="M62" s="24">
        <v>5.758655E-2</v>
      </c>
      <c r="N62" s="24">
        <v>1.6852020999999998E-2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43602</v>
      </c>
      <c r="B63" s="24">
        <v>-4.8252939999999999E-3</v>
      </c>
      <c r="C63" s="24">
        <v>-2.2810220000000003E-2</v>
      </c>
      <c r="D63" s="24">
        <v>-2.0237267E-2</v>
      </c>
      <c r="E63" s="24">
        <v>-1.8200933999999998E-2</v>
      </c>
      <c r="F63" s="24">
        <v>-2.9990969999999999E-2</v>
      </c>
      <c r="G63" s="24">
        <v>6.1452390000000003E-3</v>
      </c>
      <c r="H63" s="24">
        <v>-3.3422111999999997E-2</v>
      </c>
      <c r="I63" s="24">
        <v>-2.3213625000000002E-2</v>
      </c>
      <c r="J63" s="24">
        <v>-1.4412761000000001E-2</v>
      </c>
      <c r="K63" s="24">
        <v>-2.8265118999999998E-2</v>
      </c>
      <c r="L63" s="24">
        <v>-2.3642181999999998E-2</v>
      </c>
      <c r="M63" s="24">
        <v>-7.0663809999999994E-2</v>
      </c>
      <c r="N63" s="24">
        <v>-4.4428769999999999E-2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43634</v>
      </c>
      <c r="B64" s="24">
        <v>-4.1757822000000003E-3</v>
      </c>
      <c r="C64" s="24">
        <v>4.8535229999999999E-2</v>
      </c>
      <c r="D64" s="24">
        <v>1.4835715000000001E-2</v>
      </c>
      <c r="E64" s="24">
        <v>4.3317080000000001E-3</v>
      </c>
      <c r="F64" s="24">
        <v>1.4717816999999999E-2</v>
      </c>
      <c r="G64" s="24">
        <v>4.6049236999999993E-2</v>
      </c>
      <c r="H64" s="24">
        <v>3.0653477000000002E-3</v>
      </c>
      <c r="I64" s="24">
        <v>1.8411278999999999E-2</v>
      </c>
      <c r="J64" s="24">
        <v>2.2949934000000002E-2</v>
      </c>
      <c r="K64" s="24">
        <v>2.9592394999999997E-2</v>
      </c>
      <c r="L64" s="24">
        <v>1.3545393999999999E-2</v>
      </c>
      <c r="M64" s="24">
        <v>1.5030502999999999E-2</v>
      </c>
      <c r="N64" s="24">
        <v>2.9835105000000001E-2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43664</v>
      </c>
      <c r="B65" s="24">
        <v>9.9644070000000001E-2</v>
      </c>
      <c r="C65" s="24">
        <v>3.1803726999999997E-2</v>
      </c>
      <c r="D65" s="24">
        <v>2.5849820000000003E-2</v>
      </c>
      <c r="E65" s="24">
        <v>1.09410286E-3</v>
      </c>
      <c r="F65" s="24">
        <v>1.0001778999999999E-2</v>
      </c>
      <c r="G65" s="24">
        <v>2.2481083999999998E-2</v>
      </c>
      <c r="H65" s="24">
        <v>6.2578917000000005E-3</v>
      </c>
      <c r="I65" s="24">
        <v>3.4520506999999999E-2</v>
      </c>
      <c r="J65" s="24">
        <v>2.6966929999999997E-2</v>
      </c>
      <c r="K65" s="24">
        <v>1.6971706999999999E-2</v>
      </c>
      <c r="L65" s="24">
        <v>3.6056876000000002E-2</v>
      </c>
      <c r="M65" s="24">
        <v>1.0709524E-2</v>
      </c>
      <c r="N65" s="24">
        <v>5.4875850000000004E-2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43693</v>
      </c>
      <c r="B66" s="24">
        <v>-6.2747182999999998E-2</v>
      </c>
      <c r="C66" s="24">
        <v>-6.5169515999999997E-2</v>
      </c>
      <c r="D66" s="24">
        <v>-4.3148099999999995E-2</v>
      </c>
      <c r="E66" s="24">
        <v>-6.7395266999999995E-2</v>
      </c>
      <c r="F66" s="24">
        <v>-2.0539105000000002E-2</v>
      </c>
      <c r="G66" s="24">
        <v>-2.0927190000000002E-2</v>
      </c>
      <c r="H66" s="24">
        <v>-7.3383092999999996E-2</v>
      </c>
      <c r="I66" s="24">
        <v>-3.606695E-2</v>
      </c>
      <c r="J66" s="24">
        <v>-3.3396840000000004E-2</v>
      </c>
      <c r="K66" s="24">
        <v>-5.9882220000000007E-2</v>
      </c>
      <c r="L66" s="24">
        <v>-4.5338450000000002E-2</v>
      </c>
      <c r="M66" s="24">
        <v>-8.2450389999999998E-2</v>
      </c>
      <c r="N66" s="24">
        <v>-9.806680999999999E-2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43726</v>
      </c>
      <c r="B67" s="24">
        <v>-7.0017576000000002E-3</v>
      </c>
      <c r="C67" s="24">
        <v>5.7936907000000003E-2</v>
      </c>
      <c r="D67" s="24">
        <v>4.7258376999999997E-2</v>
      </c>
      <c r="E67" s="24">
        <v>6.6015600000000008E-2</v>
      </c>
      <c r="F67" s="24">
        <v>6.0850023999999996E-2</v>
      </c>
      <c r="G67" s="24">
        <v>1.5422106E-2</v>
      </c>
      <c r="H67" s="24">
        <v>5.7718160000000004E-2</v>
      </c>
      <c r="I67" s="24">
        <v>3.7955641999999998E-2</v>
      </c>
      <c r="J67" s="24">
        <v>4.2409540000000003E-2</v>
      </c>
      <c r="K67" s="24">
        <v>5.4994820000000007E-2</v>
      </c>
      <c r="L67" s="24">
        <v>5.9197306999999998E-2</v>
      </c>
      <c r="M67" s="24">
        <v>8.4446069999999998E-2</v>
      </c>
      <c r="N67" s="24">
        <v>8.0280539999999997E-2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43756</v>
      </c>
      <c r="B68" s="24">
        <v>3.9408921999999999E-2</v>
      </c>
      <c r="C68" s="24">
        <v>-6.2332749999999999E-3</v>
      </c>
      <c r="D68" s="24">
        <v>-1.5156746E-2</v>
      </c>
      <c r="E68" s="24">
        <v>2.9314756000000001E-2</v>
      </c>
      <c r="F68" s="24">
        <v>1.2530923000000001E-2</v>
      </c>
      <c r="G68" s="24">
        <v>1.5987158000000002E-3</v>
      </c>
      <c r="H68" s="24">
        <v>1.5228390999999999E-2</v>
      </c>
      <c r="I68" s="24">
        <v>-2.3034811000000001E-3</v>
      </c>
      <c r="J68" s="24">
        <v>-5.8047769999999997E-3</v>
      </c>
      <c r="K68" s="24">
        <v>1.2207269999999999E-2</v>
      </c>
      <c r="L68" s="24">
        <v>1.2946009999999999E-2</v>
      </c>
      <c r="M68" s="24">
        <v>2.6955127999999998E-2</v>
      </c>
      <c r="N68" s="24">
        <v>2.4531006999999997E-2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43787</v>
      </c>
      <c r="B69" s="24">
        <v>-1.1708975E-2</v>
      </c>
      <c r="C69" s="24">
        <v>1.8817186E-2</v>
      </c>
      <c r="D69" s="24">
        <v>4.0923356999999994E-2</v>
      </c>
      <c r="E69" s="24">
        <v>3.2751917999999998E-2</v>
      </c>
      <c r="F69" s="24">
        <v>4.3053864999999997E-2</v>
      </c>
      <c r="G69" s="24">
        <v>3.3785582000000002E-2</v>
      </c>
      <c r="H69" s="24">
        <v>2.3125052E-2</v>
      </c>
      <c r="I69" s="24">
        <v>5.9366703E-2</v>
      </c>
      <c r="J69" s="24">
        <v>4.7152399999999997E-2</v>
      </c>
      <c r="K69" s="24">
        <v>4.2372823000000004E-2</v>
      </c>
      <c r="L69" s="24">
        <v>2.4314165000000002E-2</v>
      </c>
      <c r="M69" s="24">
        <v>3.2080411999999996E-2</v>
      </c>
      <c r="N69" s="24">
        <v>3.6619782000000003E-2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43817</v>
      </c>
      <c r="B70" s="24">
        <v>7.1728586999999996E-2</v>
      </c>
      <c r="C70" s="24">
        <v>1.4609814E-2</v>
      </c>
      <c r="D70" s="24">
        <v>5.8573484000000002E-3</v>
      </c>
      <c r="E70" s="24">
        <v>8.6177590000000009E-3</v>
      </c>
      <c r="F70" s="24">
        <v>1.3228535999999999E-2</v>
      </c>
      <c r="G70" s="24">
        <v>2.9593349000000001E-2</v>
      </c>
      <c r="H70" s="24">
        <v>4.5478462999999997E-2</v>
      </c>
      <c r="I70" s="24">
        <v>3.1910180000000003E-2</v>
      </c>
      <c r="J70" s="24">
        <v>2.4261235999999999E-2</v>
      </c>
      <c r="K70" s="24">
        <v>9.3369483999999996E-3</v>
      </c>
      <c r="L70" s="24">
        <v>2.1831393000000001E-2</v>
      </c>
      <c r="M70" s="24">
        <v>5.4498909999999998E-2</v>
      </c>
      <c r="N70" s="24">
        <v>7.6464415000000001E-3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43847</v>
      </c>
      <c r="B71" s="24">
        <v>4.7491073999999994E-2</v>
      </c>
      <c r="C71" s="24">
        <v>3.978777E-2</v>
      </c>
      <c r="D71" s="24">
        <v>3.5206437E-2</v>
      </c>
      <c r="E71" s="24">
        <v>2.0164013000000001E-2</v>
      </c>
      <c r="F71" s="24">
        <v>-3.003955E-3</v>
      </c>
      <c r="G71" s="24">
        <v>3.9490223000000005E-2</v>
      </c>
      <c r="H71" s="24">
        <v>1.3376951E-2</v>
      </c>
      <c r="I71" s="24">
        <v>6.8301796999999997E-2</v>
      </c>
      <c r="J71" s="24">
        <v>4.3758990000000005E-2</v>
      </c>
      <c r="K71" s="24">
        <v>2.3284674000000002E-2</v>
      </c>
      <c r="L71" s="24">
        <v>2.0933031999999997E-2</v>
      </c>
      <c r="M71" s="24">
        <v>1.1456132000000001E-2</v>
      </c>
      <c r="N71" s="24">
        <v>1.7651080999999999E-2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43879</v>
      </c>
      <c r="B72" s="24">
        <v>-2.2497891999999999E-2</v>
      </c>
      <c r="C72" s="24">
        <v>-2.2959232E-2</v>
      </c>
      <c r="D72" s="24">
        <v>-1.9620657000000001E-3</v>
      </c>
      <c r="E72" s="24">
        <v>-2.1440565999999998E-2</v>
      </c>
      <c r="F72" s="24">
        <v>-3.6156654000000003E-2</v>
      </c>
      <c r="G72" s="24">
        <v>7.6941250000000004E-3</v>
      </c>
      <c r="H72" s="24">
        <v>-3.9014399999999998E-2</v>
      </c>
      <c r="I72" s="24">
        <v>5.0810219999999996E-2</v>
      </c>
      <c r="J72" s="24">
        <v>1.4399767000000001E-2</v>
      </c>
      <c r="K72" s="24">
        <v>-2.3361683000000001E-2</v>
      </c>
      <c r="L72" s="24">
        <v>1.4644861000000001E-3</v>
      </c>
      <c r="M72" s="24">
        <v>5.9616566000000003E-4</v>
      </c>
      <c r="N72" s="24">
        <v>1.0006665999999999E-2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43908</v>
      </c>
      <c r="B73" s="24">
        <v>-0.28598403999999999</v>
      </c>
      <c r="C73" s="24">
        <v>-0.40295906000000004</v>
      </c>
      <c r="D73" s="24">
        <v>-0.38990826000000001</v>
      </c>
      <c r="E73" s="24">
        <v>-0.38274554999999999</v>
      </c>
      <c r="F73" s="24">
        <v>-0.22924624999999998</v>
      </c>
      <c r="G73" s="24">
        <v>-0.25172990000000001</v>
      </c>
      <c r="H73" s="24">
        <v>-0.38217334999999997</v>
      </c>
      <c r="I73" s="24">
        <v>-0.24764622</v>
      </c>
      <c r="J73" s="24">
        <v>-0.28726279999999998</v>
      </c>
      <c r="K73" s="24">
        <v>-0.37775700000000001</v>
      </c>
      <c r="L73" s="24">
        <v>-0.34396014999999996</v>
      </c>
      <c r="M73" s="24">
        <v>-0.33958893000000001</v>
      </c>
      <c r="N73" s="24">
        <v>-0.39233820000000003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43938</v>
      </c>
      <c r="B74" s="24">
        <v>0.20577609999999999</v>
      </c>
      <c r="C74" s="24">
        <v>0.22667635</v>
      </c>
      <c r="D74" s="24">
        <v>0.25563895999999997</v>
      </c>
      <c r="E74" s="24">
        <v>0.27787018000000002</v>
      </c>
      <c r="F74" s="24">
        <v>0.14511036999999999</v>
      </c>
      <c r="G74" s="24">
        <v>0.18207909</v>
      </c>
      <c r="H74" s="24">
        <v>0.22776688</v>
      </c>
      <c r="I74" s="24">
        <v>0.22167646000000002</v>
      </c>
      <c r="J74" s="24">
        <v>0.20167041999999999</v>
      </c>
      <c r="K74" s="24">
        <v>0.20419370000000001</v>
      </c>
      <c r="L74" s="24">
        <v>0.23718238999999999</v>
      </c>
      <c r="M74" s="24">
        <v>0.20117270999999998</v>
      </c>
      <c r="N74" s="24">
        <v>0.11576091999999999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43969</v>
      </c>
      <c r="B75" s="24">
        <v>3.2730222000000003E-2</v>
      </c>
      <c r="C75" s="24">
        <v>3.3868073999999998E-2</v>
      </c>
      <c r="D75" s="24">
        <v>5.2609085999999999E-2</v>
      </c>
      <c r="E75" s="24">
        <v>4.3836712999999999E-2</v>
      </c>
      <c r="F75" s="24">
        <v>4.2896509999999999E-2</v>
      </c>
      <c r="G75" s="24">
        <v>9.9810360000000004E-3</v>
      </c>
      <c r="H75" s="24">
        <v>1.7303824000000002E-2</v>
      </c>
      <c r="I75" s="24">
        <v>5.6389093000000001E-2</v>
      </c>
      <c r="J75" s="24">
        <v>2.9165505999999997E-2</v>
      </c>
      <c r="K75" s="24">
        <v>1.036489E-2</v>
      </c>
      <c r="L75" s="24">
        <v>4.7927976000000004E-2</v>
      </c>
      <c r="M75" s="24">
        <v>4.8817159999999998E-2</v>
      </c>
      <c r="N75" s="24">
        <v>2.3380399E-2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44000</v>
      </c>
      <c r="B76" s="24">
        <v>8.1499210000000002E-2</v>
      </c>
      <c r="C76" s="24">
        <v>0.12272274</v>
      </c>
      <c r="D76" s="24">
        <v>5.9727550000000004E-2</v>
      </c>
      <c r="E76" s="24">
        <v>0.13352881999999999</v>
      </c>
      <c r="F76" s="24">
        <v>7.0780634999999995E-2</v>
      </c>
      <c r="G76" s="24">
        <v>6.3761949999999998E-2</v>
      </c>
      <c r="H76" s="24">
        <v>4.2866109999999999E-2</v>
      </c>
      <c r="I76" s="24">
        <v>7.4088810000000005E-2</v>
      </c>
      <c r="J76" s="24">
        <v>5.6881310000000004E-2</v>
      </c>
      <c r="K76" s="24">
        <v>0.12424469</v>
      </c>
      <c r="L76" s="24">
        <v>0.12085926000000001</v>
      </c>
      <c r="M76" s="24">
        <v>0.10227335</v>
      </c>
      <c r="N76" s="24">
        <v>0.15234017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44029</v>
      </c>
      <c r="B77" s="24">
        <v>5.9556484E-2</v>
      </c>
      <c r="C77" s="24">
        <v>3.4805178999999999E-2</v>
      </c>
      <c r="D77" s="24">
        <v>4.1053414000000003E-2</v>
      </c>
      <c r="E77" s="24">
        <v>6.8939924E-2</v>
      </c>
      <c r="F77" s="24">
        <v>-2.4866462E-3</v>
      </c>
      <c r="G77" s="24">
        <v>4.4143914999999999E-2</v>
      </c>
      <c r="H77" s="24">
        <v>2.4258852000000001E-2</v>
      </c>
      <c r="I77" s="24">
        <v>6.3804150000000004E-2</v>
      </c>
      <c r="J77" s="24">
        <v>3.6449193999999997E-2</v>
      </c>
      <c r="K77" s="24">
        <v>5.8045505999999997E-2</v>
      </c>
      <c r="L77" s="24">
        <v>6.0493827E-2</v>
      </c>
      <c r="M77" s="24">
        <v>0.11404360000000001</v>
      </c>
      <c r="N77" s="24">
        <v>7.80468E-2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44061</v>
      </c>
      <c r="B78" s="24">
        <v>3.5108924E-2</v>
      </c>
      <c r="C78" s="24">
        <v>4.7188759999999996E-2</v>
      </c>
      <c r="D78" s="24">
        <v>6.3988089999999997E-2</v>
      </c>
      <c r="E78" s="24">
        <v>3.952837E-2</v>
      </c>
      <c r="F78" s="24">
        <v>3.7927389999999998E-2</v>
      </c>
      <c r="G78" s="24">
        <v>2.2971750000000003E-2</v>
      </c>
      <c r="H78" s="24">
        <v>1.5789509E-2</v>
      </c>
      <c r="I78" s="24">
        <v>7.1505666000000009E-2</v>
      </c>
      <c r="J78" s="24">
        <v>5.2592396999999999E-2</v>
      </c>
      <c r="K78" s="24">
        <v>1.5277743E-2</v>
      </c>
      <c r="L78" s="24">
        <v>3.317809E-2</v>
      </c>
      <c r="M78" s="24">
        <v>4.2117596E-2</v>
      </c>
      <c r="N78" s="24">
        <v>6.1943530000000005E-3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44092</v>
      </c>
      <c r="B79" s="24">
        <v>-2.2055150000000003E-2</v>
      </c>
      <c r="C79" s="24">
        <v>-3.4995258000000001E-2</v>
      </c>
      <c r="D79" s="24">
        <v>-3.111893E-2</v>
      </c>
      <c r="E79" s="24">
        <v>9.6731186000000007E-3</v>
      </c>
      <c r="F79" s="24">
        <v>1.6640901999999999E-2</v>
      </c>
      <c r="G79" s="24">
        <v>1.9350170999999999E-2</v>
      </c>
      <c r="H79" s="24">
        <v>-3.3678769999999997E-2</v>
      </c>
      <c r="I79" s="24">
        <v>-3.9932370000000002E-2</v>
      </c>
      <c r="J79" s="24">
        <v>-1.9639730000000001E-2</v>
      </c>
      <c r="K79" s="24">
        <v>-3.7620068000000003E-3</v>
      </c>
      <c r="L79" s="24">
        <v>-8.7324380000000004E-3</v>
      </c>
      <c r="M79" s="24">
        <v>1.9085049999999999E-2</v>
      </c>
      <c r="N79" s="24">
        <v>-2.7702928000000002E-2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44120</v>
      </c>
      <c r="B80" s="24">
        <v>4.9034715E-2</v>
      </c>
      <c r="C80" s="24">
        <v>3.0799865999999999E-2</v>
      </c>
      <c r="D80" s="24">
        <v>1.7683268000000002E-2</v>
      </c>
      <c r="E80" s="24">
        <v>-2.1803737E-2</v>
      </c>
      <c r="F80" s="24">
        <v>-6.0748460000000001E-3</v>
      </c>
      <c r="G80" s="24">
        <v>-2.9294609999999999E-2</v>
      </c>
      <c r="H80" s="24">
        <v>-1.6851782999999999E-2</v>
      </c>
      <c r="I80" s="24">
        <v>8.2657220000000003E-2</v>
      </c>
      <c r="J80" s="24">
        <v>5.0325154999999996E-2</v>
      </c>
      <c r="K80" s="24">
        <v>-1.3044953E-2</v>
      </c>
      <c r="L80" s="24">
        <v>3.4668922000000005E-2</v>
      </c>
      <c r="M80" s="24">
        <v>-3.8557649999999997E-3</v>
      </c>
      <c r="N80" s="24">
        <v>-2.0182014000000002E-2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44153</v>
      </c>
      <c r="B81" s="24">
        <v>5.4234505000000002E-2</v>
      </c>
      <c r="C81" s="24">
        <v>8.8674660000000002E-2</v>
      </c>
      <c r="D81" s="24">
        <v>4.1489363000000001E-2</v>
      </c>
      <c r="E81" s="24">
        <v>1.2495756E-2</v>
      </c>
      <c r="F81" s="24">
        <v>7.9796195E-2</v>
      </c>
      <c r="G81" s="24">
        <v>3.2351494000000001E-2</v>
      </c>
      <c r="H81" s="24">
        <v>0.10479164000000001</v>
      </c>
      <c r="I81" s="24">
        <v>5.5456159999999997E-3</v>
      </c>
      <c r="J81" s="24">
        <v>2.5886059000000003E-2</v>
      </c>
      <c r="K81" s="24">
        <v>0.11721730000000001</v>
      </c>
      <c r="L81" s="24">
        <v>5.0261019999999997E-2</v>
      </c>
      <c r="M81" s="24">
        <v>7.4094534000000004E-2</v>
      </c>
      <c r="N81" s="24">
        <v>0.12318253500000001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44183</v>
      </c>
      <c r="B82" s="24">
        <v>2.3424983E-2</v>
      </c>
      <c r="C82" s="24">
        <v>7.098639000000001E-2</v>
      </c>
      <c r="D82" s="24">
        <v>6.801915E-2</v>
      </c>
      <c r="E82" s="24">
        <v>8.2176920000000001E-2</v>
      </c>
      <c r="F82" s="24">
        <v>5.0799610000000002E-2</v>
      </c>
      <c r="G82" s="24">
        <v>3.6790370000000003E-2</v>
      </c>
      <c r="H82" s="24">
        <v>4.7835710000000004E-2</v>
      </c>
      <c r="I82" s="24">
        <v>6.876707E-2</v>
      </c>
      <c r="J82" s="24">
        <v>4.064214E-2</v>
      </c>
      <c r="K82" s="24">
        <v>4.2182089999999998E-2</v>
      </c>
      <c r="L82" s="24">
        <v>8.0665829999999994E-2</v>
      </c>
      <c r="M82" s="24">
        <v>3.8862705000000004E-2</v>
      </c>
      <c r="N82" s="24">
        <v>6.1554789999999998E-2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44211</v>
      </c>
      <c r="B83" s="24">
        <v>1.465869E-2</v>
      </c>
      <c r="C83" s="24">
        <v>1.9174694999999999E-2</v>
      </c>
      <c r="D83" s="24">
        <v>2.7437090000000001E-2</v>
      </c>
      <c r="E83" s="24">
        <v>-6.2422155999999999E-3</v>
      </c>
      <c r="F83" s="24">
        <v>3.2296895999999999E-2</v>
      </c>
      <c r="G83" s="24">
        <v>1.8280267999999999E-2</v>
      </c>
      <c r="H83" s="24">
        <v>3.9823054999999996E-2</v>
      </c>
      <c r="I83" s="24">
        <v>7.6329709999999997E-3</v>
      </c>
      <c r="J83" s="24">
        <v>1.7660855999999999E-2</v>
      </c>
      <c r="K83" s="24">
        <v>4.8032999999999999E-3</v>
      </c>
      <c r="L83" s="24">
        <v>3.8601637000000001E-2</v>
      </c>
      <c r="M83" s="24">
        <v>2.1467686E-2</v>
      </c>
      <c r="N83" s="24">
        <v>1.707673E-3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44245</v>
      </c>
      <c r="B84" s="24">
        <v>-2.4078249999999999E-2</v>
      </c>
      <c r="C84" s="24">
        <v>3.3537865E-2</v>
      </c>
      <c r="D84" s="24">
        <v>2.7332782999999999E-2</v>
      </c>
      <c r="E84" s="24">
        <v>2.3555278999999998E-2</v>
      </c>
      <c r="F84" s="24">
        <v>3.1722902999999997E-2</v>
      </c>
      <c r="G84" s="24">
        <v>-7.9787373999999998E-3</v>
      </c>
      <c r="H84" s="24">
        <v>1.4729977E-2</v>
      </c>
      <c r="I84" s="24">
        <v>6.6087364999999995E-2</v>
      </c>
      <c r="J84" s="24">
        <v>3.9978622999999998E-2</v>
      </c>
      <c r="K84" s="24">
        <v>2.210927E-2</v>
      </c>
      <c r="L84" s="24">
        <v>6.3814880000000004E-2</v>
      </c>
      <c r="M84" s="24">
        <v>4.5210239999999999E-2</v>
      </c>
      <c r="N84" s="24">
        <v>2.8980613000000002E-2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44273</v>
      </c>
      <c r="B85" s="24">
        <v>-1.4340818E-2</v>
      </c>
      <c r="C85" s="24">
        <v>-1.8994808000000002E-2</v>
      </c>
      <c r="D85" s="24">
        <v>5.1681876000000002E-2</v>
      </c>
      <c r="E85" s="24">
        <v>2.5467873000000002E-2</v>
      </c>
      <c r="F85" s="24">
        <v>-1.0155141000000001E-2</v>
      </c>
      <c r="G85" s="24">
        <v>-1.6309202000000002E-2</v>
      </c>
      <c r="H85" s="24">
        <v>1.7096758E-2</v>
      </c>
      <c r="I85" s="24">
        <v>-6.1449109999999994E-2</v>
      </c>
      <c r="J85" s="24">
        <v>1.9451379999999999E-3</v>
      </c>
      <c r="K85" s="24">
        <v>2.3384928999999999E-2</v>
      </c>
      <c r="L85" s="24">
        <v>-2.1533728000000002E-2</v>
      </c>
      <c r="M85" s="24">
        <v>4.3020844000000003E-2</v>
      </c>
      <c r="N85" s="24">
        <v>3.7110685999999997E-2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44302</v>
      </c>
      <c r="B86" s="24">
        <v>8.9174509999999998E-3</v>
      </c>
      <c r="C86" s="24">
        <v>5.9298039999999996E-2</v>
      </c>
      <c r="D86" s="24">
        <v>2.8787493999999997E-2</v>
      </c>
      <c r="E86" s="24">
        <v>5.8946730000000003E-2</v>
      </c>
      <c r="F86" s="24">
        <v>-3.134787E-3</v>
      </c>
      <c r="G86" s="24">
        <v>6.2684535999999999E-2</v>
      </c>
      <c r="H86" s="24">
        <v>4.0596246999999995E-2</v>
      </c>
      <c r="I86" s="24">
        <v>9.7403049999999991E-2</v>
      </c>
      <c r="J86" s="24">
        <v>6.9349527000000008E-2</v>
      </c>
      <c r="K86" s="24">
        <v>5.8554769999999999E-2</v>
      </c>
      <c r="L86" s="24">
        <v>9.0276239999999994E-2</v>
      </c>
      <c r="M86" s="24">
        <v>8.3389399999999989E-2</v>
      </c>
      <c r="N86" s="24">
        <v>3.5143852000000003E-2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44334</v>
      </c>
      <c r="B87" s="24">
        <v>-2.7446089999999999E-2</v>
      </c>
      <c r="C87" s="24">
        <v>4.1888951999999998E-3</v>
      </c>
      <c r="D87" s="24">
        <v>5.2854656999999999E-2</v>
      </c>
      <c r="E87" s="24">
        <v>1.1303425000000001E-3</v>
      </c>
      <c r="F87" s="24">
        <v>-3.8164615999999998E-2</v>
      </c>
      <c r="G87" s="24">
        <v>1.5174149999999999E-2</v>
      </c>
      <c r="H87" s="24">
        <v>3.0783296000000002E-2</v>
      </c>
      <c r="I87" s="24">
        <v>-5.7863829999999998E-2</v>
      </c>
      <c r="J87" s="24">
        <v>-1.2749851000000001E-2</v>
      </c>
      <c r="K87" s="24">
        <v>2.8332472000000001E-2</v>
      </c>
      <c r="L87" s="24">
        <v>-5.7672259999999994E-3</v>
      </c>
      <c r="M87" s="24">
        <v>-2.0691752E-3</v>
      </c>
      <c r="N87" s="24">
        <v>1.6666532000000001E-2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44365</v>
      </c>
      <c r="B88" s="24">
        <v>-3.6157727000000001E-2</v>
      </c>
      <c r="C88" s="24">
        <v>9.572506E-5</v>
      </c>
      <c r="D88" s="24">
        <v>-4.1089057999999998E-3</v>
      </c>
      <c r="E88" s="24">
        <v>-1.3148248E-2</v>
      </c>
      <c r="F88" s="24">
        <v>6.7412852999999993E-3</v>
      </c>
      <c r="G88" s="24">
        <v>4.2244314999999998E-2</v>
      </c>
      <c r="H88" s="24">
        <v>-2.6100338000000001E-2</v>
      </c>
      <c r="I88" s="24">
        <v>6.3341856000000002E-2</v>
      </c>
      <c r="J88" s="24">
        <v>1.0574102E-2</v>
      </c>
      <c r="K88" s="24">
        <v>9.5784663999999992E-3</v>
      </c>
      <c r="L88" s="24">
        <v>-5.2642820000000003E-3</v>
      </c>
      <c r="M88" s="24">
        <v>-3.1240165E-2</v>
      </c>
      <c r="N88" s="24">
        <v>-5.6297779999999993E-3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44393</v>
      </c>
      <c r="B89" s="24">
        <v>2.5538325000000001E-2</v>
      </c>
      <c r="C89" s="24">
        <v>-1.5763164E-2</v>
      </c>
      <c r="D89" s="24">
        <v>-1.4645994000000001E-2</v>
      </c>
      <c r="E89" s="24">
        <v>-2.0360349999999998E-3</v>
      </c>
      <c r="F89" s="24">
        <v>-4.4608116000000004E-4</v>
      </c>
      <c r="G89" s="24">
        <v>1.049161E-2</v>
      </c>
      <c r="H89" s="24">
        <v>-2.4698376999999997E-3</v>
      </c>
      <c r="I89" s="24">
        <v>4.4894100000000006E-2</v>
      </c>
      <c r="J89" s="24">
        <v>3.9573908000000005E-2</v>
      </c>
      <c r="K89" s="24">
        <v>-2.2338985999999998E-2</v>
      </c>
      <c r="L89" s="24">
        <v>3.354311E-3</v>
      </c>
      <c r="M89" s="24">
        <v>2.6719213000000002E-2</v>
      </c>
      <c r="N89" s="24">
        <v>-2.6266991999999999E-2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44426</v>
      </c>
      <c r="B90" s="24">
        <v>-2.3600219999999998E-2</v>
      </c>
      <c r="C90" s="24">
        <v>-4.2968988000000007E-3</v>
      </c>
      <c r="D90" s="24">
        <v>1.5414238E-2</v>
      </c>
      <c r="E90" s="24">
        <v>1.6613245000000002E-2</v>
      </c>
      <c r="F90" s="24">
        <v>4.4631957999999999E-4</v>
      </c>
      <c r="G90" s="24">
        <v>3.7255763999999997E-2</v>
      </c>
      <c r="H90" s="24">
        <v>2.3212671000000001E-2</v>
      </c>
      <c r="I90" s="24">
        <v>1.2891412E-2</v>
      </c>
      <c r="J90" s="24">
        <v>1.8175960000000001E-2</v>
      </c>
      <c r="K90" s="24">
        <v>3.4139751999999995E-2</v>
      </c>
      <c r="L90" s="24">
        <v>5.6414604E-2</v>
      </c>
      <c r="M90" s="24">
        <v>1.0238886000000001E-2</v>
      </c>
      <c r="N90" s="24">
        <v>5.2047014000000003E-2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44456</v>
      </c>
      <c r="B91" s="24">
        <v>5.5342555000000002E-2</v>
      </c>
      <c r="C91" s="24">
        <v>-1.9615293000000002E-3</v>
      </c>
      <c r="D91" s="24">
        <v>-3.5240053999999999E-3</v>
      </c>
      <c r="E91" s="24">
        <v>-2.4082599999999999E-2</v>
      </c>
      <c r="F91" s="24">
        <v>9.1895939999999995E-2</v>
      </c>
      <c r="G91" s="24">
        <v>-5.0049067000000003E-2</v>
      </c>
      <c r="H91" s="24">
        <v>-2.1173655999999999E-2</v>
      </c>
      <c r="I91" s="24">
        <v>3.2080770000000002E-2</v>
      </c>
      <c r="J91" s="24">
        <v>8.3066225000000011E-3</v>
      </c>
      <c r="K91" s="24">
        <v>-1.2477218999999999E-2</v>
      </c>
      <c r="L91" s="24">
        <v>4.1337013000000006E-2</v>
      </c>
      <c r="M91" s="24">
        <v>-7.1790814000000005E-3</v>
      </c>
      <c r="N91" s="24">
        <v>-2.8959334E-2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44487</v>
      </c>
      <c r="B92" s="24">
        <v>-1.2004435000000001E-2</v>
      </c>
      <c r="C92" s="24">
        <v>2.319181E-2</v>
      </c>
      <c r="D92" s="24">
        <v>6.2296033000000001E-2</v>
      </c>
      <c r="E92" s="24">
        <v>-1.7332554E-2</v>
      </c>
      <c r="F92" s="24">
        <v>-6.4415159999999999E-2</v>
      </c>
      <c r="G92" s="24">
        <v>4.5454502000000004E-3</v>
      </c>
      <c r="H92" s="24">
        <v>3.646481E-2</v>
      </c>
      <c r="I92" s="24">
        <v>-2.0282269E-3</v>
      </c>
      <c r="J92" s="24">
        <v>1.3117433000000001E-2</v>
      </c>
      <c r="K92" s="24">
        <v>1.1318684000000001E-2</v>
      </c>
      <c r="L92" s="24">
        <v>-2.7920245999999999E-2</v>
      </c>
      <c r="M92" s="24">
        <v>1.2761354E-3</v>
      </c>
      <c r="N92" s="24">
        <v>1.9882082999999998E-2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44518</v>
      </c>
      <c r="B93" s="24">
        <v>-2.3661077000000003E-2</v>
      </c>
      <c r="C93" s="24">
        <v>-1.8824399000000002E-2</v>
      </c>
      <c r="D93" s="24">
        <v>1.4852761999999999E-2</v>
      </c>
      <c r="E93" s="24">
        <v>2.3617387E-2</v>
      </c>
      <c r="F93" s="24">
        <v>1.5574932E-2</v>
      </c>
      <c r="G93" s="24">
        <v>4.9568057000000006E-2</v>
      </c>
      <c r="H93" s="24">
        <v>-5.6649446000000001E-3</v>
      </c>
      <c r="I93" s="24">
        <v>7.8089355999999999E-2</v>
      </c>
      <c r="J93" s="24">
        <v>5.0403595000000002E-2</v>
      </c>
      <c r="K93" s="24">
        <v>4.4247865999999997E-2</v>
      </c>
      <c r="L93" s="24">
        <v>3.4974575000000001E-2</v>
      </c>
      <c r="M93" s="24">
        <v>2.8037429999999999E-2</v>
      </c>
      <c r="N93" s="24">
        <v>2.3149489999999998E-2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44547</v>
      </c>
      <c r="B94" s="24">
        <v>-5.844241E-2</v>
      </c>
      <c r="C94" s="24">
        <v>-3.2510935999999997E-2</v>
      </c>
      <c r="D94" s="24">
        <v>-5.9646425000000003E-2</v>
      </c>
      <c r="E94" s="24">
        <v>-6.2053323000000001E-2</v>
      </c>
      <c r="F94" s="24">
        <v>-2.3901582000000001E-2</v>
      </c>
      <c r="G94" s="24">
        <v>3.7233830000000002E-3</v>
      </c>
      <c r="H94" s="24">
        <v>-1.8686533000000002E-2</v>
      </c>
      <c r="I94" s="24">
        <v>-4.191661E-2</v>
      </c>
      <c r="J94" s="24">
        <v>-1.7507017E-2</v>
      </c>
      <c r="K94" s="24">
        <v>-4.8668265000000002E-2</v>
      </c>
      <c r="L94" s="24">
        <v>-9.8032769999999991E-2</v>
      </c>
      <c r="M94" s="24">
        <v>-6.6415367000000003E-2</v>
      </c>
      <c r="N94" s="24">
        <v>-4.5546349999999999E-2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44579</v>
      </c>
      <c r="B95" s="24">
        <v>3.9994716999999999E-3</v>
      </c>
      <c r="C95" s="24">
        <v>1.4647126E-2</v>
      </c>
      <c r="D95" s="24">
        <v>6.1429739999999997E-2</v>
      </c>
      <c r="E95" s="24">
        <v>2.7329683E-2</v>
      </c>
      <c r="F95" s="24">
        <v>-1.5473901999999999E-2</v>
      </c>
      <c r="G95" s="24">
        <v>-9.3713400000000006E-3</v>
      </c>
      <c r="H95" s="24">
        <v>8.0062870000000008E-2</v>
      </c>
      <c r="I95" s="24">
        <v>-3.6064803999999999E-2</v>
      </c>
      <c r="J95" s="24">
        <v>-7.3499084000000006E-3</v>
      </c>
      <c r="K95" s="24">
        <v>4.2811035999999997E-2</v>
      </c>
      <c r="L95" s="24">
        <v>1.1764765E-2</v>
      </c>
      <c r="M95" s="24">
        <v>-9.5443130000000004E-3</v>
      </c>
      <c r="N95" s="24">
        <v>4.7453283999999998E-2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44610</v>
      </c>
      <c r="B96" s="24">
        <v>-5.7861447000000003E-2</v>
      </c>
      <c r="C96" s="24">
        <v>-8.6812972999999998E-3</v>
      </c>
      <c r="D96" s="24">
        <v>-3.3290624999999997E-2</v>
      </c>
      <c r="E96" s="24">
        <v>-4.6163200000000001E-2</v>
      </c>
      <c r="F96" s="24">
        <v>-3.8385928E-2</v>
      </c>
      <c r="G96" s="24">
        <v>-4.8088309999999995E-2</v>
      </c>
      <c r="H96" s="24">
        <v>-3.7791132999999998E-3</v>
      </c>
      <c r="I96" s="24">
        <v>-7.8369912999999999E-2</v>
      </c>
      <c r="J96" s="24">
        <v>-4.8763330000000001E-2</v>
      </c>
      <c r="K96" s="24">
        <v>-3.1500159999999999E-2</v>
      </c>
      <c r="L96" s="24">
        <v>-6.5822244000000002E-2</v>
      </c>
      <c r="M96" s="24">
        <v>-8.7808189999999994E-2</v>
      </c>
      <c r="N96" s="24">
        <v>-2.9598296E-2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44638</v>
      </c>
      <c r="B97" s="24">
        <v>5.8241487000000002E-2</v>
      </c>
      <c r="C97" s="24">
        <v>7.1309446999999998E-2</v>
      </c>
      <c r="D97" s="24">
        <v>5.3774834000000001E-2</v>
      </c>
      <c r="E97" s="24">
        <v>-7.3397455E-2</v>
      </c>
      <c r="F97" s="24">
        <v>-2.1373570000000001E-2</v>
      </c>
      <c r="G97" s="24">
        <v>1.3871670000000001E-2</v>
      </c>
      <c r="H97" s="24">
        <v>-2.7137458E-2</v>
      </c>
      <c r="I97" s="24">
        <v>2.9223084E-2</v>
      </c>
      <c r="J97" s="24">
        <v>2.6842833E-2</v>
      </c>
      <c r="K97" s="24">
        <v>-6.1583519999999996E-2</v>
      </c>
      <c r="L97" s="24">
        <v>-4.4898868000000001E-2</v>
      </c>
      <c r="M97" s="24">
        <v>1.1874675999999999E-2</v>
      </c>
      <c r="N97" s="24">
        <v>-0.10488642000000001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44669</v>
      </c>
      <c r="B98" s="24">
        <v>-7.3734339999999995E-2</v>
      </c>
      <c r="C98" s="24">
        <v>2.413392E-2</v>
      </c>
      <c r="D98" s="24">
        <v>-1.7596482999999998E-3</v>
      </c>
      <c r="E98" s="24">
        <v>-6.2262177000000002E-2</v>
      </c>
      <c r="F98" s="24">
        <v>-7.3390063999999991E-2</v>
      </c>
      <c r="G98" s="24">
        <v>2.4504661999999997E-3</v>
      </c>
      <c r="H98" s="24">
        <v>1.7996311000000001E-2</v>
      </c>
      <c r="I98" s="24">
        <v>-3.5222650000000001E-2</v>
      </c>
      <c r="J98" s="24">
        <v>-1.4734983E-2</v>
      </c>
      <c r="K98" s="24">
        <v>-2.5284051999999998E-2</v>
      </c>
      <c r="L98" s="24">
        <v>-6.0740049999999997E-2</v>
      </c>
      <c r="M98" s="24">
        <v>-5.3682860000000006E-2</v>
      </c>
      <c r="N98" s="24">
        <v>1.0083436999999999E-2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44699</v>
      </c>
      <c r="B99" s="24">
        <v>-0.11597795</v>
      </c>
      <c r="C99" s="24">
        <v>-0.10604328</v>
      </c>
      <c r="D99" s="24">
        <v>-9.5693769999999997E-2</v>
      </c>
      <c r="E99" s="24">
        <v>-5.7174500000000003E-2</v>
      </c>
      <c r="F99" s="24">
        <v>-3.1369149999999998E-2</v>
      </c>
      <c r="G99" s="24">
        <v>-0.11000204</v>
      </c>
      <c r="H99" s="24">
        <v>-6.7766610000000005E-2</v>
      </c>
      <c r="I99" s="24">
        <v>-0.14039384999999999</v>
      </c>
      <c r="J99" s="24">
        <v>-0.10528124</v>
      </c>
      <c r="K99" s="24">
        <v>-5.6251819999999994E-2</v>
      </c>
      <c r="L99" s="24">
        <v>-8.8701725000000009E-2</v>
      </c>
      <c r="M99" s="24">
        <v>-9.4986859999999992E-2</v>
      </c>
      <c r="N99" s="24">
        <v>-6.9190979999999999E-2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44729</v>
      </c>
      <c r="B100" s="24">
        <v>-5.4959955000000005E-2</v>
      </c>
      <c r="C100" s="24">
        <v>-8.663665999999999E-2</v>
      </c>
      <c r="D100" s="24">
        <v>-6.5488634000000004E-2</v>
      </c>
      <c r="E100" s="24">
        <v>-4.5309663E-2</v>
      </c>
      <c r="F100" s="24">
        <v>-5.9414682000000003E-2</v>
      </c>
      <c r="G100" s="24">
        <v>-7.745682999999999E-2</v>
      </c>
      <c r="H100" s="24">
        <v>-6.0817537000000005E-2</v>
      </c>
      <c r="I100" s="24">
        <v>-5.6502047E-2</v>
      </c>
      <c r="J100" s="24">
        <v>-6.2326135999999997E-2</v>
      </c>
      <c r="K100" s="24">
        <v>-5.5712039999999997E-2</v>
      </c>
      <c r="L100" s="24">
        <v>-5.9350849999999997E-2</v>
      </c>
      <c r="M100" s="24">
        <v>-6.9749236000000006E-2</v>
      </c>
      <c r="N100" s="24">
        <v>-6.9554329999999998E-2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44760</v>
      </c>
      <c r="B101" s="24">
        <v>4.2495370000000005E-2</v>
      </c>
      <c r="C101" s="24">
        <v>1.2013434999999999E-2</v>
      </c>
      <c r="D101" s="24">
        <v>-1.2608886E-2</v>
      </c>
      <c r="E101" s="24">
        <v>-6.2103930000000002E-2</v>
      </c>
      <c r="F101" s="24">
        <v>1.5366912E-2</v>
      </c>
      <c r="G101" s="24">
        <v>4.0506244000000004E-2</v>
      </c>
      <c r="H101" s="24">
        <v>2.3988485E-3</v>
      </c>
      <c r="I101" s="24">
        <v>5.5528044999999998E-2</v>
      </c>
      <c r="J101" s="24">
        <v>4.3978690000000001E-2</v>
      </c>
      <c r="K101" s="24">
        <v>-4.0404200000000003E-3</v>
      </c>
      <c r="L101" s="24">
        <v>1.6105412999999999E-2</v>
      </c>
      <c r="M101" s="24">
        <v>-8.0618860000000007E-3</v>
      </c>
      <c r="N101" s="24">
        <v>-6.4317884000000006E-2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44791</v>
      </c>
      <c r="B102" s="24">
        <v>8.8654159999999996E-2</v>
      </c>
      <c r="C102" s="24">
        <v>8.7844259999999993E-2</v>
      </c>
      <c r="D102" s="24">
        <v>9.3949560000000001E-2</v>
      </c>
      <c r="E102" s="24">
        <v>5.3603529999999996E-2</v>
      </c>
      <c r="F102" s="24">
        <v>7.0942163000000003E-2</v>
      </c>
      <c r="G102" s="24">
        <v>4.7445297000000004E-2</v>
      </c>
      <c r="H102" s="24">
        <v>5.7093980000000003E-2</v>
      </c>
      <c r="I102" s="24">
        <v>0.13780236000000001</v>
      </c>
      <c r="J102" s="24">
        <v>0.12027752</v>
      </c>
      <c r="K102" s="24">
        <v>7.9783679999999996E-2</v>
      </c>
      <c r="L102" s="24">
        <v>7.8386070000000002E-2</v>
      </c>
      <c r="M102" s="24">
        <v>7.1521399999999999E-2</v>
      </c>
      <c r="N102" s="24">
        <v>8.8879219999999995E-2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44820</v>
      </c>
      <c r="B103" s="24">
        <v>-6.5637054E-2</v>
      </c>
      <c r="C103" s="24">
        <v>-7.2893915000000004E-2</v>
      </c>
      <c r="D103" s="24">
        <v>-6.7259550000000001E-2</v>
      </c>
      <c r="E103" s="24">
        <v>-7.6100825999999996E-2</v>
      </c>
      <c r="F103" s="24">
        <v>-8.797031000000001E-2</v>
      </c>
      <c r="G103" s="24">
        <v>-6.8525020000000006E-2</v>
      </c>
      <c r="H103" s="24">
        <v>-8.2470890000000005E-2</v>
      </c>
      <c r="I103" s="24">
        <v>-0.12135565</v>
      </c>
      <c r="J103" s="24">
        <v>-9.5196489999999995E-2</v>
      </c>
      <c r="K103" s="24">
        <v>-8.0463349999999989E-2</v>
      </c>
      <c r="L103" s="24">
        <v>-0.10502397999999999</v>
      </c>
      <c r="M103" s="24">
        <v>-0.10406548</v>
      </c>
      <c r="N103" s="24">
        <v>-4.5034226999999996E-2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44852</v>
      </c>
      <c r="B104" s="24">
        <v>-0.11004787000000001</v>
      </c>
      <c r="C104" s="24">
        <v>-5.5084763000000002E-2</v>
      </c>
      <c r="D104" s="24">
        <v>-5.9296846E-2</v>
      </c>
      <c r="E104" s="24">
        <v>-2.0360947000000001E-2</v>
      </c>
      <c r="F104" s="24">
        <v>-5.5200519999999996E-2</v>
      </c>
      <c r="G104" s="24">
        <v>-3.6907731999999999E-2</v>
      </c>
      <c r="H104" s="24">
        <v>-4.5823097E-2</v>
      </c>
      <c r="I104" s="24">
        <v>-5.9990050000000003E-2</v>
      </c>
      <c r="J104" s="24">
        <v>-3.7426054E-2</v>
      </c>
      <c r="K104" s="24">
        <v>-1.9748031999999999E-2</v>
      </c>
      <c r="L104" s="24">
        <v>-6.3601074000000007E-2</v>
      </c>
      <c r="M104" s="24">
        <v>-1.5238761999999999E-2</v>
      </c>
      <c r="N104" s="24">
        <v>-3.5368442999999999E-2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44883</v>
      </c>
      <c r="B105" s="24">
        <v>0.13856315999999999</v>
      </c>
      <c r="C105" s="24">
        <v>0.13403092999999999</v>
      </c>
      <c r="D105" s="24">
        <v>9.4076749999999987E-2</v>
      </c>
      <c r="E105" s="24">
        <v>0.17760980000000001</v>
      </c>
      <c r="F105" s="24">
        <v>0.11193121</v>
      </c>
      <c r="G105" s="24">
        <v>9.0108759999999996E-2</v>
      </c>
      <c r="H105" s="24">
        <v>0.11821211</v>
      </c>
      <c r="I105" s="24">
        <v>4.9138070000000006E-2</v>
      </c>
      <c r="J105" s="24">
        <v>6.709242E-2</v>
      </c>
      <c r="K105" s="24">
        <v>0.14102113999999999</v>
      </c>
      <c r="L105" s="24">
        <v>0.20727039999999999</v>
      </c>
      <c r="M105" s="24">
        <v>0.1224209</v>
      </c>
      <c r="N105" s="24">
        <v>0.19074642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44911</v>
      </c>
      <c r="B106" s="24">
        <v>5.1435349999999998E-2</v>
      </c>
      <c r="C106" s="24">
        <v>-5.9937834999999997E-3</v>
      </c>
      <c r="D106" s="24">
        <v>-4.7701178000000004E-2</v>
      </c>
      <c r="E106" s="24">
        <v>-1.2905419E-2</v>
      </c>
      <c r="F106" s="24">
        <v>7.9505444000000005E-3</v>
      </c>
      <c r="G106" s="24">
        <v>-7.1258544999999998E-3</v>
      </c>
      <c r="H106" s="24">
        <v>1.9657134999999999E-2</v>
      </c>
      <c r="I106" s="24">
        <v>-3.7111163000000003E-2</v>
      </c>
      <c r="J106" s="24">
        <v>-2.7721703E-2</v>
      </c>
      <c r="K106" s="24">
        <v>2.6904345E-3</v>
      </c>
      <c r="L106" s="24">
        <v>2.4892092000000001E-3</v>
      </c>
      <c r="M106" s="24">
        <v>2.6358366000000001E-3</v>
      </c>
      <c r="N106" s="24">
        <v>-9.8924636999999996E-3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44944</v>
      </c>
      <c r="B107" s="24">
        <v>5.0461530000000004E-2</v>
      </c>
      <c r="C107" s="24">
        <v>7.4290990000000001E-2</v>
      </c>
      <c r="D107" s="24">
        <v>6.600868700000001E-2</v>
      </c>
      <c r="E107" s="24">
        <v>0.12601625</v>
      </c>
      <c r="F107" s="24">
        <v>4.9129250000000006E-2</v>
      </c>
      <c r="G107" s="24">
        <v>7.7990530000000002E-2</v>
      </c>
      <c r="H107" s="24">
        <v>7.2344660000000005E-2</v>
      </c>
      <c r="I107" s="24">
        <v>1.5698074999999999E-2</v>
      </c>
      <c r="J107" s="24">
        <v>2.1447061999999999E-2</v>
      </c>
      <c r="K107" s="24">
        <v>0.10877513999999999</v>
      </c>
      <c r="L107" s="24">
        <v>0.10259807999999999</v>
      </c>
      <c r="M107" s="24">
        <v>8.4818599999999994E-2</v>
      </c>
      <c r="N107" s="24">
        <v>0.10747838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44974</v>
      </c>
      <c r="B108" s="24">
        <v>-4.1007400000000003E-3</v>
      </c>
      <c r="C108" s="24">
        <v>-7.1249010000000003E-3</v>
      </c>
      <c r="D108" s="24">
        <v>1.2442112E-2</v>
      </c>
      <c r="E108" s="24">
        <v>1.6245483999999998E-2</v>
      </c>
      <c r="F108" s="24">
        <v>-3.6693809999999998E-3</v>
      </c>
      <c r="G108" s="24">
        <v>-3.3289193999999998E-3</v>
      </c>
      <c r="H108" s="24">
        <v>6.1330795000000002E-3</v>
      </c>
      <c r="I108" s="24">
        <v>8.3777190000000001E-2</v>
      </c>
      <c r="J108" s="24">
        <v>4.028201E-2</v>
      </c>
      <c r="K108" s="24">
        <v>3.1876922000000002E-2</v>
      </c>
      <c r="L108" s="24">
        <v>1.5628815000000001E-2</v>
      </c>
      <c r="M108" s="24">
        <v>1.4164329E-2</v>
      </c>
      <c r="N108" s="24">
        <v>4.5469999999999997E-2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45002</v>
      </c>
      <c r="B109" s="24">
        <v>-4.2352914999999998E-2</v>
      </c>
      <c r="C109" s="24">
        <v>-7.2604536999999997E-2</v>
      </c>
      <c r="D109" s="24">
        <v>-7.5164375000000005E-2</v>
      </c>
      <c r="E109" s="24">
        <v>-6.0745954999999997E-2</v>
      </c>
      <c r="F109" s="24">
        <v>-2.2974431999999999E-2</v>
      </c>
      <c r="G109" s="24">
        <v>-5.1658869999999996E-2</v>
      </c>
      <c r="H109" s="24">
        <v>-7.2538909999999998E-2</v>
      </c>
      <c r="I109" s="24">
        <v>1.3946056E-2</v>
      </c>
      <c r="J109" s="24">
        <v>-3.8706958E-2</v>
      </c>
      <c r="K109" s="24">
        <v>-6.3914720000000008E-2</v>
      </c>
      <c r="L109" s="24">
        <v>-6.4867439999999998E-2</v>
      </c>
      <c r="M109" s="24">
        <v>-8.6033460000000006E-2</v>
      </c>
      <c r="N109" s="24">
        <v>-8.8283E-2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45034</v>
      </c>
      <c r="B110" s="24">
        <v>1.2592196E-2</v>
      </c>
      <c r="C110" s="24">
        <v>7.1916223000000001E-2</v>
      </c>
      <c r="D110" s="24">
        <v>0.10012351999999999</v>
      </c>
      <c r="E110" s="24">
        <v>0.10438728</v>
      </c>
      <c r="F110" s="24">
        <v>5.8337810000000004E-2</v>
      </c>
      <c r="G110" s="24">
        <v>0.11152851</v>
      </c>
      <c r="H110" s="24">
        <v>0.10778831999999999</v>
      </c>
      <c r="I110" s="24">
        <v>4.5821667000000003E-2</v>
      </c>
      <c r="J110" s="24">
        <v>6.2104106000000006E-2</v>
      </c>
      <c r="K110" s="24">
        <v>0.12062586</v>
      </c>
      <c r="L110" s="24">
        <v>7.4430345999999994E-2</v>
      </c>
      <c r="M110" s="24">
        <v>0.12102688</v>
      </c>
      <c r="N110" s="24">
        <v>0.12815952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45064</v>
      </c>
      <c r="B111" s="24">
        <v>2.0725845999999999E-2</v>
      </c>
      <c r="C111" s="24">
        <v>-3.0997872000000003E-2</v>
      </c>
      <c r="D111" s="24">
        <v>-2.4719000000000001E-2</v>
      </c>
      <c r="E111" s="24">
        <v>-4.1096209999999999E-3</v>
      </c>
      <c r="F111" s="24">
        <v>3.2225250999999996E-2</v>
      </c>
      <c r="G111" s="24">
        <v>1.1195539999999999E-2</v>
      </c>
      <c r="H111" s="24">
        <v>-1.8095553E-2</v>
      </c>
      <c r="I111" s="24">
        <v>5.7736992999999993E-2</v>
      </c>
      <c r="J111" s="24">
        <v>1.2119531999999999E-2</v>
      </c>
      <c r="K111" s="24">
        <v>-1.6247748999999999E-2</v>
      </c>
      <c r="L111" s="24">
        <v>6.8331957E-3</v>
      </c>
      <c r="M111" s="24">
        <v>-2.0992397999999999E-2</v>
      </c>
      <c r="N111" s="24">
        <v>-2.461344E-2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45093</v>
      </c>
      <c r="B112" s="24">
        <v>-2.2402942000000002E-2</v>
      </c>
      <c r="C112" s="24">
        <v>4.1672944999999996E-2</v>
      </c>
      <c r="D112" s="24">
        <v>1.0422826000000001E-2</v>
      </c>
      <c r="E112" s="24">
        <v>2.1452427E-2</v>
      </c>
      <c r="F112" s="24">
        <v>4.4125319999999996E-2</v>
      </c>
      <c r="G112" s="24">
        <v>-7.4529650000000006E-3</v>
      </c>
      <c r="H112" s="24">
        <v>1.5421867000000001E-2</v>
      </c>
      <c r="I112" s="24">
        <v>9.0906380000000009E-2</v>
      </c>
      <c r="J112" s="24">
        <v>5.2163123999999998E-2</v>
      </c>
      <c r="K112" s="24">
        <v>1.0220051000000001E-2</v>
      </c>
      <c r="L112" s="24">
        <v>1.9249677999999999E-2</v>
      </c>
      <c r="M112" s="24">
        <v>5.5694580000000004E-4</v>
      </c>
      <c r="N112" s="24">
        <v>4.2104483000000005E-2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45125</v>
      </c>
      <c r="B113" s="24">
        <v>2.2308588000000001E-2</v>
      </c>
      <c r="C113" s="24">
        <v>-1.714468E-3</v>
      </c>
      <c r="D113" s="24">
        <v>2.4474619999999999E-2</v>
      </c>
      <c r="E113" s="24">
        <v>1.4873743E-2</v>
      </c>
      <c r="F113" s="24">
        <v>3.3280850000000002E-3</v>
      </c>
      <c r="G113" s="24">
        <v>2.2810339999999998E-2</v>
      </c>
      <c r="H113" s="24">
        <v>-5.1562786000000005E-3</v>
      </c>
      <c r="I113" s="24">
        <v>4.9845933999999995E-2</v>
      </c>
      <c r="J113" s="24">
        <v>3.3518434E-2</v>
      </c>
      <c r="K113" s="24">
        <v>2.5594115000000001E-2</v>
      </c>
      <c r="L113" s="24">
        <v>5.0847410000000003E-2</v>
      </c>
      <c r="M113" s="24">
        <v>2.6996969999999999E-2</v>
      </c>
      <c r="N113" s="24">
        <v>5.3117036999999999E-2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45156</v>
      </c>
      <c r="B114" s="24">
        <v>-9.0290309999999999E-2</v>
      </c>
      <c r="C114" s="24">
        <v>-7.8574599999999994E-2</v>
      </c>
      <c r="D114" s="24">
        <v>-5.1995573000000003E-2</v>
      </c>
      <c r="E114" s="24">
        <v>-6.4758005000000007E-2</v>
      </c>
      <c r="F114" s="24">
        <v>-6.3023270000000006E-2</v>
      </c>
      <c r="G114" s="24">
        <v>-5.1546334999999999E-2</v>
      </c>
      <c r="H114" s="24">
        <v>-4.0548799999999996E-2</v>
      </c>
      <c r="I114" s="24">
        <v>-7.157665299999999E-2</v>
      </c>
      <c r="J114" s="24">
        <v>-3.8948475999999996E-2</v>
      </c>
      <c r="K114" s="24">
        <v>-5.6786355999999996E-2</v>
      </c>
      <c r="L114" s="24">
        <v>-9.4564730000000013E-2</v>
      </c>
      <c r="M114" s="24">
        <v>-0.1130082</v>
      </c>
      <c r="N114" s="24">
        <v>-6.1310824999999999E-2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45187</v>
      </c>
      <c r="B115" s="24">
        <v>-2.0466565999999999E-2</v>
      </c>
      <c r="C115" s="24">
        <v>3.3084870000000002E-2</v>
      </c>
      <c r="D115" s="24">
        <v>4.2691945999999995E-2</v>
      </c>
      <c r="E115" s="24">
        <v>-1.1297405E-2</v>
      </c>
      <c r="F115" s="24">
        <v>6.4396500000000009E-2</v>
      </c>
      <c r="G115" s="24">
        <v>2.2182465000000003E-3</v>
      </c>
      <c r="H115" s="24">
        <v>2.7327656999999998E-2</v>
      </c>
      <c r="I115" s="24">
        <v>3.6482692000000004E-2</v>
      </c>
      <c r="J115" s="24">
        <v>1.9963503E-2</v>
      </c>
      <c r="K115" s="24">
        <v>-7.2894095999999995E-3</v>
      </c>
      <c r="L115" s="24">
        <v>-4.7096132999999998E-2</v>
      </c>
      <c r="M115" s="24">
        <v>5.6523084999999997E-3</v>
      </c>
      <c r="N115" s="24">
        <v>9.0090035999999991E-3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45217</v>
      </c>
      <c r="B116" s="24">
        <v>-3.3250927999999999E-2</v>
      </c>
      <c r="C116" s="24">
        <v>-4.2399645E-2</v>
      </c>
      <c r="D116" s="24">
        <v>-6.1700286999999993E-2</v>
      </c>
      <c r="E116" s="24">
        <v>-6.1186850000000001E-2</v>
      </c>
      <c r="F116" s="24">
        <v>-6.6360474000000003E-2</v>
      </c>
      <c r="G116" s="24">
        <v>-4.4931354999999999E-2</v>
      </c>
      <c r="H116" s="24">
        <v>-2.5363505000000001E-2</v>
      </c>
      <c r="I116" s="24">
        <v>-1.9667625000000001E-2</v>
      </c>
      <c r="J116" s="24">
        <v>-3.0250490000000001E-2</v>
      </c>
      <c r="K116" s="24">
        <v>-6.2007008000000002E-2</v>
      </c>
      <c r="L116" s="24">
        <v>-5.2368699999999997E-2</v>
      </c>
      <c r="M116" s="24">
        <v>-1.1696875000000001E-2</v>
      </c>
      <c r="N116" s="24">
        <v>-4.1773024000000006E-2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45247</v>
      </c>
      <c r="B117" s="24">
        <v>2.9979110000000003E-2</v>
      </c>
      <c r="C117" s="24">
        <v>4.6161055999999999E-2</v>
      </c>
      <c r="D117" s="24">
        <v>4.454553E-2</v>
      </c>
      <c r="E117" s="24">
        <v>9.8939900000000011E-2</v>
      </c>
      <c r="F117" s="24">
        <v>5.7675959999999998E-2</v>
      </c>
      <c r="G117" s="24">
        <v>3.1749724999999999E-2</v>
      </c>
      <c r="H117" s="24">
        <v>1.8724202999999998E-2</v>
      </c>
      <c r="I117" s="24">
        <v>6.2388180000000001E-2</v>
      </c>
      <c r="J117" s="24">
        <v>4.783714E-2</v>
      </c>
      <c r="K117" s="24">
        <v>8.1762789999999988E-2</v>
      </c>
      <c r="L117" s="24">
        <v>0.13552225000000001</v>
      </c>
      <c r="M117" s="24">
        <v>8.8533639999999997E-2</v>
      </c>
      <c r="N117" s="24">
        <v>8.3194730000000008E-2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45278</v>
      </c>
      <c r="B118" s="24">
        <v>7.8181386000000005E-2</v>
      </c>
      <c r="C118" s="24">
        <v>8.0594424999999997E-2</v>
      </c>
      <c r="D118" s="24">
        <v>4.7287464000000001E-2</v>
      </c>
      <c r="E118" s="24">
        <v>4.4658780000000002E-2</v>
      </c>
      <c r="F118" s="24">
        <v>1.1227012000000001E-2</v>
      </c>
      <c r="G118" s="24">
        <v>5.5031420000000004E-2</v>
      </c>
      <c r="H118" s="24">
        <v>3.0529736999999998E-2</v>
      </c>
      <c r="I118" s="24">
        <v>5.6595683000000001E-2</v>
      </c>
      <c r="J118" s="24">
        <v>5.123639E-2</v>
      </c>
      <c r="K118" s="24">
        <v>4.5832157000000005E-2</v>
      </c>
      <c r="L118" s="24">
        <v>5.8305619999999996E-2</v>
      </c>
      <c r="M118" s="24">
        <v>0.11522174</v>
      </c>
      <c r="N118" s="24">
        <v>3.5944820000000002E-2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45309</v>
      </c>
      <c r="B119" s="24">
        <v>-8.1361530000000001E-3</v>
      </c>
      <c r="C119" s="24">
        <v>-1.9370316999999998E-2</v>
      </c>
      <c r="D119" s="24">
        <v>1.5515089000000001E-3</v>
      </c>
      <c r="E119" s="24">
        <v>-1.7390429999999998E-2</v>
      </c>
      <c r="F119" s="24">
        <v>5.7200074000000004E-2</v>
      </c>
      <c r="G119" s="24">
        <v>-1.7032623E-3</v>
      </c>
      <c r="H119" s="24">
        <v>-1.1924505E-2</v>
      </c>
      <c r="I119" s="24">
        <v>1.5050173E-2</v>
      </c>
      <c r="J119" s="24">
        <v>9.5767975000000012E-3</v>
      </c>
      <c r="K119" s="24">
        <v>-2.2119224000000003E-2</v>
      </c>
      <c r="L119" s="24">
        <v>-1.3526142000000001E-2</v>
      </c>
      <c r="M119" s="24">
        <v>-5.3409814999999999E-2</v>
      </c>
      <c r="N119" s="24">
        <v>3.3067465000000003E-3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45338</v>
      </c>
      <c r="B120" s="24">
        <v>-1.7230213000000001E-2</v>
      </c>
      <c r="C120" s="24">
        <v>2.9054641999999999E-2</v>
      </c>
      <c r="D120" s="24">
        <v>2.8315187000000002E-2</v>
      </c>
      <c r="E120" s="24">
        <v>2.7149320000000001E-2</v>
      </c>
      <c r="F120" s="24">
        <v>2.8905987999999997E-2</v>
      </c>
      <c r="G120" s="24">
        <v>-4.6918391999999998E-3</v>
      </c>
      <c r="H120" s="24">
        <v>2.2848130000000001E-2</v>
      </c>
      <c r="I120" s="24">
        <v>4.2567609999999999E-2</v>
      </c>
      <c r="J120" s="24">
        <v>4.8311710000000001E-2</v>
      </c>
      <c r="K120" s="24">
        <v>3.1126379999999999E-2</v>
      </c>
      <c r="L120" s="24">
        <v>8.5668330000000015E-2</v>
      </c>
      <c r="M120" s="24">
        <v>5.126095E-2</v>
      </c>
      <c r="N120" s="24">
        <v>2.9631853E-2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45369</v>
      </c>
      <c r="B121" s="24">
        <v>-1.4245033000000001E-2</v>
      </c>
      <c r="C121" s="24">
        <v>1.4749289E-2</v>
      </c>
      <c r="D121" s="24">
        <v>2.8353332999999998E-2</v>
      </c>
      <c r="E121" s="24">
        <v>5.0152419999999996E-2</v>
      </c>
      <c r="F121" s="24">
        <v>4.4654845999999998E-2</v>
      </c>
      <c r="G121" s="24">
        <v>2.1855593E-2</v>
      </c>
      <c r="H121" s="24">
        <v>1.9889832E-2</v>
      </c>
      <c r="I121" s="24">
        <v>1.7380356999999999E-2</v>
      </c>
      <c r="J121" s="24">
        <v>2.9938102000000001E-2</v>
      </c>
      <c r="K121" s="24">
        <v>5.525708E-2</v>
      </c>
      <c r="L121" s="24">
        <v>1.650095E-2</v>
      </c>
      <c r="M121" s="24">
        <v>4.6936153999999994E-2</v>
      </c>
      <c r="N121" s="24">
        <v>7.8488230000000006E-2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45400</v>
      </c>
      <c r="B122" s="24">
        <v>-2.1787464999999999E-2</v>
      </c>
      <c r="C122" s="24">
        <v>-3.2392085000000001E-2</v>
      </c>
      <c r="D122" s="24">
        <v>-2.3064733E-2</v>
      </c>
      <c r="E122" s="24">
        <v>-3.0655025999999998E-2</v>
      </c>
      <c r="F122" s="24">
        <v>-5.3220153000000006E-2</v>
      </c>
      <c r="G122" s="24">
        <v>-5.2631560000000001E-2</v>
      </c>
      <c r="H122" s="24">
        <v>0</v>
      </c>
      <c r="I122" s="24">
        <v>-3.2161474000000002E-2</v>
      </c>
      <c r="J122" s="24">
        <v>-2.6010990000000001E-2</v>
      </c>
      <c r="K122" s="24">
        <v>-3.490907E-2</v>
      </c>
      <c r="L122" s="24">
        <v>-1.7481804E-2</v>
      </c>
      <c r="M122" s="24">
        <v>-4.3835639999999995E-2</v>
      </c>
      <c r="N122" s="50">
        <v>-2.6954174000000001E-2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0.20577609999999999</v>
      </c>
      <c r="C126" s="24" cm="1">
        <f t="array" ref="C126">MAX(_xlfn._xlws.FILTER(C1:C122, ISNUMBER(C1:C122)))</f>
        <v>0.22667635</v>
      </c>
      <c r="D126" s="24" cm="1">
        <f t="array" ref="D126">MAX(_xlfn._xlws.FILTER(D1:D122, ISNUMBER(D1:D122)))</f>
        <v>0.25563895999999997</v>
      </c>
      <c r="E126" s="24" cm="1">
        <f t="array" ref="E126">MAX(_xlfn._xlws.FILTER(E1:E122, ISNUMBER(E1:E122)))</f>
        <v>0.27787018000000002</v>
      </c>
      <c r="F126" s="24" cm="1">
        <f t="array" ref="F126">MAX(_xlfn._xlws.FILTER(F1:F122, ISNUMBER(F1:F122)))</f>
        <v>0.14511036999999999</v>
      </c>
      <c r="G126" s="24" cm="1">
        <f t="array" ref="G126">MAX(_xlfn._xlws.FILTER(G1:G122, ISNUMBER(G1:G122)))</f>
        <v>0.18207909</v>
      </c>
      <c r="H126" s="24" cm="1">
        <f t="array" ref="H126">MAX(_xlfn._xlws.FILTER(H1:H122, ISNUMBER(H1:H122)))</f>
        <v>0.22776688</v>
      </c>
      <c r="I126" s="24" cm="1">
        <f t="array" ref="I126">MAX(_xlfn._xlws.FILTER(I1:I122, ISNUMBER(I1:I122)))</f>
        <v>0.22167646000000002</v>
      </c>
      <c r="J126" s="24" cm="1">
        <f t="array" ref="J126">MAX(_xlfn._xlws.FILTER(J1:J122, ISNUMBER(J1:J122)))</f>
        <v>0.20167041999999999</v>
      </c>
      <c r="K126" s="24" cm="1">
        <f t="array" ref="K126">MAX(_xlfn._xlws.FILTER(K1:K122, ISNUMBER(K1:K122)))</f>
        <v>0.20419370000000001</v>
      </c>
      <c r="L126" s="24" cm="1">
        <f t="array" ref="L126">MAX(_xlfn._xlws.FILTER(L1:L122, ISNUMBER(L1:L122)))</f>
        <v>0.23718238999999999</v>
      </c>
      <c r="M126" s="24" cm="1">
        <f t="array" ref="M126">MAX(_xlfn._xlws.FILTER(M1:M122, ISNUMBER(M1:M122)))</f>
        <v>0.20117270999999998</v>
      </c>
      <c r="N126" s="24" cm="1">
        <f t="array" ref="N126">MAX(_xlfn._xlws.FILTER(N1:N122, ISNUMBER(N1:N122)))</f>
        <v>0.19074642</v>
      </c>
    </row>
    <row r="127" spans="1:26" x14ac:dyDescent="0.35">
      <c r="A127" t="s">
        <v>85</v>
      </c>
      <c r="B127" s="24" cm="1">
        <f t="array" ref="B127">MIN(_xlfn._xlws.FILTER(B2:B122, ISNUMBER(B2:B122)))</f>
        <v>-0.28598403999999999</v>
      </c>
      <c r="C127" s="24" cm="1">
        <f t="array" ref="C127">MIN(_xlfn._xlws.FILTER(C2:C122, ISNUMBER(C2:C122)))</f>
        <v>-0.40295906000000004</v>
      </c>
      <c r="D127" s="24" cm="1">
        <f t="array" ref="D127">MIN(_xlfn._xlws.FILTER(D2:D122, ISNUMBER(D2:D122)))</f>
        <v>-0.38990826000000001</v>
      </c>
      <c r="E127" s="24" cm="1">
        <f t="array" ref="E127">MIN(_xlfn._xlws.FILTER(E2:E122, ISNUMBER(E2:E122)))</f>
        <v>-0.38274554999999999</v>
      </c>
      <c r="F127" s="24" cm="1">
        <f t="array" ref="F127">MIN(_xlfn._xlws.FILTER(F2:F122, ISNUMBER(F2:F122)))</f>
        <v>-0.22924624999999998</v>
      </c>
      <c r="G127" s="24" cm="1">
        <f t="array" ref="G127">MIN(_xlfn._xlws.FILTER(G2:G122, ISNUMBER(G2:G122)))</f>
        <v>-0.25172990000000001</v>
      </c>
      <c r="H127" s="24" cm="1">
        <f t="array" ref="H127">MIN(_xlfn._xlws.FILTER(H2:H122, ISNUMBER(H2:H122)))</f>
        <v>-0.38217334999999997</v>
      </c>
      <c r="I127" s="24" cm="1">
        <f t="array" ref="I127">MIN(_xlfn._xlws.FILTER(I2:I122, ISNUMBER(I2:I122)))</f>
        <v>-0.24764622</v>
      </c>
      <c r="J127" s="24" cm="1">
        <f t="array" ref="J127">MIN(_xlfn._xlws.FILTER(J2:J122, ISNUMBER(J2:J122)))</f>
        <v>-0.28726279999999998</v>
      </c>
      <c r="K127" s="24" cm="1">
        <f t="array" ref="K127">MIN(_xlfn._xlws.FILTER(K2:K122, ISNUMBER(K2:K122)))</f>
        <v>-0.37775700000000001</v>
      </c>
      <c r="L127" s="24" cm="1">
        <f t="array" ref="L127">MIN(_xlfn._xlws.FILTER(L2:L122, ISNUMBER(L2:L122)))</f>
        <v>-0.34396014999999996</v>
      </c>
      <c r="M127" s="24" cm="1">
        <f t="array" ref="M127">MIN(_xlfn._xlws.FILTER(M2:M122, ISNUMBER(M2:M122)))</f>
        <v>-0.33958893000000001</v>
      </c>
      <c r="N127" s="24" cm="1">
        <f t="array" ref="N127">MIN(_xlfn._xlws.FILTER(N2:N122, ISNUMBER(N2:N122)))</f>
        <v>-0.39233820000000003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15</v>
      </c>
      <c r="C129">
        <f>COUNTIF(C2:C122, "&lt;"&amp;Assumption!$E$50)</f>
        <v>15</v>
      </c>
      <c r="D129">
        <f>COUNTIF(D2:D122, "&lt;"&amp;Assumption!$E$50)</f>
        <v>18</v>
      </c>
      <c r="E129">
        <f>COUNTIF(E2:E122, "&lt;"&amp;Assumption!$E$50)</f>
        <v>18</v>
      </c>
      <c r="F129">
        <f>COUNTIF(F2:F122, "&lt;"&amp;Assumption!$E$50)</f>
        <v>13</v>
      </c>
      <c r="G129">
        <f>COUNTIF(G2:G122, "&lt;"&amp;Assumption!$E$50)</f>
        <v>12</v>
      </c>
      <c r="H129">
        <f>COUNTIF(H2:H122, "&lt;"&amp;Assumption!$E$50)</f>
        <v>11</v>
      </c>
      <c r="I129">
        <f>COUNTIF(I2:I122, "&lt;"&amp;Assumption!$E$50)</f>
        <v>13</v>
      </c>
      <c r="J129">
        <f>COUNTIF(J2:J122, "&lt;"&amp;Assumption!$E$50)</f>
        <v>8</v>
      </c>
      <c r="K129">
        <f>COUNTIF(K2:K122, "&lt;"&amp;Assumption!$E$50)</f>
        <v>14</v>
      </c>
      <c r="L129">
        <f>COUNTIF(L2:L122, "&lt;"&amp;Assumption!$E$50)</f>
        <v>16</v>
      </c>
      <c r="M129">
        <f>COUNTIF(M2:M122, "&lt;"&amp;Assumption!$E$50)</f>
        <v>17</v>
      </c>
      <c r="N129">
        <f>COUNTIF(N2:N122, "&lt;"&amp;Assumption!$E$50)</f>
        <v>21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0.12396694214876033</v>
      </c>
      <c r="C132" s="9">
        <f t="shared" si="2"/>
        <v>0.12396694214876033</v>
      </c>
      <c r="D132" s="9">
        <f t="shared" si="2"/>
        <v>0.1487603305785124</v>
      </c>
      <c r="E132" s="9">
        <f t="shared" si="2"/>
        <v>0.1487603305785124</v>
      </c>
      <c r="F132" s="9">
        <f t="shared" si="2"/>
        <v>0.10743801652892562</v>
      </c>
      <c r="G132" s="9">
        <f t="shared" si="2"/>
        <v>9.9173553719008267E-2</v>
      </c>
      <c r="H132" s="9">
        <f t="shared" si="2"/>
        <v>9.0909090909090912E-2</v>
      </c>
      <c r="I132" s="9">
        <f t="shared" si="2"/>
        <v>0.10743801652892562</v>
      </c>
      <c r="J132" s="9">
        <f t="shared" si="2"/>
        <v>6.6115702479338845E-2</v>
      </c>
      <c r="K132" s="9">
        <f t="shared" ref="K132:N132" si="3">K129/K130</f>
        <v>0.11570247933884298</v>
      </c>
      <c r="L132" s="9">
        <f t="shared" si="3"/>
        <v>0.13223140495867769</v>
      </c>
      <c r="M132" s="9">
        <f t="shared" si="3"/>
        <v>0.14049586776859505</v>
      </c>
      <c r="N132" s="9">
        <f t="shared" si="3"/>
        <v>0.17355371900826447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0.311</v>
      </c>
      <c r="C134" s="9" cm="1">
        <f t="array" ref="C134">_xlfn.PERCENTRANK.EXC(_xlfn._xlws.FILTER(C2:C122, ISNUMBER(C2:C122)),C122)</f>
        <v>0.22900000000000001</v>
      </c>
      <c r="D134" s="9" cm="1">
        <f t="array" ref="D134">_xlfn.PERCENTRANK.EXC(_xlfn._xlws.FILTER(D2:D122, ISNUMBER(D2:D122)),D122)</f>
        <v>0.254</v>
      </c>
      <c r="E134" s="9" cm="1">
        <f t="array" ref="E134">_xlfn.PERCENTRANK.EXC(_xlfn._xlws.FILTER(E2:E122, ISNUMBER(E2:E122)),E122)</f>
        <v>0.21299999999999999</v>
      </c>
      <c r="F134" s="9" cm="1">
        <f t="array" ref="F134">_xlfn.PERCENTRANK.EXC(_xlfn._xlws.FILTER(F2:F122, ISNUMBER(F2:F122)),F122)</f>
        <v>9.8000000000000004E-2</v>
      </c>
      <c r="G134" s="9" cm="1">
        <f t="array" ref="G134">_xlfn.PERCENTRANK.EXC(_xlfn._xlws.FILTER(G2:G122, ISNUMBER(G2:G122)),G122)</f>
        <v>7.2999999999999995E-2</v>
      </c>
      <c r="H134" s="9" cm="1">
        <f t="array" ref="H134">_xlfn.PERCENTRANK.EXC(_xlfn._xlws.FILTER(H2:H122, ISNUMBER(H2:H122)),H122)</f>
        <v>0.45900000000000002</v>
      </c>
      <c r="I134" s="9" cm="1">
        <f t="array" ref="I134">_xlfn.PERCENTRANK.EXC(_xlfn._xlws.FILTER(I2:I122, ISNUMBER(I2:I122)),I122)</f>
        <v>0.19600000000000001</v>
      </c>
      <c r="J134" s="9" cm="1">
        <f t="array" ref="J134">_xlfn.PERCENTRANK.EXC(_xlfn._xlws.FILTER(J2:J122, ISNUMBER(J2:J122)),J122)</f>
        <v>0.14699999999999999</v>
      </c>
      <c r="K134" s="9" cm="1">
        <f t="array" ref="K134">_xlfn.PERCENTRANK.EXC(_xlfn._xlws.FILTER(K2:K122, ISNUMBER(K2:K122)),K122)</f>
        <v>0.16300000000000001</v>
      </c>
      <c r="L134" s="9" cm="1">
        <f t="array" ref="L134">_xlfn.PERCENTRANK.EXC(_xlfn._xlws.FILTER(L2:L122, ISNUMBER(L2:L122)),L122)</f>
        <v>0.30299999999999999</v>
      </c>
      <c r="M134" s="9" cm="1">
        <f t="array" ref="M134">_xlfn.PERCENTRANK.EXC(_xlfn._xlws.FILTER(M2:M122, ISNUMBER(M2:M122)),M122)</f>
        <v>0.16300000000000001</v>
      </c>
      <c r="N134" s="9" cm="1">
        <f t="array" ref="N134">_xlfn.PERCENTRANK.EXC(_xlfn._xlws.FILTER(N2:N122, ISNUMBER(N2:N122)),N122)</f>
        <v>0.311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0.63300000000000001</v>
      </c>
      <c r="C136" s="9" cm="1">
        <f t="array" ref="C136">_xlfn.PERCENTRANK.EXC(_xlfn._xlws.FILTER(C4:C125, ISNUMBER(C4:C125)),C113)</f>
        <v>0.433</v>
      </c>
      <c r="D136" s="9" cm="1">
        <f t="array" ref="D136">_xlfn.PERCENTRANK.EXC(_xlfn._xlws.FILTER(D4:D125, ISNUMBER(D4:D125)),D113)</f>
        <v>0.55800000000000005</v>
      </c>
      <c r="E136" s="9" cm="1">
        <f t="array" ref="E136">_xlfn.PERCENTRANK.EXC(_xlfn._xlws.FILTER(E4:E125, ISNUMBER(E4:E125)),E113)</f>
        <v>0.55000000000000004</v>
      </c>
      <c r="F136" s="9" cm="1">
        <f t="array" ref="F136">_xlfn.PERCENTRANK.EXC(_xlfn._xlws.FILTER(F4:F125, ISNUMBER(F4:F125)),F113)</f>
        <v>0.45800000000000002</v>
      </c>
      <c r="G136" s="9" cm="1">
        <f t="array" ref="G136">_xlfn.PERCENTRANK.EXC(_xlfn._xlws.FILTER(G4:G125, ISNUMBER(G4:G125)),G113)</f>
        <v>0.67500000000000004</v>
      </c>
      <c r="H136" s="9" cm="1">
        <f t="array" ref="H136">_xlfn.PERCENTRANK.EXC(_xlfn._xlws.FILTER(H4:H125, ISNUMBER(H4:H125)),H113)</f>
        <v>0.41599999999999998</v>
      </c>
      <c r="I136" s="9" cm="1">
        <f t="array" ref="I136">_xlfn.PERCENTRANK.EXC(_xlfn._xlws.FILTER(I4:I125, ISNUMBER(I4:I125)),I113)</f>
        <v>0.74099999999999999</v>
      </c>
      <c r="J136" s="9" cm="1">
        <f t="array" ref="J136">_xlfn.PERCENTRANK.EXC(_xlfn._xlws.FILTER(J4:J125, ISNUMBER(J4:J125)),J113)</f>
        <v>0.7</v>
      </c>
      <c r="K136" s="9" cm="1">
        <f t="array" ref="K136">_xlfn.PERCENTRANK.EXC(_xlfn._xlws.FILTER(K4:K125, ISNUMBER(K4:K125)),K113)</f>
        <v>0.67500000000000004</v>
      </c>
      <c r="L136" s="9" cm="1">
        <f t="array" ref="L136">_xlfn.PERCENTRANK.EXC(_xlfn._xlws.FILTER(L4:L125, ISNUMBER(L4:L125)),L113)</f>
        <v>0.8</v>
      </c>
      <c r="M136" s="9" cm="1">
        <f t="array" ref="M136">_xlfn.PERCENTRANK.EXC(_xlfn._xlws.FILTER(M4:M125, ISNUMBER(M4:M125)),M113)</f>
        <v>0.66600000000000004</v>
      </c>
      <c r="N136" s="9" cm="1">
        <f t="array" ref="N136">_xlfn.PERCENTRANK.EXC(_xlfn._xlws.FILTER(N4:N125, ISNUMBER(N4:N125)),N113)</f>
        <v>0.8</v>
      </c>
    </row>
    <row r="138" spans="1:17" x14ac:dyDescent="0.35">
      <c r="A138" t="s">
        <v>829</v>
      </c>
      <c r="B138">
        <f t="shared" ref="B138:J138" si="4">STDEV(B40:B122)</f>
        <v>6.1454162920595613E-2</v>
      </c>
      <c r="C138">
        <f t="shared" si="4"/>
        <v>6.839646751258939E-2</v>
      </c>
      <c r="D138">
        <f t="shared" si="4"/>
        <v>6.7449923825141145E-2</v>
      </c>
      <c r="E138">
        <f t="shared" si="4"/>
        <v>7.1819236646518791E-2</v>
      </c>
      <c r="F138">
        <f t="shared" si="4"/>
        <v>5.0268282753758817E-2</v>
      </c>
      <c r="G138">
        <f t="shared" si="4"/>
        <v>5.1463839056097034E-2</v>
      </c>
      <c r="H138">
        <f t="shared" si="4"/>
        <v>6.385585021827829E-2</v>
      </c>
      <c r="I138">
        <f t="shared" si="4"/>
        <v>6.2241730978344248E-2</v>
      </c>
      <c r="J138">
        <f t="shared" si="4"/>
        <v>5.4186480201673312E-2</v>
      </c>
      <c r="K138">
        <f t="shared" ref="K138:N138" si="5">STDEV(K40:K122)</f>
        <v>6.643293280492607E-2</v>
      </c>
      <c r="L138">
        <f t="shared" si="5"/>
        <v>7.1410686262744522E-2</v>
      </c>
      <c r="M138">
        <f t="shared" si="5"/>
        <v>6.8825517157827268E-2</v>
      </c>
      <c r="N138">
        <f t="shared" si="5"/>
        <v>7.3315422793721594E-2</v>
      </c>
    </row>
    <row r="139" spans="1:17" x14ac:dyDescent="0.35">
      <c r="A139" t="s">
        <v>830</v>
      </c>
      <c r="B139" s="74">
        <f t="shared" ref="B139:J139" si="6">B138*SQRT(12)</f>
        <v>0.21288346503017397</v>
      </c>
      <c r="C139" s="74">
        <f t="shared" si="6"/>
        <v>0.23693231358007785</v>
      </c>
      <c r="D139" s="74">
        <f t="shared" si="6"/>
        <v>0.23365339006358993</v>
      </c>
      <c r="E139" s="74">
        <f t="shared" si="6"/>
        <v>0.24878913366516633</v>
      </c>
      <c r="F139" s="74">
        <f t="shared" si="6"/>
        <v>0.17413443947749724</v>
      </c>
      <c r="G139" s="74">
        <f t="shared" si="6"/>
        <v>0.17827596799541517</v>
      </c>
      <c r="H139" s="74">
        <f t="shared" si="6"/>
        <v>0.22120315387713235</v>
      </c>
      <c r="I139" s="74">
        <f t="shared" si="6"/>
        <v>0.21561168081105192</v>
      </c>
      <c r="J139" s="74">
        <f t="shared" si="6"/>
        <v>0.18770747358524648</v>
      </c>
      <c r="K139" s="74">
        <f t="shared" ref="K139:N139" si="7">K138*SQRT(12)</f>
        <v>0.23013042982788232</v>
      </c>
      <c r="L139" s="74">
        <f t="shared" si="7"/>
        <v>0.24737387362086874</v>
      </c>
      <c r="M139" s="74">
        <f t="shared" si="7"/>
        <v>0.23841858514912068</v>
      </c>
      <c r="N139" s="74">
        <f t="shared" si="7"/>
        <v>0.25397207451423831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41746</v>
      </c>
      <c r="B2" s="7" cm="1">
        <f t="array" ref="B2:B122">_xll.FDS(B1,"P_PRICE_RETURNS_PR('52W',2,-10AY,0,AM)")</f>
        <v>16.818916000000002</v>
      </c>
      <c r="C2" s="7" cm="1">
        <f t="array" ref="C2:C122">_xll.FDS(C1,"P_PRICE_RETURNS_PR('52W',2,-10AY,0,AM)")</f>
        <v>4.0840864000000003</v>
      </c>
      <c r="D2" s="7" cm="1">
        <f t="array" ref="D2:D122">_xll.FDS(D1,"P_PRICE_RETURNS_PR('52W',2,-10AY,0,AM)")</f>
        <v>16.080929000000001</v>
      </c>
      <c r="E2" s="7" cm="1">
        <f t="array" ref="E2:E122">_xll.FDS(E1,"P_PRICE_RETURNS_PR('52W',2,-10AY,0,AM)")</f>
        <v>31.840693999999999</v>
      </c>
      <c r="F2" s="7" cm="1">
        <f t="array" ref="F2:F122">_xll.FDS(F1,"P_PRICE_RETURNS_PR('52W',2,-10AY,0,AM)")</f>
        <v>0.13667345</v>
      </c>
      <c r="G2" s="7" cm="1">
        <f t="array" ref="G2:G122">_xll.FDS(G1,"P_PRICE_RETURNS_PR('52W',2,-10AY,0,AM)")</f>
        <v>21.516228000000002</v>
      </c>
      <c r="H2" s="7" cm="1">
        <f t="array" ref="H2:H122">_xll.FDS(H1,"P_PRICE_RETURNS_PR('52W',2,-10AY,0,AM)")</f>
        <v>19.951653</v>
      </c>
      <c r="I2" s="7" cm="1">
        <f t="array" ref="I2:I122">_xll.FDS(I1,"P_PRICE_RETURNS_PR('52W',2,-10AY,0,AM)")</f>
        <v>28.559529999999999</v>
      </c>
      <c r="J2" s="7" cm="1">
        <f t="array" ref="J2:J122">_xll.FDS(J1,"P_PRICE_RETURNS_PR('52W',2,-10AY,0,AM)")</f>
        <v>22.589075000000001</v>
      </c>
      <c r="K2" s="158" cm="1">
        <f t="array" ref="K2:K122">_xll.FDS(K1,"P_PRICE_RETURNS_PR('52W',2,-10AY,0,AM)")</f>
        <v>33.253799999999998</v>
      </c>
      <c r="L2" s="158" cm="1">
        <f t="array" ref="L2:L122">_xll.FDS(L1,"P_PRICE_RETURNS_PR('52W',2,-10AY,0,AM)")</f>
        <v>26.357161999999999</v>
      </c>
      <c r="M2" s="158" cm="1">
        <f t="array" ref="M2:M122">_xll.FDS(M1,"P_PRICE_RETURNS_PR('52W',2,-10AY,0,AM)")</f>
        <v>19.022537</v>
      </c>
      <c r="N2" s="158" cm="1">
        <f t="array" ref="N2:N122">_xll.FDS(N1,"P_PRICE_RETURNS_PR('52W',2,-10AY,0,AM)")</f>
        <v>52.483130000000003</v>
      </c>
    </row>
    <row r="3" spans="1:14" x14ac:dyDescent="0.35">
      <c r="A3" s="2">
        <v>41775</v>
      </c>
      <c r="B3" s="40">
        <v>19.328392000000001</v>
      </c>
      <c r="C3" s="40">
        <v>5.5419326</v>
      </c>
      <c r="D3" s="40">
        <v>11.879158</v>
      </c>
      <c r="E3" s="40">
        <v>22.192907000000002</v>
      </c>
      <c r="F3" s="40">
        <v>-5.3683996</v>
      </c>
      <c r="G3" s="40">
        <v>17.312849</v>
      </c>
      <c r="H3" s="40">
        <v>16.718886999999999</v>
      </c>
      <c r="I3" s="40">
        <v>21.079350000000002</v>
      </c>
      <c r="J3" s="40">
        <v>16.028427000000001</v>
      </c>
      <c r="K3" s="47">
        <v>22.73481</v>
      </c>
      <c r="L3" s="47">
        <v>18.823599999999999</v>
      </c>
      <c r="M3" s="47">
        <v>16.322994000000001</v>
      </c>
      <c r="N3" s="47">
        <v>28.849851999999998</v>
      </c>
    </row>
    <row r="4" spans="1:14" x14ac:dyDescent="0.35">
      <c r="A4" s="2">
        <v>41808</v>
      </c>
      <c r="B4" s="40">
        <v>26.708625999999999</v>
      </c>
      <c r="C4" s="40">
        <v>14.628351</v>
      </c>
      <c r="D4" s="40">
        <v>17.347729000000001</v>
      </c>
      <c r="E4" s="40">
        <v>21.955203999999998</v>
      </c>
      <c r="F4" s="40">
        <v>6.7870854999999999</v>
      </c>
      <c r="G4" s="40">
        <v>19.024456000000001</v>
      </c>
      <c r="H4" s="40">
        <v>19.263327</v>
      </c>
      <c r="I4" s="40">
        <v>28.357959999999999</v>
      </c>
      <c r="J4" s="40">
        <v>20.802365999999999</v>
      </c>
      <c r="K4" s="47">
        <v>22.467566000000001</v>
      </c>
      <c r="L4" s="47">
        <v>20.949041000000001</v>
      </c>
      <c r="M4" s="47">
        <v>14.701247</v>
      </c>
      <c r="N4" s="47">
        <v>42.681683</v>
      </c>
    </row>
    <row r="5" spans="1:14" x14ac:dyDescent="0.35">
      <c r="A5" s="2">
        <v>41838</v>
      </c>
      <c r="B5" s="40">
        <v>22.604894999999999</v>
      </c>
      <c r="C5" s="40">
        <v>17.933619</v>
      </c>
      <c r="D5" s="40">
        <v>19.333351</v>
      </c>
      <c r="E5" s="40">
        <v>19.567394</v>
      </c>
      <c r="F5" s="40">
        <v>2.1024823000000001</v>
      </c>
      <c r="G5" s="40">
        <v>16.612328000000002</v>
      </c>
      <c r="H5" s="40">
        <v>17.538988</v>
      </c>
      <c r="I5" s="40">
        <v>29.491985</v>
      </c>
      <c r="J5" s="40">
        <v>19.379878999999999</v>
      </c>
      <c r="K5" s="47">
        <v>17.288029000000002</v>
      </c>
      <c r="L5" s="47">
        <v>12.406052000000001</v>
      </c>
      <c r="M5" s="47">
        <v>11.504269000000001</v>
      </c>
      <c r="N5" s="47">
        <v>37.084792999999998</v>
      </c>
    </row>
    <row r="6" spans="1:14" x14ac:dyDescent="0.35">
      <c r="A6" s="2">
        <v>41869</v>
      </c>
      <c r="B6" s="40">
        <v>18.281614000000001</v>
      </c>
      <c r="C6" s="40">
        <v>16.101683000000001</v>
      </c>
      <c r="D6" s="40">
        <v>17.31559</v>
      </c>
      <c r="E6" s="40">
        <v>9.8296050000000008</v>
      </c>
      <c r="F6" s="40">
        <v>7.3738932999999998</v>
      </c>
      <c r="G6" s="40">
        <v>11.851811</v>
      </c>
      <c r="H6" s="40">
        <v>14.014279999999999</v>
      </c>
      <c r="I6" s="40">
        <v>32.025326</v>
      </c>
      <c r="J6" s="40">
        <v>21.353197000000002</v>
      </c>
      <c r="K6" s="47">
        <v>5.764818</v>
      </c>
      <c r="L6" s="47">
        <v>4.74</v>
      </c>
      <c r="M6" s="47">
        <v>5.1326394000000004</v>
      </c>
      <c r="N6" s="47">
        <v>14.103878</v>
      </c>
    </row>
    <row r="7" spans="1:14" x14ac:dyDescent="0.35">
      <c r="A7" s="2">
        <v>41900</v>
      </c>
      <c r="B7" s="40">
        <v>6.0532570000000003</v>
      </c>
      <c r="C7" s="40">
        <v>0.70744750000000001</v>
      </c>
      <c r="D7" s="40">
        <v>14.89706</v>
      </c>
      <c r="E7" s="40">
        <v>5.7368755</v>
      </c>
      <c r="F7" s="40">
        <v>-0.83402394999999996</v>
      </c>
      <c r="G7" s="40">
        <v>8.638954</v>
      </c>
      <c r="H7" s="40">
        <v>6.9229839999999996</v>
      </c>
      <c r="I7" s="40">
        <v>28.384912</v>
      </c>
      <c r="J7" s="40">
        <v>18.917380999999999</v>
      </c>
      <c r="K7" s="47">
        <v>3.2238483000000002</v>
      </c>
      <c r="L7" s="47">
        <v>3.2203794000000001</v>
      </c>
      <c r="M7" s="47">
        <v>-0.73309539999999995</v>
      </c>
      <c r="N7" s="47">
        <v>13.820779999999999</v>
      </c>
    </row>
    <row r="8" spans="1:14" x14ac:dyDescent="0.35">
      <c r="A8" s="2">
        <v>41929</v>
      </c>
      <c r="B8" s="40">
        <v>0.83924529999999997</v>
      </c>
      <c r="C8" s="40">
        <v>-4.8434733999999997</v>
      </c>
      <c r="D8" s="40">
        <v>2.4404526</v>
      </c>
      <c r="E8" s="40">
        <v>-7.5269459999999997</v>
      </c>
      <c r="F8" s="40">
        <v>-8.0672560000000004</v>
      </c>
      <c r="G8" s="40">
        <v>-0.80767869999999997</v>
      </c>
      <c r="H8" s="40">
        <v>-2.7335227</v>
      </c>
      <c r="I8" s="40">
        <v>16.737652000000001</v>
      </c>
      <c r="J8" s="40">
        <v>10.917616000000001</v>
      </c>
      <c r="K8" s="47">
        <v>-9.1897070000000003</v>
      </c>
      <c r="L8" s="47">
        <v>-5.97865</v>
      </c>
      <c r="M8" s="47">
        <v>-6.4638970000000002</v>
      </c>
      <c r="N8" s="47">
        <v>-7.6397896000000003</v>
      </c>
    </row>
    <row r="9" spans="1:14" x14ac:dyDescent="0.35">
      <c r="A9" s="2">
        <v>41961</v>
      </c>
      <c r="B9" s="40">
        <v>7.9269530000000001</v>
      </c>
      <c r="C9" s="40">
        <v>-2.2429168000000002</v>
      </c>
      <c r="D9" s="40">
        <v>4.5354960000000002</v>
      </c>
      <c r="E9" s="40">
        <v>-7.4160395000000001</v>
      </c>
      <c r="F9" s="40">
        <v>-2.3157477000000002</v>
      </c>
      <c r="G9" s="40">
        <v>4.0068029999999997</v>
      </c>
      <c r="H9" s="40">
        <v>-0.26568770000000003</v>
      </c>
      <c r="I9" s="40">
        <v>26.543330999999998</v>
      </c>
      <c r="J9" s="40">
        <v>16.789282</v>
      </c>
      <c r="K9" s="47">
        <v>-4.8941970000000001</v>
      </c>
      <c r="L9" s="47">
        <v>-0.63887240000000001</v>
      </c>
      <c r="M9" s="47">
        <v>1.9783735</v>
      </c>
      <c r="N9" s="47">
        <v>-2.6109754999999999</v>
      </c>
    </row>
    <row r="10" spans="1:14" x14ac:dyDescent="0.35">
      <c r="A10" s="2">
        <v>41991</v>
      </c>
      <c r="B10" s="40">
        <v>13.260268999999999</v>
      </c>
      <c r="C10" s="40">
        <v>-1.3623654999999999</v>
      </c>
      <c r="D10" s="40">
        <v>1.9524455000000001</v>
      </c>
      <c r="E10" s="40">
        <v>-5.7915153999999998</v>
      </c>
      <c r="F10" s="40">
        <v>-2.3065983999999999</v>
      </c>
      <c r="G10" s="40">
        <v>4.3897985999999998</v>
      </c>
      <c r="H10" s="40">
        <v>-3.2941042999999999</v>
      </c>
      <c r="I10" s="40">
        <v>22.807670000000002</v>
      </c>
      <c r="J10" s="40">
        <v>16.013871999999999</v>
      </c>
      <c r="K10" s="47">
        <v>-5.0677595000000002</v>
      </c>
      <c r="L10" s="47">
        <v>0.17645358999999999</v>
      </c>
      <c r="M10" s="47">
        <v>-1.8914222999999999</v>
      </c>
      <c r="N10" s="47">
        <v>-4.0139855999999998</v>
      </c>
    </row>
    <row r="11" spans="1:14" x14ac:dyDescent="0.35">
      <c r="A11" s="2">
        <v>42020</v>
      </c>
      <c r="B11" s="40">
        <v>7.8964590000000001</v>
      </c>
      <c r="C11" s="40">
        <v>-1.919049</v>
      </c>
      <c r="D11" s="40">
        <v>-3.1264842000000002</v>
      </c>
      <c r="E11" s="40">
        <v>-10.803318000000001</v>
      </c>
      <c r="F11" s="40">
        <v>-4.4525623000000003</v>
      </c>
      <c r="G11" s="40">
        <v>0.52561760000000002</v>
      </c>
      <c r="H11" s="40">
        <v>-8.8002680000000009</v>
      </c>
      <c r="I11" s="40">
        <v>15.821398</v>
      </c>
      <c r="J11" s="40">
        <v>11.466682</v>
      </c>
      <c r="K11" s="47">
        <v>-10.725754999999999</v>
      </c>
      <c r="L11" s="47">
        <v>-7.3286294999999999</v>
      </c>
      <c r="M11" s="47">
        <v>-10.660702000000001</v>
      </c>
      <c r="N11" s="47">
        <v>-15.640985499999999</v>
      </c>
    </row>
    <row r="12" spans="1:14" x14ac:dyDescent="0.35">
      <c r="A12" s="2">
        <v>42053</v>
      </c>
      <c r="B12" s="40">
        <v>7.6161146000000004</v>
      </c>
      <c r="C12" s="40">
        <v>-1.4470935</v>
      </c>
      <c r="D12" s="40">
        <v>-1.7197967000000001</v>
      </c>
      <c r="E12" s="40">
        <v>-6.2830744000000003</v>
      </c>
      <c r="F12" s="40">
        <v>5.6310415000000003</v>
      </c>
      <c r="G12" s="40">
        <v>0.17073153999999999</v>
      </c>
      <c r="H12" s="40">
        <v>-3.8464070000000001</v>
      </c>
      <c r="I12" s="40">
        <v>20.553982000000001</v>
      </c>
      <c r="J12" s="40">
        <v>16.279198000000001</v>
      </c>
      <c r="K12" s="47">
        <v>-5.0448599999999999</v>
      </c>
      <c r="L12" s="47">
        <v>-1.1152207999999999</v>
      </c>
      <c r="M12" s="47">
        <v>-0.23877619999999999</v>
      </c>
      <c r="N12" s="47">
        <v>-9.8313389999999998</v>
      </c>
    </row>
    <row r="13" spans="1:14" x14ac:dyDescent="0.35">
      <c r="A13" s="2">
        <v>42081</v>
      </c>
      <c r="B13" s="40">
        <v>-0.38468838</v>
      </c>
      <c r="C13" s="40">
        <v>-2.5453389</v>
      </c>
      <c r="D13" s="40">
        <v>-4.204631</v>
      </c>
      <c r="E13" s="40">
        <v>-0.66911580000000004</v>
      </c>
      <c r="F13" s="40">
        <v>15.855359999999999</v>
      </c>
      <c r="G13" s="40">
        <v>1.0326028</v>
      </c>
      <c r="H13" s="40">
        <v>-2.6230931000000002</v>
      </c>
      <c r="I13" s="40">
        <v>20.536173000000002</v>
      </c>
      <c r="J13" s="40">
        <v>14.339363000000001</v>
      </c>
      <c r="K13" s="47">
        <v>-6.7549523999999996</v>
      </c>
      <c r="L13" s="47">
        <v>3.6677360000000001</v>
      </c>
      <c r="M13" s="47">
        <v>-4.7631620000000003</v>
      </c>
      <c r="N13" s="47">
        <v>-14.528698</v>
      </c>
    </row>
    <row r="14" spans="1:14" x14ac:dyDescent="0.35">
      <c r="A14" s="2">
        <v>42111</v>
      </c>
      <c r="B14" s="40">
        <v>2.8755665000000001</v>
      </c>
      <c r="C14" s="40">
        <v>-7.7564060000000001</v>
      </c>
      <c r="D14" s="40">
        <v>-1.0395049999999999</v>
      </c>
      <c r="E14" s="40">
        <v>-3.3433855000000001</v>
      </c>
      <c r="F14" s="40">
        <v>17.084454999999998</v>
      </c>
      <c r="G14" s="40">
        <v>2.6987432999999998</v>
      </c>
      <c r="H14" s="40">
        <v>-3.5561143999999998</v>
      </c>
      <c r="I14" s="40">
        <v>24.346851000000001</v>
      </c>
      <c r="J14" s="40">
        <v>13.744937999999999</v>
      </c>
      <c r="K14" s="47">
        <v>-7.0225239999999998</v>
      </c>
      <c r="L14" s="47">
        <v>2.7065396000000002</v>
      </c>
      <c r="M14" s="47">
        <v>-3.2470107000000001</v>
      </c>
      <c r="N14" s="47">
        <v>-14.816504500000001</v>
      </c>
    </row>
    <row r="15" spans="1:14" x14ac:dyDescent="0.35">
      <c r="A15" s="2">
        <v>42142</v>
      </c>
      <c r="B15" s="40">
        <v>-4.0285053</v>
      </c>
      <c r="C15" s="40">
        <v>-8.9187200000000004</v>
      </c>
      <c r="D15" s="40">
        <v>-3.7348210000000002</v>
      </c>
      <c r="E15" s="40">
        <v>-0.78394412999999996</v>
      </c>
      <c r="F15" s="40">
        <v>20.351517000000001</v>
      </c>
      <c r="G15" s="40">
        <v>3.8063764999999998</v>
      </c>
      <c r="H15" s="40">
        <v>-3.4356296</v>
      </c>
      <c r="I15" s="40">
        <v>26.874865</v>
      </c>
      <c r="J15" s="40">
        <v>15.532970000000001</v>
      </c>
      <c r="K15" s="47">
        <v>-4.3790936</v>
      </c>
      <c r="L15" s="47">
        <v>8.4970470000000002</v>
      </c>
      <c r="M15" s="47">
        <v>-3.8105726</v>
      </c>
      <c r="N15" s="47">
        <v>-3.4826994</v>
      </c>
    </row>
    <row r="16" spans="1:14" x14ac:dyDescent="0.35">
      <c r="A16" s="2">
        <v>42173</v>
      </c>
      <c r="B16" s="40">
        <v>-10.477881999999999</v>
      </c>
      <c r="C16" s="40">
        <v>-11.432468</v>
      </c>
      <c r="D16" s="40">
        <v>-10.456568000000001</v>
      </c>
      <c r="E16" s="40">
        <v>-7.1791590000000003</v>
      </c>
      <c r="F16" s="40">
        <v>8.6378939999999993</v>
      </c>
      <c r="G16" s="40">
        <v>0.2712965</v>
      </c>
      <c r="H16" s="40">
        <v>-5.6465269999999999</v>
      </c>
      <c r="I16" s="40">
        <v>20.381772999999999</v>
      </c>
      <c r="J16" s="40">
        <v>10.536538999999999</v>
      </c>
      <c r="K16" s="47">
        <v>-9.1613000000000007</v>
      </c>
      <c r="L16" s="47">
        <v>2.6127815000000001</v>
      </c>
      <c r="M16" s="47">
        <v>-3.6983191999999998</v>
      </c>
      <c r="N16" s="47">
        <v>-13.067066000000001</v>
      </c>
    </row>
    <row r="17" spans="1:14" x14ac:dyDescent="0.35">
      <c r="A17" s="2">
        <v>42202</v>
      </c>
      <c r="B17" s="40">
        <v>-12.934321000000001</v>
      </c>
      <c r="C17" s="40">
        <v>-15.814852999999999</v>
      </c>
      <c r="D17" s="40">
        <v>-17.852228</v>
      </c>
      <c r="E17" s="40">
        <v>-3.6401211999999998</v>
      </c>
      <c r="F17" s="40">
        <v>8.8080879999999997</v>
      </c>
      <c r="G17" s="40">
        <v>3.8117049999999999</v>
      </c>
      <c r="H17" s="40">
        <v>-5.9348879999999999</v>
      </c>
      <c r="I17" s="40">
        <v>21.337664</v>
      </c>
      <c r="J17" s="40">
        <v>10.699725000000001</v>
      </c>
      <c r="K17" s="47">
        <v>-1.9997418</v>
      </c>
      <c r="L17" s="47">
        <v>10.036289</v>
      </c>
      <c r="M17" s="47">
        <v>-1.6176641</v>
      </c>
      <c r="N17" s="47">
        <v>-4.063618</v>
      </c>
    </row>
    <row r="18" spans="1:14" x14ac:dyDescent="0.35">
      <c r="A18" s="2">
        <v>42234</v>
      </c>
      <c r="B18" s="40">
        <v>-12.175649999999999</v>
      </c>
      <c r="C18" s="40">
        <v>-22.409445000000002</v>
      </c>
      <c r="D18" s="40">
        <v>-20.555251999999999</v>
      </c>
      <c r="E18" s="40">
        <v>-2.9241860000000002</v>
      </c>
      <c r="F18" s="40">
        <v>8.2509630000000005</v>
      </c>
      <c r="G18" s="40">
        <v>2.9734492000000001</v>
      </c>
      <c r="H18" s="40">
        <v>-7.5355052999999996</v>
      </c>
      <c r="I18" s="40">
        <v>14.161180999999999</v>
      </c>
      <c r="J18" s="40">
        <v>8.4826709999999999</v>
      </c>
      <c r="K18" s="47">
        <v>-0.37285089999999999</v>
      </c>
      <c r="L18" s="47">
        <v>8.3400010000000009</v>
      </c>
      <c r="M18" s="47">
        <v>-3.7241100999999999</v>
      </c>
      <c r="N18" s="47">
        <v>1.2889385</v>
      </c>
    </row>
    <row r="19" spans="1:14" x14ac:dyDescent="0.35">
      <c r="A19" s="2">
        <v>42265</v>
      </c>
      <c r="B19" s="40">
        <v>-12.4033985</v>
      </c>
      <c r="C19" s="40">
        <v>-22.365396</v>
      </c>
      <c r="D19" s="40">
        <v>-24.991465000000002</v>
      </c>
      <c r="E19" s="40">
        <v>-10.495037</v>
      </c>
      <c r="F19" s="40">
        <v>-1.3049482999999999</v>
      </c>
      <c r="G19" s="40">
        <v>-3.097248</v>
      </c>
      <c r="H19" s="40">
        <v>-13.404733</v>
      </c>
      <c r="I19" s="40">
        <v>6.4448714000000002</v>
      </c>
      <c r="J19" s="40">
        <v>-0.73338150000000002</v>
      </c>
      <c r="K19" s="47">
        <v>-8.2082510000000006</v>
      </c>
      <c r="L19" s="47">
        <v>-2.3271440999999999</v>
      </c>
      <c r="M19" s="47">
        <v>-8.1725709999999996</v>
      </c>
      <c r="N19" s="47">
        <v>-7.6764345</v>
      </c>
    </row>
    <row r="20" spans="1:14" x14ac:dyDescent="0.35">
      <c r="A20" s="2">
        <v>42293</v>
      </c>
      <c r="B20" s="40">
        <v>-2.4872540999999999</v>
      </c>
      <c r="C20" s="40">
        <v>-13.66046</v>
      </c>
      <c r="D20" s="40">
        <v>-11.991156</v>
      </c>
      <c r="E20" s="40">
        <v>4.6057342999999999</v>
      </c>
      <c r="F20" s="40">
        <v>13.350034000000001</v>
      </c>
      <c r="G20" s="40">
        <v>9.4003680000000003</v>
      </c>
      <c r="H20" s="40">
        <v>1.6426563000000001</v>
      </c>
      <c r="I20" s="40">
        <v>19.064830000000001</v>
      </c>
      <c r="J20" s="40">
        <v>11.335730999999999</v>
      </c>
      <c r="K20" s="47">
        <v>10.109425</v>
      </c>
      <c r="L20" s="47">
        <v>14.191604</v>
      </c>
      <c r="M20" s="47">
        <v>4.5543670000000001</v>
      </c>
      <c r="N20" s="47">
        <v>13.138235</v>
      </c>
    </row>
    <row r="21" spans="1:14" x14ac:dyDescent="0.35">
      <c r="A21" s="2">
        <v>42326</v>
      </c>
      <c r="B21" s="40">
        <v>-11.666166</v>
      </c>
      <c r="C21" s="40">
        <v>-19.873493</v>
      </c>
      <c r="D21" s="40">
        <v>-21.753746</v>
      </c>
      <c r="E21" s="40">
        <v>0.6423354</v>
      </c>
      <c r="F21" s="40">
        <v>8.1571940000000005</v>
      </c>
      <c r="G21" s="40">
        <v>-2.7824282999999999</v>
      </c>
      <c r="H21" s="40">
        <v>-6.4422607000000003</v>
      </c>
      <c r="I21" s="40">
        <v>10.782396</v>
      </c>
      <c r="J21" s="40">
        <v>3.6028147000000001</v>
      </c>
      <c r="K21" s="47">
        <v>0.64741373000000002</v>
      </c>
      <c r="L21" s="47">
        <v>3.4018039999999998</v>
      </c>
      <c r="M21" s="47">
        <v>-6.2868000000000004</v>
      </c>
      <c r="N21" s="47">
        <v>-0.54891705999999996</v>
      </c>
    </row>
    <row r="22" spans="1:14" x14ac:dyDescent="0.35">
      <c r="A22" s="2">
        <v>42356</v>
      </c>
      <c r="B22" s="40">
        <v>-5.4308709999999998</v>
      </c>
      <c r="C22" s="40">
        <v>-13.179069500000001</v>
      </c>
      <c r="D22" s="40">
        <v>-22.816880000000001</v>
      </c>
      <c r="E22" s="40">
        <v>-5.5753110000000001</v>
      </c>
      <c r="F22" s="40">
        <v>6.1661362999999998</v>
      </c>
      <c r="G22" s="40">
        <v>-3.7031472000000001</v>
      </c>
      <c r="H22" s="40">
        <v>-10.0146885</v>
      </c>
      <c r="I22" s="40">
        <v>6.8241120000000004</v>
      </c>
      <c r="J22" s="40">
        <v>-0.71275233999999998</v>
      </c>
      <c r="K22" s="47">
        <v>-2.8313994</v>
      </c>
      <c r="L22" s="47">
        <v>-1.4378249999999999</v>
      </c>
      <c r="M22" s="47">
        <v>-8.0446240000000007</v>
      </c>
      <c r="N22" s="47">
        <v>-6.0611962999999998E-2</v>
      </c>
    </row>
    <row r="23" spans="1:14" x14ac:dyDescent="0.35">
      <c r="A23" s="2">
        <v>42384</v>
      </c>
      <c r="B23" s="40">
        <v>-11.685556</v>
      </c>
      <c r="C23" s="40">
        <v>-22.480297</v>
      </c>
      <c r="D23" s="40">
        <v>-27.594691999999998</v>
      </c>
      <c r="E23" s="40">
        <v>-11.127215</v>
      </c>
      <c r="F23" s="40">
        <v>0.65076350000000005</v>
      </c>
      <c r="G23" s="40">
        <v>-11.074763000000001</v>
      </c>
      <c r="H23" s="40">
        <v>-13.99728</v>
      </c>
      <c r="I23" s="40">
        <v>2.2286057000000001</v>
      </c>
      <c r="J23" s="40">
        <v>-3.6683620000000001</v>
      </c>
      <c r="K23" s="47">
        <v>-6.1715783999999996</v>
      </c>
      <c r="L23" s="47">
        <v>-3.3403575000000001</v>
      </c>
      <c r="M23" s="47">
        <v>-11.108625</v>
      </c>
      <c r="N23" s="47">
        <v>-2.0261049999999998</v>
      </c>
    </row>
    <row r="24" spans="1:14" x14ac:dyDescent="0.35">
      <c r="A24" s="2">
        <v>42418</v>
      </c>
      <c r="B24" s="40">
        <v>-7.2942140000000002</v>
      </c>
      <c r="C24" s="40">
        <v>-20.846748000000002</v>
      </c>
      <c r="D24" s="40">
        <v>-21.594370000000001</v>
      </c>
      <c r="E24" s="40">
        <v>-16.285658000000002</v>
      </c>
      <c r="F24" s="40">
        <v>-9.1962220000000006</v>
      </c>
      <c r="G24" s="40">
        <v>-11.186767</v>
      </c>
      <c r="H24" s="40">
        <v>-17.363900000000001</v>
      </c>
      <c r="I24" s="40">
        <v>-4.4738474000000004</v>
      </c>
      <c r="J24" s="40">
        <v>-6.6824254999999999</v>
      </c>
      <c r="K24" s="47">
        <v>-11.665857000000001</v>
      </c>
      <c r="L24" s="47">
        <v>-8.2536520000000007</v>
      </c>
      <c r="M24" s="47">
        <v>-14.983290999999999</v>
      </c>
      <c r="N24" s="47">
        <v>-21.975560000000002</v>
      </c>
    </row>
    <row r="25" spans="1:14" x14ac:dyDescent="0.35">
      <c r="A25" s="2">
        <v>42447</v>
      </c>
      <c r="B25" s="40">
        <v>1.738596</v>
      </c>
      <c r="C25" s="40">
        <v>-11.044926</v>
      </c>
      <c r="D25" s="40">
        <v>-11.970115</v>
      </c>
      <c r="E25" s="40">
        <v>-13.210660000000001</v>
      </c>
      <c r="F25" s="40">
        <v>-9.1215724999999992</v>
      </c>
      <c r="G25" s="40">
        <v>-9.4291739999999997</v>
      </c>
      <c r="H25" s="40">
        <v>-11.466354000000001</v>
      </c>
      <c r="I25" s="40">
        <v>0.80487730000000002</v>
      </c>
      <c r="J25" s="40">
        <v>-0.35851001999999998</v>
      </c>
      <c r="K25" s="47">
        <v>-4.7584590000000002</v>
      </c>
      <c r="L25" s="47">
        <v>-3.1541765000000002</v>
      </c>
      <c r="M25" s="47">
        <v>-9.9759340000000005</v>
      </c>
      <c r="N25" s="47">
        <v>-12.230289000000001</v>
      </c>
    </row>
    <row r="26" spans="1:14" x14ac:dyDescent="0.35">
      <c r="A26" s="2">
        <v>42478</v>
      </c>
      <c r="B26" s="40">
        <v>6.8019031999999999</v>
      </c>
      <c r="C26" s="40">
        <v>-8.9621779999999998</v>
      </c>
      <c r="D26" s="40">
        <v>-13.916421</v>
      </c>
      <c r="E26" s="40">
        <v>-9.687716</v>
      </c>
      <c r="F26" s="40">
        <v>-7.0271910000000002</v>
      </c>
      <c r="G26" s="40">
        <v>-9.1195819999999994</v>
      </c>
      <c r="H26" s="40">
        <v>-11.083209999999999</v>
      </c>
      <c r="I26" s="40">
        <v>6.0679316999999999</v>
      </c>
      <c r="J26" s="40">
        <v>2.7870773999999998</v>
      </c>
      <c r="K26" s="47">
        <v>-5.5924177000000004</v>
      </c>
      <c r="L26" s="47">
        <v>-1.0959327000000001</v>
      </c>
      <c r="M26" s="47">
        <v>-6.3367899999999997</v>
      </c>
      <c r="N26" s="47">
        <v>-15.045381000000001</v>
      </c>
    </row>
    <row r="27" spans="1:14" x14ac:dyDescent="0.35">
      <c r="A27" s="2">
        <v>42508</v>
      </c>
      <c r="B27" s="40">
        <v>9.5842120000000008</v>
      </c>
      <c r="C27" s="40">
        <v>-11.938786500000001</v>
      </c>
      <c r="D27" s="40">
        <v>-13.906294000000001</v>
      </c>
      <c r="E27" s="40">
        <v>-15.365176999999999</v>
      </c>
      <c r="F27" s="40">
        <v>-11.217767</v>
      </c>
      <c r="G27" s="40">
        <v>-14.347351</v>
      </c>
      <c r="H27" s="40">
        <v>-15.778452</v>
      </c>
      <c r="I27" s="40">
        <v>-2.7675152000000001</v>
      </c>
      <c r="J27" s="40">
        <v>-1.7722785000000001</v>
      </c>
      <c r="K27" s="47">
        <v>-11.731839000000001</v>
      </c>
      <c r="L27" s="47">
        <v>-9.2134060000000009</v>
      </c>
      <c r="M27" s="47">
        <v>-13.832914000000001</v>
      </c>
      <c r="N27" s="47">
        <v>-24.331284</v>
      </c>
    </row>
    <row r="28" spans="1:14" x14ac:dyDescent="0.35">
      <c r="A28" s="2">
        <v>42538</v>
      </c>
      <c r="B28" s="40">
        <v>20.758914999999998</v>
      </c>
      <c r="C28" s="40">
        <v>-9.4929640000000006</v>
      </c>
      <c r="D28" s="40">
        <v>-9.4640199999999997</v>
      </c>
      <c r="E28" s="40">
        <v>-11.597597</v>
      </c>
      <c r="F28" s="40">
        <v>-9.8106150000000003</v>
      </c>
      <c r="G28" s="40">
        <v>-10.841232</v>
      </c>
      <c r="H28" s="40">
        <v>-15.396922999999999</v>
      </c>
      <c r="I28" s="40">
        <v>-1.0625899000000001</v>
      </c>
      <c r="J28" s="40">
        <v>0.70261954999999998</v>
      </c>
      <c r="K28" s="47">
        <v>-8.8160570000000007</v>
      </c>
      <c r="L28" s="47">
        <v>-8.5358619999999998</v>
      </c>
      <c r="M28" s="47">
        <v>-13.97242</v>
      </c>
      <c r="N28" s="47">
        <v>-21.443718000000001</v>
      </c>
    </row>
    <row r="29" spans="1:14" x14ac:dyDescent="0.35">
      <c r="A29" s="2">
        <v>42569</v>
      </c>
      <c r="B29" s="40">
        <v>34.172130000000003</v>
      </c>
      <c r="C29" s="40">
        <v>1.4753342</v>
      </c>
      <c r="D29" s="40">
        <v>0.11188984</v>
      </c>
      <c r="E29" s="40">
        <v>-12.192743999999999</v>
      </c>
      <c r="F29" s="40">
        <v>-6.8420649999999998</v>
      </c>
      <c r="G29" s="40">
        <v>-10.544986</v>
      </c>
      <c r="H29" s="40">
        <v>-13.406122</v>
      </c>
      <c r="I29" s="40">
        <v>0.19359588999999999</v>
      </c>
      <c r="J29" s="40">
        <v>4.0775775999999997</v>
      </c>
      <c r="K29" s="47">
        <v>-10.217237000000001</v>
      </c>
      <c r="L29" s="47">
        <v>-9.2542059999999999</v>
      </c>
      <c r="M29" s="47">
        <v>-11.152958999999999</v>
      </c>
      <c r="N29" s="47">
        <v>-26.209194</v>
      </c>
    </row>
    <row r="30" spans="1:14" x14ac:dyDescent="0.35">
      <c r="A30" s="2">
        <v>42600</v>
      </c>
      <c r="B30" s="40">
        <v>45.346404999999997</v>
      </c>
      <c r="C30" s="40">
        <v>11.1294985</v>
      </c>
      <c r="D30" s="40">
        <v>6.2430380000000003</v>
      </c>
      <c r="E30" s="40">
        <v>-0.40082931999999999</v>
      </c>
      <c r="F30" s="40">
        <v>-2.6569604999999998</v>
      </c>
      <c r="G30" s="40">
        <v>-4.8594713</v>
      </c>
      <c r="H30" s="40">
        <v>-8.2206840000000003</v>
      </c>
      <c r="I30" s="40">
        <v>6.9939612999999996</v>
      </c>
      <c r="J30" s="40">
        <v>6.5094113</v>
      </c>
      <c r="K30" s="47">
        <v>-5.0194859999999997</v>
      </c>
      <c r="L30" s="47">
        <v>-1.5373588</v>
      </c>
      <c r="M30" s="47">
        <v>-4.4332560000000001</v>
      </c>
      <c r="N30" s="47">
        <v>-24.616444000000001</v>
      </c>
    </row>
    <row r="31" spans="1:14" x14ac:dyDescent="0.35">
      <c r="A31" s="2">
        <v>42629</v>
      </c>
      <c r="B31" s="40">
        <v>46.312080000000002</v>
      </c>
      <c r="C31" s="40">
        <v>9.1591950000000004</v>
      </c>
      <c r="D31" s="40">
        <v>5.3344845999999997</v>
      </c>
      <c r="E31" s="40">
        <v>-1.6178786999999999</v>
      </c>
      <c r="F31" s="40">
        <v>3.1483053999999999</v>
      </c>
      <c r="G31" s="40">
        <v>-3.7422537999999999</v>
      </c>
      <c r="H31" s="40">
        <v>-6.2521990000000001</v>
      </c>
      <c r="I31" s="40">
        <v>11.038100999999999</v>
      </c>
      <c r="J31" s="40">
        <v>9.4735150000000008</v>
      </c>
      <c r="K31" s="47">
        <v>-4.1632594999999997</v>
      </c>
      <c r="L31" s="47">
        <v>0.98258257000000004</v>
      </c>
      <c r="M31" s="47">
        <v>-4.0771540000000002</v>
      </c>
      <c r="N31" s="47">
        <v>-25.625664</v>
      </c>
    </row>
    <row r="32" spans="1:14" x14ac:dyDescent="0.35">
      <c r="A32" s="2">
        <v>42661</v>
      </c>
      <c r="B32" s="40">
        <v>25.996983</v>
      </c>
      <c r="C32" s="40">
        <v>11.335003</v>
      </c>
      <c r="D32" s="40">
        <v>6.2495589999999996</v>
      </c>
      <c r="E32" s="40">
        <v>1.0637163999999999</v>
      </c>
      <c r="F32" s="40">
        <v>3.2734513000000001</v>
      </c>
      <c r="G32" s="40">
        <v>-4.9720407</v>
      </c>
      <c r="H32" s="40">
        <v>-9.9428540000000005</v>
      </c>
      <c r="I32" s="40">
        <v>10.242677</v>
      </c>
      <c r="J32" s="40">
        <v>7.4132204000000002</v>
      </c>
      <c r="K32" s="47">
        <v>-4.3542623999999996</v>
      </c>
      <c r="L32" s="47">
        <v>0.55185556000000002</v>
      </c>
      <c r="M32" s="47">
        <v>-2.2953570000000001</v>
      </c>
      <c r="N32" s="47">
        <v>-24.741202999999999</v>
      </c>
    </row>
    <row r="33" spans="1:14" x14ac:dyDescent="0.35">
      <c r="A33" s="2">
        <v>42692</v>
      </c>
      <c r="B33" s="40">
        <v>24.122059</v>
      </c>
      <c r="C33" s="40">
        <v>11.485779000000001</v>
      </c>
      <c r="D33" s="40">
        <v>11.970340999999999</v>
      </c>
      <c r="E33" s="40">
        <v>-4.6288786000000002</v>
      </c>
      <c r="F33" s="40">
        <v>-0.19043684</v>
      </c>
      <c r="G33" s="40">
        <v>-5.8245125</v>
      </c>
      <c r="H33" s="40">
        <v>-9.8789510000000007</v>
      </c>
      <c r="I33" s="40">
        <v>4.4163345999999999</v>
      </c>
      <c r="J33" s="40">
        <v>6.9480060000000003</v>
      </c>
      <c r="K33" s="47">
        <v>-5.8722972999999996</v>
      </c>
      <c r="L33" s="47">
        <v>-3.4497439999999999</v>
      </c>
      <c r="M33" s="47">
        <v>-5.2154119999999997</v>
      </c>
      <c r="N33" s="47">
        <v>-24.031459999999999</v>
      </c>
    </row>
    <row r="34" spans="1:14" x14ac:dyDescent="0.35">
      <c r="A34" s="2">
        <v>42720</v>
      </c>
      <c r="B34" s="40">
        <v>13.190007</v>
      </c>
      <c r="C34" s="40">
        <v>14.982498</v>
      </c>
      <c r="D34" s="40">
        <v>22.752618999999999</v>
      </c>
      <c r="E34" s="40">
        <v>1.0761023000000001</v>
      </c>
      <c r="F34" s="40">
        <v>2.8404950000000002</v>
      </c>
      <c r="G34" s="40">
        <v>-4.4248104000000001</v>
      </c>
      <c r="H34" s="40">
        <v>-1.5744864999999999</v>
      </c>
      <c r="I34" s="40">
        <v>6.4336180000000001</v>
      </c>
      <c r="J34" s="40">
        <v>11.17239</v>
      </c>
      <c r="K34" s="47">
        <v>1.2059689</v>
      </c>
      <c r="L34" s="47">
        <v>0.97496510000000003</v>
      </c>
      <c r="M34" s="47">
        <v>0.75768230000000003</v>
      </c>
      <c r="N34" s="47">
        <v>-12.321388000000001</v>
      </c>
    </row>
    <row r="35" spans="1:14" x14ac:dyDescent="0.35">
      <c r="A35" s="2">
        <v>42753</v>
      </c>
      <c r="B35" s="40">
        <v>27.926624</v>
      </c>
      <c r="C35" s="40">
        <v>35.849144000000003</v>
      </c>
      <c r="D35" s="40">
        <v>43.337395000000001</v>
      </c>
      <c r="E35" s="40">
        <v>17.858791</v>
      </c>
      <c r="F35" s="40">
        <v>14.773989</v>
      </c>
      <c r="G35" s="40">
        <v>8.7245229999999996</v>
      </c>
      <c r="H35" s="40">
        <v>11.875057</v>
      </c>
      <c r="I35" s="40">
        <v>23.378159</v>
      </c>
      <c r="J35" s="40">
        <v>23.330127999999998</v>
      </c>
      <c r="K35" s="47">
        <v>16.589428000000002</v>
      </c>
      <c r="L35" s="47">
        <v>14.803219</v>
      </c>
      <c r="M35" s="47">
        <v>16.621016999999998</v>
      </c>
      <c r="N35" s="47">
        <v>2.1294116999999999</v>
      </c>
    </row>
    <row r="36" spans="1:14" x14ac:dyDescent="0.35">
      <c r="A36" s="2">
        <v>42783</v>
      </c>
      <c r="B36" s="40">
        <v>25.510764999999999</v>
      </c>
      <c r="C36" s="40">
        <v>31.582021999999998</v>
      </c>
      <c r="D36" s="40">
        <v>31.231451</v>
      </c>
      <c r="E36" s="40">
        <v>17.873466000000001</v>
      </c>
      <c r="F36" s="40">
        <v>19.947970000000002</v>
      </c>
      <c r="G36" s="40">
        <v>11.098862</v>
      </c>
      <c r="H36" s="40">
        <v>9.2552780000000006</v>
      </c>
      <c r="I36" s="40">
        <v>28.058682999999998</v>
      </c>
      <c r="J36" s="40">
        <v>24.505222</v>
      </c>
      <c r="K36" s="47">
        <v>12.379289</v>
      </c>
      <c r="L36" s="47">
        <v>16.661894</v>
      </c>
      <c r="M36" s="47">
        <v>15.342843999999999</v>
      </c>
      <c r="N36" s="47">
        <v>6.9940566999999998</v>
      </c>
    </row>
    <row r="37" spans="1:14" x14ac:dyDescent="0.35">
      <c r="A37" s="2">
        <v>42811</v>
      </c>
      <c r="B37" s="40">
        <v>11.342250999999999</v>
      </c>
      <c r="C37" s="40">
        <v>17.446135999999999</v>
      </c>
      <c r="D37" s="40">
        <v>13.532781999999999</v>
      </c>
      <c r="E37" s="40">
        <v>14.113498</v>
      </c>
      <c r="F37" s="40">
        <v>14.999998</v>
      </c>
      <c r="G37" s="40">
        <v>10.726333</v>
      </c>
      <c r="H37" s="40">
        <v>6.36158</v>
      </c>
      <c r="I37" s="40">
        <v>24.105633000000001</v>
      </c>
      <c r="J37" s="40">
        <v>18.840205999999998</v>
      </c>
      <c r="K37" s="47">
        <v>10.342598000000001</v>
      </c>
      <c r="L37" s="47">
        <v>12.363982</v>
      </c>
      <c r="M37" s="47">
        <v>11.540043000000001</v>
      </c>
      <c r="N37" s="47">
        <v>5.2064656999999999</v>
      </c>
    </row>
    <row r="38" spans="1:14" x14ac:dyDescent="0.35">
      <c r="A38" s="2">
        <v>42843</v>
      </c>
      <c r="B38" s="40">
        <v>5.8417915999999996</v>
      </c>
      <c r="C38" s="40">
        <v>15.147840499999999</v>
      </c>
      <c r="D38" s="40">
        <v>11.585772</v>
      </c>
      <c r="E38" s="40">
        <v>10.948288</v>
      </c>
      <c r="F38" s="40">
        <v>9.5143319999999996</v>
      </c>
      <c r="G38" s="40">
        <v>7.0064425000000004</v>
      </c>
      <c r="H38" s="40">
        <v>4.7882319999999998</v>
      </c>
      <c r="I38" s="40">
        <v>19.239735</v>
      </c>
      <c r="J38" s="40">
        <v>14.087009</v>
      </c>
      <c r="K38" s="47">
        <v>8.4135650000000002</v>
      </c>
      <c r="L38" s="47">
        <v>10.522413</v>
      </c>
      <c r="M38" s="47">
        <v>6.6859602999999996</v>
      </c>
      <c r="N38" s="47">
        <v>3.5462498999999998</v>
      </c>
    </row>
    <row r="39" spans="1:14" x14ac:dyDescent="0.35">
      <c r="A39" s="2">
        <v>42873</v>
      </c>
      <c r="B39" s="40">
        <v>8.4733370000000008</v>
      </c>
      <c r="C39" s="40">
        <v>15.223253</v>
      </c>
      <c r="D39" s="40">
        <v>8.5739370000000008</v>
      </c>
      <c r="E39" s="40">
        <v>23.855877</v>
      </c>
      <c r="F39" s="40">
        <v>15.446662999999999</v>
      </c>
      <c r="G39" s="40">
        <v>17.788589999999999</v>
      </c>
      <c r="H39" s="40">
        <v>11.937761</v>
      </c>
      <c r="I39" s="40">
        <v>30.995536999999999</v>
      </c>
      <c r="J39" s="40">
        <v>17.941928999999998</v>
      </c>
      <c r="K39" s="47">
        <v>24.985481</v>
      </c>
      <c r="L39" s="47">
        <v>23.884284999999998</v>
      </c>
      <c r="M39" s="47">
        <v>20.359933999999999</v>
      </c>
      <c r="N39" s="47">
        <v>23.623812000000001</v>
      </c>
    </row>
    <row r="40" spans="1:14" x14ac:dyDescent="0.35">
      <c r="A40" s="2">
        <v>42902</v>
      </c>
      <c r="B40" s="40">
        <v>12.827586999999999</v>
      </c>
      <c r="C40" s="40">
        <v>21.768485999999999</v>
      </c>
      <c r="D40" s="40">
        <v>10.862278999999999</v>
      </c>
      <c r="E40" s="40">
        <v>29.606605999999999</v>
      </c>
      <c r="F40" s="40">
        <v>20.723175000000001</v>
      </c>
      <c r="G40" s="40">
        <v>20.656442999999999</v>
      </c>
      <c r="H40" s="40">
        <v>16.438652000000001</v>
      </c>
      <c r="I40" s="40">
        <v>29.538440000000001</v>
      </c>
      <c r="J40" s="40">
        <v>19.43853</v>
      </c>
      <c r="K40" s="47">
        <v>29.555225</v>
      </c>
      <c r="L40" s="47">
        <v>28.891635999999998</v>
      </c>
      <c r="M40" s="47">
        <v>27.272964000000002</v>
      </c>
      <c r="N40" s="47">
        <v>29.839753999999999</v>
      </c>
    </row>
    <row r="41" spans="1:14" x14ac:dyDescent="0.35">
      <c r="A41" s="2">
        <v>42934</v>
      </c>
      <c r="B41" s="40">
        <v>11.50198</v>
      </c>
      <c r="C41" s="40">
        <v>14.000201000000001</v>
      </c>
      <c r="D41" s="40">
        <v>10.498737999999999</v>
      </c>
      <c r="E41" s="40">
        <v>27.045334</v>
      </c>
      <c r="F41" s="40">
        <v>15.076363000000001</v>
      </c>
      <c r="G41" s="40">
        <v>18.62527</v>
      </c>
      <c r="H41" s="40">
        <v>12.552452000000001</v>
      </c>
      <c r="I41" s="40">
        <v>28.504694000000001</v>
      </c>
      <c r="J41" s="40">
        <v>15.828109</v>
      </c>
      <c r="K41" s="47">
        <v>28.924537999999998</v>
      </c>
      <c r="L41" s="47">
        <v>29.773129000000001</v>
      </c>
      <c r="M41" s="47">
        <v>27.046596999999998</v>
      </c>
      <c r="N41" s="47">
        <v>35.133994999999999</v>
      </c>
    </row>
    <row r="42" spans="1:14" x14ac:dyDescent="0.35">
      <c r="A42" s="2">
        <v>42965</v>
      </c>
      <c r="B42" s="40">
        <v>6.0790540000000002</v>
      </c>
      <c r="C42" s="40">
        <v>12.976158</v>
      </c>
      <c r="D42" s="40">
        <v>6.6421986000000004</v>
      </c>
      <c r="E42" s="40">
        <v>16.856574999999999</v>
      </c>
      <c r="F42" s="40">
        <v>12.415874499999999</v>
      </c>
      <c r="G42" s="40">
        <v>11.8316765</v>
      </c>
      <c r="H42" s="40">
        <v>7.5136539999999998</v>
      </c>
      <c r="I42" s="40">
        <v>21.655249999999999</v>
      </c>
      <c r="J42" s="40">
        <v>13.155723</v>
      </c>
      <c r="K42" s="47">
        <v>23.470973999999998</v>
      </c>
      <c r="L42" s="47">
        <v>25.603794000000001</v>
      </c>
      <c r="M42" s="47">
        <v>18.445004000000001</v>
      </c>
      <c r="N42" s="47">
        <v>36.208796999999997</v>
      </c>
    </row>
    <row r="43" spans="1:14" x14ac:dyDescent="0.35">
      <c r="A43" s="2">
        <v>42996</v>
      </c>
      <c r="B43" s="40">
        <v>6.3045499999999999</v>
      </c>
      <c r="C43" s="40">
        <v>21.050225999999999</v>
      </c>
      <c r="D43" s="40">
        <v>16.467213000000001</v>
      </c>
      <c r="E43" s="40">
        <v>28.277397000000001</v>
      </c>
      <c r="F43" s="40">
        <v>16.331900000000001</v>
      </c>
      <c r="G43" s="40">
        <v>18.283484999999999</v>
      </c>
      <c r="H43" s="40">
        <v>15.496027</v>
      </c>
      <c r="I43" s="40">
        <v>25.337564</v>
      </c>
      <c r="J43" s="40">
        <v>19.405591999999999</v>
      </c>
      <c r="K43" s="47">
        <v>33.236862000000002</v>
      </c>
      <c r="L43" s="47">
        <v>33.268210000000003</v>
      </c>
      <c r="M43" s="47">
        <v>27.501094999999999</v>
      </c>
      <c r="N43" s="47">
        <v>48.715972999999998</v>
      </c>
    </row>
    <row r="44" spans="1:14" x14ac:dyDescent="0.35">
      <c r="A44" s="2">
        <v>43026</v>
      </c>
      <c r="B44" s="40">
        <v>15.944874</v>
      </c>
      <c r="C44" s="40">
        <v>15.826214</v>
      </c>
      <c r="D44" s="40">
        <v>15.837049499999999</v>
      </c>
      <c r="E44" s="40">
        <v>29.595410999999999</v>
      </c>
      <c r="F44" s="40">
        <v>17.893578000000002</v>
      </c>
      <c r="G44" s="40">
        <v>20.68404</v>
      </c>
      <c r="H44" s="40">
        <v>19.719159999999999</v>
      </c>
      <c r="I44" s="40">
        <v>27.567958999999998</v>
      </c>
      <c r="J44" s="40">
        <v>22.080003999999999</v>
      </c>
      <c r="K44" s="47">
        <v>32.774044000000004</v>
      </c>
      <c r="L44" s="47">
        <v>33.402380000000001</v>
      </c>
      <c r="M44" s="47">
        <v>28.938245999999999</v>
      </c>
      <c r="N44" s="47">
        <v>42.239939999999997</v>
      </c>
    </row>
    <row r="45" spans="1:14" x14ac:dyDescent="0.35">
      <c r="A45" s="2">
        <v>43056</v>
      </c>
      <c r="B45" s="40">
        <v>14.290535</v>
      </c>
      <c r="C45" s="40">
        <v>17.554341999999998</v>
      </c>
      <c r="D45" s="40">
        <v>16.373873</v>
      </c>
      <c r="E45" s="40">
        <v>32.955300000000001</v>
      </c>
      <c r="F45" s="40">
        <v>19.188010999999999</v>
      </c>
      <c r="G45" s="40">
        <v>21.490514999999998</v>
      </c>
      <c r="H45" s="40">
        <v>19.000350000000001</v>
      </c>
      <c r="I45" s="40">
        <v>32.041943000000003</v>
      </c>
      <c r="J45" s="40">
        <v>20.133554</v>
      </c>
      <c r="K45" s="47">
        <v>34.146476999999997</v>
      </c>
      <c r="L45" s="47">
        <v>35.230614000000003</v>
      </c>
      <c r="M45" s="47">
        <v>28.140937999999998</v>
      </c>
      <c r="N45" s="47">
        <v>45.736156000000001</v>
      </c>
    </row>
    <row r="46" spans="1:14" x14ac:dyDescent="0.35">
      <c r="A46" s="2">
        <v>43087</v>
      </c>
      <c r="B46" s="40">
        <v>24.486637000000002</v>
      </c>
      <c r="C46" s="40">
        <v>18.857647</v>
      </c>
      <c r="D46" s="40">
        <v>11.789417</v>
      </c>
      <c r="E46" s="40">
        <v>30.902946</v>
      </c>
      <c r="F46" s="40">
        <v>23.156594999999999</v>
      </c>
      <c r="G46" s="40">
        <v>24.270105000000001</v>
      </c>
      <c r="H46" s="40">
        <v>19.25441</v>
      </c>
      <c r="I46" s="40">
        <v>33.852184000000001</v>
      </c>
      <c r="J46" s="40">
        <v>21.490742000000001</v>
      </c>
      <c r="K46" s="47">
        <v>31.306314</v>
      </c>
      <c r="L46" s="47">
        <v>36.564599999999999</v>
      </c>
      <c r="M46" s="47">
        <v>22.818231999999998</v>
      </c>
      <c r="N46" s="47">
        <v>32.598568</v>
      </c>
    </row>
    <row r="47" spans="1:14" x14ac:dyDescent="0.35">
      <c r="A47" s="2">
        <v>43118</v>
      </c>
      <c r="B47" s="40">
        <v>19.125319000000001</v>
      </c>
      <c r="C47" s="40">
        <v>16.619087</v>
      </c>
      <c r="D47" s="40">
        <v>15.573502</v>
      </c>
      <c r="E47" s="40">
        <v>31.046284</v>
      </c>
      <c r="F47" s="40">
        <v>27.740728000000001</v>
      </c>
      <c r="G47" s="40">
        <v>23.665714000000001</v>
      </c>
      <c r="H47" s="40">
        <v>24.222708000000001</v>
      </c>
      <c r="I47" s="40">
        <v>35.998629999999999</v>
      </c>
      <c r="J47" s="40">
        <v>25.492823000000001</v>
      </c>
      <c r="K47" s="47">
        <v>34.271442</v>
      </c>
      <c r="L47" s="47">
        <v>38.368583999999998</v>
      </c>
      <c r="M47" s="47">
        <v>26.961493999999998</v>
      </c>
      <c r="N47" s="47">
        <v>40.022216999999998</v>
      </c>
    </row>
    <row r="48" spans="1:14" x14ac:dyDescent="0.35">
      <c r="A48" s="2">
        <v>43147</v>
      </c>
      <c r="B48" s="40">
        <v>15.894151000000001</v>
      </c>
      <c r="C48" s="40">
        <v>8.0051179999999995</v>
      </c>
      <c r="D48" s="40">
        <v>3.6932706999999998</v>
      </c>
      <c r="E48" s="40">
        <v>23.059929</v>
      </c>
      <c r="F48" s="40">
        <v>21.851275999999999</v>
      </c>
      <c r="G48" s="40">
        <v>18.256509999999999</v>
      </c>
      <c r="H48" s="40">
        <v>15.814947999999999</v>
      </c>
      <c r="I48" s="40">
        <v>28.792942</v>
      </c>
      <c r="J48" s="40">
        <v>18.612814</v>
      </c>
      <c r="K48" s="47">
        <v>29.562653000000001</v>
      </c>
      <c r="L48" s="47">
        <v>29.565833999999999</v>
      </c>
      <c r="M48" s="47">
        <v>16.028058999999999</v>
      </c>
      <c r="N48" s="47">
        <v>40.240893999999997</v>
      </c>
    </row>
    <row r="49" spans="1:14" x14ac:dyDescent="0.35">
      <c r="A49" s="2">
        <v>43175</v>
      </c>
      <c r="B49" s="40">
        <v>23.003053999999999</v>
      </c>
      <c r="C49" s="40">
        <v>6.2077520000000002</v>
      </c>
      <c r="D49" s="40">
        <v>5.1563499999999998</v>
      </c>
      <c r="E49" s="40">
        <v>17.056633000000001</v>
      </c>
      <c r="F49" s="40">
        <v>19.028711000000001</v>
      </c>
      <c r="G49" s="40">
        <v>11.05566</v>
      </c>
      <c r="H49" s="40">
        <v>11.670923</v>
      </c>
      <c r="I49" s="40">
        <v>30.732631999999999</v>
      </c>
      <c r="J49" s="40">
        <v>17.677475000000001</v>
      </c>
      <c r="K49" s="47">
        <v>24.492000000000001</v>
      </c>
      <c r="L49" s="47">
        <v>22.749638000000001</v>
      </c>
      <c r="M49" s="47">
        <v>12.890768</v>
      </c>
      <c r="N49" s="47">
        <v>30.625105000000001</v>
      </c>
    </row>
    <row r="50" spans="1:14" x14ac:dyDescent="0.35">
      <c r="A50" s="2">
        <v>43208</v>
      </c>
      <c r="B50" s="40">
        <v>20.048438999999998</v>
      </c>
      <c r="C50" s="40">
        <v>6.5027356000000003</v>
      </c>
      <c r="D50" s="40">
        <v>8.1363199999999996</v>
      </c>
      <c r="E50" s="40">
        <v>20.692146000000001</v>
      </c>
      <c r="F50" s="40">
        <v>21.288181000000002</v>
      </c>
      <c r="G50" s="40">
        <v>10.692156000000001</v>
      </c>
      <c r="H50" s="40">
        <v>16.88466</v>
      </c>
      <c r="I50" s="40">
        <v>27.884542</v>
      </c>
      <c r="J50" s="40">
        <v>17.816220999999999</v>
      </c>
      <c r="K50" s="47">
        <v>29.020499999999998</v>
      </c>
      <c r="L50" s="47">
        <v>25.431059999999999</v>
      </c>
      <c r="M50" s="47">
        <v>12.126923</v>
      </c>
      <c r="N50" s="47">
        <v>41.781820000000003</v>
      </c>
    </row>
    <row r="51" spans="1:14" x14ac:dyDescent="0.35">
      <c r="A51" s="2">
        <v>43238</v>
      </c>
      <c r="B51" s="40">
        <v>16.047550000000001</v>
      </c>
      <c r="C51" s="40">
        <v>10.559726</v>
      </c>
      <c r="D51" s="40">
        <v>15.291035000000001</v>
      </c>
      <c r="E51" s="40">
        <v>9.712529</v>
      </c>
      <c r="F51" s="40">
        <v>17.473293000000002</v>
      </c>
      <c r="G51" s="40">
        <v>2.2868395000000001</v>
      </c>
      <c r="H51" s="40">
        <v>11.607360999999999</v>
      </c>
      <c r="I51" s="40">
        <v>23.062574000000001</v>
      </c>
      <c r="J51" s="40">
        <v>16.777742</v>
      </c>
      <c r="K51" s="47">
        <v>15.136218</v>
      </c>
      <c r="L51" s="47">
        <v>12.076961499999999</v>
      </c>
      <c r="M51" s="47">
        <v>5.6537867000000004</v>
      </c>
      <c r="N51" s="47">
        <v>16.684639000000001</v>
      </c>
    </row>
    <row r="52" spans="1:14" x14ac:dyDescent="0.35">
      <c r="A52" s="2">
        <v>43269</v>
      </c>
      <c r="B52" s="40">
        <v>12.780523000000001</v>
      </c>
      <c r="C52" s="40">
        <v>7.1723699999999999</v>
      </c>
      <c r="D52" s="40">
        <v>10.846876999999999</v>
      </c>
      <c r="E52" s="40">
        <v>4.5284032999999999</v>
      </c>
      <c r="F52" s="40">
        <v>11.8951435</v>
      </c>
      <c r="G52" s="40">
        <v>-2.3831129999999998</v>
      </c>
      <c r="H52" s="40">
        <v>8.8921790000000005</v>
      </c>
      <c r="I52" s="40">
        <v>28.79374</v>
      </c>
      <c r="J52" s="40">
        <v>16.105032000000001</v>
      </c>
      <c r="K52" s="47">
        <v>10.935211000000001</v>
      </c>
      <c r="L52" s="47">
        <v>9.9524860000000004</v>
      </c>
      <c r="M52" s="47">
        <v>-1.5074133999999999</v>
      </c>
      <c r="N52" s="47">
        <v>9.5289710000000003</v>
      </c>
    </row>
    <row r="53" spans="1:14" x14ac:dyDescent="0.35">
      <c r="A53" s="2">
        <v>43299</v>
      </c>
      <c r="B53" s="40">
        <v>6.4453125</v>
      </c>
      <c r="C53" s="40">
        <v>6.6730856999999997</v>
      </c>
      <c r="D53" s="40">
        <v>7.0519447</v>
      </c>
      <c r="E53" s="40">
        <v>3.3392189999999999</v>
      </c>
      <c r="F53" s="40">
        <v>9.2977290000000004</v>
      </c>
      <c r="G53" s="40">
        <v>-0.68556665999999999</v>
      </c>
      <c r="H53" s="40">
        <v>6.9370865999999998</v>
      </c>
      <c r="I53" s="40">
        <v>26.719498000000002</v>
      </c>
      <c r="J53" s="40">
        <v>16.543662999999999</v>
      </c>
      <c r="K53" s="47">
        <v>9.3747849999999993</v>
      </c>
      <c r="L53" s="47">
        <v>8.3020209999999999</v>
      </c>
      <c r="M53" s="47">
        <v>-4.0535690000000004</v>
      </c>
      <c r="N53" s="47">
        <v>4.2245270000000001</v>
      </c>
    </row>
    <row r="54" spans="1:14" x14ac:dyDescent="0.35">
      <c r="A54" s="2">
        <v>43329</v>
      </c>
      <c r="B54" s="40">
        <v>5.3826213000000003</v>
      </c>
      <c r="C54" s="40">
        <v>6.7878603999999996</v>
      </c>
      <c r="D54" s="40">
        <v>8.5729959999999998</v>
      </c>
      <c r="E54" s="40">
        <v>-0.86516740000000003</v>
      </c>
      <c r="F54" s="40">
        <v>7.0357560000000001</v>
      </c>
      <c r="G54" s="40">
        <v>2.4774910000000001</v>
      </c>
      <c r="H54" s="40">
        <v>5.0339700000000001</v>
      </c>
      <c r="I54" s="40">
        <v>28.292477000000002</v>
      </c>
      <c r="J54" s="40">
        <v>19.451962999999999</v>
      </c>
      <c r="K54" s="47">
        <v>5.6811449999999999</v>
      </c>
      <c r="L54" s="47">
        <v>1.7982959999999999</v>
      </c>
      <c r="M54" s="47">
        <v>-1.9781648999999999</v>
      </c>
      <c r="N54" s="47">
        <v>-6.4140139999999999</v>
      </c>
    </row>
    <row r="55" spans="1:14" x14ac:dyDescent="0.35">
      <c r="A55" s="2">
        <v>43361</v>
      </c>
      <c r="B55" s="40">
        <v>8.8709349999999993</v>
      </c>
      <c r="C55" s="40">
        <v>1.2632847</v>
      </c>
      <c r="D55" s="40">
        <v>3.2314777000000001</v>
      </c>
      <c r="E55" s="40">
        <v>-4.2678536999999999</v>
      </c>
      <c r="F55" s="40">
        <v>9.3363999999999994</v>
      </c>
      <c r="G55" s="40">
        <v>2.5665521999999998</v>
      </c>
      <c r="H55" s="40">
        <v>1.0815859000000001</v>
      </c>
      <c r="I55" s="40">
        <v>26.359521999999998</v>
      </c>
      <c r="J55" s="40">
        <v>18.081844</v>
      </c>
      <c r="K55" s="47">
        <v>3.7383318000000001</v>
      </c>
      <c r="L55" s="47">
        <v>-1.1846304000000001</v>
      </c>
      <c r="M55" s="47">
        <v>-4.2521057000000004</v>
      </c>
      <c r="N55" s="47">
        <v>-5.7903824000000004</v>
      </c>
    </row>
    <row r="56" spans="1:14" x14ac:dyDescent="0.35">
      <c r="A56" s="2">
        <v>43391</v>
      </c>
      <c r="B56" s="40">
        <v>-0.21230578</v>
      </c>
      <c r="C56" s="40">
        <v>-6.2202573000000001</v>
      </c>
      <c r="D56" s="40">
        <v>-5.5157126999999999</v>
      </c>
      <c r="E56" s="40">
        <v>-13.523793</v>
      </c>
      <c r="F56" s="40">
        <v>-0.28779506999999999</v>
      </c>
      <c r="G56" s="40">
        <v>-5.0206900000000001</v>
      </c>
      <c r="H56" s="40">
        <v>-5.1051197000000004</v>
      </c>
      <c r="I56" s="40">
        <v>17.232168000000001</v>
      </c>
      <c r="J56" s="40">
        <v>10.056018999999999</v>
      </c>
      <c r="K56" s="47">
        <v>-5.0604285999999998</v>
      </c>
      <c r="L56" s="47">
        <v>-9.3679070000000007</v>
      </c>
      <c r="M56" s="47">
        <v>-11.665165</v>
      </c>
      <c r="N56" s="47">
        <v>-15.702367000000001</v>
      </c>
    </row>
    <row r="57" spans="1:14" x14ac:dyDescent="0.35">
      <c r="A57" s="2">
        <v>43420</v>
      </c>
      <c r="B57" s="40">
        <v>10.682285</v>
      </c>
      <c r="C57" s="40">
        <v>-3.8158774000000002</v>
      </c>
      <c r="D57" s="40">
        <v>-5.9004126000000001</v>
      </c>
      <c r="E57" s="40">
        <v>-14.788002000000001</v>
      </c>
      <c r="F57" s="40">
        <v>-5.9040840000000001</v>
      </c>
      <c r="G57" s="40">
        <v>-1.3877212999999999</v>
      </c>
      <c r="H57" s="40">
        <v>-3.8719296000000001</v>
      </c>
      <c r="I57" s="40">
        <v>9.2196940000000005</v>
      </c>
      <c r="J57" s="40">
        <v>7.7707290000000002</v>
      </c>
      <c r="K57" s="47">
        <v>-5.6000889999999997</v>
      </c>
      <c r="L57" s="47">
        <v>-6.7040563000000004</v>
      </c>
      <c r="M57" s="47">
        <v>-10.933738999999999</v>
      </c>
      <c r="N57" s="47">
        <v>-14.491522</v>
      </c>
    </row>
    <row r="58" spans="1:14" x14ac:dyDescent="0.35">
      <c r="A58" s="2">
        <v>43452</v>
      </c>
      <c r="B58" s="40">
        <v>1.893723</v>
      </c>
      <c r="C58" s="40">
        <v>-10.12814</v>
      </c>
      <c r="D58" s="40">
        <v>-13.060409</v>
      </c>
      <c r="E58" s="40">
        <v>-21.877945</v>
      </c>
      <c r="F58" s="40">
        <v>-11.821413</v>
      </c>
      <c r="G58" s="40">
        <v>-9.0396640000000001</v>
      </c>
      <c r="H58" s="40">
        <v>-12.987995</v>
      </c>
      <c r="I58" s="40">
        <v>0.4207611</v>
      </c>
      <c r="J58" s="40">
        <v>-3.6478043000000002</v>
      </c>
      <c r="K58" s="47">
        <v>-12.496257</v>
      </c>
      <c r="L58" s="47">
        <v>-13.736052000000001</v>
      </c>
      <c r="M58" s="47">
        <v>-12.993235</v>
      </c>
      <c r="N58" s="47">
        <v>-16.220648000000001</v>
      </c>
    </row>
    <row r="59" spans="1:14" x14ac:dyDescent="0.35">
      <c r="A59" s="2">
        <v>43483</v>
      </c>
      <c r="B59" s="40">
        <v>3.3406376999999998</v>
      </c>
      <c r="C59" s="40">
        <v>-7.6987386000000004</v>
      </c>
      <c r="D59" s="40">
        <v>-10.434514</v>
      </c>
      <c r="E59" s="40">
        <v>-21.56551</v>
      </c>
      <c r="F59" s="40">
        <v>-13.294422000000001</v>
      </c>
      <c r="G59" s="40">
        <v>-6.6663265000000003</v>
      </c>
      <c r="H59" s="40">
        <v>-13.025451</v>
      </c>
      <c r="I59" s="40">
        <v>0.50828457000000005</v>
      </c>
      <c r="J59" s="40">
        <v>-2.7171789999999998</v>
      </c>
      <c r="K59" s="47">
        <v>-15.058522999999999</v>
      </c>
      <c r="L59" s="47">
        <v>-16.070097000000001</v>
      </c>
      <c r="M59" s="47">
        <v>-14.101611999999999</v>
      </c>
      <c r="N59" s="47">
        <v>-19.67408</v>
      </c>
    </row>
    <row r="60" spans="1:14" x14ac:dyDescent="0.35">
      <c r="A60" s="2">
        <v>43511</v>
      </c>
      <c r="B60" s="40">
        <v>7.3292016999999996</v>
      </c>
      <c r="C60" s="40">
        <v>-3.6608398000000002</v>
      </c>
      <c r="D60" s="40">
        <v>-1.0908008</v>
      </c>
      <c r="E60" s="40">
        <v>-17.686160000000001</v>
      </c>
      <c r="F60" s="40">
        <v>-8.7808309999999992</v>
      </c>
      <c r="G60" s="40">
        <v>-3.3263623999999998</v>
      </c>
      <c r="H60" s="40">
        <v>-5.4488300000000001</v>
      </c>
      <c r="I60" s="40">
        <v>4.6530246999999996</v>
      </c>
      <c r="J60" s="40">
        <v>3.5321832</v>
      </c>
      <c r="K60" s="47">
        <v>-8.435613</v>
      </c>
      <c r="L60" s="47">
        <v>-7.1129265000000004</v>
      </c>
      <c r="M60" s="47">
        <v>-8.9685020000000009</v>
      </c>
      <c r="N60" s="47">
        <v>-15.668732</v>
      </c>
    </row>
    <row r="61" spans="1:14" x14ac:dyDescent="0.35">
      <c r="A61" s="2">
        <v>43542</v>
      </c>
      <c r="B61" s="40">
        <v>6.7233442999999999</v>
      </c>
      <c r="C61" s="40">
        <v>7.7748300000000006E-2</v>
      </c>
      <c r="D61" s="40">
        <v>3.5556912000000001</v>
      </c>
      <c r="E61" s="40">
        <v>-13.373011999999999</v>
      </c>
      <c r="F61" s="40">
        <v>-8.8611009999999997</v>
      </c>
      <c r="G61" s="40">
        <v>3.8892983999999999</v>
      </c>
      <c r="H61" s="40">
        <v>0.83533524999999997</v>
      </c>
      <c r="I61" s="40">
        <v>5.4278373999999996</v>
      </c>
      <c r="J61" s="40">
        <v>4.9739719999999998</v>
      </c>
      <c r="K61" s="47">
        <v>-3.1034350000000002</v>
      </c>
      <c r="L61" s="47">
        <v>-4.4398426999999998</v>
      </c>
      <c r="M61" s="47">
        <v>-6.0932754999999998</v>
      </c>
      <c r="N61" s="47">
        <v>-10.817247</v>
      </c>
    </row>
    <row r="62" spans="1:14" x14ac:dyDescent="0.35">
      <c r="A62" s="2">
        <v>43573</v>
      </c>
      <c r="B62" s="40">
        <v>8.8264469999999999</v>
      </c>
      <c r="C62" s="40">
        <v>2.5232673000000001</v>
      </c>
      <c r="D62" s="40">
        <v>3.4927130000000002</v>
      </c>
      <c r="E62" s="40">
        <v>-12.290746</v>
      </c>
      <c r="F62" s="40">
        <v>-7.9028130000000001</v>
      </c>
      <c r="G62" s="40">
        <v>5.8181405000000002</v>
      </c>
      <c r="H62" s="40">
        <v>-3.1199574000000001</v>
      </c>
      <c r="I62" s="40">
        <v>13.568056</v>
      </c>
      <c r="J62" s="40">
        <v>9.3526600000000002</v>
      </c>
      <c r="K62" s="47">
        <v>-3.9040685000000002</v>
      </c>
      <c r="L62" s="47">
        <v>-3.2620369999999999</v>
      </c>
      <c r="M62" s="47">
        <v>1.3731122</v>
      </c>
      <c r="N62" s="47">
        <v>-13.536607999999999</v>
      </c>
    </row>
    <row r="63" spans="1:14" x14ac:dyDescent="0.35">
      <c r="A63" s="2">
        <v>43602</v>
      </c>
      <c r="B63" s="40">
        <v>12.359774</v>
      </c>
      <c r="C63" s="40">
        <v>-0.77948569999999995</v>
      </c>
      <c r="D63" s="40">
        <v>-1.8525301999999999</v>
      </c>
      <c r="E63" s="40">
        <v>-12.974083</v>
      </c>
      <c r="F63" s="40">
        <v>-10.840183</v>
      </c>
      <c r="G63" s="40">
        <v>7.2103619999999999</v>
      </c>
      <c r="H63" s="40">
        <v>-7.79739</v>
      </c>
      <c r="I63" s="40">
        <v>9.6861840000000008</v>
      </c>
      <c r="J63" s="40">
        <v>7.1347117000000004</v>
      </c>
      <c r="K63" s="47">
        <v>-6.363696</v>
      </c>
      <c r="L63" s="47">
        <v>-2.4794817</v>
      </c>
      <c r="M63" s="47">
        <v>-6.3725176000000001</v>
      </c>
      <c r="N63" s="47">
        <v>-12.9154625</v>
      </c>
    </row>
    <row r="64" spans="1:14" x14ac:dyDescent="0.35">
      <c r="A64" s="2">
        <v>43634</v>
      </c>
      <c r="B64" s="40">
        <v>5.5152416000000004</v>
      </c>
      <c r="C64" s="40">
        <v>4.8619029999999999</v>
      </c>
      <c r="D64" s="40">
        <v>1.3315916000000001</v>
      </c>
      <c r="E64" s="40">
        <v>-9.6690950000000004</v>
      </c>
      <c r="F64" s="40">
        <v>-7.5940075</v>
      </c>
      <c r="G64" s="40">
        <v>16.161024000000001</v>
      </c>
      <c r="H64" s="40">
        <v>-4.1544676000000003</v>
      </c>
      <c r="I64" s="40">
        <v>6.3070297000000002</v>
      </c>
      <c r="J64" s="40">
        <v>7.3081016999999999</v>
      </c>
      <c r="K64" s="47">
        <v>-1.0557532000000001</v>
      </c>
      <c r="L64" s="47">
        <v>-0.19162893</v>
      </c>
      <c r="M64" s="47">
        <v>-0.97269415999999997</v>
      </c>
      <c r="N64" s="47">
        <v>-3.7522435000000001</v>
      </c>
    </row>
    <row r="65" spans="1:14" x14ac:dyDescent="0.35">
      <c r="A65" s="2">
        <v>43664</v>
      </c>
      <c r="B65" s="40">
        <v>19.419098000000002</v>
      </c>
      <c r="C65" s="40">
        <v>5.9344052999999999</v>
      </c>
      <c r="D65" s="40">
        <v>2.9179096000000002</v>
      </c>
      <c r="E65" s="40">
        <v>-9.0834080000000004</v>
      </c>
      <c r="F65" s="40">
        <v>-4.3933390000000001</v>
      </c>
      <c r="G65" s="40">
        <v>14.6941185</v>
      </c>
      <c r="H65" s="40">
        <v>-2.6951491999999999</v>
      </c>
      <c r="I65" s="40">
        <v>7.8803299999999998</v>
      </c>
      <c r="J65" s="40">
        <v>8.4374540000000007</v>
      </c>
      <c r="K65" s="47">
        <v>0.32454729999999998</v>
      </c>
      <c r="L65" s="47">
        <v>2.0421385999999999</v>
      </c>
      <c r="M65" s="47">
        <v>8.1801414000000003E-2</v>
      </c>
      <c r="N65" s="47">
        <v>1.9358276999999999</v>
      </c>
    </row>
    <row r="66" spans="1:14" x14ac:dyDescent="0.35">
      <c r="A66" s="2">
        <v>43693</v>
      </c>
      <c r="B66" s="40">
        <v>14.179587</v>
      </c>
      <c r="C66" s="40">
        <v>-0.83835124999999999</v>
      </c>
      <c r="D66" s="40">
        <v>-0.45426487999999998</v>
      </c>
      <c r="E66" s="40">
        <v>-9.8950859999999992</v>
      </c>
      <c r="F66" s="40">
        <v>-4.7141549999999999</v>
      </c>
      <c r="G66" s="40">
        <v>11.431384</v>
      </c>
      <c r="H66" s="40">
        <v>-6.3761415000000001</v>
      </c>
      <c r="I66" s="40">
        <v>4.0530204999999997</v>
      </c>
      <c r="J66" s="40">
        <v>3.7090182</v>
      </c>
      <c r="K66" s="47">
        <v>-1.4402508999999999</v>
      </c>
      <c r="L66" s="47">
        <v>1.6623616000000001</v>
      </c>
      <c r="M66" s="47">
        <v>-6.6115139999999997</v>
      </c>
      <c r="N66" s="47">
        <v>-0.1401782</v>
      </c>
    </row>
    <row r="67" spans="1:14" x14ac:dyDescent="0.35">
      <c r="A67" s="2">
        <v>43726</v>
      </c>
      <c r="B67" s="40">
        <v>9.9090690000000006</v>
      </c>
      <c r="C67" s="40">
        <v>7.5614333</v>
      </c>
      <c r="D67" s="40">
        <v>3.3816457</v>
      </c>
      <c r="E67" s="40">
        <v>-6.3216029999999996</v>
      </c>
      <c r="F67" s="40">
        <v>-3.2282948</v>
      </c>
      <c r="G67" s="40">
        <v>10.029387</v>
      </c>
      <c r="H67" s="40">
        <v>-1.2978016999999999</v>
      </c>
      <c r="I67" s="40">
        <v>6.2185407000000001</v>
      </c>
      <c r="J67" s="40">
        <v>5.5616855999999997</v>
      </c>
      <c r="K67" s="47">
        <v>0.69185494999999997</v>
      </c>
      <c r="L67" s="47">
        <v>7.4321390000000003</v>
      </c>
      <c r="M67" s="47">
        <v>-3.3616006</v>
      </c>
      <c r="N67" s="47">
        <v>1.9697188999999999</v>
      </c>
    </row>
    <row r="68" spans="1:14" x14ac:dyDescent="0.35">
      <c r="A68" s="2">
        <v>43756</v>
      </c>
      <c r="B68" s="40">
        <v>21.161116</v>
      </c>
      <c r="C68" s="40">
        <v>14.220046999999999</v>
      </c>
      <c r="D68" s="40">
        <v>8.2391850000000009</v>
      </c>
      <c r="E68" s="40">
        <v>4.1496515</v>
      </c>
      <c r="F68" s="40">
        <v>3.2016277</v>
      </c>
      <c r="G68" s="40">
        <v>17.857037999999999</v>
      </c>
      <c r="H68" s="40">
        <v>5.0053476999999997</v>
      </c>
      <c r="I68" s="40">
        <v>11.684823</v>
      </c>
      <c r="J68" s="40">
        <v>9.9602810000000002</v>
      </c>
      <c r="K68" s="47">
        <v>9.3296050000000008</v>
      </c>
      <c r="L68" s="47">
        <v>16.788435</v>
      </c>
      <c r="M68" s="47">
        <v>6.2234043999999997</v>
      </c>
      <c r="N68" s="47">
        <v>18.34525</v>
      </c>
    </row>
    <row r="69" spans="1:14" x14ac:dyDescent="0.35">
      <c r="A69" s="2">
        <v>43787</v>
      </c>
      <c r="B69" s="40">
        <v>14.312053000000001</v>
      </c>
      <c r="C69" s="40">
        <v>14.653147000000001</v>
      </c>
      <c r="D69" s="40">
        <v>14.142871</v>
      </c>
      <c r="E69" s="40">
        <v>9.2561719999999994</v>
      </c>
      <c r="F69" s="40">
        <v>11.246133</v>
      </c>
      <c r="G69" s="40">
        <v>20.506119000000002</v>
      </c>
      <c r="H69" s="40">
        <v>8.2128409999999992</v>
      </c>
      <c r="I69" s="40">
        <v>22.327304999999999</v>
      </c>
      <c r="J69" s="40">
        <v>16.268301000000001</v>
      </c>
      <c r="K69" s="47">
        <v>15.765404999999999</v>
      </c>
      <c r="L69" s="47">
        <v>18.289555</v>
      </c>
      <c r="M69" s="47">
        <v>12.135458</v>
      </c>
      <c r="N69" s="47">
        <v>22.290040000000001</v>
      </c>
    </row>
    <row r="70" spans="1:14" x14ac:dyDescent="0.35">
      <c r="A70" s="2">
        <v>43817</v>
      </c>
      <c r="B70" s="40">
        <v>24.866724000000001</v>
      </c>
      <c r="C70" s="40">
        <v>21.98732</v>
      </c>
      <c r="D70" s="40">
        <v>23.543144000000002</v>
      </c>
      <c r="E70" s="40">
        <v>17.797543000000001</v>
      </c>
      <c r="F70" s="40">
        <v>17.027723000000002</v>
      </c>
      <c r="G70" s="40">
        <v>29.914712999999999</v>
      </c>
      <c r="H70" s="40">
        <v>20.436966000000002</v>
      </c>
      <c r="I70" s="40">
        <v>33.46584</v>
      </c>
      <c r="J70" s="40">
        <v>27.796257000000001</v>
      </c>
      <c r="K70" s="47">
        <v>24.12368</v>
      </c>
      <c r="L70" s="47">
        <v>28.228484999999999</v>
      </c>
      <c r="M70" s="47">
        <v>23.348951</v>
      </c>
      <c r="N70" s="47">
        <v>24.381805</v>
      </c>
    </row>
    <row r="71" spans="1:14" x14ac:dyDescent="0.35">
      <c r="A71" s="2">
        <v>43847</v>
      </c>
      <c r="B71" s="40">
        <v>25.592005</v>
      </c>
      <c r="C71" s="40">
        <v>19.416094000000001</v>
      </c>
      <c r="D71" s="40">
        <v>19.122886999999999</v>
      </c>
      <c r="E71" s="40">
        <v>17.367422000000001</v>
      </c>
      <c r="F71" s="40">
        <v>14.143551</v>
      </c>
      <c r="G71" s="40">
        <v>28.347946</v>
      </c>
      <c r="H71" s="40">
        <v>15.961539999999999</v>
      </c>
      <c r="I71" s="40">
        <v>37.638534999999997</v>
      </c>
      <c r="J71" s="40">
        <v>28.624248999999999</v>
      </c>
      <c r="K71" s="47">
        <v>25.320983999999999</v>
      </c>
      <c r="L71" s="47">
        <v>29.560576999999999</v>
      </c>
      <c r="M71" s="47">
        <v>20.021034</v>
      </c>
      <c r="N71" s="47">
        <v>21.176386000000001</v>
      </c>
    </row>
    <row r="72" spans="1:14" x14ac:dyDescent="0.35">
      <c r="A72" s="2">
        <v>43879</v>
      </c>
      <c r="B72" s="40">
        <v>19.017112999999998</v>
      </c>
      <c r="C72" s="40">
        <v>13.464176</v>
      </c>
      <c r="D72" s="40">
        <v>13.857735</v>
      </c>
      <c r="E72" s="40">
        <v>12.399101</v>
      </c>
      <c r="F72" s="40">
        <v>7.8965069999999997</v>
      </c>
      <c r="G72" s="40">
        <v>25.908863</v>
      </c>
      <c r="H72" s="40">
        <v>6.1110616000000002</v>
      </c>
      <c r="I72" s="40">
        <v>37.64181</v>
      </c>
      <c r="J72" s="40">
        <v>23.697865</v>
      </c>
      <c r="K72" s="47">
        <v>15.387165</v>
      </c>
      <c r="L72" s="47">
        <v>19.684649</v>
      </c>
      <c r="M72" s="47">
        <v>15.696037</v>
      </c>
      <c r="N72" s="47">
        <v>19.198619999999998</v>
      </c>
    </row>
    <row r="73" spans="1:14" x14ac:dyDescent="0.35">
      <c r="A73" s="2">
        <v>43908</v>
      </c>
      <c r="B73" s="40">
        <v>-16.824770000000001</v>
      </c>
      <c r="C73" s="40">
        <v>-33.642322999999998</v>
      </c>
      <c r="D73" s="40">
        <v>-31.902754000000002</v>
      </c>
      <c r="E73" s="40">
        <v>-32.883507000000002</v>
      </c>
      <c r="F73" s="40">
        <v>-16.792546999999999</v>
      </c>
      <c r="G73" s="40">
        <v>-9.438485</v>
      </c>
      <c r="H73" s="40">
        <v>-37.134326999999999</v>
      </c>
      <c r="I73" s="40">
        <v>-0.40339230999999998</v>
      </c>
      <c r="J73" s="40">
        <v>-13.762826</v>
      </c>
      <c r="K73" s="47">
        <v>-31.705278</v>
      </c>
      <c r="L73" s="47">
        <v>-23.890464999999999</v>
      </c>
      <c r="M73" s="47">
        <v>-25.051480999999999</v>
      </c>
      <c r="N73" s="47">
        <v>-31.255405</v>
      </c>
    </row>
    <row r="74" spans="1:14" x14ac:dyDescent="0.35">
      <c r="A74" s="2">
        <v>43938</v>
      </c>
      <c r="B74" s="40">
        <v>-2.3778320000000002</v>
      </c>
      <c r="C74" s="40">
        <v>-20.013003999999999</v>
      </c>
      <c r="D74" s="40">
        <v>-16.524607</v>
      </c>
      <c r="E74" s="40">
        <v>-17.290485</v>
      </c>
      <c r="F74" s="40">
        <v>-6.1146735999999997</v>
      </c>
      <c r="G74" s="40">
        <v>5.6458354000000002</v>
      </c>
      <c r="H74" s="40">
        <v>-23.566305</v>
      </c>
      <c r="I74" s="40">
        <v>16.01857</v>
      </c>
      <c r="J74" s="40">
        <v>1.0795474</v>
      </c>
      <c r="K74" s="47">
        <v>-19.731976</v>
      </c>
      <c r="L74" s="47">
        <v>-8.611637</v>
      </c>
      <c r="M74" s="47">
        <v>-14.797693000000001</v>
      </c>
      <c r="N74" s="47">
        <v>-25.149280000000001</v>
      </c>
    </row>
    <row r="75" spans="1:14" x14ac:dyDescent="0.35">
      <c r="A75" s="2">
        <v>43969</v>
      </c>
      <c r="B75" s="40">
        <v>2.1470069999999999</v>
      </c>
      <c r="C75" s="40">
        <v>-15.450870500000001</v>
      </c>
      <c r="D75" s="40">
        <v>-10.380703</v>
      </c>
      <c r="E75" s="40">
        <v>-11.910361</v>
      </c>
      <c r="F75" s="40">
        <v>0.79407689999999997</v>
      </c>
      <c r="G75" s="40">
        <v>6.0782312999999997</v>
      </c>
      <c r="H75" s="40">
        <v>-19.269556000000001</v>
      </c>
      <c r="I75" s="40">
        <v>25.312733000000001</v>
      </c>
      <c r="J75" s="40">
        <v>5.3413987000000001</v>
      </c>
      <c r="K75" s="47">
        <v>-16.324116</v>
      </c>
      <c r="L75" s="47">
        <v>-2.1006048000000002</v>
      </c>
      <c r="M75" s="47">
        <v>-3.9318203999999999</v>
      </c>
      <c r="N75" s="47">
        <v>-19.215869999999999</v>
      </c>
    </row>
    <row r="76" spans="1:14" x14ac:dyDescent="0.35">
      <c r="A76" s="2">
        <v>44000</v>
      </c>
      <c r="B76" s="40">
        <v>10.935152</v>
      </c>
      <c r="C76" s="40">
        <v>-9.4687219999999996</v>
      </c>
      <c r="D76" s="40">
        <v>-6.4163503999999998</v>
      </c>
      <c r="E76" s="40">
        <v>-0.57854055999999998</v>
      </c>
      <c r="F76" s="40">
        <v>6.3629150000000001</v>
      </c>
      <c r="G76" s="40">
        <v>7.8744529999999999</v>
      </c>
      <c r="H76" s="40">
        <v>-16.066234999999999</v>
      </c>
      <c r="I76" s="40">
        <v>32.163679999999999</v>
      </c>
      <c r="J76" s="40">
        <v>8.8356019999999997</v>
      </c>
      <c r="K76" s="47">
        <v>-8.6316469999999992</v>
      </c>
      <c r="L76" s="47">
        <v>8.2649589999999993</v>
      </c>
      <c r="M76" s="47">
        <v>4.3253303000000001</v>
      </c>
      <c r="N76" s="47">
        <v>-9.6061049999999994</v>
      </c>
    </row>
    <row r="77" spans="1:14" x14ac:dyDescent="0.35">
      <c r="A77" s="2">
        <v>44029</v>
      </c>
      <c r="B77" s="40">
        <v>8.7086919999999992</v>
      </c>
      <c r="C77" s="40">
        <v>-8.7230679999999996</v>
      </c>
      <c r="D77" s="40">
        <v>-4.7004403999999997</v>
      </c>
      <c r="E77" s="40">
        <v>5.9664010000000003</v>
      </c>
      <c r="F77" s="40">
        <v>4.7787547000000004</v>
      </c>
      <c r="G77" s="40">
        <v>11.2801075</v>
      </c>
      <c r="H77" s="40">
        <v>-14.137566</v>
      </c>
      <c r="I77" s="40">
        <v>36.060333</v>
      </c>
      <c r="J77" s="40">
        <v>10.242604999999999</v>
      </c>
      <c r="K77" s="47">
        <v>-4.6919227000000001</v>
      </c>
      <c r="L77" s="47">
        <v>11.530745</v>
      </c>
      <c r="M77" s="47">
        <v>14.498578999999999</v>
      </c>
      <c r="N77" s="47">
        <v>-6.7685310000000003</v>
      </c>
    </row>
    <row r="78" spans="1:14" x14ac:dyDescent="0.35">
      <c r="A78" s="2">
        <v>44061</v>
      </c>
      <c r="B78" s="40">
        <v>18.051220000000001</v>
      </c>
      <c r="C78" s="40">
        <v>1.7073512</v>
      </c>
      <c r="D78" s="40">
        <v>5.6042193999999999</v>
      </c>
      <c r="E78" s="40">
        <v>18.330658</v>
      </c>
      <c r="F78" s="40">
        <v>11.318314000000001</v>
      </c>
      <c r="G78" s="40">
        <v>15.099202999999999</v>
      </c>
      <c r="H78" s="40">
        <v>-6.3429174000000001</v>
      </c>
      <c r="I78" s="40">
        <v>51.071404000000001</v>
      </c>
      <c r="J78" s="40">
        <v>19.611930000000001</v>
      </c>
      <c r="K78" s="47">
        <v>2.6582599</v>
      </c>
      <c r="L78" s="47">
        <v>19.932853999999999</v>
      </c>
      <c r="M78" s="47">
        <v>30.602896000000001</v>
      </c>
      <c r="N78" s="47">
        <v>3.0582666000000001</v>
      </c>
    </row>
    <row r="79" spans="1:14" x14ac:dyDescent="0.35">
      <c r="A79" s="2">
        <v>44092</v>
      </c>
      <c r="B79" s="40">
        <v>16.261624999999999</v>
      </c>
      <c r="C79" s="40">
        <v>-7.2269144000000001</v>
      </c>
      <c r="D79" s="40">
        <v>-2.2992550999999999</v>
      </c>
      <c r="E79" s="40">
        <v>12.076497</v>
      </c>
      <c r="F79" s="40">
        <v>6.6793202999999997</v>
      </c>
      <c r="G79" s="40">
        <v>15.544451</v>
      </c>
      <c r="H79" s="40">
        <v>-14.435779999999999</v>
      </c>
      <c r="I79" s="40">
        <v>39.735042999999997</v>
      </c>
      <c r="J79" s="40">
        <v>12.492048</v>
      </c>
      <c r="K79" s="47">
        <v>-3.0591726000000001</v>
      </c>
      <c r="L79" s="47">
        <v>12.241173</v>
      </c>
      <c r="M79" s="47">
        <v>22.731280999999999</v>
      </c>
      <c r="N79" s="47">
        <v>-7.2433113999999996</v>
      </c>
    </row>
    <row r="80" spans="1:14" x14ac:dyDescent="0.35">
      <c r="A80" s="2">
        <v>44120</v>
      </c>
      <c r="B80" s="40">
        <v>18.294703999999999</v>
      </c>
      <c r="C80" s="40">
        <v>-3.7696838000000001</v>
      </c>
      <c r="D80" s="40">
        <v>1.0293007000000001</v>
      </c>
      <c r="E80" s="40">
        <v>7.4669239999999997</v>
      </c>
      <c r="F80" s="40">
        <v>4.2465925000000002</v>
      </c>
      <c r="G80" s="40">
        <v>11.950815</v>
      </c>
      <c r="H80" s="40">
        <v>-16.592162999999999</v>
      </c>
      <c r="I80" s="40">
        <v>50.573993999999999</v>
      </c>
      <c r="J80" s="40">
        <v>18.671821999999999</v>
      </c>
      <c r="K80" s="47">
        <v>-5.4467974000000003</v>
      </c>
      <c r="L80" s="47">
        <v>15.657722</v>
      </c>
      <c r="M80" s="47">
        <v>22.095537</v>
      </c>
      <c r="N80" s="47">
        <v>-10.757250000000001</v>
      </c>
    </row>
    <row r="81" spans="1:14" x14ac:dyDescent="0.35">
      <c r="A81" s="2">
        <v>44153</v>
      </c>
      <c r="B81" s="40">
        <v>25.167679</v>
      </c>
      <c r="C81" s="40">
        <v>2.8285502999999999</v>
      </c>
      <c r="D81" s="40">
        <v>1.0135054999999999</v>
      </c>
      <c r="E81" s="40">
        <v>4.4214130000000003</v>
      </c>
      <c r="F81" s="40">
        <v>8.4078429999999997</v>
      </c>
      <c r="G81" s="40">
        <v>11.825252000000001</v>
      </c>
      <c r="H81" s="40">
        <v>-10.525549</v>
      </c>
      <c r="I81" s="40">
        <v>43.93065</v>
      </c>
      <c r="J81" s="40">
        <v>16.429556000000002</v>
      </c>
      <c r="K81" s="47">
        <v>1.3092874999999999</v>
      </c>
      <c r="L81" s="47">
        <v>17.552364000000001</v>
      </c>
      <c r="M81" s="47">
        <v>23.895358999999999</v>
      </c>
      <c r="N81" s="47">
        <v>-3.8838446000000002</v>
      </c>
    </row>
    <row r="82" spans="1:14" x14ac:dyDescent="0.35">
      <c r="A82" s="2">
        <v>44183</v>
      </c>
      <c r="B82" s="40">
        <v>19.526302000000001</v>
      </c>
      <c r="C82" s="40">
        <v>8.5422039999999999</v>
      </c>
      <c r="D82" s="40">
        <v>7.2561144999999998</v>
      </c>
      <c r="E82" s="40">
        <v>12.036932</v>
      </c>
      <c r="F82" s="40">
        <v>12.427664</v>
      </c>
      <c r="G82" s="40">
        <v>12.606942999999999</v>
      </c>
      <c r="H82" s="40">
        <v>-10.323805</v>
      </c>
      <c r="I82" s="40">
        <v>49.071440000000003</v>
      </c>
      <c r="J82" s="40">
        <v>18.29158</v>
      </c>
      <c r="K82" s="47">
        <v>4.6060204999999996</v>
      </c>
      <c r="L82" s="47">
        <v>24.320720000000001</v>
      </c>
      <c r="M82" s="47">
        <v>22.058223999999999</v>
      </c>
      <c r="N82" s="47">
        <v>1.2582898</v>
      </c>
    </row>
    <row r="83" spans="1:14" x14ac:dyDescent="0.35">
      <c r="A83" s="2">
        <v>44211</v>
      </c>
      <c r="B83" s="40">
        <v>17.366195999999999</v>
      </c>
      <c r="C83" s="40">
        <v>7.4872255000000001</v>
      </c>
      <c r="D83" s="40">
        <v>7.2578550000000002</v>
      </c>
      <c r="E83" s="40">
        <v>9.5774539999999995</v>
      </c>
      <c r="F83" s="40">
        <v>16.564512000000001</v>
      </c>
      <c r="G83" s="40">
        <v>11.896658</v>
      </c>
      <c r="H83" s="40">
        <v>-7.3037330000000003</v>
      </c>
      <c r="I83" s="40">
        <v>42.655647000000002</v>
      </c>
      <c r="J83" s="40">
        <v>16.655182</v>
      </c>
      <c r="K83" s="47">
        <v>3.5334587000000002</v>
      </c>
      <c r="L83" s="47">
        <v>27.292538</v>
      </c>
      <c r="M83" s="47">
        <v>25.663530000000002</v>
      </c>
      <c r="N83" s="47">
        <v>1.4656425</v>
      </c>
    </row>
    <row r="84" spans="1:14" x14ac:dyDescent="0.35">
      <c r="A84" s="2">
        <v>44245</v>
      </c>
      <c r="B84" s="40">
        <v>15.592718</v>
      </c>
      <c r="C84" s="40">
        <v>12.542415</v>
      </c>
      <c r="D84" s="40">
        <v>9.5757480000000008</v>
      </c>
      <c r="E84" s="40">
        <v>14.155245000000001</v>
      </c>
      <c r="F84" s="40">
        <v>24.606586</v>
      </c>
      <c r="G84" s="40">
        <v>8.5936179999999993</v>
      </c>
      <c r="H84" s="40">
        <v>-2.8373837000000002</v>
      </c>
      <c r="I84" s="40">
        <v>42.649853</v>
      </c>
      <c r="J84" s="40">
        <v>18.242062000000001</v>
      </c>
      <c r="K84" s="47">
        <v>7.4990990000000002</v>
      </c>
      <c r="L84" s="47">
        <v>34.346305999999998</v>
      </c>
      <c r="M84" s="47">
        <v>28.762519999999999</v>
      </c>
      <c r="N84" s="47">
        <v>1.5443206</v>
      </c>
    </row>
    <row r="85" spans="1:14" x14ac:dyDescent="0.35">
      <c r="A85" s="2">
        <v>44273</v>
      </c>
      <c r="B85" s="40">
        <v>59.569298000000003</v>
      </c>
      <c r="C85" s="40">
        <v>84.919809999999998</v>
      </c>
      <c r="D85" s="40">
        <v>88.887699999999995</v>
      </c>
      <c r="E85" s="40">
        <v>89.650369999999995</v>
      </c>
      <c r="F85" s="40">
        <v>60.026719999999997</v>
      </c>
      <c r="G85" s="40">
        <v>42.759335</v>
      </c>
      <c r="H85" s="40">
        <v>59.953915000000002</v>
      </c>
      <c r="I85" s="40">
        <v>77.953699999999998</v>
      </c>
      <c r="J85" s="40">
        <v>66.221239999999995</v>
      </c>
      <c r="K85" s="47">
        <v>76.800669999999997</v>
      </c>
      <c r="L85" s="47">
        <v>100.37401</v>
      </c>
      <c r="M85" s="47">
        <v>103.361176</v>
      </c>
      <c r="N85" s="47">
        <v>73.308075000000002</v>
      </c>
    </row>
    <row r="86" spans="1:14" x14ac:dyDescent="0.35">
      <c r="A86" s="2">
        <v>44302</v>
      </c>
      <c r="B86" s="40">
        <v>36.742176000000001</v>
      </c>
      <c r="C86" s="40">
        <v>63.774810000000002</v>
      </c>
      <c r="D86" s="40">
        <v>61.244953000000002</v>
      </c>
      <c r="E86" s="40">
        <v>63.622190000000003</v>
      </c>
      <c r="F86" s="40">
        <v>41.170929999999998</v>
      </c>
      <c r="G86" s="40">
        <v>31.606280999999999</v>
      </c>
      <c r="H86" s="40">
        <v>40.195419999999999</v>
      </c>
      <c r="I86" s="40">
        <v>61.380789999999998</v>
      </c>
      <c r="J86" s="40">
        <v>51.914000000000001</v>
      </c>
      <c r="K86" s="47">
        <v>62.140050000000002</v>
      </c>
      <c r="L86" s="47">
        <v>80.350620000000006</v>
      </c>
      <c r="M86" s="47">
        <v>91.849180000000004</v>
      </c>
      <c r="N86" s="47">
        <v>64.717420000000004</v>
      </c>
    </row>
    <row r="87" spans="1:14" x14ac:dyDescent="0.35">
      <c r="A87" s="2">
        <v>44334</v>
      </c>
      <c r="B87" s="40">
        <v>25.737559999999998</v>
      </c>
      <c r="C87" s="40">
        <v>55.103589999999997</v>
      </c>
      <c r="D87" s="40">
        <v>54.798186999999999</v>
      </c>
      <c r="E87" s="40">
        <v>50.729813</v>
      </c>
      <c r="F87" s="40">
        <v>28.481638</v>
      </c>
      <c r="G87" s="40">
        <v>28.999995999999999</v>
      </c>
      <c r="H87" s="40">
        <v>37.365555000000001</v>
      </c>
      <c r="I87" s="40">
        <v>42.562984</v>
      </c>
      <c r="J87" s="40">
        <v>41.893611999999997</v>
      </c>
      <c r="K87" s="47">
        <v>58.181655999999997</v>
      </c>
      <c r="L87" s="47">
        <v>67.533199999999994</v>
      </c>
      <c r="M87" s="47">
        <v>74.521079999999998</v>
      </c>
      <c r="N87" s="47">
        <v>59.731209999999997</v>
      </c>
    </row>
    <row r="88" spans="1:14" x14ac:dyDescent="0.35">
      <c r="A88" s="2">
        <v>44365</v>
      </c>
      <c r="B88" s="40">
        <v>12.058484999999999</v>
      </c>
      <c r="C88" s="40">
        <v>38.16272</v>
      </c>
      <c r="D88" s="40">
        <v>45.473373000000002</v>
      </c>
      <c r="E88" s="40">
        <v>31.225597</v>
      </c>
      <c r="F88" s="40">
        <v>20.797657000000001</v>
      </c>
      <c r="G88" s="40">
        <v>26.390588999999999</v>
      </c>
      <c r="H88" s="40">
        <v>28.281343</v>
      </c>
      <c r="I88" s="40">
        <v>41.13655</v>
      </c>
      <c r="J88" s="40">
        <v>35.676540000000003</v>
      </c>
      <c r="K88" s="47">
        <v>42.04806</v>
      </c>
      <c r="L88" s="47">
        <v>48.681713000000002</v>
      </c>
      <c r="M88" s="47">
        <v>53.382100000000001</v>
      </c>
      <c r="N88" s="47">
        <v>37.834274000000001</v>
      </c>
    </row>
    <row r="89" spans="1:14" x14ac:dyDescent="0.35">
      <c r="A89" s="2">
        <v>44393</v>
      </c>
      <c r="B89" s="40">
        <v>9.6746920000000003</v>
      </c>
      <c r="C89" s="40">
        <v>32.140743000000001</v>
      </c>
      <c r="D89" s="40">
        <v>38.359259999999999</v>
      </c>
      <c r="E89" s="40">
        <v>23.540474</v>
      </c>
      <c r="F89" s="40">
        <v>21.239066999999999</v>
      </c>
      <c r="G89" s="40">
        <v>22.917843000000001</v>
      </c>
      <c r="H89" s="40">
        <v>25.689803999999999</v>
      </c>
      <c r="I89" s="40">
        <v>38.788246000000001</v>
      </c>
      <c r="J89" s="40">
        <v>36.480094999999999</v>
      </c>
      <c r="K89" s="47">
        <v>31.805205999999998</v>
      </c>
      <c r="L89" s="47">
        <v>41.246234999999999</v>
      </c>
      <c r="M89" s="47">
        <v>43.627693000000001</v>
      </c>
      <c r="N89" s="47">
        <v>25.713920000000002</v>
      </c>
    </row>
    <row r="90" spans="1:14" x14ac:dyDescent="0.35">
      <c r="A90" s="2">
        <v>44426</v>
      </c>
      <c r="B90" s="40">
        <v>2.309072</v>
      </c>
      <c r="C90" s="40">
        <v>24.950146</v>
      </c>
      <c r="D90" s="40">
        <v>31.404198000000001</v>
      </c>
      <c r="E90" s="40">
        <v>19.811762000000002</v>
      </c>
      <c r="F90" s="40">
        <v>16.673672</v>
      </c>
      <c r="G90" s="40">
        <v>24.025010999999999</v>
      </c>
      <c r="H90" s="40">
        <v>25.846755999999999</v>
      </c>
      <c r="I90" s="40">
        <v>31.044436000000001</v>
      </c>
      <c r="J90" s="40">
        <v>31.635999999999999</v>
      </c>
      <c r="K90" s="47">
        <v>33.694519999999997</v>
      </c>
      <c r="L90" s="47">
        <v>43.834449999999997</v>
      </c>
      <c r="M90" s="47">
        <v>37.03501</v>
      </c>
      <c r="N90" s="47">
        <v>30.170572</v>
      </c>
    </row>
    <row r="91" spans="1:14" x14ac:dyDescent="0.35">
      <c r="A91" s="2">
        <v>44456</v>
      </c>
      <c r="B91" s="40">
        <v>8.3876369999999998</v>
      </c>
      <c r="C91" s="40">
        <v>27.704834000000002</v>
      </c>
      <c r="D91" s="40">
        <v>34.034218000000003</v>
      </c>
      <c r="E91" s="40">
        <v>15.083814</v>
      </c>
      <c r="F91" s="40">
        <v>24.762844000000001</v>
      </c>
      <c r="G91" s="40">
        <v>15.203189999999999</v>
      </c>
      <c r="H91" s="40">
        <v>25.931930000000001</v>
      </c>
      <c r="I91" s="40">
        <v>39.075946999999999</v>
      </c>
      <c r="J91" s="40">
        <v>33.836080000000003</v>
      </c>
      <c r="K91" s="47">
        <v>30.685555999999998</v>
      </c>
      <c r="L91" s="47">
        <v>50.076056999999999</v>
      </c>
      <c r="M91" s="47">
        <v>33.798110000000001</v>
      </c>
      <c r="N91" s="47">
        <v>28.577673000000001</v>
      </c>
    </row>
    <row r="92" spans="1:14" x14ac:dyDescent="0.35">
      <c r="A92" s="2">
        <v>44487</v>
      </c>
      <c r="B92" s="40">
        <v>3.9820433</v>
      </c>
      <c r="C92" s="40">
        <v>28.273619</v>
      </c>
      <c r="D92" s="40">
        <v>41.071260000000002</v>
      </c>
      <c r="E92" s="40">
        <v>16.335509999999999</v>
      </c>
      <c r="F92" s="40">
        <v>17.954910000000002</v>
      </c>
      <c r="G92" s="40">
        <v>19.610476999999999</v>
      </c>
      <c r="H92" s="40">
        <v>34.388373999999999</v>
      </c>
      <c r="I92" s="40">
        <v>29.854727</v>
      </c>
      <c r="J92" s="40">
        <v>30.592323</v>
      </c>
      <c r="K92" s="47">
        <v>35.796390000000002</v>
      </c>
      <c r="L92" s="47">
        <v>41.959274000000001</v>
      </c>
      <c r="M92" s="47">
        <v>34.191085999999999</v>
      </c>
      <c r="N92" s="47">
        <v>35.318066000000002</v>
      </c>
    </row>
    <row r="93" spans="1:14" x14ac:dyDescent="0.35">
      <c r="A93" s="2">
        <v>44518</v>
      </c>
      <c r="B93" s="40">
        <v>-3.7010252000000001</v>
      </c>
      <c r="C93" s="40">
        <v>15.607476</v>
      </c>
      <c r="D93" s="40">
        <v>37.463284000000002</v>
      </c>
      <c r="E93" s="40">
        <v>17.613388</v>
      </c>
      <c r="F93" s="40">
        <v>10.939503</v>
      </c>
      <c r="G93" s="40">
        <v>21.605217</v>
      </c>
      <c r="H93" s="40">
        <v>20.952297000000002</v>
      </c>
      <c r="I93" s="40">
        <v>39.222907999999997</v>
      </c>
      <c r="J93" s="40">
        <v>33.713329999999999</v>
      </c>
      <c r="K93" s="47">
        <v>26.927053000000001</v>
      </c>
      <c r="L93" s="47">
        <v>39.893090000000001</v>
      </c>
      <c r="M93" s="47">
        <v>28.436958000000001</v>
      </c>
      <c r="N93" s="47">
        <v>23.266352000000001</v>
      </c>
    </row>
    <row r="94" spans="1:14" x14ac:dyDescent="0.35">
      <c r="A94" s="2">
        <v>44547</v>
      </c>
      <c r="B94" s="40">
        <v>-13.658761999999999</v>
      </c>
      <c r="C94" s="40">
        <v>3.1456232000000002</v>
      </c>
      <c r="D94" s="40">
        <v>19.679535000000001</v>
      </c>
      <c r="E94" s="40">
        <v>1.7158865999999999</v>
      </c>
      <c r="F94" s="40">
        <v>2.7595282000000001</v>
      </c>
      <c r="G94" s="40">
        <v>17.779945000000001</v>
      </c>
      <c r="H94" s="40">
        <v>11.977732</v>
      </c>
      <c r="I94" s="40">
        <v>24.427485999999998</v>
      </c>
      <c r="J94" s="40">
        <v>25.739742</v>
      </c>
      <c r="K94" s="47">
        <v>15.239679000000001</v>
      </c>
      <c r="L94" s="47">
        <v>16.732047999999999</v>
      </c>
      <c r="M94" s="47">
        <v>15.623236</v>
      </c>
      <c r="N94" s="47">
        <v>10.115361</v>
      </c>
    </row>
    <row r="95" spans="1:14" x14ac:dyDescent="0.35">
      <c r="A95" s="2">
        <v>44579</v>
      </c>
      <c r="B95" s="40">
        <v>-12.335051</v>
      </c>
      <c r="C95" s="40">
        <v>3.9715410000000002</v>
      </c>
      <c r="D95" s="40">
        <v>25.03593</v>
      </c>
      <c r="E95" s="40">
        <v>5.3818703000000001</v>
      </c>
      <c r="F95" s="40">
        <v>-1.7160713999999999</v>
      </c>
      <c r="G95" s="40">
        <v>14.529896000000001</v>
      </c>
      <c r="H95" s="40">
        <v>17.657125000000001</v>
      </c>
      <c r="I95" s="40">
        <v>19.392347000000001</v>
      </c>
      <c r="J95" s="40">
        <v>23.139060000000001</v>
      </c>
      <c r="K95" s="47">
        <v>20.245016</v>
      </c>
      <c r="L95" s="47">
        <v>13.743389000000001</v>
      </c>
      <c r="M95" s="47">
        <v>11.916995</v>
      </c>
      <c r="N95" s="47">
        <v>15.891242</v>
      </c>
    </row>
    <row r="96" spans="1:14" x14ac:dyDescent="0.35">
      <c r="A96" s="2">
        <v>44610</v>
      </c>
      <c r="B96" s="40">
        <v>-15.3697195</v>
      </c>
      <c r="C96" s="40">
        <v>-0.27561187999999998</v>
      </c>
      <c r="D96" s="40">
        <v>17.657518</v>
      </c>
      <c r="E96" s="40">
        <v>-1.7961204</v>
      </c>
      <c r="F96" s="40">
        <v>-8.3947769999999995</v>
      </c>
      <c r="G96" s="40">
        <v>9.8991989999999994</v>
      </c>
      <c r="H96" s="40">
        <v>15.511011999999999</v>
      </c>
      <c r="I96" s="40">
        <v>3.2143950000000001</v>
      </c>
      <c r="J96" s="40">
        <v>12.631536000000001</v>
      </c>
      <c r="K96" s="47">
        <v>13.938188999999999</v>
      </c>
      <c r="L96" s="47">
        <v>-0.11744499</v>
      </c>
      <c r="M96" s="47">
        <v>-2.326101</v>
      </c>
      <c r="N96" s="47">
        <v>9.2936630000000005</v>
      </c>
    </row>
    <row r="97" spans="1:14" x14ac:dyDescent="0.35">
      <c r="A97" s="2">
        <v>44638</v>
      </c>
      <c r="B97" s="40">
        <v>-9.1376840000000001</v>
      </c>
      <c r="C97" s="40">
        <v>8.9043030000000005</v>
      </c>
      <c r="D97" s="40">
        <v>17.891656999999999</v>
      </c>
      <c r="E97" s="40">
        <v>-11.263947999999999</v>
      </c>
      <c r="F97" s="40">
        <v>-9.4329889999999992</v>
      </c>
      <c r="G97" s="40">
        <v>13.271046</v>
      </c>
      <c r="H97" s="40">
        <v>10.487366</v>
      </c>
      <c r="I97" s="40">
        <v>13.185810999999999</v>
      </c>
      <c r="J97" s="40">
        <v>15.430355</v>
      </c>
      <c r="K97" s="47">
        <v>4.4782520000000003</v>
      </c>
      <c r="L97" s="47">
        <v>-2.5025784999999998</v>
      </c>
      <c r="M97" s="47">
        <v>-5.2427950000000001</v>
      </c>
      <c r="N97" s="47">
        <v>-5.6703862999999997</v>
      </c>
    </row>
    <row r="98" spans="1:14" x14ac:dyDescent="0.35">
      <c r="A98" s="2">
        <v>44669</v>
      </c>
      <c r="B98" s="40">
        <v>-16.581237999999999</v>
      </c>
      <c r="C98" s="40">
        <v>5.2891374000000004</v>
      </c>
      <c r="D98" s="40">
        <v>14.391171999999999</v>
      </c>
      <c r="E98" s="40">
        <v>-21.420829999999999</v>
      </c>
      <c r="F98" s="40">
        <v>-15.815806</v>
      </c>
      <c r="G98" s="40">
        <v>6.8507195000000003</v>
      </c>
      <c r="H98" s="40">
        <v>8.0877780000000001</v>
      </c>
      <c r="I98" s="40">
        <v>-0.49316286999999998</v>
      </c>
      <c r="J98" s="40">
        <v>6.3539029999999999</v>
      </c>
      <c r="K98" s="47">
        <v>-3.7965477000000001</v>
      </c>
      <c r="L98" s="47">
        <v>-16.007137</v>
      </c>
      <c r="M98" s="47">
        <v>-17.231632000000001</v>
      </c>
      <c r="N98" s="47">
        <v>-7.9540610000000003</v>
      </c>
    </row>
    <row r="99" spans="1:14" x14ac:dyDescent="0.35">
      <c r="A99" s="2">
        <v>44699</v>
      </c>
      <c r="B99" s="40">
        <v>-24.174863999999999</v>
      </c>
      <c r="C99" s="40">
        <v>-6.2687039999999996</v>
      </c>
      <c r="D99" s="40">
        <v>-1.7484128000000001</v>
      </c>
      <c r="E99" s="40">
        <v>-25.997209999999999</v>
      </c>
      <c r="F99" s="40">
        <v>-15.221035000000001</v>
      </c>
      <c r="G99" s="40">
        <v>-6.3245177000000004</v>
      </c>
      <c r="H99" s="40">
        <v>-2.2461533999999999</v>
      </c>
      <c r="I99" s="40">
        <v>-9.2098420000000001</v>
      </c>
      <c r="J99" s="40">
        <v>-3.6142588</v>
      </c>
      <c r="K99" s="47">
        <v>-11.709648</v>
      </c>
      <c r="L99" s="47">
        <v>-23.013453999999999</v>
      </c>
      <c r="M99" s="47">
        <v>-24.938224999999999</v>
      </c>
      <c r="N99" s="47">
        <v>-15.727353000000001</v>
      </c>
    </row>
    <row r="100" spans="1:14" x14ac:dyDescent="0.35">
      <c r="A100" s="2">
        <v>44729</v>
      </c>
      <c r="B100" s="40">
        <v>-26.982514999999999</v>
      </c>
      <c r="C100" s="40">
        <v>-16.51585</v>
      </c>
      <c r="D100" s="40">
        <v>-8.988804</v>
      </c>
      <c r="E100" s="40">
        <v>-29.797476</v>
      </c>
      <c r="F100" s="40">
        <v>-22.599094000000001</v>
      </c>
      <c r="G100" s="40">
        <v>-18.044101999999999</v>
      </c>
      <c r="H100" s="40">
        <v>-8.3620070000000002</v>
      </c>
      <c r="I100" s="40">
        <v>-20.07451</v>
      </c>
      <c r="J100" s="40">
        <v>-11.7698555</v>
      </c>
      <c r="K100" s="47">
        <v>-18.84843</v>
      </c>
      <c r="L100" s="47">
        <v>-28.855001000000001</v>
      </c>
      <c r="M100" s="47">
        <v>-29.330438999999998</v>
      </c>
      <c r="N100" s="47">
        <v>-22.954415999999998</v>
      </c>
    </row>
    <row r="101" spans="1:14" x14ac:dyDescent="0.35">
      <c r="A101" s="2">
        <v>44760</v>
      </c>
      <c r="B101" s="40">
        <v>-24.424744</v>
      </c>
      <c r="C101" s="40">
        <v>-11.981629999999999</v>
      </c>
      <c r="D101" s="40">
        <v>-7.6133490000000004</v>
      </c>
      <c r="E101" s="40">
        <v>-32.718043999999999</v>
      </c>
      <c r="F101" s="40">
        <v>-19.539047</v>
      </c>
      <c r="G101" s="40">
        <v>-14.620208999999999</v>
      </c>
      <c r="H101" s="40">
        <v>-5.2707376000000004</v>
      </c>
      <c r="I101" s="40">
        <v>-18.622499999999999</v>
      </c>
      <c r="J101" s="40">
        <v>-10.188340999999999</v>
      </c>
      <c r="K101" s="47">
        <v>-15.873843000000001</v>
      </c>
      <c r="L101" s="47">
        <v>-26.274246000000002</v>
      </c>
      <c r="M101" s="47">
        <v>-30.363720000000001</v>
      </c>
      <c r="N101" s="47">
        <v>-24.226389999999999</v>
      </c>
    </row>
    <row r="102" spans="1:14" x14ac:dyDescent="0.35">
      <c r="A102" s="2">
        <v>44791</v>
      </c>
      <c r="B102" s="40">
        <v>-15.736037</v>
      </c>
      <c r="C102" s="40">
        <v>-3.8365065999999999</v>
      </c>
      <c r="D102" s="40">
        <v>-0.46787262000000002</v>
      </c>
      <c r="E102" s="40">
        <v>-30.269932000000001</v>
      </c>
      <c r="F102" s="40">
        <v>-13.869417</v>
      </c>
      <c r="G102" s="40">
        <v>-13.781482</v>
      </c>
      <c r="H102" s="40">
        <v>-2.1339834</v>
      </c>
      <c r="I102" s="40">
        <v>-8.5869429999999998</v>
      </c>
      <c r="J102" s="40">
        <v>-1.1821389</v>
      </c>
      <c r="K102" s="47">
        <v>-12.16076</v>
      </c>
      <c r="L102" s="47">
        <v>-24.740881000000002</v>
      </c>
      <c r="M102" s="47">
        <v>-26.139486000000002</v>
      </c>
      <c r="N102" s="47">
        <v>-21.573550000000001</v>
      </c>
    </row>
    <row r="103" spans="1:14" x14ac:dyDescent="0.35">
      <c r="A103" s="2">
        <v>44820</v>
      </c>
      <c r="B103" s="40">
        <v>-25.360292000000001</v>
      </c>
      <c r="C103" s="40">
        <v>-12.325263</v>
      </c>
      <c r="D103" s="40">
        <v>-8.0348970000000008</v>
      </c>
      <c r="E103" s="40">
        <v>-34.979934999999998</v>
      </c>
      <c r="F103" s="40">
        <v>-28.563445999999999</v>
      </c>
      <c r="G103" s="40">
        <v>-16.883707000000001</v>
      </c>
      <c r="H103" s="40">
        <v>-9.7683909999999994</v>
      </c>
      <c r="I103" s="40">
        <v>-23.098648000000001</v>
      </c>
      <c r="J103" s="40">
        <v>-12.186831</v>
      </c>
      <c r="K103" s="47">
        <v>-19.333447</v>
      </c>
      <c r="L103" s="47">
        <v>-36.393833000000001</v>
      </c>
      <c r="M103" s="47">
        <v>-34.721733</v>
      </c>
      <c r="N103" s="47">
        <v>-23.981773</v>
      </c>
    </row>
    <row r="104" spans="1:14" x14ac:dyDescent="0.35">
      <c r="A104" s="2">
        <v>44852</v>
      </c>
      <c r="B104" s="40">
        <v>-32.798999999999999</v>
      </c>
      <c r="C104" s="40">
        <v>-17.504899999999999</v>
      </c>
      <c r="D104" s="40">
        <v>-17.498028000000001</v>
      </c>
      <c r="E104" s="40">
        <v>-34.190117000000001</v>
      </c>
      <c r="F104" s="40">
        <v>-27.349</v>
      </c>
      <c r="G104" s="40">
        <v>-18.947030000000002</v>
      </c>
      <c r="H104" s="40">
        <v>-15.545952</v>
      </c>
      <c r="I104" s="40">
        <v>-26.69698</v>
      </c>
      <c r="J104" s="40">
        <v>-15.749699</v>
      </c>
      <c r="K104" s="47">
        <v>-20.720635999999999</v>
      </c>
      <c r="L104" s="47">
        <v>-37.692802</v>
      </c>
      <c r="M104" s="47">
        <v>-34.446669999999997</v>
      </c>
      <c r="N104" s="47">
        <v>-27.050144</v>
      </c>
    </row>
    <row r="105" spans="1:14" x14ac:dyDescent="0.35">
      <c r="A105" s="2">
        <v>44883</v>
      </c>
      <c r="B105" s="40">
        <v>-21.633178999999998</v>
      </c>
      <c r="C105" s="40">
        <v>-4.653162</v>
      </c>
      <c r="D105" s="40">
        <v>-11.057556</v>
      </c>
      <c r="E105" s="40">
        <v>-24.289715000000001</v>
      </c>
      <c r="F105" s="40">
        <v>-20.45598</v>
      </c>
      <c r="G105" s="40">
        <v>-15.8162775</v>
      </c>
      <c r="H105" s="40">
        <v>-5.0244390000000001</v>
      </c>
      <c r="I105" s="40">
        <v>-28.665482999999998</v>
      </c>
      <c r="J105" s="40">
        <v>-14.411134000000001</v>
      </c>
      <c r="K105" s="47">
        <v>-13.373595</v>
      </c>
      <c r="L105" s="47">
        <v>-27.320307</v>
      </c>
      <c r="M105" s="47">
        <v>-28.428250999999999</v>
      </c>
      <c r="N105" s="47">
        <v>-15.100598</v>
      </c>
    </row>
    <row r="106" spans="1:14" x14ac:dyDescent="0.35">
      <c r="A106" s="2">
        <v>44911</v>
      </c>
      <c r="B106" s="40">
        <v>-14.105468999999999</v>
      </c>
      <c r="C106" s="40">
        <v>-3.16723</v>
      </c>
      <c r="D106" s="40">
        <v>-10.896492</v>
      </c>
      <c r="E106" s="40">
        <v>-21.521239999999999</v>
      </c>
      <c r="F106" s="40">
        <v>-18.862295</v>
      </c>
      <c r="G106" s="40">
        <v>-17.769735000000001</v>
      </c>
      <c r="H106" s="40">
        <v>-2.2646487</v>
      </c>
      <c r="I106" s="40">
        <v>-28.665368999999998</v>
      </c>
      <c r="J106" s="40">
        <v>-16.198634999999999</v>
      </c>
      <c r="K106" s="47">
        <v>-10.338592999999999</v>
      </c>
      <c r="L106" s="47">
        <v>-20.539124000000001</v>
      </c>
      <c r="M106" s="47">
        <v>-24.389011</v>
      </c>
      <c r="N106" s="47">
        <v>-13.165336999999999</v>
      </c>
    </row>
    <row r="107" spans="1:14" x14ac:dyDescent="0.35">
      <c r="A107" s="2">
        <v>44944</v>
      </c>
      <c r="B107" s="40">
        <v>-8.4381470000000007</v>
      </c>
      <c r="C107" s="40">
        <v>3.7185073000000002</v>
      </c>
      <c r="D107" s="40">
        <v>-9.5391510000000004</v>
      </c>
      <c r="E107" s="40">
        <v>-12.668628</v>
      </c>
      <c r="F107" s="40">
        <v>-12.470418</v>
      </c>
      <c r="G107" s="40">
        <v>-9.3824330000000007</v>
      </c>
      <c r="H107" s="40">
        <v>-2.0186126</v>
      </c>
      <c r="I107" s="40">
        <v>-24.457853</v>
      </c>
      <c r="J107" s="40">
        <v>-12.843836</v>
      </c>
      <c r="K107" s="47">
        <v>-2.9215038</v>
      </c>
      <c r="L107" s="47">
        <v>-11.968171999999999</v>
      </c>
      <c r="M107" s="47">
        <v>-15.811413999999999</v>
      </c>
      <c r="N107" s="47">
        <v>-6.8821963999999998</v>
      </c>
    </row>
    <row r="108" spans="1:14" x14ac:dyDescent="0.35">
      <c r="A108" s="2">
        <v>44974</v>
      </c>
      <c r="B108" s="40">
        <v>-4.3736990000000002</v>
      </c>
      <c r="C108" s="40">
        <v>3.0647397000000001</v>
      </c>
      <c r="D108" s="40">
        <v>-6.4002036999999996</v>
      </c>
      <c r="E108" s="40">
        <v>-8.1614730000000009</v>
      </c>
      <c r="F108" s="40">
        <v>-9.4526880000000002</v>
      </c>
      <c r="G108" s="40">
        <v>-5.2196740000000004</v>
      </c>
      <c r="H108" s="40">
        <v>-1.1302589999999999</v>
      </c>
      <c r="I108" s="40">
        <v>-12.180512999999999</v>
      </c>
      <c r="J108" s="40">
        <v>-5.3023043000000003</v>
      </c>
      <c r="K108" s="47">
        <v>3.265965</v>
      </c>
      <c r="L108" s="47">
        <v>-4.926634</v>
      </c>
      <c r="M108" s="47">
        <v>-7.7748537000000004</v>
      </c>
      <c r="N108" s="47">
        <v>0.22763014000000001</v>
      </c>
    </row>
    <row r="109" spans="1:14" x14ac:dyDescent="0.35">
      <c r="A109" s="2">
        <v>45002</v>
      </c>
      <c r="B109" s="40">
        <v>-11.112349999999999</v>
      </c>
      <c r="C109" s="40">
        <v>-8.9392479999999992</v>
      </c>
      <c r="D109" s="40">
        <v>-16.537302</v>
      </c>
      <c r="E109" s="40">
        <v>-5.7494106</v>
      </c>
      <c r="F109" s="40">
        <v>-8.2953089999999996</v>
      </c>
      <c r="G109" s="40">
        <v>-9.8361970000000003</v>
      </c>
      <c r="H109" s="40">
        <v>-4.9203215</v>
      </c>
      <c r="I109" s="40">
        <v>-10.694675999999999</v>
      </c>
      <c r="J109" s="40">
        <v>-9.7954035000000008</v>
      </c>
      <c r="K109" s="47">
        <v>3.0863643000000001</v>
      </c>
      <c r="L109" s="47">
        <v>-4.4253054000000001</v>
      </c>
      <c r="M109" s="47">
        <v>-14.603853000000001</v>
      </c>
      <c r="N109" s="47">
        <v>2.3600219999999998</v>
      </c>
    </row>
    <row r="110" spans="1:14" x14ac:dyDescent="0.35">
      <c r="A110" s="2">
        <v>45034</v>
      </c>
      <c r="B110" s="40">
        <v>-4.2508545</v>
      </c>
      <c r="C110" s="40">
        <v>-5.8778705999999996</v>
      </c>
      <c r="D110" s="40">
        <v>-8.3657029999999999</v>
      </c>
      <c r="E110" s="40">
        <v>11.077045999999999</v>
      </c>
      <c r="F110" s="40">
        <v>3.4127116000000002</v>
      </c>
      <c r="G110" s="40">
        <v>-1.5973329999999999</v>
      </c>
      <c r="H110" s="40">
        <v>2.6592850000000001</v>
      </c>
      <c r="I110" s="40">
        <v>-5.1344450000000004</v>
      </c>
      <c r="J110" s="40">
        <v>-3.8107812000000001</v>
      </c>
      <c r="K110" s="47">
        <v>18.618857999999999</v>
      </c>
      <c r="L110" s="47">
        <v>7.1917770000000001</v>
      </c>
      <c r="M110" s="47">
        <v>0.15168190000000001</v>
      </c>
      <c r="N110" s="47">
        <v>14.126873</v>
      </c>
    </row>
    <row r="111" spans="1:14" x14ac:dyDescent="0.35">
      <c r="A111" s="2">
        <v>45064</v>
      </c>
      <c r="B111" s="40">
        <v>10.555637000000001</v>
      </c>
      <c r="C111" s="40">
        <v>2.0234466000000002</v>
      </c>
      <c r="D111" s="40">
        <v>-1.1737584999999999</v>
      </c>
      <c r="E111" s="40">
        <v>17.328786999999998</v>
      </c>
      <c r="F111" s="40">
        <v>10.202169</v>
      </c>
      <c r="G111" s="40">
        <v>11.802887999999999</v>
      </c>
      <c r="H111" s="40">
        <v>8.1291440000000001</v>
      </c>
      <c r="I111" s="40">
        <v>16.73113</v>
      </c>
      <c r="J111" s="40">
        <v>8.8107109999999995</v>
      </c>
      <c r="K111" s="47">
        <v>23.646937999999999</v>
      </c>
      <c r="L111" s="47">
        <v>18.429110999999999</v>
      </c>
      <c r="M111" s="47">
        <v>8.3401569999999996</v>
      </c>
      <c r="N111" s="47">
        <v>19.592535000000002</v>
      </c>
    </row>
    <row r="112" spans="1:14" x14ac:dyDescent="0.35">
      <c r="A112" s="2">
        <v>45093</v>
      </c>
      <c r="B112" s="40">
        <v>13.760889000000001</v>
      </c>
      <c r="C112" s="40">
        <v>14.323067999999999</v>
      </c>
      <c r="D112" s="40">
        <v>5.6487800000000004</v>
      </c>
      <c r="E112" s="40">
        <v>26.388000000000002</v>
      </c>
      <c r="F112" s="40">
        <v>20.985365000000002</v>
      </c>
      <c r="G112" s="40">
        <v>20.104206000000001</v>
      </c>
      <c r="H112" s="40">
        <v>15.131187000000001</v>
      </c>
      <c r="I112" s="40">
        <v>36.609912999999999</v>
      </c>
      <c r="J112" s="40">
        <v>22.358453999999998</v>
      </c>
      <c r="K112" s="47">
        <v>32.05789</v>
      </c>
      <c r="L112" s="47">
        <v>29.884398000000001</v>
      </c>
      <c r="M112" s="47">
        <v>16.528261000000001</v>
      </c>
      <c r="N112" s="47">
        <v>33.944332000000003</v>
      </c>
    </row>
    <row r="113" spans="1:14" x14ac:dyDescent="0.35">
      <c r="A113" s="2">
        <v>45125</v>
      </c>
      <c r="B113" s="40">
        <v>12.149799</v>
      </c>
      <c r="C113" s="40">
        <v>14.777362999999999</v>
      </c>
      <c r="D113" s="40">
        <v>10.867119000000001</v>
      </c>
      <c r="E113" s="40">
        <v>35.836803000000003</v>
      </c>
      <c r="F113" s="40">
        <v>20.882809000000002</v>
      </c>
      <c r="G113" s="40">
        <v>18.240939999999998</v>
      </c>
      <c r="H113" s="40">
        <v>16.025531999999998</v>
      </c>
      <c r="I113" s="40">
        <v>34.242187999999999</v>
      </c>
      <c r="J113" s="40">
        <v>20.873080999999999</v>
      </c>
      <c r="K113" s="47">
        <v>36.216186999999998</v>
      </c>
      <c r="L113" s="47">
        <v>32.71264</v>
      </c>
      <c r="M113" s="47">
        <v>20.646809999999999</v>
      </c>
      <c r="N113" s="47">
        <v>50.755333</v>
      </c>
    </row>
    <row r="114" spans="1:14" x14ac:dyDescent="0.35">
      <c r="A114" s="2">
        <v>45156</v>
      </c>
      <c r="B114" s="40">
        <v>-6.2845110000000002</v>
      </c>
      <c r="C114" s="40">
        <v>-2.7813137000000001</v>
      </c>
      <c r="D114" s="40">
        <v>-3.9237856999999998</v>
      </c>
      <c r="E114" s="40">
        <v>20.576941999999999</v>
      </c>
      <c r="F114" s="40">
        <v>5.7614445999999999</v>
      </c>
      <c r="G114" s="40">
        <v>7.066262</v>
      </c>
      <c r="H114" s="40">
        <v>5.3083660000000004</v>
      </c>
      <c r="I114" s="40">
        <v>9.5388529999999996</v>
      </c>
      <c r="J114" s="40">
        <v>3.6932825999999999</v>
      </c>
      <c r="K114" s="47">
        <v>18.987691999999999</v>
      </c>
      <c r="L114" s="47">
        <v>11.428272</v>
      </c>
      <c r="M114" s="47">
        <v>-0.13011097999999999</v>
      </c>
      <c r="N114" s="47">
        <v>29.961527</v>
      </c>
    </row>
    <row r="115" spans="1:14" x14ac:dyDescent="0.35">
      <c r="A115" s="2">
        <v>45187</v>
      </c>
      <c r="B115" s="40">
        <v>-1.753962</v>
      </c>
      <c r="C115" s="40">
        <v>8.3318949999999994</v>
      </c>
      <c r="D115" s="40">
        <v>7.401681</v>
      </c>
      <c r="E115" s="40">
        <v>29.034351000000001</v>
      </c>
      <c r="F115" s="40">
        <v>23.430311</v>
      </c>
      <c r="G115" s="40">
        <v>15.19767</v>
      </c>
      <c r="H115" s="40">
        <v>17.910361999999999</v>
      </c>
      <c r="I115" s="40">
        <v>29.216252999999998</v>
      </c>
      <c r="J115" s="40">
        <v>16.890979999999999</v>
      </c>
      <c r="K115" s="47">
        <v>28.456365999999999</v>
      </c>
      <c r="L115" s="47">
        <v>18.640540999999999</v>
      </c>
      <c r="M115" s="47">
        <v>12.100148000000001</v>
      </c>
      <c r="N115" s="47">
        <v>37.316288</v>
      </c>
    </row>
    <row r="116" spans="1:14" x14ac:dyDescent="0.35">
      <c r="A116" s="2">
        <v>45217</v>
      </c>
      <c r="B116" s="40">
        <v>6.7240120000000001</v>
      </c>
      <c r="C116" s="40">
        <v>9.7862010000000001</v>
      </c>
      <c r="D116" s="40">
        <v>7.1272729999999997</v>
      </c>
      <c r="E116" s="40">
        <v>23.656918000000001</v>
      </c>
      <c r="F116" s="40">
        <v>21.972359000000001</v>
      </c>
      <c r="G116" s="40">
        <v>14.237952</v>
      </c>
      <c r="H116" s="40">
        <v>20.438623</v>
      </c>
      <c r="I116" s="40">
        <v>34.759079999999997</v>
      </c>
      <c r="J116" s="40">
        <v>17.762363000000001</v>
      </c>
      <c r="K116" s="47">
        <v>22.918583000000002</v>
      </c>
      <c r="L116" s="47">
        <v>20.063662999999998</v>
      </c>
      <c r="M116" s="47">
        <v>12.503349</v>
      </c>
      <c r="N116" s="47">
        <v>36.404609999999998</v>
      </c>
    </row>
    <row r="117" spans="1:14" x14ac:dyDescent="0.35">
      <c r="A117" s="2">
        <v>45247</v>
      </c>
      <c r="B117" s="40">
        <v>-2.1520674</v>
      </c>
      <c r="C117" s="40">
        <v>1.6367197</v>
      </c>
      <c r="D117" s="40">
        <v>2.2477984000000002</v>
      </c>
      <c r="E117" s="40">
        <v>15.767538</v>
      </c>
      <c r="F117" s="40">
        <v>15.978109</v>
      </c>
      <c r="G117" s="40">
        <v>8.6382980000000007</v>
      </c>
      <c r="H117" s="40">
        <v>10.269558</v>
      </c>
      <c r="I117" s="40">
        <v>36.465823999999998</v>
      </c>
      <c r="J117" s="40">
        <v>16.162417999999999</v>
      </c>
      <c r="K117" s="47">
        <v>16.748094999999999</v>
      </c>
      <c r="L117" s="47">
        <v>13.017821</v>
      </c>
      <c r="M117" s="47">
        <v>9.6104509999999994</v>
      </c>
      <c r="N117" s="47">
        <v>24.770175999999999</v>
      </c>
    </row>
    <row r="118" spans="1:14" x14ac:dyDescent="0.35">
      <c r="A118" s="2">
        <v>45278</v>
      </c>
      <c r="B118" s="40">
        <v>-0.99828243000000005</v>
      </c>
      <c r="C118" s="40">
        <v>10.10195</v>
      </c>
      <c r="D118" s="40">
        <v>12.479221000000001</v>
      </c>
      <c r="E118" s="40">
        <v>22.125589999999999</v>
      </c>
      <c r="F118" s="40">
        <v>16.398</v>
      </c>
      <c r="G118" s="40">
        <v>14.891028</v>
      </c>
      <c r="H118" s="40">
        <v>10.893117999999999</v>
      </c>
      <c r="I118" s="40">
        <v>49.741219999999998</v>
      </c>
      <c r="J118" s="40">
        <v>25.028206000000001</v>
      </c>
      <c r="K118" s="47">
        <v>21.548891000000001</v>
      </c>
      <c r="L118" s="47">
        <v>19.215858000000001</v>
      </c>
      <c r="M118" s="47">
        <v>21.358335</v>
      </c>
      <c r="N118" s="47">
        <v>29.828631999999999</v>
      </c>
    </row>
    <row r="119" spans="1:14" x14ac:dyDescent="0.35">
      <c r="A119" s="2">
        <v>45309</v>
      </c>
      <c r="B119" s="40">
        <v>-6.5208672999999999</v>
      </c>
      <c r="C119" s="40">
        <v>0.50280093999999997</v>
      </c>
      <c r="D119" s="40">
        <v>5.6780577000000001</v>
      </c>
      <c r="E119" s="40">
        <v>6.5719723999999999</v>
      </c>
      <c r="F119" s="40">
        <v>17.293453</v>
      </c>
      <c r="G119" s="40">
        <v>6.3973545999999999</v>
      </c>
      <c r="H119" s="40">
        <v>2.1786927999999999</v>
      </c>
      <c r="I119" s="40">
        <v>49.645699999999998</v>
      </c>
      <c r="J119" s="40">
        <v>23.575258000000002</v>
      </c>
      <c r="K119" s="47">
        <v>7.199681</v>
      </c>
      <c r="L119" s="47">
        <v>6.6602110000000003</v>
      </c>
      <c r="M119" s="47">
        <v>5.8947563000000001</v>
      </c>
      <c r="N119" s="47">
        <v>17.616675999999998</v>
      </c>
    </row>
    <row r="120" spans="1:14" x14ac:dyDescent="0.35">
      <c r="A120" s="2">
        <v>45338</v>
      </c>
      <c r="B120" s="40">
        <v>-7.9157590000000004</v>
      </c>
      <c r="C120" s="40">
        <v>3.5096406999999998</v>
      </c>
      <c r="D120" s="40">
        <v>6.7855477000000004</v>
      </c>
      <c r="E120" s="40">
        <v>8.0994609999999998</v>
      </c>
      <c r="F120" s="40">
        <v>21.085940999999998</v>
      </c>
      <c r="G120" s="40">
        <v>7.3997617</v>
      </c>
      <c r="H120" s="40">
        <v>4.3852450000000003</v>
      </c>
      <c r="I120" s="40">
        <v>42.939877000000003</v>
      </c>
      <c r="J120" s="40">
        <v>24.217987000000001</v>
      </c>
      <c r="K120" s="47">
        <v>7.6664804999999996</v>
      </c>
      <c r="L120" s="47">
        <v>13.934767000000001</v>
      </c>
      <c r="M120" s="47">
        <v>9.9832769999999993</v>
      </c>
      <c r="N120" s="47">
        <v>16.098642000000002</v>
      </c>
    </row>
    <row r="121" spans="1:14" x14ac:dyDescent="0.35">
      <c r="A121" s="2">
        <v>45369</v>
      </c>
      <c r="B121" s="40">
        <v>-5.0457239999999999</v>
      </c>
      <c r="C121" s="40">
        <v>13.976622000000001</v>
      </c>
      <c r="D121" s="40">
        <v>19.348980000000001</v>
      </c>
      <c r="E121" s="40">
        <v>20.433485000000001</v>
      </c>
      <c r="F121" s="40">
        <v>29.51286</v>
      </c>
      <c r="G121" s="40">
        <v>14.4883995</v>
      </c>
      <c r="H121" s="40">
        <v>14.228285</v>
      </c>
      <c r="I121" s="40">
        <v>44.443176000000001</v>
      </c>
      <c r="J121" s="40">
        <v>33.421610000000001</v>
      </c>
      <c r="K121" s="47">
        <v>20.759224</v>
      </c>
      <c r="L121" s="47">
        <v>23.936499000000001</v>
      </c>
      <c r="M121" s="47">
        <v>25.738</v>
      </c>
      <c r="N121" s="47">
        <v>37.023375999999999</v>
      </c>
    </row>
    <row r="122" spans="1:14" x14ac:dyDescent="0.35">
      <c r="A122" s="2">
        <v>45400</v>
      </c>
      <c r="B122">
        <v>-8.2696199999999997</v>
      </c>
      <c r="C122">
        <v>2.8855324000000002</v>
      </c>
      <c r="D122">
        <v>5.9846640000000004</v>
      </c>
      <c r="E122">
        <v>5.707109</v>
      </c>
      <c r="F122">
        <v>15.861082</v>
      </c>
      <c r="G122">
        <v>-2.4202227999999999</v>
      </c>
      <c r="H122">
        <v>3.1138181999999999</v>
      </c>
      <c r="I122">
        <v>33.672558000000002</v>
      </c>
      <c r="J122">
        <v>22.352588999999998</v>
      </c>
      <c r="K122" s="47">
        <v>3.9987086999999999</v>
      </c>
      <c r="L122" s="47">
        <v>13.334346</v>
      </c>
      <c r="M122" s="47">
        <v>7.2464943000000002</v>
      </c>
      <c r="N122" s="47">
        <v>18.183672000000001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-32.798999999999999</v>
      </c>
      <c r="C126" s="40" cm="1">
        <f t="array" ref="C126">MIN(_xlfn._xlws.FILTER(C2:C122, ISNUMBER(C2:C122)))</f>
        <v>-33.642322999999998</v>
      </c>
      <c r="D126" s="40" cm="1">
        <f t="array" ref="D126">MIN(_xlfn._xlws.FILTER(D2:D122, ISNUMBER(D2:D122)))</f>
        <v>-31.902754000000002</v>
      </c>
      <c r="E126" s="40" cm="1">
        <f t="array" ref="E126">MIN(_xlfn._xlws.FILTER(E2:E122, ISNUMBER(E2:E122)))</f>
        <v>-34.979934999999998</v>
      </c>
      <c r="F126" s="40" cm="1">
        <f t="array" ref="F126">MIN(_xlfn._xlws.FILTER(F2:F122, ISNUMBER(F2:F122)))</f>
        <v>-28.563445999999999</v>
      </c>
      <c r="G126" s="40" cm="1">
        <f t="array" ref="G126">MIN(_xlfn._xlws.FILTER(G2:G122, ISNUMBER(G2:G122)))</f>
        <v>-18.947030000000002</v>
      </c>
      <c r="H126" s="40" cm="1">
        <f t="array" ref="H126">MIN(_xlfn._xlws.FILTER(H2:H122, ISNUMBER(H2:H122)))</f>
        <v>-37.134326999999999</v>
      </c>
      <c r="I126" s="40" cm="1">
        <f t="array" ref="I126">MIN(_xlfn._xlws.FILTER(I2:I122, ISNUMBER(I2:I122)))</f>
        <v>-28.665482999999998</v>
      </c>
      <c r="J126" s="40" cm="1">
        <f t="array" ref="J126">MIN(_xlfn._xlws.FILTER(J2:J122, ISNUMBER(J2:J122)))</f>
        <v>-16.198634999999999</v>
      </c>
      <c r="K126" s="40" cm="1">
        <f t="array" ref="K126">MIN(_xlfn._xlws.FILTER(K2:K122, ISNUMBER(K2:K122)))</f>
        <v>-31.705278</v>
      </c>
      <c r="L126" s="40" cm="1">
        <f t="array" ref="L126">MIN(_xlfn._xlws.FILTER(L2:L122, ISNUMBER(L2:L122)))</f>
        <v>-37.692802</v>
      </c>
      <c r="M126" s="40" cm="1">
        <f t="array" ref="M126">MIN(_xlfn._xlws.FILTER(M2:M122, ISNUMBER(M2:M122)))</f>
        <v>-34.721733</v>
      </c>
      <c r="N126" s="40" cm="1">
        <f t="array" ref="N126">MIN(_xlfn._xlws.FILTER(N2:N122, ISNUMBER(N2:N122)))</f>
        <v>-31.255405</v>
      </c>
    </row>
    <row r="127" spans="1:14" x14ac:dyDescent="0.35">
      <c r="A127" s="2" t="s">
        <v>393</v>
      </c>
      <c r="B127" s="42" cm="1">
        <f t="array" ref="B127">MAX(_xlfn._xlws.FILTER(B1:B122, ISNUMBER(B1:B122)))</f>
        <v>59.569298000000003</v>
      </c>
      <c r="C127" s="42" cm="1">
        <f t="array" ref="C127">MAX(_xlfn._xlws.FILTER(C1:C122, ISNUMBER(C1:C122)))</f>
        <v>84.919809999999998</v>
      </c>
      <c r="D127" s="42" cm="1">
        <f t="array" ref="D127">MAX(_xlfn._xlws.FILTER(D1:D122, ISNUMBER(D1:D122)))</f>
        <v>88.887699999999995</v>
      </c>
      <c r="E127" s="42" cm="1">
        <f t="array" ref="E127">MAX(_xlfn._xlws.FILTER(E1:E122, ISNUMBER(E1:E122)))</f>
        <v>89.650369999999995</v>
      </c>
      <c r="F127" s="42" cm="1">
        <f t="array" ref="F127">MAX(_xlfn._xlws.FILTER(F1:F122, ISNUMBER(F1:F122)))</f>
        <v>60.026719999999997</v>
      </c>
      <c r="G127" s="42" cm="1">
        <f t="array" ref="G127">MAX(_xlfn._xlws.FILTER(G1:G122, ISNUMBER(G1:G122)))</f>
        <v>42.759335</v>
      </c>
      <c r="H127" s="42" cm="1">
        <f t="array" ref="H127">MAX(_xlfn._xlws.FILTER(H1:H122, ISNUMBER(H1:H122)))</f>
        <v>59.953915000000002</v>
      </c>
      <c r="I127" s="42" cm="1">
        <f t="array" ref="I127">MAX(_xlfn._xlws.FILTER(I1:I122, ISNUMBER(I1:I122)))</f>
        <v>77.953699999999998</v>
      </c>
      <c r="J127" s="42" cm="1">
        <f t="array" ref="J127">MAX(_xlfn._xlws.FILTER(J1:J122, ISNUMBER(J1:J122)))</f>
        <v>66.221239999999995</v>
      </c>
      <c r="K127" s="42" cm="1">
        <f t="array" ref="K127">MAX(_xlfn._xlws.FILTER(K1:K122, ISNUMBER(K1:K122)))</f>
        <v>76.800669999999997</v>
      </c>
      <c r="L127" s="42" cm="1">
        <f t="array" ref="L127">MAX(_xlfn._xlws.FILTER(L1:L122, ISNUMBER(L1:L122)))</f>
        <v>100.37401</v>
      </c>
      <c r="M127" s="42" cm="1">
        <f t="array" ref="M127">MAX(_xlfn._xlws.FILTER(M1:M122, ISNUMBER(M1:M122)))</f>
        <v>103.361176</v>
      </c>
      <c r="N127" s="42" cm="1">
        <f t="array" ref="N127">MAX(_xlfn._xlws.FILTER(N1:N122, ISNUMBER(N1:N122)))</f>
        <v>73.308075000000002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7.8964590000000001</v>
      </c>
      <c r="C128" s="40" cm="1">
        <f t="array" ref="C128">MEDIAN(_xlfn._xlws.FILTER(C1:C122, ISNUMBER(C1:C122)))</f>
        <v>3.5096406999999998</v>
      </c>
      <c r="D128" s="40" cm="1">
        <f t="array" ref="D128">MEDIAN(_xlfn._xlws.FILTER(D1:D122, ISNUMBER(D1:D122)))</f>
        <v>5.3344845999999997</v>
      </c>
      <c r="E128" s="40" cm="1">
        <f t="array" ref="E128">MEDIAN(_xlfn._xlws.FILTER(E1:E122, ISNUMBER(E1:E122)))</f>
        <v>4.1496515</v>
      </c>
      <c r="F128" s="40" cm="1">
        <f t="array" ref="F128">MEDIAN(_xlfn._xlws.FILTER(F1:F122, ISNUMBER(F1:F122)))</f>
        <v>6.6793202999999997</v>
      </c>
      <c r="G128" s="40" cm="1">
        <f t="array" ref="G128">MEDIAN(_xlfn._xlws.FILTER(G1:G122, ISNUMBER(G1:G122)))</f>
        <v>7.8744529999999999</v>
      </c>
      <c r="H128" s="40" cm="1">
        <f t="array" ref="H128">MEDIAN(_xlfn._xlws.FILTER(H1:H122, ISNUMBER(H1:H122)))</f>
        <v>0.83533524999999997</v>
      </c>
      <c r="I128" s="40" cm="1">
        <f t="array" ref="I128">MEDIAN(_xlfn._xlws.FILTER(I1:I122, ISNUMBER(I1:I122)))</f>
        <v>22.807670000000002</v>
      </c>
      <c r="J128" s="40" cm="1">
        <f t="array" ref="J128">MEDIAN(_xlfn._xlws.FILTER(J1:J122, ISNUMBER(J1:J122)))</f>
        <v>15.430355</v>
      </c>
      <c r="K128" s="40" cm="1">
        <f t="array" ref="K128">MEDIAN(_xlfn._xlws.FILTER(K1:K122, ISNUMBER(K1:K122)))</f>
        <v>3.5334587000000002</v>
      </c>
      <c r="L128" s="40" cm="1">
        <f t="array" ref="L128">MEDIAN(_xlfn._xlws.FILTER(L1:L122, ISNUMBER(L1:L122)))</f>
        <v>8.3400010000000009</v>
      </c>
      <c r="M128" s="40" cm="1">
        <f t="array" ref="M128">MEDIAN(_xlfn._xlws.FILTER(M1:M122, ISNUMBER(M1:M122)))</f>
        <v>1.3731122</v>
      </c>
      <c r="N128" s="40" cm="1">
        <f t="array" ref="N128">MEDIAN(_xlfn._xlws.FILTER(N1:N122, ISNUMBER(N1:N122)))</f>
        <v>1.5443206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20</v>
      </c>
      <c r="C130">
        <f>COUNTIF(C2:C122, "&lt;"&amp;Assumption!$F$50)</f>
        <v>19</v>
      </c>
      <c r="D130">
        <f>COUNTIF(D2:D122, "&lt;"&amp;Assumption!$F$50)</f>
        <v>21</v>
      </c>
      <c r="E130">
        <f>COUNTIF(E2:E122, "&lt;"&amp;Assumption!$F$50)</f>
        <v>30</v>
      </c>
      <c r="F130">
        <f>COUNTIF(F2:F122, "&lt;"&amp;Assumption!$F$50)</f>
        <v>15</v>
      </c>
      <c r="G130">
        <f>COUNTIF(G2:G122, "&lt;"&amp;Assumption!$F$50)</f>
        <v>12</v>
      </c>
      <c r="H130">
        <f>COUNTIF(H2:H122, "&lt;"&amp;Assumption!$F$50)</f>
        <v>21</v>
      </c>
      <c r="I130">
        <f>COUNTIF(I2:I122, "&lt;"&amp;Assumption!$F$50)</f>
        <v>9</v>
      </c>
      <c r="J130">
        <f>COUNTIF(J2:J122, "&lt;"&amp;Assumption!$F$50)</f>
        <v>8</v>
      </c>
      <c r="K130">
        <f>COUNTIF(K2:K122, "&lt;"&amp;Assumption!$F$50)</f>
        <v>17</v>
      </c>
      <c r="L130">
        <f>COUNTIF(L2:L122, "&lt;"&amp;Assumption!$F$50)</f>
        <v>13</v>
      </c>
      <c r="M130">
        <f>COUNTIF(M2:M122, "&lt;"&amp;Assumption!$F$50)</f>
        <v>23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0.16528925619834711</v>
      </c>
      <c r="C133" s="9">
        <f t="shared" si="2"/>
        <v>0.15702479338842976</v>
      </c>
      <c r="D133" s="9">
        <f t="shared" si="2"/>
        <v>0.17355371900826447</v>
      </c>
      <c r="E133" s="9">
        <f t="shared" si="2"/>
        <v>0.24793388429752067</v>
      </c>
      <c r="F133" s="9">
        <f t="shared" si="2"/>
        <v>0.12396694214876033</v>
      </c>
      <c r="G133" s="9">
        <f t="shared" si="2"/>
        <v>9.9173553719008267E-2</v>
      </c>
      <c r="H133" s="9">
        <f t="shared" si="2"/>
        <v>0.17355371900826447</v>
      </c>
      <c r="I133" s="9">
        <f t="shared" si="2"/>
        <v>7.43801652892562E-2</v>
      </c>
      <c r="J133" s="9">
        <f t="shared" si="2"/>
        <v>6.6115702479338845E-2</v>
      </c>
      <c r="K133" s="9">
        <f t="shared" ref="K133:N133" si="3">K130/K131</f>
        <v>0.14049586776859505</v>
      </c>
      <c r="L133" s="9">
        <f t="shared" si="3"/>
        <v>0.10743801652892562</v>
      </c>
      <c r="M133" s="9">
        <f t="shared" si="3"/>
        <v>0.19008264462809918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0.19600000000000001</v>
      </c>
      <c r="C136" s="40" cm="1">
        <f t="array" ref="C136">_xlfn.PERCENTRANK.EXC(_xlfn._xlws.FILTER(C2:C122, ISNUMBER(C2:C122)),C120)</f>
        <v>0.5</v>
      </c>
      <c r="D136" s="40" cm="1">
        <f t="array" ref="D136">_xlfn.PERCENTRANK.EXC(_xlfn._xlws.FILTER(D2:D122, ISNUMBER(D2:D122)),D120)</f>
        <v>0.56499999999999995</v>
      </c>
      <c r="E136" s="40" cm="1">
        <f t="array" ref="E136">_xlfn.PERCENTRANK.EXC(_xlfn._xlws.FILTER(E2:E122, ISNUMBER(E2:E122)),E120)</f>
        <v>0.58099999999999996</v>
      </c>
      <c r="F136" s="40" cm="1">
        <f t="array" ref="F136">_xlfn.PERCENTRANK.EXC(_xlfn._xlws.FILTER(F2:F122, ISNUMBER(F2:F122)),F120)</f>
        <v>0.88500000000000001</v>
      </c>
      <c r="G136" s="40" cm="1">
        <f t="array" ref="G136">_xlfn.PERCENTRANK.EXC(_xlfn._xlws.FILTER(G2:G122, ISNUMBER(G2:G122)),G120)</f>
        <v>0.49099999999999999</v>
      </c>
      <c r="H136" s="40" cm="1">
        <f t="array" ref="H136">_xlfn.PERCENTRANK.EXC(_xlfn._xlws.FILTER(H2:H122, ISNUMBER(H2:H122)),H120)</f>
        <v>0.54900000000000004</v>
      </c>
      <c r="I136" s="40" cm="1">
        <f t="array" ref="I136">_xlfn.PERCENTRANK.EXC(_xlfn._xlws.FILTER(I2:I122, ISNUMBER(I2:I122)),I120)</f>
        <v>0.91800000000000004</v>
      </c>
      <c r="J136" s="40" cm="1">
        <f t="array" ref="J136">_xlfn.PERCENTRANK.EXC(_xlfn._xlws.FILTER(J2:J122, ISNUMBER(J2:J122)),J120)</f>
        <v>0.86</v>
      </c>
      <c r="K136" s="40" cm="1">
        <f t="array" ref="K136">_xlfn.PERCENTRANK.EXC(_xlfn._xlws.FILTER(K2:K122, ISNUMBER(K2:K122)),K120)</f>
        <v>0.57299999999999995</v>
      </c>
      <c r="L136" s="40" cm="1">
        <f t="array" ref="L136">_xlfn.PERCENTRANK.EXC(_xlfn._xlws.FILTER(L2:L122, ISNUMBER(L2:L122)),L120)</f>
        <v>0.61399999999999999</v>
      </c>
      <c r="M136" s="40" cm="1">
        <f t="array" ref="M136">_xlfn.PERCENTRANK.EXC(_xlfn._xlws.FILTER(M2:M122, ISNUMBER(M2:M122)),M120)</f>
        <v>0.59799999999999998</v>
      </c>
      <c r="N136" s="40" cm="1">
        <f t="array" ref="N136">_xlfn.PERCENTRANK.EXC(_xlfn._xlws.FILTER(N2:N122, ISNUMBER(N2:N122)),N120)</f>
        <v>0.64700000000000002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0.23699999999999999</v>
      </c>
      <c r="C137" s="40" cm="1">
        <f t="array" ref="C137">_xlfn.PERCENTRANK.EXC(_xlfn._xlws.FILTER(C2:C122, ISNUMBER(C2:C122)),C121)</f>
        <v>0.73699999999999999</v>
      </c>
      <c r="D137" s="40" cm="1">
        <f t="array" ref="D137">_xlfn.PERCENTRANK.EXC(_xlfn._xlws.FILTER(D2:D122, ISNUMBER(D2:D122)),D121)</f>
        <v>0.86799999999999999</v>
      </c>
      <c r="E137" s="40" cm="1">
        <f t="array" ref="E137">_xlfn.PERCENTRANK.EXC(_xlfn._xlws.FILTER(E2:E122, ISNUMBER(E2:E122)),E121)</f>
        <v>0.79500000000000004</v>
      </c>
      <c r="F137" s="40" cm="1">
        <f t="array" ref="F137">_xlfn.PERCENTRANK.EXC(_xlfn._xlws.FILTER(F2:F122, ISNUMBER(F2:F122)),F121)</f>
        <v>0.97499999999999998</v>
      </c>
      <c r="G137" s="40" cm="1">
        <f t="array" ref="G137">_xlfn.PERCENTRANK.EXC(_xlfn._xlws.FILTER(G2:G122, ISNUMBER(G2:G122)),G121)</f>
        <v>0.68799999999999994</v>
      </c>
      <c r="H137" s="40" cm="1">
        <f t="array" ref="H137">_xlfn.PERCENTRANK.EXC(_xlfn._xlws.FILTER(H2:H122, ISNUMBER(H2:H122)),H121)</f>
        <v>0.754</v>
      </c>
      <c r="I137" s="40" cm="1">
        <f t="array" ref="I137">_xlfn.PERCENTRANK.EXC(_xlfn._xlws.FILTER(I2:I122, ISNUMBER(I2:I122)),I121)</f>
        <v>0.93400000000000005</v>
      </c>
      <c r="J137" s="40" cm="1">
        <f t="array" ref="J137">_xlfn.PERCENTRANK.EXC(_xlfn._xlws.FILTER(J2:J122, ISNUMBER(J2:J122)),J121)</f>
        <v>0.93400000000000005</v>
      </c>
      <c r="K137" s="40" cm="1">
        <f t="array" ref="K137">_xlfn.PERCENTRANK.EXC(_xlfn._xlws.FILTER(K2:K122, ISNUMBER(K2:K122)),K121)</f>
        <v>0.72899999999999998</v>
      </c>
      <c r="L137" s="40" cm="1">
        <f t="array" ref="L137">_xlfn.PERCENTRANK.EXC(_xlfn._xlws.FILTER(L2:L122, ISNUMBER(L2:L122)),L121)</f>
        <v>0.77</v>
      </c>
      <c r="M137" s="40" cm="1">
        <f t="array" ref="M137">_xlfn.PERCENTRANK.EXC(_xlfn._xlws.FILTER(M2:M122, ISNUMBER(M2:M122)),M121)</f>
        <v>0.85199999999999998</v>
      </c>
      <c r="N137" s="40" cm="1">
        <f t="array" ref="N137">_xlfn.PERCENTRANK.EXC(_xlfn._xlws.FILTER(N2:N122, ISNUMBER(N2:N122)),N121)</f>
        <v>0.86799999999999999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0.188</v>
      </c>
      <c r="C138" s="40" cm="1">
        <f t="array" ref="C138">_xlfn.PERCENTRANK.EXC(_xlfn._xlws.FILTER(C2:C122, ISNUMBER(C2:C122)),C122)</f>
        <v>0.47499999999999998</v>
      </c>
      <c r="D138" s="40" cm="1">
        <f t="array" ref="D138">_xlfn.PERCENTRANK.EXC(_xlfn._xlws.FILTER(D2:D122, ISNUMBER(D2:D122)),D122)</f>
        <v>0.53200000000000003</v>
      </c>
      <c r="E138" s="40" cm="1">
        <f t="array" ref="E138">_xlfn.PERCENTRANK.EXC(_xlfn._xlws.FILTER(E2:E122, ISNUMBER(E2:E122)),E122)</f>
        <v>0.54</v>
      </c>
      <c r="F138" s="40" cm="1">
        <f t="array" ref="F138">_xlfn.PERCENTRANK.EXC(_xlfn._xlws.FILTER(F2:F122, ISNUMBER(F2:F122)),F122)</f>
        <v>0.72099999999999997</v>
      </c>
      <c r="G138" s="40" cm="1">
        <f t="array" ref="G138">_xlfn.PERCENTRANK.EXC(_xlfn._xlws.FILTER(G2:G122, ISNUMBER(G2:G122)),G122)</f>
        <v>0.26200000000000001</v>
      </c>
      <c r="H138" s="40" cm="1">
        <f t="array" ref="H138">_xlfn.PERCENTRANK.EXC(_xlfn._xlws.FILTER(H2:H122, ISNUMBER(H2:H122)),H122)</f>
        <v>0.54</v>
      </c>
      <c r="I138" s="40" cm="1">
        <f t="array" ref="I138">_xlfn.PERCENTRANK.EXC(_xlfn._xlws.FILTER(I2:I122, ISNUMBER(I2:I122)),I122)</f>
        <v>0.77</v>
      </c>
      <c r="J138" s="40" cm="1">
        <f t="array" ref="J138">_xlfn.PERCENTRANK.EXC(_xlfn._xlws.FILTER(J2:J122, ISNUMBER(J2:J122)),J122)</f>
        <v>0.80300000000000005</v>
      </c>
      <c r="K138" s="40" cm="1">
        <f t="array" ref="K138">_xlfn.PERCENTRANK.EXC(_xlfn._xlws.FILTER(K2:K122, ISNUMBER(K2:K122)),K122)</f>
        <v>0.51600000000000001</v>
      </c>
      <c r="L138" s="40" cm="1">
        <f t="array" ref="L138">_xlfn.PERCENTRANK.EXC(_xlfn._xlws.FILTER(L2:L122, ISNUMBER(L2:L122)),L122)</f>
        <v>0.59799999999999998</v>
      </c>
      <c r="M138" s="40" cm="1">
        <f t="array" ref="M138">_xlfn.PERCENTRANK.EXC(_xlfn._xlws.FILTER(M2:M122, ISNUMBER(M2:M122)),M122)</f>
        <v>0.57299999999999995</v>
      </c>
      <c r="N138" s="40" cm="1">
        <f t="array" ref="N138">_xlfn.PERCENTRANK.EXC(_xlfn._xlws.FILTER(N2:N122, ISNUMBER(N2:N122)),N122)</f>
        <v>0.67200000000000004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0.20699999999999999</v>
      </c>
      <c r="C140" s="40">
        <f t="shared" si="4"/>
        <v>0.57066666666666677</v>
      </c>
      <c r="D140" s="40">
        <f t="shared" si="4"/>
        <v>0.65499999999999992</v>
      </c>
      <c r="E140" s="40">
        <f t="shared" si="4"/>
        <v>0.6386666666666666</v>
      </c>
      <c r="F140" s="40">
        <f t="shared" si="4"/>
        <v>0.86033333333333328</v>
      </c>
      <c r="G140" s="40">
        <f t="shared" si="4"/>
        <v>0.48033333333333328</v>
      </c>
      <c r="H140" s="40">
        <f t="shared" si="4"/>
        <v>0.61433333333333329</v>
      </c>
      <c r="I140" s="40">
        <f t="shared" si="4"/>
        <v>0.874</v>
      </c>
      <c r="J140" s="40">
        <f t="shared" si="4"/>
        <v>0.8656666666666667</v>
      </c>
      <c r="K140" s="40">
        <f t="shared" ref="K140:N140" si="5">AVERAGE(K136:K138)</f>
        <v>0.60599999999999998</v>
      </c>
      <c r="L140" s="40">
        <f t="shared" si="5"/>
        <v>0.66066666666666662</v>
      </c>
      <c r="M140" s="40">
        <f t="shared" si="5"/>
        <v>0.67433333333333323</v>
      </c>
      <c r="N140" s="40">
        <f t="shared" si="5"/>
        <v>0.72900000000000009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4.0763823084164903</v>
      </c>
      <c r="G17">
        <v>2.2808425238276202</v>
      </c>
      <c r="H17">
        <v>2.5348579496144801</v>
      </c>
      <c r="I17">
        <v>9.3523184569568798</v>
      </c>
      <c r="J17">
        <v>17.729435430702701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3.6778954217003501</v>
      </c>
      <c r="G18">
        <v>2.36864078670768</v>
      </c>
      <c r="H18">
        <v>2.0346384136804501</v>
      </c>
      <c r="I18">
        <v>10.4260783076313</v>
      </c>
      <c r="J18">
        <v>16.661770333783501</v>
      </c>
      <c r="K18">
        <v>1.8511361201588501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4.6161385658054304</v>
      </c>
      <c r="G19">
        <v>2.66234515884581</v>
      </c>
      <c r="H19">
        <v>2.7142722466617202</v>
      </c>
      <c r="I19">
        <v>13.6402697494705</v>
      </c>
      <c r="J19">
        <v>22.276707388058099</v>
      </c>
      <c r="K19">
        <v>2.4608179863490802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4.4608954295700496</v>
      </c>
      <c r="G20">
        <v>2.5838872063229701</v>
      </c>
      <c r="H20">
        <v>3.1276012084365901</v>
      </c>
      <c r="I20">
        <v>12.7503134568906</v>
      </c>
      <c r="J20">
        <v>22.9688510974762</v>
      </c>
      <c r="K20">
        <v>2.8026547594435298</v>
      </c>
      <c r="L20">
        <v>2.4294142549840898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2.65662621403284</v>
      </c>
      <c r="F21">
        <v>4.5654755872134798</v>
      </c>
      <c r="G21">
        <v>2.86429657456778</v>
      </c>
      <c r="H21">
        <v>3.0028044251328798</v>
      </c>
      <c r="I21">
        <v>16.3242218931405</v>
      </c>
      <c r="J21">
        <v>24.3449681592733</v>
      </c>
      <c r="K21">
        <v>2.9207261342803501</v>
      </c>
      <c r="L21">
        <v>2.9556075018616501</v>
      </c>
      <c r="M21">
        <v>2.5100925867761599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2.8288213586029176E-2</v>
      </c>
      <c r="F25" s="48" cm="1">
        <f t="array" ref="F25">(F21/INDEX(F2:F21,MATCH(TRUE,INDEX(ISNUMBER(F2:F21),0),0)))^(1/F23)-1</f>
        <v>2.4097093305513351E-2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3.712710682326259E-3</v>
      </c>
      <c r="I25" s="48" cm="1">
        <f t="array" ref="I25">(I21/INDEX(I2:I21,MATCH(TRUE,INDEX(ISNUMBER(I2:I21),0),0)))^(1/I23)-1</f>
        <v>0.12988932861597813</v>
      </c>
      <c r="J25" s="48" cm="1">
        <f t="array" ref="J25">(J21/INDEX(J2:J21,MATCH(TRUE,INDEX(ISNUMBER(J2:J21),0),0)))^(1/J23)-1</f>
        <v>5.9884591109293561E-2</v>
      </c>
      <c r="K25" s="48" cm="1">
        <f t="array" ref="K25">(K21/INDEX(K2:K21,MATCH(TRUE,INDEX(ISNUMBER(K2:K21),0),0)))^(1/K23)-1</f>
        <v>1.8533725345370788E-2</v>
      </c>
      <c r="L25" s="48" cm="1">
        <f t="array" ref="L25">(L21/INDEX(L2:L21,MATCH(TRUE,INDEX(ISNUMBER(L2:L21),0),0)))^(1/L23)-1</f>
        <v>3.4801405239490046E-2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1.690903</v>
      </c>
      <c r="E3" cm="1">
        <f t="array" ref="E3">_xll.FDSB(B3,"FG_PRICE_CHANGE(0,-1AY)")</f>
        <v>5.0557970000000001</v>
      </c>
      <c r="F3" cm="1">
        <f t="array" ref="F3">_xll.FDSB(B3,"FG_PRICE_CHANGE(0,-1AM)")</f>
        <v>2.8829813</v>
      </c>
      <c r="G3" cm="1">
        <f t="array" ref="G3">_xll.FDSB(B3,"FG_PRICE_CHANGE(0,-3AM)")</f>
        <v>3.1957984000000002</v>
      </c>
      <c r="H3" cm="1">
        <f t="array" ref="H3">_xll.FDSB(B3,"FG_PRICE_CHANGE(0,-6AM)")</f>
        <v>-0.82854030000000001</v>
      </c>
      <c r="I3" cm="1">
        <f t="array" ref="I3">_xll.FDS(B3,"STD(FG_PRICE_CHANGE(0,-1AY,AM))")</f>
        <v>2.3266841194832399</v>
      </c>
      <c r="J3" cm="1">
        <f t="array" ref="J3">_xll.FDS(B3,"STD(FG_PRICE_CHANGE(0,-3AY,M))")*SQRT(12)</f>
        <v>12.104759385949304</v>
      </c>
      <c r="L3">
        <f>(1-(_xlfn.PERCENTRANK.EXC($F$3:$F$15,F3)))*100</f>
        <v>35.799999999999997</v>
      </c>
      <c r="M3">
        <f>(1-(_xlfn.PERCENTRANK.EXC($G$3:$G$15,G3)))*100</f>
        <v>35.799999999999997</v>
      </c>
      <c r="N3">
        <f>(1-(_xlfn.PERCENTRANK.EXC($H$3:$H$15,H3)))*100</f>
        <v>64.3</v>
      </c>
      <c r="O3">
        <f>SUMPRODUCT($L$1:$N$1,L3:N3)</f>
        <v>47.2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27.18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1.5542431000000001</v>
      </c>
      <c r="E4" cm="1">
        <f t="array" ref="E4">_xll.FDSB(B4,"FG_PRICE_CHANGE(0,-1AY)")</f>
        <v>4.6705008000000001</v>
      </c>
      <c r="F4" cm="1">
        <f t="array" ref="F4">_xll.FDSB(B4,"FG_PRICE_CHANGE(0,-1AM)")</f>
        <v>1.9583463999999999</v>
      </c>
      <c r="G4" cm="1">
        <f t="array" ref="G4">_xll.FDSB(B4,"FG_PRICE_CHANGE(0,-3AM)")</f>
        <v>1.8884063</v>
      </c>
      <c r="H4" cm="1">
        <f t="array" ref="H4">_xll.FDSB(B4,"FG_PRICE_CHANGE(0,-6AM)")</f>
        <v>-1.4065920999999999</v>
      </c>
      <c r="I4" cm="1">
        <f t="array" ref="I4">_xll.FDS(B4,"STD(FG_PRICE_CHANGE(0,-1AY,AM))")</f>
        <v>2.64623354845713</v>
      </c>
      <c r="J4" cm="1">
        <f t="array" ref="J4">_xll.FDS(B4,"STD(FG_PRICE_CHANGE(0,-3AY,M))")*SQRT(12)</f>
        <v>10.643886249374736</v>
      </c>
      <c r="L4">
        <f t="shared" ref="L4:L15" si="1">(1-(_xlfn.PERCENTRANK.EXC($F$3:$F$15,F4)))*100</f>
        <v>64.3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85.8</v>
      </c>
      <c r="O4">
        <f t="shared" ref="O4:O11" si="4">SUMPRODUCT($L$1:$N$1,L4:N4)</f>
        <v>64.34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46.46</v>
      </c>
      <c r="U4" cm="1">
        <f t="array" ref="U4">_xlfn.PERCENTRANK.EXC(_xlfn._xlws.FILTER(S$3:S$15, ISNUMBER(S$3:S$15)),S4)*100</f>
        <v>42.8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1.3755500000000001</v>
      </c>
      <c r="E5" cm="1">
        <f t="array" ref="E5">_xll.FDSB(B5,"FG_PRICE_CHANGE(0,-1AY)")</f>
        <v>2.7565122</v>
      </c>
      <c r="F5" cm="1">
        <f t="array" ref="F5">_xll.FDSB(B5,"FG_PRICE_CHANGE(0,-1AM)")</f>
        <v>1.5728354</v>
      </c>
      <c r="G5" cm="1">
        <f t="array" ref="G5">_xll.FDSB(B5,"FG_PRICE_CHANGE(0,-3AM)")</f>
        <v>1.7682076</v>
      </c>
      <c r="H5" cm="1">
        <f t="array" ref="H5">_xll.FDSB(B5,"FG_PRICE_CHANGE(0,-6AM)")</f>
        <v>0.46744347000000003</v>
      </c>
      <c r="I5" cm="1">
        <f t="array" ref="I5">_xll.FDS(B5,"STD(FG_PRICE_CHANGE(0,-1AY,AM))")</f>
        <v>1.6560389612643001</v>
      </c>
      <c r="J5" cm="1">
        <f t="array" ref="J5">_xll.FDS(B5,"STD(FG_PRICE_CHANGE(0,-3AY,M))")*SQRT(12)</f>
        <v>6.5081744955497411</v>
      </c>
      <c r="L5">
        <f t="shared" si="1"/>
        <v>71.500000000000014</v>
      </c>
      <c r="M5">
        <f t="shared" si="2"/>
        <v>71.500000000000014</v>
      </c>
      <c r="N5">
        <f t="shared" si="3"/>
        <v>28.6</v>
      </c>
      <c r="O5">
        <f t="shared" si="4"/>
        <v>54.340000000000018</v>
      </c>
      <c r="P5">
        <f t="shared" si="5"/>
        <v>71.5</v>
      </c>
      <c r="Q5">
        <f>VLOOKUP(A5,CAD!$A$3:$J$15, 10, FALSE)</f>
        <v>42.8</v>
      </c>
      <c r="S5">
        <f t="shared" si="0"/>
        <v>57.180000000000007</v>
      </c>
      <c r="U5" cm="1">
        <f t="array" ref="U5">_xlfn.PERCENTRANK.EXC(_xlfn._xlws.FILTER(S$3:S$15, ISNUMBER(S$3:S$15)),S5)*100</f>
        <v>57.099999999999994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0.93848246000000002</v>
      </c>
      <c r="E6" cm="1">
        <f t="array" ref="E6">_xll.FDSB(B6,"FG_PRICE_CHANGE(0,-1AY)")</f>
        <v>2.8811336000000001</v>
      </c>
      <c r="F6" cm="1">
        <f t="array" ref="F6">_xll.FDSB(B6,"FG_PRICE_CHANGE(0,-1AM)")</f>
        <v>2.1585106999999999</v>
      </c>
      <c r="G6" cm="1">
        <f t="array" ref="G6">_xll.FDSB(B6,"FG_PRICE_CHANGE(0,-3AM)")</f>
        <v>1.8394231999999999</v>
      </c>
      <c r="H6" cm="1">
        <f t="array" ref="H6">_xll.FDSB(B6,"FG_PRICE_CHANGE(0,-6AM)")</f>
        <v>-1.0980247999999999</v>
      </c>
      <c r="I6" cm="1">
        <f t="array" ref="I6">_xll.FDS(B6,"STD(FG_PRICE_CHANGE(0,-1AY,AM))")</f>
        <v>2.1317776225554801</v>
      </c>
      <c r="J6" cm="1">
        <f t="array" ref="J6">_xll.FDS(B6,"STD(FG_PRICE_CHANGE(0,-3AY,M))")*SQRT(12)</f>
        <v>7.6997282271489738</v>
      </c>
      <c r="L6">
        <f t="shared" si="1"/>
        <v>57.2</v>
      </c>
      <c r="M6">
        <f t="shared" si="2"/>
        <v>57.2</v>
      </c>
      <c r="N6">
        <f t="shared" si="3"/>
        <v>71.500000000000014</v>
      </c>
      <c r="O6">
        <f t="shared" si="4"/>
        <v>62.920000000000016</v>
      </c>
      <c r="P6">
        <f t="shared" si="5"/>
        <v>57.2</v>
      </c>
      <c r="Q6">
        <f>VLOOKUP(A6,CAD!$A$3:$J$15, 10, FALSE)</f>
        <v>78.5</v>
      </c>
      <c r="S6">
        <f t="shared" si="0"/>
        <v>64.320000000000007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154.625</v>
      </c>
      <c r="E7" cm="1">
        <f t="array" ref="E7">_xll.FDSB(B7,"FG_PRICE_CHANGE(0,-1AY)")</f>
        <v>15.426242999999999</v>
      </c>
      <c r="F7" cm="1">
        <f t="array" ref="F7">_xll.FDSB(B7,"FG_PRICE_CHANGE(0,-1AM)")</f>
        <v>3.6777495999999998</v>
      </c>
      <c r="G7" cm="1">
        <f t="array" ref="G7">_xll.FDSB(B7,"FG_PRICE_CHANGE(0,-3AM)")</f>
        <v>4.3388723999999996</v>
      </c>
      <c r="H7" cm="1">
        <f t="array" ref="H7">_xll.FDSB(B7,"FG_PRICE_CHANGE(0,-6AM)")</f>
        <v>3.2381891999999999</v>
      </c>
      <c r="I7" cm="1">
        <f t="array" ref="I7">_xll.FDS(B7,"STD(FG_PRICE_CHANGE(0,-1AY,AM))")</f>
        <v>2.5353733119711102</v>
      </c>
      <c r="J7" cm="1">
        <f t="array" ref="J7">_xll.FDS(B7,"STD(FG_PRICE_CHANGE(0,-3AY,M))")*SQRT(12)</f>
        <v>10.459790823943123</v>
      </c>
      <c r="L7">
        <f t="shared" si="1"/>
        <v>14.3</v>
      </c>
      <c r="M7">
        <f t="shared" si="2"/>
        <v>21.499999999999996</v>
      </c>
      <c r="N7">
        <f t="shared" si="3"/>
        <v>7.1999999999999957</v>
      </c>
      <c r="O7">
        <f t="shared" si="4"/>
        <v>14.34</v>
      </c>
      <c r="P7">
        <f t="shared" si="5"/>
        <v>21.5</v>
      </c>
      <c r="Q7">
        <f>VLOOKUP(A7,CAD!$A$3:$J$15, 10, FALSE)</f>
        <v>64.2</v>
      </c>
      <c r="S7">
        <f t="shared" si="0"/>
        <v>26.46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0.91210000000000002</v>
      </c>
      <c r="E8" cm="1">
        <f t="array" ref="E8">_xll.FDSB(B8,"FG_PRICE_CHANGE(0,-1AY)")</f>
        <v>1.5984415999999999</v>
      </c>
      <c r="F8" cm="1">
        <f t="array" ref="F8">_xll.FDSB(B8,"FG_PRICE_CHANGE(0,-1AM)")</f>
        <v>2.9051779999999998</v>
      </c>
      <c r="G8" cm="1">
        <f t="array" ref="G8">_xll.FDSB(B8,"FG_PRICE_CHANGE(0,-3AM)")</f>
        <v>4.9536823999999999</v>
      </c>
      <c r="H8" cm="1">
        <f t="array" ref="H8">_xll.FDSB(B8,"FG_PRICE_CHANGE(0,-6AM)")</f>
        <v>1.5758156999999999</v>
      </c>
      <c r="I8" cm="1">
        <f t="array" ref="I8">_xll.FDS(B8,"STD(FG_PRICE_CHANGE(0,-1AY,AM))")</f>
        <v>2.19355344794119</v>
      </c>
      <c r="J8" cm="1">
        <f t="array" ref="J8">_xll.FDS(B8,"STD(FG_PRICE_CHANGE(0,-3AY,M))")*SQRT(12)</f>
        <v>8.6260856080919428</v>
      </c>
      <c r="L8">
        <f t="shared" si="1"/>
        <v>28.6</v>
      </c>
      <c r="M8">
        <f t="shared" si="2"/>
        <v>14.3</v>
      </c>
      <c r="N8">
        <f t="shared" si="3"/>
        <v>21.499999999999996</v>
      </c>
      <c r="O8">
        <f t="shared" si="4"/>
        <v>20.04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41.45</v>
      </c>
      <c r="U8" cm="1">
        <f t="array" ref="U8">_xlfn.PERCENTRANK.EXC(_xlfn._xlws.FILTER(S$3:S$15, ISNUMBER(S$3:S$15)),S8)*100</f>
        <v>35.699999999999996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0.80350330000000003</v>
      </c>
      <c r="E9" cm="1">
        <f t="array" ref="E9">_xll.FDSB(B9,"FG_PRICE_CHANGE(0,-1AY)")</f>
        <v>-0.14463066999999999</v>
      </c>
      <c r="F9" cm="1">
        <f t="array" ref="F9">_xll.FDSB(B9,"FG_PRICE_CHANGE(0,-1AM)")</f>
        <v>2.3060559999999999</v>
      </c>
      <c r="G9" cm="1">
        <f t="array" ref="G9">_xll.FDSB(B9,"FG_PRICE_CHANGE(0,-3AM)")</f>
        <v>1.8199325</v>
      </c>
      <c r="H9" cm="1">
        <f t="array" ref="H9">_xll.FDSB(B9,"FG_PRICE_CHANGE(0,-6AM)")</f>
        <v>-2.4064958000000001</v>
      </c>
      <c r="I9" cm="1">
        <f t="array" ref="I9">_xll.FDS(B9,"STD(FG_PRICE_CHANGE(0,-1AY,AM))")</f>
        <v>2.1190159016547598</v>
      </c>
      <c r="J9" cm="1">
        <f t="array" ref="J9">_xll.FDS(B9,"STD(FG_PRICE_CHANGE(0,-3AY,M))")*SQRT(12)</f>
        <v>8.3351246076855396</v>
      </c>
      <c r="L9">
        <f t="shared" si="1"/>
        <v>42.900000000000006</v>
      </c>
      <c r="M9">
        <f t="shared" si="2"/>
        <v>64.3</v>
      </c>
      <c r="N9">
        <f t="shared" si="3"/>
        <v>92.9</v>
      </c>
      <c r="O9">
        <f>SUMPRODUCT($L$1:$N$1,L9:N9)</f>
        <v>71.460000000000008</v>
      </c>
      <c r="P9">
        <f t="shared" si="5"/>
        <v>50</v>
      </c>
      <c r="Q9">
        <f>VLOOKUP(A9,CAD!$A$3:$J$15, 10, FALSE)</f>
        <v>28.499999999999996</v>
      </c>
      <c r="S9">
        <f t="shared" si="0"/>
        <v>56.430000000000007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92.9</v>
      </c>
      <c r="M10">
        <f t="shared" si="2"/>
        <v>92.9</v>
      </c>
      <c r="N10">
        <f t="shared" si="3"/>
        <v>50</v>
      </c>
      <c r="O10">
        <f t="shared" si="4"/>
        <v>75.740000000000009</v>
      </c>
      <c r="P10">
        <f t="shared" si="5"/>
        <v>92.9</v>
      </c>
      <c r="Q10">
        <f>VLOOKUP(A10,CAD!$A$3:$J$15, 10, FALSE)</f>
        <v>14.2</v>
      </c>
      <c r="S10">
        <f t="shared" si="0"/>
        <v>68.580000000000013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92.9</v>
      </c>
      <c r="M11">
        <f t="shared" si="2"/>
        <v>92.9</v>
      </c>
      <c r="N11">
        <f t="shared" si="3"/>
        <v>50</v>
      </c>
      <c r="O11">
        <f t="shared" si="4"/>
        <v>75.740000000000009</v>
      </c>
      <c r="P11">
        <f t="shared" si="5"/>
        <v>92.9</v>
      </c>
      <c r="Q11">
        <f>VLOOKUP(A11,CAD!$A$3:$J$15, 10, FALSE)</f>
        <v>14.2</v>
      </c>
      <c r="S11">
        <f t="shared" si="0"/>
        <v>68.580000000000013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0.91210000000000002</v>
      </c>
      <c r="E12" cm="1">
        <f t="array" ref="E12">_xll.FDSB(B12,"FG_PRICE_CHANGE(0,-1AY)")</f>
        <v>1.5984415999999999</v>
      </c>
      <c r="F12" cm="1">
        <f t="array" ref="F12">_xll.FDSB(B12,"FG_PRICE_CHANGE(0,-1AM)")</f>
        <v>2.9051779999999998</v>
      </c>
      <c r="G12" cm="1">
        <f t="array" ref="G12">_xll.FDSB(B12,"FG_PRICE_CHANGE(0,-3AM)")</f>
        <v>4.9536823999999999</v>
      </c>
      <c r="H12" cm="1">
        <f t="array" ref="H12">_xll.FDSB(B12,"FG_PRICE_CHANGE(0,-6AM)")</f>
        <v>1.5758156999999999</v>
      </c>
      <c r="I12" cm="1">
        <f t="array" ref="I12">_xll.FDS(B12,"STD(FG_PRICE_CHANGE(0,-1AY,AM))")</f>
        <v>2.19355344794119</v>
      </c>
      <c r="J12" cm="1">
        <f t="array" ref="J12">_xll.FDS(B12,"STD(FG_PRICE_CHANGE(0,-3AY,M))")*SQRT(12)</f>
        <v>8.6260856080919428</v>
      </c>
      <c r="L12">
        <f t="shared" si="1"/>
        <v>28.6</v>
      </c>
      <c r="M12">
        <f t="shared" si="2"/>
        <v>14.3</v>
      </c>
      <c r="N12">
        <f t="shared" si="3"/>
        <v>21.499999999999996</v>
      </c>
      <c r="O12">
        <f t="shared" ref="O12:O15" si="6">SUMPRODUCT($L$1:$N$1,L12:N12)</f>
        <v>20.04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30.03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0.1434289334437559</v>
      </c>
      <c r="L13" s="183">
        <f t="shared" si="1"/>
        <v>92.9</v>
      </c>
      <c r="M13" s="183">
        <f t="shared" si="2"/>
        <v>92.9</v>
      </c>
      <c r="N13" s="183">
        <f t="shared" si="3"/>
        <v>50</v>
      </c>
      <c r="O13" s="183">
        <f t="shared" si="6"/>
        <v>75.740000000000009</v>
      </c>
      <c r="P13" s="183">
        <f t="shared" si="5"/>
        <v>78.599999999999994</v>
      </c>
      <c r="Q13" s="183">
        <f>VLOOKUP(A13,CAD!$A$3:$J$15, 10, FALSE)</f>
        <v>85.7</v>
      </c>
      <c r="S13" s="183">
        <f t="shared" si="7"/>
        <v>78.59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10.9413</v>
      </c>
      <c r="E14" cm="1">
        <f t="array" ref="E14">_xll.FDSB(B14,"FG_PRICE_CHANGE(0,-1AY)")</f>
        <v>6.0840845000000003</v>
      </c>
      <c r="F14" cm="1">
        <f t="array" ref="F14">_xll.FDSB(B14,"FG_PRICE_CHANGE(0,-1AM)")</f>
        <v>4.9444675</v>
      </c>
      <c r="G14" cm="1">
        <f t="array" ref="G14">_xll.FDSB(B14,"FG_PRICE_CHANGE(0,-3AM)")</f>
        <v>4.2674064999999999</v>
      </c>
      <c r="H14" cm="1">
        <f t="array" ref="H14">_xll.FDSB(B14,"FG_PRICE_CHANGE(0,-6AM)")</f>
        <v>-0.75738430000000001</v>
      </c>
      <c r="I14" cm="1">
        <f t="array" ref="I14">_xll.FDS(B14,"STD(FG_PRICE_CHANGE(0,-1AY,AM))")</f>
        <v>3.5536538668761302</v>
      </c>
      <c r="J14" cm="1">
        <f t="array" ref="J14">_xll.FDS(B14,"STD(FG_PRICE_CHANGE(0,-3AY,M))")*SQRT(12)</f>
        <v>10.261364318906555</v>
      </c>
      <c r="L14">
        <f t="shared" si="1"/>
        <v>7.1999999999999957</v>
      </c>
      <c r="M14">
        <f t="shared" si="2"/>
        <v>28.6</v>
      </c>
      <c r="N14">
        <f t="shared" si="3"/>
        <v>57.2</v>
      </c>
      <c r="O14">
        <f t="shared" si="6"/>
        <v>35.760000000000005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40.74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1817.1554000000001</v>
      </c>
      <c r="E15" cm="1">
        <f t="array" ref="E15">_xll.FDSB(B15,"FG_PRICE_CHANGE(0,-1AY)")</f>
        <v>2.8811336000000001</v>
      </c>
      <c r="F15" cm="1">
        <f t="array" ref="F15">_xll.FDSB(B15,"FG_PRICE_CHANGE(0,-1AM)")</f>
        <v>2.1585106999999999</v>
      </c>
      <c r="G15" cm="1">
        <f t="array" ref="G15">_xll.FDSB(B15,"FG_PRICE_CHANGE(0,-3AM)")</f>
        <v>1.8394231999999999</v>
      </c>
      <c r="H15" cm="1">
        <f t="array" ref="H15">_xll.FDSB(B15,"FG_PRICE_CHANGE(0,-6AM)")</f>
        <v>-1.0980308000000001</v>
      </c>
      <c r="I15" cm="1">
        <f t="array" ref="I15">_xll.FDS(B15,"STD(FG_PRICE_CHANGE(0,-1AY,AM))")</f>
        <v>2.13178024667392</v>
      </c>
      <c r="J15" cm="1">
        <f t="array" ref="J15">_xll.FDS(B15,"STD(FG_PRICE_CHANGE(0,-3AY,M))")*SQRT(12)</f>
        <v>7.6997258816148104</v>
      </c>
      <c r="L15">
        <f t="shared" si="1"/>
        <v>57.2</v>
      </c>
      <c r="M15">
        <f t="shared" si="2"/>
        <v>57.2</v>
      </c>
      <c r="N15">
        <f t="shared" si="3"/>
        <v>78.600000000000009</v>
      </c>
      <c r="O15">
        <f t="shared" si="6"/>
        <v>65.760000000000019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63.590000000000018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-6.35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6.10157214967637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3.6756471625245899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-3.05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-3.05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-0.76796448257800598</v>
      </c>
      <c r="H12" cm="1">
        <f t="array" ref="H12">IFERROR(_xll.FDS($F12,"EE_ACTUAL_ANNUAL(MED,+1)"),0)</f>
        <v>-1.1499999999999999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7.6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8.3559627900246003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9.7140774239929009</v>
      </c>
      <c r="F18">
        <v>7.4385992899485398</v>
      </c>
      <c r="G18">
        <v>14.6677795152565</v>
      </c>
      <c r="H18">
        <v>11.205060980823401</v>
      </c>
      <c r="I18">
        <v>24.534442850508999</v>
      </c>
      <c r="J18">
        <v>17.2298191446197</v>
      </c>
      <c r="K18">
        <v>8.9424210123572205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9.2207656780704195</v>
      </c>
      <c r="G19">
        <v>16.3837417700753</v>
      </c>
      <c r="H19">
        <v>13.922769947021701</v>
      </c>
      <c r="I19">
        <v>26.637202164256799</v>
      </c>
      <c r="J19">
        <v>20.6862902761839</v>
      </c>
      <c r="K19">
        <v>12.253958119340901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</v>
      </c>
      <c r="D20">
        <v>14.002940310619</v>
      </c>
      <c r="E20">
        <v>11.818809345525199</v>
      </c>
      <c r="F20">
        <v>9.2254455749720599</v>
      </c>
      <c r="G20">
        <v>16.690651733527702</v>
      </c>
      <c r="H20">
        <v>15.858744412332101</v>
      </c>
      <c r="I20">
        <v>24.048321572288899</v>
      </c>
      <c r="J20">
        <v>20.598436790647298</v>
      </c>
      <c r="K20">
        <v>13.1475852543623</v>
      </c>
      <c r="L20">
        <v>12.015889172957699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11.940053323267</v>
      </c>
      <c r="F21">
        <v>9.29901046676666</v>
      </c>
      <c r="G21">
        <v>19.2996868123636</v>
      </c>
      <c r="H21">
        <v>14.720728907309301</v>
      </c>
      <c r="I21">
        <v>25.301114402700598</v>
      </c>
      <c r="J21">
        <v>20.341049766810499</v>
      </c>
      <c r="K21">
        <v>13.221059503291199</v>
      </c>
      <c r="L21">
        <v>12.745985668805799</v>
      </c>
      <c r="M21">
        <v>15.368050598586001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9.7140774239929009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8.9424210123572205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11.984259132522201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11.940053323267</v>
      </c>
      <c r="F25" s="8">
        <f t="shared" si="2"/>
        <v>9.29901046676666</v>
      </c>
      <c r="G25" s="8">
        <f t="shared" si="2"/>
        <v>19.2996868123636</v>
      </c>
      <c r="H25" s="8">
        <f t="shared" si="2"/>
        <v>14.720728907309301</v>
      </c>
      <c r="I25" s="8">
        <f t="shared" si="2"/>
        <v>25.301114402700598</v>
      </c>
      <c r="J25" s="8">
        <f t="shared" si="2"/>
        <v>20.341049766810499</v>
      </c>
      <c r="K25" s="8">
        <f t="shared" si="2"/>
        <v>13.221059503291199</v>
      </c>
      <c r="L25" s="8">
        <f t="shared" si="2"/>
        <v>12.745985668805799</v>
      </c>
      <c r="M25" s="8">
        <f t="shared" si="2"/>
        <v>15.368050598586001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45370</v>
      </c>
      <c r="M1" s="116"/>
    </row>
    <row r="2" spans="1:20" ht="15" thickBot="1" x14ac:dyDescent="0.4">
      <c r="K2" s="12" t="s">
        <v>772</v>
      </c>
      <c r="L2" s="187">
        <f ca="1">EDATE(TODAY(), -4)</f>
        <v>45279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47.066513</v>
      </c>
      <c r="N4" cm="1">
        <f t="array" aca="1" ref="N4" ca="1">_xll.FDSRC("-","DUMMY","ECON_EXPR_DATA('FDS_ECON["&amp;H4&amp;"]',"&amp;$N$3&amp;",,Q)")</f>
        <v>47.884563</v>
      </c>
      <c r="O4" cm="1">
        <f t="array" aca="1" ref="O4" ca="1">_xll.FDSRC("-","DUMMY","ECON_EXPR_DATA('FDS_ECON["&amp;H4&amp;"]',"&amp;$O$3&amp;",,Q)")</f>
        <v>44.378197</v>
      </c>
      <c r="P4">
        <f t="shared" ref="P4:P12" ca="1" si="0">IFERROR(N4-O4,$M$20)</f>
        <v>3.5063659999999999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48.5</v>
      </c>
      <c r="T4" cm="1">
        <f t="array" aca="1" ref="T4" ca="1">_xlfn.PERCENTRANK.EXC(_xlfn._xlws.FILTER(S$4:S$16, ISNUMBER(S$4:S$16)),S4)*100</f>
        <v>42.8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47.254350000000002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35.699999999999996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27.099999999999998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49.829639999999998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57.099999999999994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48.54</v>
      </c>
      <c r="T6" cm="1">
        <f t="array" aca="1" ref="T6" ca="1">_xlfn.PERCENTRANK.EXC(_xlfn._xlws.FILTER(S$4:S$16, ISNUMBER(S$4:S$16)),S6)*100</f>
        <v>50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41.885402999999997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48.224021999999998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42.8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28.519999999999996</v>
      </c>
      <c r="T8" cm="1">
        <f t="array" aca="1" ref="T8" ca="1">_xlfn.PERCENTRANK.EXC(_xlfn._xlws.FILTER(S$4:S$16, ISNUMBER(S$4:S$16)),S8)*100</f>
        <v>28.499999999999996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45.169020000000003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25.64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50.269835999999998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64.2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58.52</v>
      </c>
      <c r="T10" cm="1">
        <f t="array" aca="1" ref="T10" ca="1">_xlfn.PERCENTRANK.EXC(_xlfn._xlws.FILTER(S$4:S$16, ISNUMBER(S$4:S$16)),S10)*100</f>
        <v>57.099999999999994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51.857661999999998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51.857661999999998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46.246628000000001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49.698321999999997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50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67.12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51.963380000000001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64.2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50.388508000000002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71.399999999999991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77.12</v>
      </c>
      <c r="T16" cm="1">
        <f t="array" aca="1" ref="T16" ca="1">_xlfn.PERCENTRANK.EXC(_xlfn._xlws.FILTER(S$4:S$16, ISNUMBER(S$4:S$16)),S16)*100</f>
        <v>92.800000000000011</v>
      </c>
    </row>
    <row r="18" spans="8:13" x14ac:dyDescent="0.35">
      <c r="K18" t="str" cm="1">
        <f t="array" aca="1" ref="K18" ca="1">_xll.FDSRC("-","DUMMY","ECON_DATE("&amp;$L$1&amp;",,, 'MM/YYYY')")</f>
        <v>03/2024</v>
      </c>
      <c r="L18" t="str" cm="1">
        <f t="array" aca="1" ref="L18" ca="1">_xll.FDSRC("-","DUMMY","ECON_DATE("&amp;$L$2&amp;",,, 'MM/YYYY')")</f>
        <v>12/2023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49.286430000000003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51.963380000000001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85.8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88983.983999999997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1696.24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1612711.9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2741.64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2658612.5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973.29600000000005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2223028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16364.638499999999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6367850.5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999.60749999999996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2026340.1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2599.7399999999998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3055768.5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245895.35750000001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52196920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498412.11459200003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52196920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652.88400000000001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3304591.3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276.17849999999999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1079557.8999999999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270.64949999999999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988484.1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408.83249999999998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862353.25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286270.5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512932"><![CDATA[{"FC0000ZA^FG_MCAP_IDX(0,,,USD)":286270.5,"EWI^FREF_MARKET_VALUE_COMPANY(0,,,USD,,0,,\"LEGACY\")":408.8325,"FC0000IT^FMA_MCAP(0,,,USD,\"PORTAGG\")":862353.25,"EWD^FREF_MARKET_VALUE_COMPANY(0,,,USD,,0,,\"LEGACY\")":270.6495,"FC0000SE^FMA_MCAP(0,,,USD,\"PORTAGG\")":988484.1,"EWN^FREF_MARKET_VALUE_COMPANY(0,,,USD,,0,,\"LEGACY\")":276.1785,"FC0000NL^FMA_MCAP(0,,,USD,\"PORTAGG\")":1079557.9,"EWQ^FREF_MARKET_VALUE_COMPANY(0,,,USD,,0,,\"LEGACY\")":652.884,"FC0000FR^FMA_MCAP(0,,,USD,\"PORTAGG\")":3304591.3,"SPY^FREF_MARKET_VALUE_COMPANY(0,,,USD,,0,,\"LEGACY\")":498412.114592,"FC0000US^FMA_MCAP(0,,,USD,\"PORTAGG\")":52196920.0,"QQQ^FREF_MARKET_VALUE_COMPANY(0,,,USD,,0,,\"LEGACY\")":245895.3575,"EWU^FREF_MARKET_VALUE_COMPANY(0,,,USD,,0,,\"LEGACY\")":2599.74,"FC0000GB^FMA_MCAP(0,,,USD,\"PORTAGG\")":3055768.5,"EWL^FREF_MARKET_VALUE_COMPANY(0,,,USD,,0,,\"LEGACY\")":999.6075,"FC0000CH^FMA_MCAP(0,,,USD,\"PORTAGG\")":2026340.1,"EWJ^FREF_MARKET_VALUE_COMPANY(0,,,USD,,0,,\"LEGACY\")":16364.6385,"FC0000JP^FMA_MCAP(0,,,USD,\"PORTAGG\")":6367850.5,"EWG^FREF_MARKET_VALUE_COMPANY(0,,,USD,,0,,\"LEGACY\")":973.296,"FC0000DE^FMA_MCAP(0,,,USD,\"PORTAGG\")":2223028.0,"EWC^FREF_MARKET_VALUE_COMPANY(0,,,USD,,0,,\"LEGACY\")":2741.64,"FC0000CA^FMA_MCAP(0,,,USD,\"PORTAGG\")":2658612.5,"EWA^FREF_MARKET_VALUE_COMPANY(0,,,USD,,0,,\"LEGACY\")":1696.24,"FC0000AU^FMA_MCAP(0,,,USD,\"PORTAGG\")":1612711.9,"ENZL^FREF_MARKET_VALUE_COMPANY(0,,,USD,,0,,\"LEGACY\")":85.8,"FC0000NZ^FMA_MCAP(0,,,USD,\"PORTAGG\")":88983.984,"NQG00809^FG_COMPANY_NAME":"Nasdaq South Africa","CC_ZA^FG_COMPANY_NAME":"South Africa","NQG00809^FMA_MCAP(0,,,USD,\"PORTAGG\")":null,"DUMMY^ECON_EXPR_DATA('FDS_ECON[NTCPMIMFGSA@IT]',,,M)":50.388508,"DUMMY^ECON_EXPR_DATA('FDS_ECON[NTCPMIMFGSA@FR]',,,M)":46.246628,"DUMMY^ECON_EXPR_DATA('FDS_ECON[NTCPMIMFGMESA@US]',,,M)":51.857662,"DUMMY^ECON_EXPR_DATA('FDS_ECON[NTCPMIMFGSA@CH]',,,M)":45.16902,"DUMMY^ECON_EXPR_DATA('FDS_ECON[NTCPMIMFGSA@CA]',,,M)":49.82964,"DUMMY^ECON_EXPR_DATA('FDS_ECON[]',,,M)":null,"DUMMY^ECON_EXPR_DATA('FDS_ECON[NTCPMIMFGSA@DE]',,,M)":41.885403,"DUMMY^ECON_EXPR_DATA('FDS_ECON[NTCPMIMFGSA@NZ]',,,M)":47.066513,"DUMMY^ECON_EXPR_DATA('FDS_ECON[NTCPMIMFGSA@NL]',,,M)":49.698322,"DUMMY^ECON_EXPR_DATA('FDS_ECON[NTCPMIMFGSA@JP]',,,M)":48.224022,"DUMMY^ECON_EXPR_DATA('FDS_ECON[NTCPMIMFGSA@AU]',,,M)":47.25435,"DUMMY^ECON_EXPR_DATA('FDS_ECON[NTCPMIMFGSA@GB]',,,M)":50.269836,"CAGDPY@FR^EE_ACTUAL_ANNUAL(MED,+1)":-1.15,"CAGDPY@AU^EE_ACTUAL_ANNUAL(MED,+1)":0.5,"USDITL^FG_PRICE_CHANGE(0,-3AM)":1.8394232,"USDANG^FG_PRICE_CHANGE(0,-3AM)":0.0,"USDUSD^FG_PRICE_CHANGE(0,-3AM)":0.0,"USDGBP^FG_PRICE_CHANGE(0,-3AM)":1.8199325,"USDJPY^FG_PRICE_CHANGE(0,-3AM)":4.3388724,"USDCAD^FG_PRICE_CHANGE(0,-3AM)":1.7682076,"USDNZD^FG_PRICE_CHANGE(0,-3AM)":3.1957984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],"EWD^FMA_DIV_YLD(NTMA,-10AY,0,AM,\"PORTAGG\",\"MEANR\")":[4.10658685633339,4.05699706704334,4.1471512154331,4.18380595564762,4.26069884142551,4.14325691173149,4.50271891342975,4.14271359646743,4.15425656112496,4.10853464384359,3.67128737280383,3.59335678983807,3.71477611230126,3.83964527514921,4.02026369754913,3.88469336882092,4.05897257367556,4.45085881548837,4.39694919424729,4.16521830291504,4.39867641082854,4.75612412835376,4.39780050447432,4.31475585889011,4.33022589320129,4.45357640181301,4.61394995042471,4.36659523625678,4.25428395150704,4.28130521897875,4.07661703826407,4.04312774345562,3.83182065589598,3.89951512015294,3.64412621412014,3.63830171573328,3.69664506546369,3.43040551157493,3.52322416659464,3.61571399774354,3.79287067293053,3.69017388335513,3.5681633816885,3.64140213389896,3.67701310647497,3.65624177557271,3.88809065457878,3.88744848062447,4.0524072494578,3.94415889676687,4.12203058095518,4.14062963926887,4.09517429964534,4.12590335616309,4.30088539047595,4.46993840135065,4.63828395360975,4.37893456688104,4.12241564004056,4.07994369957444,3.96434695606085,4.19112178304092,4.19086964083461,4.11447485773675,4.32526034929052,3.89842056387304,3.83992569534479,3.67933632702952,3.5668989256817,3.49657380864174,3.42334633579844,4.77898563931625,3.44717895495353,3.28511940316675,3.02652232676363,2.92829050799155,3.01879527838143,2.96360070125199,3.02115292514155,3.01163572049708,3.07918785637133,3.0127729206983,2.98631746002772,2.77572785838734,2.67739967093212,2.83525342166626,2.71030861114013,2.68426057221577,2.74275685065575,2.78291656286128,2.82566397647406,2.93474621382371,2.97097185833616,2.81289831392558,3.06800296030138,3.02486633232152,3.1673914547519,3.4242421727883,3.62136001734343,3.69359853179673,3.46342658468236,3.77923447684383,3.6252791014593,3.61986969368066,3.73026996489475,3.4917374855988,3.52159941920069,3.83499467178376,3.59480363676915,3.75460426934308,3.67220525828507,3.78036970523814,4.00985817859547,3.96341420123974,3.84198653529365,3.7011214646836,2.95228350203,3.05813118590169,3.33119206438515,3.21925755319286,3.27732794893413],"EWQ^FMA_PE(NTMA,-10AY,0,AM,\"PORTAGG\",\"MEANR\")":[13.87773036983,14.036757254923,14.262942046125,13.6361817897718,13.2638355602104,13.8150294326407,12.5489153992832,13.3739452142969,13.6642205665739,14.3101186853963,15.9595539724101,16.5420706782688,16.681820367625,16.2304118300615,15.3773297974517,16.079066522745,15.3308677496785,14.1155153182944,14.6125367310741,15.2278709758064,14.5218531465315,13.4651441857621,13.8843484260046,14.5840893406383,14.735973644746,14.1093168232334,13.4661705103172,13.9280081902963,13.9936144545503,13.6024941273295,13.9861027491849,13.6909639448354,14.5158717167062,14.5177077673905,14.273920010363,14.6149066064755,14.4744740320449,15.1226104411049,14.9809724417214,14.7796352235972,14.5083152258111,14.8685672333167,15.2075955058969,14.8219308118101,15.1032248714443,15.2243997386986,14.6009205691885,14.5360915971499,14.6439213743632,14.9174272652125,14.3617620895396,14.1611141759974,13.6578535341948,13.619201706488,12.8480191887347,12.6135588062794,11.9715870651085,12.5377029770586,13.1933277057201,13.8245518055016,14.117434404387,13.754216614496,13.8425102907275,13.9892381417284,13.4067156635136,14.1035114162592,14.2395568006937,14.8367861856618,14.8549966137264,15.1735496145974,15.1940060503446,10.0410668195819,15.2151726039703,16.7251140382886,18.8169585849043,19.7965740983632,19.5747112269878,18.8765615833967,18.2304175070353,19.2308878332871,18.2775390543907,17.8580785068537,17.8953124024518,18.4694901962062,18.3467198727171,17.7071057432453,17.8114601386069,16.8656119977045,16.5586850823139,15.8907161753266,15.5470690173931,16.0220112935915,15.3728517893677,15.5055143703074,14.5086923030259,13.7353897263833,13.1477264725815,12.1305526803288,11.1531368733634,11.3081622152764,11.8050199614155,10.9692002733878,10.8128355222207,11.9352685096227,11.7529638088832,13.0725024594034,13.4427265686096,12.5903534248567,13.7230486302489,13.3668978210077,13.3461550047671,13.1986817540371,12.7073823799177,12.8162933209845,12.171171633912,12.8232715230129,13.4273472129046,13.228809801529,13.9967806829472,14.617233072561,14.3742650847746],"QQQ^FMA_PE(LTMA,-10AY,0,AM,\"PORTAGG\",\"MEANR\")":[18.8801493608707,18.6988801069234,18.9533380896504,19.2043659196476,19.2815923737566,19.5114343046984,18.4466686644066,20.1160543310593,20.2529168629619,19.5352133605673,20.4984932391602,20.6485317907084,20.3862357443063,20.3449641196392,20.2105916569216,20.4773335090047,20.2612961048779,19.4882471788593,19.7522977909972,20.3607175236638,19.7733955250887,18.2634328835928,18.1874866214075,18.3033545742248,18.5050568707305,18.3256455259173,18.3845919335176,19.1387921696444,19.5809939177438,19.6943265831601,19.9490616937055,19.838745730403,20.3620809062086,20.9901546355609,21.7629193504294,21.6915977042496,21.5527077831868,21.7432083297054,21.7612940494373,22.1768664416484,21.8326028711533,22.3279227632851,22.7125248833635,22.9879963290216,23.9527752515297,24.9227298177188,23.9657419816844,24.0713317525567,23.6319454716044,23.1904498258411,23.3993304405297,23.3769301927965,23.0169954039989,23.0061895802286,21.9609768799479,20.7013601011065,19.2624852907969,20.0599763864504,20.7601571034967,21.0044256456574,21.3003007033449,21.2139642958417,21.4780542376089,22.0357886945743,21.6334057157309,22.3094794022072,22.4496336095543,23.672503706063,24.8215739809486,26.6037633295549,27.2010387721113,23.0490799083727,24.6469648731734,25.9332213440601,27.4591023309779,28.7410645015544,29.7879020392057,29.5646294103188,32.1481851227239,31.9808245188666,34.8551378817442,34.7099584657098,35.0426904257409,32.5871905937378,32.933143288729,31.3615506330571,31.5046649464664,31.8082565801585,30.9287981677109,31.2286984097719,30.9111130156204,32.3291042387004,30.8590140055542,29.579456345449,26.3630434404004,26.6823320745723,26.3264958057133,24.9792189975375,24.014463307094,24.279008970886,26.349523780926,24.0252426063436,22.8136079822702,23.5883636088115,22.4861960628732,23.6470893899269,25.7287243995809,25.3557605241914,25.6767752087176,26.1137841534791,27.1854629395225,28.1735901620593,25.9490459968088,26.5542492886915,26.2792815230603,27.506618780786,28.9289539617735,29.2564431427581,29.9190304623893,30.1110928625782,29.5384434851034],"DDR3512M-FDS^FG_PRICE(0)":0.96972036,"PASP-FDS^FG_PRICE(0)":1060.0,"PLATI-FDS^FG_PRICE(0)":945.0,"DUMMY^ECON_EXPR_DATA('FDS_ECON[NTCPMIMFGSA@EME]',,,M)":51.96338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G^FG_PRICE_MAVG(0,,,,200)":28.535,"EWI^FG_COMPANY_NAME":"iShares MSCI Italy ETF","ENZL^FG_COMPANY_NAME":"iShares MSCI New Zealand ETF","FXI^P_PRICE(0)/P_PRICE_HIGH_PR(0,,,,,,\"PRICE\",\"INTRA\",\"52W\")":0.7884741,"CAGDPY@FR^EE_ACTUAL_ANNUAL(MED,0)":-0.767964482578006,"CAGDPY@AU^EE_ACTUAL_ANNUAL(MED,0)":1.21871580460395,"USDITL^FG_PRICE_CHANGE(0,-1AM)":2.1585107,"USDANG^FG_PRICE_CHANGE(0,-1AM)":0.0,"USDUSD^FG_PRICE_CHANGE(0,-1AM)":0.0,"USDGBP^FG_PRICE_CHANGE(0,-1AM)":2.306056,"USDJPY^FG_PRICE_CHANGE(0,-1AM)":3.6777496,"USDCAD^FG_PRICE_CHANGE(0,-1AM)":1.5728354,"USDNZD^FG_PRICE_CHANGE(0,-1AM)":2.882981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2.8307319,-5.561799,8.090425,-6.3005805,-6.9088817,3.3909082,-12.1905985,2.889359,-3.7190378,-4.65616,10.668659,-1.6293287,2.4844766,7.003367,-2.643174,1.4328718,0.19454956,-5.7605147,4.876375,-7.2036686,-3.2462955,-8.989132,-9.485525,10.657191,-0.8025706,-4.6925545,-1.0186732,-2.707857,2.3572087,-4.340124,3.1481504,-6.328547,14.51844,3.3718944,-2.9003203,6.8573833,-2.9133856,13.787508,0.5702019,4.670477,3.1713247,4.443705,-1.3435721,-1.5888453,1.6144991,9.159255,-1.9713283,-0.7921934,4.8832893,-6.3543262,-5.5972457,-0.39868355,-8.102566,5.9895873,-11.723412,0.31808615,-0.92995167,4.659641,2.4777412,5.364561,1.6852021,-4.442877,2.9835105,5.487585,-9.806681,8.028054,2.4531007,3.6619782,0.76464415,1.7651081,1.0006666,-39.23382,11.576092,2.3380399,15.234017,7.80468,0.6194353,-2.7702928,-2.0182014,12.3182535,6.155479,0.1707673,2.8980613,3.7110686,3.5143852,1.6666532,-0.5629778,-2.6266992,5.2047014,-2.8959334,1.9882083,2.314949,-4.554635,4.7453284,-2.9598296,-10.488642,1.0083437,-6.919098,-6.955433,-6.4317884,8.887922,-4.5034227,-3.5368443,19.074642,-0.98924637,10.747838,4.547,-8.8283,12.815952,-2.461344,4.2104483,5.3117037,-6.1310825,0.90090036,-4.1773024,8.319473,3.594482,0.33067465,2.9631853,7.848823,-2.6954174],"EWN^FMA_DIV_YLD(NTMA,-10AY,0,AM,\"PORTAGG\",\"MEANR\")":[2.79136559214829,2.83927477042187,2.79962617636892,2.92117902022166,3.05920107032426,2.99710707181168,3.28453859731829,3.08823863616394,3.10076029850251,3.03387504756435,2.8150581604224,2.62399874575697,2.68143425885452,2.73897185321627,2.9572576748944,2.81667053387157,3.17063000476017,3.52037059982701,3.40588988344419,3.15449632145446,3.33036748949995,3.39180773227307,3.47185898411981,3.2842317030068,3.24504615433977,3.40278679492159,3.39308996002512,3.23888436355764,3.16041703209502,3.23886909330247,3.10793054599624,3.14423825676435,3.00379622822399,2.96719995865503,2.83885988653288,2.76134753583376,2.79728454599274,2.75399925229295,2.74498051575446,2.78908179527486,2.80887260257175,2.80467224811567,2.74633912645847,2.84393306768217,2.79892529998292,2.76753209412414,2.94222146873073,2.91776475521495,2.91369312922462,2.88207533576421,2.87760760679524,2.87952408902988,2.95657348265926,3.03338317416425,3.1729802720224,3.20517021151715,3.4110031748017,3.32413661648342,3.11910751355892,3.04109009885337,2.95777907764433,3.02952373562659,3.03577739490688,2.94370369552169,3.02564571330945,2.74588343932367,2.74729539506638,2.64504965820371,2.59879372265746,2.57451461308405,2.49261328818368,3.82534009481596,2.85046994375983,2.59901311456047,2.3806634866219,2.324077545118,2.3444477060729,2.33024422864621,2.27226683511372,2.17721055637825,2.02989320797293,1.96606909281491,1.91523353273191,2.00752827471556,1.90607266614583,1.99979806465927,2.01673955056041,2.01996785755066,1.86258313301797,1.85337318279996,1.93470913595237,1.83708553992021,2.0080865542202,2.03817765799494,2.25422524696023,2.24579208874258,2.32213749938801,2.5765870057631,3.5686272539998,3.3148484843505,3.05488062579661,3.76103818314811,3.06477995711853,2.67822200300636,2.74083456685724,2.55537701841243,2.55481964428236,2.76230797525795,2.66101774664321,2.66016528594511,2.6517914821457,2.65972745006268,2.89028366771721,3.00841141058094,3.08323465213639,2.8226430327047,2.67541524100935,2.71462121477104,2.46904986943145,2.60323260637433,2.58501799124237],"SPY^FMA_PE(NTMA,-10AY,0,AM,\"PORTAGG\",\"MEANR\")":[14.9859879962179,14.8864570130049,15.3618211403862,15.3597921745608,15.1629451196307,15.3475942367567,14.4216673069704,15.7243484418968,15.9876166375339,15.9384278995937,16.8617181592275,16.7990530885071,16.6063765210832,16.7690015945212,16.5855101811328,16.6080094788332,16.342064336502,15.2485124762281,15.918646410385,16.3167699047432,15.6839741440287,14.8633281655956,15.5099438140132,15.5167363536305,16.5004635460184,16.5226770167304,16.3100236406347,16.9837643291891,16.9787575123854,16.4848230909905,16.3556927956409,16.6196568958713,17.019118731154,16.9449857393695,17.5894428121593,17.6866127927459,17.2488575878936,17.2146674762137,17.5621413915088,17.6510884307728,17.2345952972235,17.6859722010135,17.908902997272,17.8547288172865,18.4234487710571,18.2979795404326,17.0679000965126,17.0494543503598,16.6373305194782,16.2977817835718,16.515044599858,16.590330175078,16.5737428318053,16.737556466856,15.8570597643033,15.6334845014148,14.5793708465742,15.5176222702284,16.1790743240804,16.4643698437505,16.7520894416395,16.3507663140404,16.5997069083757,17.0625638918443,16.4035626961471,16.9514753971282,16.8908542429871,17.5981507783665,17.9525116562965,18.6496788523071,18.8893041827252,13.8132768210628,19.353797404677,21.0435096855361,21.8774814004049,22.2801478965399,22.3844338020517,21.3800983898598,21.9712401596061,21.6416547136276,21.9627233504787,22.171631474645,22.1004193950768,21.6749821259107,22.4559947785418,21.0435290371737,20.8289454453613,21.2107754183493,20.7540594409114,20.6995394838243,20.7355457176345,21.390237032136,20.746331528686,20.3563197897692,19.0485066378162,19.2567007859986,18.6557462579247,16.5436396123505,15.3323964938762,16.0117924669209,18.0562526798378,16.2715862920549,15.8012082877684,17.1675359322715,16.6778395191745,17.1711213388579,17.9815344802681,17.1797259598507,18.2373824396921,18.239668507101,18.9439679330982,19.593475064081,18.4429518650368,18.580938481834,17.896362096586,18.6319923713907,19.4551659181992,19.5306983094871,20.2505446773372,20.607160058929,20.0577707227666],"EWU^FMA_PE(LTMA,-10AY,0,AM,\"PORTAGG\",\"MEANR\")":[14.2974117416021,14.4157371923195,14.3484527761884,14.3330825487452,14.2334865386202,14.2339070666137,13.4024909452766,13.9706642143549,13.6011842630977,13.6269451519732,14.7502939019348,15.2307560361496,15.4918551181616,15.7136686932075,15.6336906322549,15.799995020816,15.6070244927128,15.0901804977372,15.7571704215956,15.7826198062733,15.2315729108424,14.521775842277,14.9297123568599,15.7212597894704,15.9676354518834,15.9181881508113,15.7986434092372,16.5140841333346,16.9683326325046,16.6543916690216,16.9407043914834,16.2702072317234,16.9360422086708,17.1962414112165,17.2911741921827,17.2626945137543,16.904874254792,16.8508654471438,16.598412962029,16.4491669624544,16.0498766576655,15.846086360393,15.8239672580549,15.1965921933713,15.3178253481361,15.6074496533216,14.7016709983108,13.9431176558217,13.996869884978,14.1322909770927,13.894795443393,13.7930647858222,13.619676469327,13.4047962730083,12.8934060740524,12.7023905463366,11.9578506161675,12.4611106427725,12.8363496045825,12.985311900812,13.02155751431,12.9163043081167,13.0049113886961,13.1034632283309,12.6658274471066,13.0723123764271,13.1235196056637,13.4094379325261,14.0091776444091,14.3314461552574,13.9636109510535,11.8673405880253,13.0284790623684,14.1947728160426,15.0617235250084,15.6553454044647,16.3710486643401,16.8748686987811,16.992364310024,18.5684072069057,19.5485323515862,20.2047061127445,19.5193055003521,18.5719620728916,18.0267344473996,17.3834584630044,16.6892545592469,15.8730767831742,15.0744808889798,14.1489646210826,13.8301395285055,13.0686384564433,12.3622118974574,12.7092958751298,12.6717691032586,12.4501001772895,12.2174356997706,11.7486939133405,11.2047118539013,10.9804292499051,10.7659149257572,10.0367061589797,9.45269242383379,9.76568376223816,9.57589588279331,10.3018603943764,10.3364301582561,10.1241144031,10.4205872966398,10.3334622179396,10.3984792088593,10.4685767004217,10.3254577087974,10.6777127426747,10.5596210310159,10.6948600292592,11.0741170999425,10.9607873664966,11.3518384046307,11.4618393318804,11.5352348100506],"WL-FDS^MAX(FG_PRICE(0,-5AY))":763.4,"NI-FDS^MAX(FG_PRICE(0,-5AY))":48241.0,"CPALM-FDS^MAX(FG_PRICE(0,-5AY))":8163.0,"BRENT-FDS^MAX(FG_PRICE(0,-5AY))":140.85,"TIOS-FDS^MAX(FG_PRICE(0,-5AY))":219.77,"FC0000US^FG_PRICE(0)":375.7351,"FC0000GB^FG_PRICE(0)":119.72415,"FC0000CA^FG_PRICE(0)":283.33072,"EWD^FG_PRICE_MAVG(0,,,,200)":36.12855,"QQQ^FG_PRICE_MAVG(0,,,,200)":395.9102,"DUMMY^ECON_EXPR_DATA('FDS_ECON[PMIDMMANHE]',,,M)":49.28643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8805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US^EE_ACTUAL_ANNUAL(MED,+1)":-3.05,"CAGDPY@NZ^EE_ACTUAL_ANNUAL(MED,+1)":-6.35,"USDITL^FG_PRICE_CHANGE(0,-1AY)":2.8811336,"USDANG^FG_PRICE_CHANGE(0,-1AY)":0.0,"USDUSD^FG_PRICE_CHANGE(0,-1AY)":0.0,"USDGBP^FG_PRICE_CHANGE(0,-1AY)":-0.14463067,"USDJPY^FG_PRICE_CHANGE(0,-1AY)":15.426243,"USDCAD^FG_PRICE_CHANGE(0,-1AY)":2.7565122,"USDNZD^FG_PRICE_CHANGE(0,-1AY)":5.055797,"EWA^JULIAN(FMA_EPS(NTMA,-20AY,0,CY,,\"PORTAGG\",\"MEANR\").DATES)":[38352,38716,39080,39447,39813,40178,40543,40907,41274,41639,42004,42369,42734,43098,43465,43830,44196,44561,44925,45289],"EWD^FG_TOTAL_RETURNC(-10AY,0,AM)":[-2.4972916,3.674841,-1.1278272,-2.640313,-1.664269,-0.29180646,-9.130812,7.4396133,-3.2213748,-3.3697367,9.396195,-0.05903244,-0.9450674,3.0709505,-1.0124326,-2.0779788,-2.2551715,-4.898858,0.7976055,-1.1539757,-5.0366936,-8.067417,6.3097477,5.8273435,3.0591369,-5.1780996,-1.6347826,1.6063809,5.1374793,-2.1335125,0.14064312,-4.1081486,4.174304,3.1107068,5.1824093,2.3014545,-1.4258504,6.9752455,2.7644277,2.6599288,-1.9807756,5.349183,1.2694001,-4.45683,-0.4081607,6.5891504,-3.1900048,-1.2320936,-2.030754,0.7995248,-4.200941,0.006043911,-0.12836456,3.181231,-6.5711617,-2.2333324,-4.136425,5.231309,2.5363564,1.9459128,5.758655,-7.066381,1.5030503,1.0709524,-8.245039,8.444607,2.6955128,3.2080412,5.449891,1.1456132,0.059616566,-33.958893,20.117271,4.881716,10.227335,11.40436,4.2117596,1.908505,-0.3855765,7.4094534,3.8862705,2.1467686,4.521024,4.3020844,8.33894,-0.20691752,-3.1240165,2.6719213,1.0238886,-0.71790814,0.12761354,2.803743,-6.6415367,-0.9544313,-8.780819,1.1874676,-5.368286,-9.498686,-6.9749236,-0.8061886,7.15214,-10.406548,-1.5238762,12.24209,0.26358366,8.48186,1.4164329,-8.603346,12.102688,-2.0992398,0.05569458,2.699697,-11.30082,0.56523085,-1.1696875,8.853364,11.522174,-5.3409815,5.126095,4.6936154,-4.383564],"EWQ^FMA_DIV_YLD(NTMA,-10AY,0,AM,\"PORTAGG\",\"MEANR\")":[3.49627884909893,3.43694173022317,3.39034112805689,3.52354481605033,3.63593253214733,3.49974171746325,3.87472559405058,3.66289379238836,3.66344136667918,3.5576478375526,3.20915434214895,3.19216760110569,3.14031168721663,3.26910958493134,3.42643716095486,3.25096374377281,3.3795361040612,3.70337981965658,3.55328513884346,3.43700518954896,3.61696756965443,3.97060678912394,3.9065091765626,3.71027810918527,3.68329925890064,3.81837487469196,3.95602012329049,3.80301999935607,3.72896871189953,3.8135661315122,3.70952777022391,3.73156646713705,3.50085564196863,3.46411799465155,3.49149768559694,3.40389905856789,3.44040193220652,3.26119720288567,3.28652961139152,3.35506506266417,3.41113704907119,3.34248411890569,3.2756793287759,3.34166826220579,3.25571036096467,3.21944918481315,3.37624098390326,3.38458889508576,3.34567367045535,3.26335878984565,3.38032141544916,3.38830018381175,3.49083191098522,3.48602466620543,3.68481745150944,3.76640097552337,3.98212777530591,3.87909385699134,3.70692515352674,3.54654274911155,3.47231922740722,3.56739706908919,3.53952939008413,3.53363978602767,3.71485513933603,3.51472954004687,3.51209770241445,3.35951102675947,3.36131462877275,3.28710637434256,3.28936618383499,5.24815543406154,3.78783673307291,3.51075306035733,3.14575109801497,3.05748104904083,3.14461979416368,3.16536702053682,3.20641427174464,2.90262679581318,2.93234896282176,2.92806263235391,2.86161230846823,2.73680176511333,2.67926623873348,2.71734390046248,2.66893634259228,2.7357767299175,2.71622685142542,2.82229423453081,2.8417962652422,2.7174661217629,2.82357296380611,2.78495833078127,2.95085878851957,3.10859367709543,3.13141071487991,3.26980877930824,3.55522423703797,3.45085978904391,3.26508338796164,3.55246259837005,3.59435896846251,3.29722788852483,3.39138624452294,3.09927026778988,3.10125040084973,3.33443507050359,3.09492110001252,3.18378489617661,3.21327309523536,3.27007447563943,3.39426445063261,3.34870793968551,3.51544400506534,3.36454932746458,3.22770125275538,3.29025753141109,3.1675845457079,3.06441021829017,3.13307174610877],"QQQ^FMA_PE(NTMA,-10AY,0,AM,\"PORTAGG\",\"MEANR\")":[16.7658884624112,16.598622804596,17.3149205860625,17.6821952184668,17.6803485341112,17.7723845777522,16.3570414656842,17.9998480651238,17.8516742420452,16.9330232799213,17.9255563498927,17.9886510030795,17.6946380889642,18.089710941413,18.0420002990791,18.6502740976733,18.3906016216898,17.3818247581529,17.7982614318244,18.6424247427647,18.014363407706,16.6737264004486,16.7348765981438,17.5937306385027,18.1216326157745,17.3863203094486,17.3392188765082,18.4324648296094,18.7680377592317,18.5111857492327,18.4127598414023,18.1118326256507,18.3237547324015,18.6737020095543,20.083947065919,20.1588511394013,19.8634730377054,20.4327921918516,20.3634873398926,20.8223797075666,20.1422685649617,20.5598566840973,20.6582006968146,20.8327306115383,21.3885348638468,21.8296535212286,20.6398029045591,21.1703525274099,20.3977017127256,19.8861687002021,20.8117317496319,20.9694290438767,20.4708595873138,20.5453473068121,19.384432874829,18.624333458586,17.5541969815317,18.6123192003185,19.5287904397589,20.2578514145155,21.0711143290508,20.449279332865,20.6931475038134,21.3022885225746,20.3281675363018,20.8495821302527,20.6184008507762,21.6564779909399,22.3323879332996,23.7403873830029,24.3505758535507,18.3100215180604,24.3781998474104,26.684065420129,28.3191491522651,29.3211787246078,29.8295504693453,28.1272411996303,30.015374388316,28.9788370144719,30.2277698846768,29.6062108107944,29.8621499357363,27.3799150682457,29.7510795212621,26.2479538959157,27.4331398492484,28.3574742264274,27.4332258820599,27.9876324155041,27.8488154828504,29.7941049751832,28.2106866849329,26.999364977579,24.4590805053909,24.9321291726947,23.9033207676227,20.6538905309826,19.3627282583577,20.632950416474,24.0472879340172,20.9876374057465,19.9648961509394,21.7048818923376,20.8801568576861,21.8052537641695,23.7858269611691,23.8382467108487,24.7477366053342,25.4351256261744,26.9904359614378,27.7145307555795,23.7801090433183,24.0566496439689,23.3064535215606,24.4016172575708,25.1249437506356,25.1375489648275,25.9042023481055,25.980679464786,24.9067985720621],"EWL^FMA_PE(LTMA,-10AY,0,AM,\"PORTAGG\",\"MEANR\")":[17.0799956913747,17.2027851521752,17.2002979834569,17.0933454039665,17.185856804859,17.4615478991135,16.4940178057016,17.5777052678182,17.3121792783355,16.0147467139515,17.5894556211817,18.0260149057825,18.1470940788579,18.1129756429318,17.8432491946054,18.2476272129439,18.0232214393374,17.2947333358471,17.527806045658,17.604302317232,17.1161449303724,16.0796320553105,16.6610559266944,16.6321153341155,16.8373934662109,16.8810693887252,16.7788647120966,17.3512372529637,17.8764328842955,17.834477350752,17.8816384589694,17.5888175585835,18.0667534293573,18.4825961914988,19.6449691518581,19.6392922106911,19.3377426788187,19.4603138540057,19.5015116689712,19.4141778212737,19.1062351214455,19.3333008242813,19.803239384735,20.2034023693973,20.757961930396,20.995998176573,21.802982471816,20.9690547696546,20.45979073565,20.1199021906379,19.3633570075244,19.3201524565921,18.8620215004848,18.5369148771029,17.7342230373897,17.6385673064002,16.5707885392989,17.4263598849173,17.9059655420583,18.3116884181736,18.2983741790456,18.1834695847756,18.3624483527361,18.4372366382442,18.1158404315763,18.3709861921922,18.3507862610808,18.943605900806,19.4120702786806,19.993372715883,20.1392776341087,17.4031057345383,18.3343209655167,18.9348394808949,19.4931312983646,20.1681831161812,20.4387780509377,21.0549448262468,20.9094031595049,21.3967619777134,21.5053456525426,21.9739840292278,20.9304374800129,20.4751999219453,20.6496100222041,20.4798508861101,20.8663274700423,20.9527683199598,21.290966476008,20.5528427778215,20.4960940311522,21.0154436308988,21.234487271638,20.7849712145836,18.3973275737439,18.557000925214,18.6846854739522,18.1106747968798,17.3556958663355,17.7684094661169,18.3059658836801,17.5624428838475,17.4885458383242,19.5508362469905,20.0034162241073,21.4288027807276,21.3325768589696,20.3872833750517,20.38379322278,20.0343155275886,19.5036825296999,19.2155938227319,18.6384229769193,18.7193508324973,18.0553863332263,17.8846575293913,18.3596394143087,18.2128212970266,19.0017802714621,19.1784917428992,18.9194869412522],"WL-FDS^FG_PRICE(0)/MAX(FG_PRICE(0,-1AY))":0.745218758187058,"NI-FDS^FG_PRICE(0)/MAX(FG_PRICE(0,-1AY))":0.712999216914644,"CPALM-FDS^FG_PRICE(0)/MAX(FG_PRICE(0,-1AY))":0.900851714348111,"BRENT-FDS^FG_PRICE(0)/MAX(FG_PRICE(0,-1AY))":0.870614479821537,"TIOS-FDS^FG_PRICE(0)/MAX(FG_PRICE(0,-1AY))":0.748820754716981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35722,12.2539581193409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2.99561673751749,"CAGDPY@NZ^EE_ACTUAL_ANNUAL(MED,0)":-6.9,"USDITL^FG_PRICE(0)":1817.1554,"USDANG^FG_PRICE(0)":1.79,"USDUSD^FG_PRICE(0)":1.0,"USDGBP^FG_PRICE(0)":0.8035033,"USDJPY^FG_PRICE(0)":154.625,"USDCAD^FG_PRICE(0)":1.37555,"USDNZD^FG_PRICE(0)":1.690903,"EWI^P_PRICE_RETURNS_PR('52W',2,-10AY,0,AM)":[52.48313,28.849852,42.681683,37.084793,14.103878,13.82078,-7.6397896,-2.6109755,-4.0139856,-15.6409855,-9.831339,-14.528698,-14.8165045,-3.4826994,-13.067066,-4.063618,1.2889385,-7.6764345,13.138235,-0.54891706,-0.060611963,-2.026105,-21.97556,-12.230289,-15.045381,-24.331284,-21.443718,-26.209194,-24.616444,-25.625664,-24.741203,-24.03146,-12.321388,2.1294117,6.9940567,5.2064657,3.5462499,23.623812,29.839754,35.133995,36.208797,48.715973,42.23994,45.736156,32.598568,40.022217,40.240894,30.625105,41.78182,16.684639,9.528971,4.224527,-6.414014,-5.7903824,-15.702367,-14.491522,-16.220648,-19.67408,-15.668732,-10.817247,-13.536608,-12.9154625,-3.7522435,1.9358277,-0.1401782,1.9697189,18.34525,22.29004,24.381805,21.176386,19.19862,-31.255405,-25.14928,-19.21587,-9.606105,-6.768531,3.0582666,-7.2433114,-10.75725,-3.8838446,1.2582898,1.4656425,1.5443206,73.308075,64.71742,59.73121,37.834274,25.71392,30.170572,28.577673,35.318066,23.266352,10.115361,15.891242,9.293663,-5.6703863,-7.954061,-15.727353,-22.954416,-24.22639,-21.57355,-23.981773,-27.050144,-15.100598,-13.165337,-6.8821964,0.22763014,2.360022,14.126873,19.592535,33.944332,50.755333,29.961527,37.316288,36.40461,24.770176,29.828632,17.616676,16.098642,37.023376,18.183672],"EWN^FG_TOTAL_RETURNC(-10AY,0,AM)":[0.039184093,-0.43047667,3.6581278,-4.8482895,-1.9902587,2.6937485,-8.837771,7.7025175,-0.2971828,-2.5025845,6.109464,3.5185933,-0.88837147,5.1831603,-1.9636929,1.3309002,-2.8301895,-7.417476,4.3624163,-0.40192604,-4.963684,-6.0072184,2.454555,9.272396,1.2180328,-3.4496605,-2.5758147,1.9217491,5.4329395,-2.777779,1.4906883,-4.3655634,2.3037553,3.822887,4.7599673,4.4271827,-0.278908,8.223009,1.1026859,2.8820276,2.0456076,3.1547785,1.5928626,-2.3518324,2.5690436,5.194366,-3.3522844,0.3406644,1.9753098,-3.2990336,-0.8137703,1.3376951,-4.1139307,0.16502142,-6.8204284,1.1315465,-5.7370243,2.348113,7.028401,3.164339,3.232193,-2.3642182,1.3545394,3.6056876,-4.533845,5.9197307,1.294601,2.4314165,2.1831393,2.0933032,0.14644861,-34.396015,23.718239,4.7927976,12.085926,6.0493827,3.317809,-0.8732438,3.4668922,5.026102,8.066583,3.8601637,6.381488,-2.1533728,9.027624,-0.5767226,-0.5264282,0.3354311,5.6414604,4.1337013,-2.7920246,3.4974575,-9.803277,1.1764765,-6.5822244,-4.4898868,-6.074005,-8.8701725,-5.935085,1.6105413,7.838607,-10.502398,-6.3601074,20.72704,0.24892092,10.259808,1.5628815,-6.486744,7.4430346,0.68331957,1.9249678,5.084741,-9.456473,-4.7096133,-5.23687,13.552225,5.830562,-1.3526142,8.566833,1.650095,-1.7481804],"SPY^FMA_DIV_YLD(NTMA,-10AY,0,AM,\"PORTAGG\",\"MEANR\")":[2.1822895838876,2.16876791286314,2.09662659628692,2.09220855101544,2.11421554243299,2.08881831252617,2.23666301759582,2.07928408186141,2.09189909267638,2.15191508541109,2.10566773466853,2.15652720835578,2.17146331957043,2.13587628031195,2.15055758360269,2.14742936463874,2.2054966951715,2.37530461338098,2.29143583581959,2.26980457390121,2.35456300707597,2.52577322652888,2.45182025901469,2.47519773454617,2.29179874134034,2.29270141173246,2.30651609115288,2.21527882536496,2.20145066959804,2.25397209924511,2.25495504580337,2.22829621377905,2.16622740508032,2.1673892635977,2.11331848463476,2.09887528084817,2.1422831361168,2.13513498799556,2.08657704583377,2.08932907731983,2.13162864726519,2.07112237171038,2.03491244531615,2.01951765321519,1.94610147555024,1.88657141702778,1.96390334886112,1.96977148500469,2.01843802190974,2.03545198735894,2.00876549917431,1.9975387581491,1.98834390657188,1.95974024764434,2.06891448110474,2.09826917852094,2.27471056696999,2.18027973387759,2.10816995418462,2.07964775504558,2.04865490057151,2.09084825743899,2.06222669088818,2.01945631864582,2.10223589074751,2.03135158350234,2.05449803870185,1.98008937503882,1.95555959017429,1.88474252253525,1.87547686452081,2.63953254932545,2.14012061352184,2.05276936939784,1.93286886651364,1.84429243146746,1.75817417164925,1.80022443760721,1.71781403298747,1.67933463337181,1.62184245895009,1.57750184465775,1.53431157401028,1.5443149626513,1.4540453797793,1.48163758649989,1.48156129309368,1.44720079783146,1.43475050010321,1.43173901762723,1.42424953435735,1.36648307613404,1.39732266311598,1.41608197691966,1.51283470727679,1.47767482621203,1.50212580752915,1.69191963675555,1.81982012931444,1.75813064061019,1.58779513128753,1.76800327044546,1.84858826080843,1.74709298452346,1.80075888719772,1.77261010700683,1.71910330425446,1.79417115463616,1.70272034914865,1.68118463017085,1.6115774763234,1.56372610873179,1.64277244160174,1.61916617783919,1.68184175979761,1.61436840190243,1.54932279374079,1.54473618204826,1.49616369245192,1.45730620887522,1.49379854275783],"EWU^FMA_PE(NTMA,-10AY,0,AM,\"PORTAGG\",\"MEANR\")":[13.2439282665258,13.7145585489155,13.5981888171849,13.5845892674017,13.4584368299812,13.4595589320957,12.5181958946333,13.4950082559736,13.5767759255815,14.2009914453255,15.5251456423834,15.6114978126605,16.0350693373536,16.120855033741,15.485614844093,15.6018789049891,15.0615006661324,14.4146526173206,15.2865242054251,15.2681498794073,14.7860308826089,14.588535689747,15.296167772572,16.3107524957874,16.4880839124014,15.8302422277685,15.1801328652566,16.1010128421809,16.2557035013487,15.4392493465808,15.2698049617466,14.2591252250582,14.3474304248576,14.3832072354935,14.5152731486049,14.5510663947547,14.1733147972066,14.7263241411216,14.6005985663932,14.6584263863953,14.3598511633145,14.467843416486,14.6082165982934,14.2150545605185,14.527737246319,14.6716770372416,13.7878042820511,13.3941611708345,13.6632943242707,13.9865764791781,13.3701948499989,13.1272608755121,12.7957001057414,12.4769854863975,11.8392145283333,11.7389457056459,11.3304307907696,12.0274366857112,12.4858689884881,12.6996651726729,12.7565639625631,12.3779271375409,12.537680642321,12.6089352688572,11.8195668557379,12.3618267368214,12.3987223349943,12.8260097664957,13.4183540195382,13.6208464082618,13.3003766558535,9.72645211271596,13.7102406772503,15.5141163064369,16.0902154888453,16.0126684692458,15.5929563069901,14.9387612209464,14.1626001314181,14.8410237652317,14.6754010275218,14.4658409862861,14.1896033178269,14.0393992610782,13.623990812398,13.3149024160161,12.886113293343,12.3717236276984,12.3059634754658,11.7878293750808,12.2548253232911,12.0341600731379,11.927028143704,12.4442864929523,12.1458130526728,11.6153706642803,11.1584871010013,10.2835006575418,9.51373182929366,9.64235830118793,9.81638974291895,9.0916498729571,8.69707609983172,9.55979276136485,9.65535589266653,10.6007896962877,10.6982000658722,9.78301734008226,10.8482112101689,10.4337071833589,10.5011317447909,10.470591716244,10.1468403173376,10.5582242634827,10.3319688329702,10.3738385743067,10.7595687428811,10.6978514296419,11.2020330485963,11.2773261026721,11.4417257444358],"EWJ^FMA_PE(LTMA,-10AY,0,AM,\"PORTAGG\",\"MEANR\")":[15.3340278304418,15.0839231576337,15.2991731999135,15.2157735605023,15.0453332996219,15.3544393013139,14.0298153948272,15.9060560208414,15.491978084427,15.3457663960416,16.4694759908414,16.9642141888611,16.8985551028021,17.0404127211624,16.7615353277859,16.8815462465843,16.8296048670738,15.2866446796941,15.4915291469703,16.157097154581,15.5532237789682,14.3185797866969,13.794974379889,13.8494618941017,13.7351374768231,13.9164624109396,13.6701820351596,14.1688760852166,13.9593034903647,14.1347798618028,14.4505868129787,15.1451267043615,16.6375511216123,16.2930422446136,16.1937095795299,15.9012283865276,15.492556307362,15.6158235232923,15.6225392401355,15.4552293586817,14.9971727437384,14.8217229504204,15.2416312125801,15.6017854248111,16.2590068511594,16.8505866258692,15.0221899402473,14.3822592309669,14.2612596740935,14.3317959024751,14.094598105101,13.9337998357974,13.5574427994852,13.6988984578619,13.2382035140746,12.6288741947664,12.0735978036362,11.9929564206288,12.4088731088842,12.7206546004767,12.7587795397055,12.6663197368101,12.7325647979852,12.8179090619702,12.6469793055275,13.4958402679729,13.7414676357525,14.4855837084263,15.3166294041676,15.4731264552842,15.1050371556725,13.5047075309832,14.0759240918118,14.5909590172255,16.7687615071478,17.5290641513725,18.2019503112811,19.9030882665456,20.3616855847246,22.0646431749298,23.0413604844244,23.9745366842032,23.1145133329686,21.5796268976195,21.1151101589515,20.3572501548075,19.9747312106253,19.4278846101706,18.5700271527248,18.754623795686,17.8085276646233,17.4538922755505,16.3099404039419,15.8761933730252,15.0187532477433,14.6198208641766,14.4111523812916,14.2320015392008,13.8379451183977,13.8145502930045,14.0566924158642,13.5805908469356,13.1829696144806,13.5168099355542,13.2700366334496,13.1336528179075,13.5613231436606,13.5882860319578,13.7393702870398,14.0713571947887,14.5603610467756,14.509068725505,14.3650320477976,15.2878936088774,14.7383049344814,15.3470127989309,14.9588748143105,16.1943807084692,16.8018835504419,17.0026720637064,16.9229752669108],"WL-FDS^FG_PRICE_CHANGE(0,-1AY)":-15.8556426564118,"NI-FDS^FG_PRICE_CHANGE(0,-1AY)":-27.0432692307692,"CPALM-FDS^FG_PRICE_CHANGE(0,-1AY)":-0.362318840579712,"BRENT-FDS^FG_PRICE_CHANGE(0,-1AY)":-2.56468452110759,"TIOS-FDS^FG_PRICE_CHANGE(0,-1AY)":-10.2958284859565,"EWD^FG_PRICE_MAVG(0,,,,30)":40.12,"QQQ^FG_PRICE_MAVG(0,,,,30)":439.60132,"EWG^FG_PRICE_MAVG(0,,,,30)":31.136667,"EWN^FG_COMPANY_NAME":"iShares MSCI Netherlands ETF","EWD^FG_COMPANY_NAME":"iShares MSCI Sweden ETF","FXI^FG_TOTAL_RETURNC(0,-3AM)":11.843931,"EWJ^P_PRICE(0)/P_PRICE_HIGH_PR(0,,,,,,\"PRICE\",\"INTRA\",\"52W\")":0.9281898,"VWO^FG_TOTAL_RETURNC(0,-12AM)":4.1839004,"VGK^PERCENT_CHANGE(FMA_EPS(+1,0,,,,\"PORTAGG\",\"MEAN\"),FMA_EPS(+1,-1AM,,,,\"PORTAGG\",\"MEAN\"))":-5.01320984237334,"EWD^FG_TOTAL_RETURNC(0,-1AM)":-4.383564,"EWQ^FG_TOTAL_RETURNC(0,-6AM)":16.17651,"QQQ^P_PRICE(0)/P_PRICE_LOW_PR(0,,,,,,\"PRICE\",\"INTRA\",\"52W\")-1":0.36632347,"EWU^FMA_PCT_ABOVE_MAVG(200,0,,,,\"PORTAGG\")":60.7142857142857,"EWJ^PERCENT_CHANGE(FMA_EPS(+1,0,,,,\"PORTAGG\",\"MEAN\"),FMA_EPS(+1,-3AM,,,,\"PORTAGG\",\"MEAN\"))":-2.91053547423555,"EWC^FG_TOTAL_RETURNC(0,-3AM)":3.3081055,"ENZL^P_PRICE(0)/P_PRICE_HIGH_PR(0,,,,,,\"PRICE\",\"INTRA\",\"52W\")":0.8576998,"URTH^SIZE(FG_CONSTITUENTS)":1469,"EWN^FMA_COS_DOWN(\"EPS\",\"1M\",+1,0,,,\"PORTAGG\",\"MEANR\")":14.0,"EWL^FMA_COS_UP(\"EPS\",\"1M\",+1,0,,,\"PORTAGG\",\"MEANR\")":24.0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4367906473,20.3410497668105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USDGBP^FG_COMPANY_NAME":"British Pounds per U.S. Dollar","EWQ^FG_TOTAL_RETURNC(-10AY,0,AM)":[2.1258235,0.6261587,1.9845247,-4.8766494,-3.9469004,1.4925361,-10.675383,4.9186945,-1.5742898,-2.6211262,7.340944,-0.49391985,1.8327594,3.4870625,-3.115946,1.3875961,-1.1627913,-6.4895687,4.6672106,-1.822418,-4.976302,-7.770938,3.0303001,7.287097,0.9410739,-3.2428026,-0.96355677,0.88602304,4.5591354,-3.5787702,2.2184253,-3.3806324,5.226791,3.1609058,-0.079876184,4.3565154,-0.49789548,11.5473385,1.3112545,1.7289162,0.13623238,4.0476203,1.8633485,-1.4120698,1.985681,5.490458,-2.4279177,-0.8398235,3.0426621,-0.4566133,-2.3853242,0.29798746,-3.4757674,2.3785949,-6.7763805,-1.5576303,-5.863011,2.401507,4.9835086,5.130899,2.1912336,-2.8265119,2.9592395,1.6971707,-5.988222,5.499482,1.220727,4.2372823,0.93369484,2.3284674,-2.3361683,-37.7757,20.41937,1.036489,12.424469,5.8045506,1.5277743,-0.37620068,-1.3044953,11.72173,4.218209,0.48033,2.210927,2.3384929,5.855477,2.8332472,0.95784664,-2.2338986,3.4139752,-1.2477219,1.1318684,4.4247866,-4.8668265,4.2811036,-3.150016,-6.158352,-2.5284052,-5.625182,-5.571204,-0.404042,7.978368,-8.046335,-1.9748032,14.102114,0.26904345,10.877514,3.1876922,-6.391472,12.062586,-1.6247749,1.0220051,2.5594115,-5.6786356,-0.72894096,-6.2007008,8.176279,4.5832157,-2.2119224,3.112638,5.525708,-3.490907],"QQQ^FMA_DIV_YLD(NTMA,-10AY,0,AM,\"PORTAGG\",\"MEANR\")":[1.42599569709091,1.36108411118471,1.29271230164068,1.24390524008023,1.22691945960181,1.2237062574339,1.32273539493375,1.20771292580135,1.21614396894182,1.2356419380417,1.22694432320452,1.24719601365242,1.27587998522588,1.23385687586566,1.23619548283646,1.20494627732835,1.27896330519033,1.35073501088718,1.31890351116958,1.27537320258251,1.31749459218029,1.39902408568162,1.42378277712552,1.35619406980042,1.31698923386867,1.39635147287947,1.39085088142677,1.31731096725354,1.27597037574183,1.2805825751655,1.27263016391919,1.29414316509085,1.28330983663402,1.25611945277724,1.22228062311592,1.21153958318729,1.22407711765224,1.18816597570602,1.18417111945239,1.1705016148493,1.19792496937399,1.16243030629624,1.1406913341471,1.11039407428718,1.07906830380132,1.03928408122566,1.07551022921951,1.04764985965845,1.08673525098396,1.09757583560406,1.04018742267516,1.03121051046054,1.08343174443854,1.0784307480994,1.14540180133634,1.19460079800683,1.29028669272295,1.23608899103476,1.19597581977355,1.14126971613215,1.10041734651795,1.13461876556907,1.12257706257656,1.08562036995824,1.12853164840437,1.0938485468261,1.10380445681907,1.05706118030084,1.05979996496252,1.00119265494381,0.958579842458063,1.29438310372456,1.04959925817893,0.979145799096155,0.90803791188323,0.857788049578648,0.80207205029495,0.836947939371678,0.776618250044382,0.778944484879098,0.732490447495095,0.771151761506993,0.731494847930652,0.784879341226898,0.717547949769634,0.765263259528729,0.727450257687787,0.699884284129202,0.712179254300133,0.693417694016207,0.701090333561151,0.655356766542031,0.689016138008582,0.719023657364178,0.793258306693379,0.780664273159444,0.812192984142196,0.952252865600143,1.01538265977627,0.971428378964494,0.857918526068155,0.983945430739714,1.05760651361785,1.01802802442144,1.0521387759936,0.999873491518873,0.935291053156139,0.927523294807492,0.891029663967927,0.828371416854025,0.767372576678838,0.734041602802477,0.919640556155668,0.891068497973639,0.937996029094813,0.893474772870885,0.921159518688335,0.907819890510191,0.89427526948029,0.896431581093821,0.926191339666435],"WL-FDS^FG_PRICE_CHANGE(0,-6AM)":-23.3081693178754,"NI-FDS^FG_PRICE_CHANGE(0,-6AM)":-1.40768814293449,"CPALM-FDS^FG_PRICE_CHANGE(0,-6AM)":9.44547625364818,"BRENT-FDS^FG_PRICE_CHANGE(0,-6AM)":-9.55440851153482,"TIOS-FDS^FG_PRICE_CHANGE(0,-6AM)":-9.29333669439543,"EWD^FG_PRICE(0)":38.39,"QQQ^FG_PRICE(0)":423.41,"EWG^FG_PRICE(0)":30.04,"CC_US^FG_COMPANY_NAME":"United States","USDITL^FG_COMPANY_NAME":"Italian Lira per U.S. Dollar","USDANG^FG_COMPANY_NAME":"Netherlands Antilles Guilder per U.S. Dollar","USDUSD^FG_COMPANY_NAME":"U.S. Dollar per U.S. Dollar","USDJPY^FG_COMPANY_NAME":"Japanese Yen per U.S. Dollar","USDCAD^FG_COMPANY_NAME":"Canadian Dollar per U.S. Dollar","USDNZD^FG_COMPANY_NAME":"New Zealand Dollar per U.S. Dollar","EWD^P_PRICE_RETURNS_PR('52W',2,-10AY,0,AM)":[19.022537,16.322994,14.701247,11.504269,5.1326394,-0.7330954,-6.463897,1.9783735,-1.8914223,-10.660702,-0.2387762,-4.763162,-3.2470107,-3.8105726,-3.6983192,-1.6176641,-3.7241101,-8.172571,4.554367,-6.2868,-8.044624,-11.108625,-14.983291,-9.975934,-6.33679,-13.832914,-13.97242,-11.152959,-4.433256,-4.077154,-2.295357,-5.215412,0.7576823,16.621017,15.342844,11.540043,6.6859603,20.359934,27.272964,27.046597,18.445004,27.501095,28.938246,28.140938,22.818232,26.961494,16.028059,12.890768,12.126923,5.6537867,-1.5074134,-4.053569,-1.9781649,-4.2521057,-11.665165,-10.933739,-12.993235,-14.101612,-8.968502,-6.0932755,1.3731122,-6.3725176,-0.97269416,0.081801414,-6.611514,-3.3616006,6.2234044,12.135458,23.348951,20.021034,15.696037,-25.051481,-14.797693,-3.9318204,4.3253303,14.498579,30.602896,22.731281,22.095537,23.895359,22.058224,25.66353,28.76252,103.361176,91.84918,74.52108,53.3821,43.627693,37.03501,33.79811,34.191086,28.436958,15.623236,11.916995,-2.326101,-5.242795,-17.231632,-24.938225,-29.330439,-30.36372,-26.139486,-34.721733,-34.44667,-28.428251,-24.389011,-15.811414,-7.7748537,-14.603853,0.1516819,8.340157,16.528261,20.64681,-0.13011098,12.100148,12.503349,9.610451,21.358335,5.8947563,9.983277,25.738,7.2464943],"EWL^FMA_PE(NTMA,-10AY,0,AM,\"PORTAGG\",\"MEANR\")":[16.023420409519,16.3823125354432,16.2597292303357,15.9216256522021,15.9032261977891,16.2078991942214,14.9560518475671,16.1131739742,15.8170251034404,15.0684969938974,17.2324734944352,17.7511728847068,18.0300186729242,17.7896528954111,17.079843833113,17.7916840278546,17.4422754016202,16.4272544897483,16.6347215803529,16.9942165715685,16.5793536674705,15.6865596623357,16.2875773825402,16.4649299305242,16.9046857241127,16.6839023987451,16.2081043403575,16.9922760736844,17.4437443943942,17.0451400333788,16.81994511989,16.4152512498233,16.7363261949343,17.0428851924238,17.5057578485245,17.78664483832,17.1959098640233,17.8483372203613,18.0083303832634,17.901140782051,17.4238704641024,17.682909559415,17.9393732060245,17.6075578838931,17.8266139712804,17.8307879096938,16.906642917335,16.3443899736394,16.1500442553059,16.2786801961972,15.4693394129048,16.060394139477,15.9429735073554,15.9046489984745,15.271439293844,15.4614244484418,14.6842077272576,15.5836518380407,15.8878373452864,16.5566940354911,16.8729257710156,16.7232838614962,17.1760346126428,17.2425924101895,16.7193476877597,17.0462458125477,16.9761737979326,17.4310149737698,17.6976437301445,18.2229273399078,18.4785927254434,13.9790874264111,17.8451703911572,18.8150490075751,19.4679109999673,19.9635500399866,19.5324478393176,19.6375739151113,18.8835549784241,19.0863968406121,18.6406614987365,18.9722161674259,18.730246308261,18.713393784016,19.5032024652773,19.0370029978502,19.8191424590105,19.7852021517226,20.1285646599771,18.9321525249499,18.778482694756,19.3723139646363,19.4865517128557,18.8402516412754,18.0838679852456,18.3097336506443,18.5222604368916,16.772701621848,15.1852769528944,16.1589367933536,16.7739438563327,15.6646012653244,15.4544358304208,16.7596316419502,16.3163836625688,17.4287427966833,17.3205236707445,16.3645322204117,17.4958535770358,17.2214308842303,16.6682321101236,16.6274645193074,16.2027918837834,16.5169557855159,15.8649081105619,16.1020436197373,16.768776123489,16.8369418871169,17.3858455905395,17.6596696503941,16.9985445497671],"EWG^FMA_PE(LTMA,-10AY,0,AM,\"PORTAGG\",\"MEANR\")":[14.6233542625645,14.5665490654276,14.6874103988357,14.4438861548581,14.0100350115775,14.3884302804703,13.3133070801076,13.8680020639399,14.3274752016473,14.8055038851887,15.8423132580922,16.5473614564742,16.3747459124872,16.1087832820778,15.5763272857302,15.7472214466477,14.956244257343,13.9542066140966,13.9467038416892,14.6122966100539,13.9837175566688,12.434742956048,12.567689872712,12.7545748693998,12.8685244955177,12.7863591338572,12.5866842655909,12.9253578752688,13.3878520722999,13.3211554879037,13.7562155141064,13.6579019858082,14.6056325425582,14.884557675974,14.6594529214376,14.973715831195,14.821316955789,14.7963761191792,14.7663496423781,14.5080249377468,14.2001079247127,14.3941402941889,14.855786893467,15.1453090005387,15.6932122745511,15.6167403998867,14.5329369343567,14.2028946496887,14.1798430341659,14.2225371908143,14.1483895297955,14.1544143569915,13.8665895518683,13.8608589509326,13.3297546101246,12.9794593873438,12.3118236845051,12.8123103489956,13.0500552139688,13.2248956997988,13.3621427418646,13.3042134624328,13.3120369989129,13.4554467928473,13.2410566979382,14.018352951129,14.4062145851497,15.0988201552567,15.4211954136116,15.8273695274935,16.148624768739,13.2211588678997,14.448599350415,15.5824533625246,17.3428629469201,18.8263474246094,19.6017271405522,20.5105014681865,20.6237862887744,20.8807451871694,21.6726215308347,21.8646207378829,21.103602488492,20.2033614833857,19.9075968386646,18.9895362067528,18.5296143221683,17.9623258094467,17.2280373892149,16.3894506684212,15.8886369937802,15.2910513111937,14.1632159674693,13.9706662551497,13.2241279233914,12.4841029120829,12.3337967390474,12.0523523755959,11.6165782648762,11.319700841888,11.2142682192046,10.6291460806169,10.3153727671204,11.1552795333709,10.4493353441296,11.47266212383,11.6298002850926,11.2444823659702,11.4404062344787,11.3563400293255,11.3561381569219,11.2943453048599,11.096525596856,11.2082606509971,10.8525905853509,11.3990990376267,11.8733317187035,11.74515384274,12.1845330062555,12.5215917798778,12.5213554238975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44027006],"TRYMY10Y-FDS^FG_YIELD(-10AY,0,Y,,\"YTM\")":[4.131911,4.345605,4.195897,3.902544,4.235642,3.300551,2.804181,3.573893,4.131847,3.727505],"TRYAU10Y-FDS^FG_YIELD(-10AY,0,Y,,\"YTM\")":[2.81,2.88,2.76,2.63,2.315,1.375,0.972,1.671,4.051,3.955],"SPY^FG_TOTAL_RETURNC(-10AY,0,AM)":[-0.2368927,0.8906126,4.363203,1.2229204,-0.17697811,2.2598386,-6.177807,9.062457,0.5983949,-1.9547045,4.215646,0.15704632,-0.7555306,2.476561,-0.15016794,0.34694672,-1.1765838,-6.4275503,4.0010214,2.6860833,-3.5920322,-6.1047673,2.2789001,6.9444537,2.377534,-2.0690143,1.3120055,4.788494,1.1324883,-2.014047,0.15935898,2.2413492,3.6013365,0.75986385,3.6780596,1.2646675,-1.3331652,1.240015,2.9788852,1.2446404,-1.2008429,3.3979654,2.402687,0.8368492,4.537308,4.079044,-2.1602154,0.80070496,-1.3894975,0.34763813,2.385664,1.6271353,1.4231801,2.0521998,-4.5574307,-0.9659827,-6.8132877,5.084312,4.094422,2.2344112,2.7237654,-1.4412761,2.2949934,2.696693,-3.339684,4.240954,-0.5804777,4.71524,2.4261236,4.375899,1.4399767,-28.72628,20.167042,2.9165506,5.688131,3.6449194,5.2592397,-1.963973,5.0325155,2.5886059,4.064214,1.7660856,3.9978623,0.1945138,6.9349527,-1.2749851,1.0574102,3.9573908,1.817596,0.83066225,1.3117433,5.0403595,-1.7507017,-0.73499084,-4.876333,2.6842833,-1.4734983,-10.528124,-6.2326136,4.397869,12.027752,-9.519649,-3.7426054,6.709242,-2.7721703,2.1447062,4.028201,-3.8706958,6.2104106,1.2119532,5.2163124,3.3518434,-3.8948476,1.9963503,-3.025049,4.783714,5.123639,0.95767975,4.831171,2.9938102,-2.601099],"WL-FDS^FG_PRICE_CHANGE(0,-3AM)":-12.6516198372486,"NI-FDS^FG_PRICE_CHANGE(0,-3AM)":14.7448015122873,"CPALM-FDS^FG_PRICE_CHANGE(0,-3AM)":4.98854670399593,"BRENT-FDS^FG_PRICE_CHANGE(0,-3AM)":0.0,"TIOS-FDS^FG_PRICE_CHANGE(0,-3AM)":-20.6716637272193,"USDSEK^STD(FG_PRICE_CHANGE(0,-3AY,M))":2.96220072588676,"USDCHF^STD(FG_PRICE_CHANGE(0,-3AY,M))":2.49013642394232,"USDUSD^STD(FG_PRICE_CHANGE(0,-3AY,M))":0.0,"USDEUR^STD(FG_PRICE_CHANGE(0,-3AY,M))":2.22272008231571,"USDAUD^STD(FG_PRICE_CHANGE(0,-3AY,M))":3.07262529565013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6.357162,18.8236,20.949041,12.406052,4.74,3.2203794,-5.97865,-0.6388724,0.17645359,-7.3286295,-1.1152208,3.667736,2.7065396,8.497047,2.6127815,10.036289,8.340001,-2.3271441,14.191604,3.401804,-1.437825,-3.3403575,-8.253652,-3.1541765,-1.0959327,-9.213406,-8.535862,-9.254206,-1.5373588,0.98258257,0.55185556,-3.449744,0.9749651,14.803219,16.661894,12.363982,10.522413,23.884285,28.891636,29.773129,25.603794,33.26821,33.40238,35.230614,36.5646,38.368584,29.565834,22.749638,25.43106,12.0769615,9.952486,8.302021,1.798296,-1.1846304,-9.367907,-6.7040563,-13.736052,-16.070097,-7.1129265,-4.4398427,-3.262037,-2.4794817,-0.19162893,2.0421386,1.6623616,7.432139,16.788435,18.289555,28.228485,29.560577,19.684649,-23.890465,-8.611637,-2.1006048,8.264959,11.530745,19.932854,12.241173,15.657722,17.552364,24.32072,27.292538,34.346306,100.37401,80.35062,67.5332,48.681713,41.246235,43.83445,50.076057,41.959274,39.89309,16.732048,13.743389,-0.11744499,-2.5025785,-16.007137,-23.013454,-28.855001,-26.274246,-24.740881,-36.393833,-37.692802,-27.320307,-20.539124,-11.968172,-4.926634,-4.4253054,7.191777,18.429111,29.884398,32.71264,11.428272,18.640541,20.063663,13.017821,19.215858,6.660211,13.934767,23.936499,13.334346],"EWU^FMA_DIV_YLD(NTMA,-10AY,0,AM,\"PORTAGG\",\"MEANR\")":[3.92347278569818,3.81462633313556,3.86762515863267,3.88260896596497,3.93507195401051,3.90545421881157,4.26193567242097,4.03557012702647,4.19085047379103,4.18156400273836,3.95102975231395,3.96108646061519,3.91161015513181,3.87814626370242,4.04268934715745,4.0630025934882,4.16909694767623,4.47555504630834,4.23594083779223,4.26510763919327,4.42822526048652,4.64280909726162,4.58508902454713,4.32588781983853,4.23696459969919,4.33347016560145,4.45903070632523,4.13233840695445,4.06404423146575,4.23036913893178,4.2629385153749,4.4472982744486,4.33122110045207,4.26341448919816,4.25662329518705,4.28516865662913,4.42515049196186,4.25061814088564,4.28056827801387,4.29745908717115,4.38942884212895,4.35154331254714,4.26817368488196,4.39059439903521,4.2855083461834,4.1824043665724,4.38697091576425,4.50795766771815,4.39452797446348,4.24892891335673,4.39098696544452,4.41646454454032,4.52744387050127,4.62479921225299,4.84337983689624,4.92840173717671,5.23428391027443,5.11487313328544,4.94298950696693,4.8577437808465,4.82207689741669,4.93330965937235,4.79352982000381,4.8249968549895,5.154273864531,4.93558578111851,4.92864428892184,4.80329992707922,4.59969138504729,4.52679493648737,4.70951922122603,7.12976214666539,5.69010277774933,4.39455611865629,4.10222697431462,3.97825903614762,3.97789135870459,4.10195048578734,4.2950204318513,3.98682590349303,3.90441376222887,3.89198157155813,4.00535659314292,3.95332689283572,3.92799163757249,3.89653890694036,3.97748476042855,4.08296883083518,4.16006073292551,4.28533185486775,4.06285941459191,4.05069617960119,4.01747250688556,3.83617157847843,3.83923939821999,3.99011415402909,3.94118289224408,4.12858804710629,4.42962622739149,4.30247362992703,4.18237992209466,4.49657460456604,4.62613240133548,4.29023973431304,4.34259529529776,4.0350339777276,4.05750645684777,4.44024378096336,4.13252919789953,4.29816076272902,4.3085062960466,4.37156099657917,4.58117703758629,4.38937097206253,4.47814365041052,4.49231529840904,4.34184632590998,4.45150057697653,4.2259861261447,4.12980026753793,4.03280014434351],"EWJ^FMA_PE(NTMA,-10AY,0,AM,\"PORTAGG\",\"MEANR\")":[12.8746489271522,12.7665449359567,13.6673159974805,13.714407524435,13.5895461154204,14.0211544583587,12.415970232638,14.534203679458,14.0048116716979,13.7228271357823,14.7298146451068,15.6356368792858,15.6274564646433,16.0534259287465,15.4071663000587,15.6311543919345,15.4942678622726,13.4773772927952,13.9017858807677,14.6534958032028,13.9932071677903,12.7150164356575,12.198210280114,12.7838977739362,12.6247797216697,13.1511075772018,12.5994391161941,13.5069637056813,13.1311557725659,13.2545299732359,13.5178351099685,14.1084546273783,15.0974042728696,14.4778085306256,14.3461138025709,14.2762787931405,13.337454298054,14.1286566817634,14.3406458346215,14.2350139342393,13.6964738944036,13.7327866859996,14.3276021594744,14.5129847382699,14.7074384220746,15.1755292760283,13.6765004916888,12.9926588377316,13.0219445908398,13.4718910986803,13.0825361938963,12.9326249071949,12.4859410522818,12.8647940652856,12.4187274315551,11.9547377548086,11.5811881456893,11.7525552123163,12.1300495250649,12.6317480098837,12.7032387453532,12.3512842926522,12.4890227854977,12.600571946655,12.2720165776983,13.4081519710665,13.5034079744861,14.1396350786853,14.6746641968203,14.6604382858203,14.1115209892802,10.97963488028,13.464317008568,14.4570823566954,17.8337741496191,17.9124252128172,17.8742778633706,18.4542867671151,17.7788735998984,18.3886446144015,18.4267804706743,18.7269324859366,18.7296292114474,18.1634297631627,17.3945121707792,16.3887864041555,16.3647660660573,15.9731755396833,15.3132399312347,16.1151159959429,15.3664164771168,15.2551222539881,14.5190076060498,14.3414915204107,13.55126061967,13.0381582568464,12.8112951830855,12.7143204189428,12.1528993150522,12.4549221442869,13.0377555390862,12.6306770709491,12.3094755925624,12.8079442841141,12.6370085948442,12.6125451088336,13.0598879474144,12.8373398712694,13.4394882459737,14.2109982629287,15.0266236258275,14.5323710228204,14.0429292709362,15.0905403686392,14.1588536016608,14.5351435542131,13.8247453309381,14.7855536021004,15.3692308187787,15.6399156247324,15.6457867150851],"EWC^FMA_PE(LTMA,-10AY,0,AM,\"PORTAGG\",\"MEANR\")":[16.3684943031916,16.2013578221586,16.2921228503998,16.3286385608787,16.3327536406308,16.3823884917395,15.3434476033209,15.9113920305673,15.3612247784413,15.2893769634409,16.7892022417055,17.0476362608566,17.2681170025104,17.2406990362182,17.1390756015911,17.08570769628,16.8923966688621,16.6173622574832,16.9531012943588,16.6879593417685,16.2044338192525,14.614080256697,15.6388653543668,16.0012491738604,16.2006798763332,16.5337793838338,16.6565012785106,17.184045732163,17.4855816249878,17.5038836609723,18.07747098397,18.5159929741304,19.1963482221362,19.7909489421815,19.8608379956003,19.2297529044701,18.9303958355358,18.4865622642239,18.1752045616531,18.0320609114729,17.6269060632948,17.417461824874,17.4859201343507,17.3186437375246,17.2354339845038,17.224491051902,15.9096190829983,15.8167066919703,15.6317740158481,15.6373216145773,15.6201138107115,15.5279466095925,15.3785952002805,15.1360683952759,14.4738224061903,14.107601794778,13.3010409253466,14.1209983742583,14.6942866053121,14.756350245786,14.6669825600435,14.5237470741693,14.5346775643384,14.4856636991819,14.3046126127651,14.7173057990537,14.5654071017016,15.1378855220068,15.2513986727924,15.6737986203494,15.7080862908693,13.7026365594955,15.0115118554391,16.4179598635759,17.2559692737617,17.8239400121601,18.3297358386339,18.211803469834,18.8197290100056,19.4516027267894,20.294150571774,21.0804397584269,20.5855249480204,19.7857865819093,19.4727011263889,18.9539780674306,18.5807216181812,18.0152862342452,17.371605991758,16.8042239062857,16.7514374478344,16.4261460657804,15.3815597773545,15.5051527343084,15.191773736243,15.1387927741206,14.9115146681745,14.2737254922784,13.6027472027309,13.0830661738096,13.3350381192083,12.7123297460866,12.221776586219,12.6114971062815,12.194192129104,12.65305649842,12.7472612003568,12.4963225690679,12.805989495767,12.8394785939714,12.9388463303694,13.366688761427,13.2622543901493,13.7368787716096,13.2746329522368,13.7244481989154,14.2771676069173,14.4502739941942,14.7497323454767,14.9172563857227,14.8419284361729],"FC0000CH^FG_PRICE(0)":308.49005,"FC0000AU^FG_PRICE(0)":344.21948,"EWN^FG_PRICE_MAVG(0,,,,200)":43.36448,"EWU^FG_PRICE_MAVG(0,,,,200)":32.42295,"EWC^FG_PRICE_MAVG(0,,,,200)":35.3398,"EWQ^FG_COMPANY_NAME":"iShares MSCI France ETF","FXI^PERCENT_CHANGE(FMA_EPS(+1,0,,,,\"PORTAGG\",\"MEAN\"),FMA_EPS(+1,-3AM,,,,\"PORTAGG\",\"MEAN\"))":-2.39162752326484,"EWJ^FG_TOTAL_RETURNC(0,-3AM)":1.7647862,"VWO^P_PRICE(0)/P_PRICE_HIGH_PR(0,,,,,,\"PRICE\",\"INTRA\",\"52W\")":0.9515081,"EWI^FG_TOTAL_RETURNC(0,-12AM)":18.183672,"EWD^PERCENT_CHANGE(FMA_EPS(+1,0,,,,\"PORTAGG\",\"MEAN\"),FMA_EPS(+1,-1AM,,,,\"PORTAGG\",\"MEAN\"))":-1.80502932937869,"EWQ^FG_TOTAL_RETURNC(0,-1AM)":-3.490907,"QQQ^FG_TOTAL_RETURNC(0,-6AM)":16.968834,"EWL^P_PRICE(0)/P_PRICE_LOW_PR(0,,,,,,\"PRICE\",\"INTRA\",\"52W\")-1":0.08736467,"EWJ^FMA_PCT_ABOVE_MAVG(200,0,,,,\"PORTAGG\")":69.4063926940639,"EWC^PERCENT_CHANGE(FMA_EPS(+1,0,,,,\"PORTAGG\",\"MEAN\"),FMA_EPS(+1,-3AM,,,,\"PORTAGG\",\"MEAN\"))":-4.39375216655112,"ENZL^FG_TOTAL_RETURNC(0,-3AM)":-5.2336874,"URTH^FMA_COS_UP(\"EPS\",\"1M\",+1,0,,,\"PORTAGG\",\"MEANR\")":577.0,"EWQ^SIZE(FG_CONSTITUENTS)":63,"EWJ^FMA_COS_DOWN(\"EPS\",\"1M\",+1,0,,,\"PORTAGG\",\"MEANR\")":88.0,"QQQ^FMA_RBICS_REV_CURRENT(30, LOC, \"PORTAGG\")":0.861039068445163,"EWJ^FG_ROE(0)":9.81676239745047,"TRYAU10Y-FDS^FG_YIELD_NAME":"Australia Benchmark Bond - 10 Year","REFEUREFI-FDS^FG_YIELD(NOW,,,0)":4.5,"REFFFUND-FDS^PROPER_NAME(0,,,\"SECURITY\",\"NAME\")":"US Federal Funds Target Rate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73093],"TRYMX10Y-FDS^FG_YIELD(-10AY,0,Y,,\"YTM\")":[5.8237,6.2537,7.5651,7.6401,8.7069,6.8373,5.552,7.558,9.0223,8.95],"TRYPE10Y-FDS^FG_YIELD(-10AY,0,Y,,\"YTM\")":[5.681629,7.426917,6.415413,5.167133,5.645114,4.243226,3.535983,5.889906,7.923381,6.6087],"USDSEK^STD(FG_PRICE_CHANGE(0,-1AY,AM))":3.55365386687613,"USDCHF^STD(FG_PRICE_CHANGE(0,-1AY,AM))":2.19355344794119,"USDUSD^STD(FG_PRICE_CHANGE(0,-1AY,AM))":0.0,"QQQ^FG_TOTAL_RETURNC(-10AY,0,AM)":[-4.5624914,1.7517447,5.997038,3.6658049,2.1119475,2.1701455,-7.0390882,11.483871,0.5497694,-2.931571,6.288433,0.7092118,-1.54531,3.8203955,0.57241917,2.8572679,-2.4033785,-4.7356844,2.6293397,5.096185,-3.0429184,-8.185381,0.4859209,6.2743545,3.5950422,-4.827839,0.86591244,5.6812882,4.220724,0.25055408,0.4859805,-0.45816898,2.2459388,2.876258,5.5022717,1.6594648,-0.3113389,4.555142,0.9240985,3.6120176,-1.3343632,3.2849908,2.2741318,3.4193158,3.2604098,4.5259714,-0.5186379,3.673613,-2.516979,0.6128311,5.6242466,1.9433379,-0.03889799,1.6568422,-5.1134586,-3.279823,-5.4208994,4.617071,4.048407,3.9747715,5.009806,-2.3213625,1.8411279,3.4520507,-3.606695,3.7955642,-0.23034811,5.9366703,3.191018,6.8301797,5.081022,-24.764622,22.167646,5.6389093,7.408881,6.380415,7.1505666,-3.993237,8.265722,0.5545616,6.876707,0.7632971,6.6087365,-6.144911,9.740305,-5.786383,6.3341856,4.48941,1.2891412,3.208077,-0.20282269,7.8089356,-4.191661,-3.6064804,-7.8369913,2.9223084,-3.522265,-14.039385,-5.6502047,5.5528045,13.780236,-12.135565,-5.999005,4.913807,-3.7111163,1.5698075,8.377719,1.3946056,4.5821667,5.7736993,9.090638,4.9845934,-7.1576653,3.6482692,-1.9667625,6.238818,5.6595683,1.5050173,4.256761,1.7380357,-3.2161474],"WL-FDS^FG_PRICE_CHANGE(0,-1AM)":-9.41082802547771,"NI-FDS^FG_PRICE_CHANGE(0,-1AM)":2.99773755656108,"CPALM-FDS^FG_PRICE_CHANGE(0,-1AM)":-4.64632454923717,"BRENT-FDS^FG_PRICE_CHANGE(0,-1AM)":0.0,"TIOS-FDS^FG_PRICE_CHANGE(0,-1AM)":-2.28116230650856,"EWU^FG_PRICE_MAVG(0,,,,60)":33.174835,"EWC^FG_PRICE_MAVG(0,,,,60)":37.1575,"SPY^FG_COMPANY_NAME":"SPDR S&P 500 ETF Trust","EWJ^FG_TOTAL_RETURNC(0,-1AM)":-5.3220153,"EWI^P_PRICE(0)/P_PRICE_LOW_PR(0,,,,,,\"PRICE\",\"INTRA\",\"52W\")-1":0.24418402,"EWQ^PERCENT_CHANGE(FMA_EPS(+1,0,,,,\"PORTAGG\",\"MEAN\"),FMA_EPS(+1,-3AM,,,,\"PORTAGG\",\"MEAN\"))":-6.17445942400646,"QQQ^FG_TOTAL_RETURNC(0,-3AM)":2.6574612,"EWG^FG_TOTAL_RETURNC(0,-12AM)":5.707109,"EWC^PERCENT_CHANGE(FMA_EPS(+1,0,,,,\"PORTAGG\",\"MEAN\"),FMA_EPS(+1,-1AM,,,,\"PORTAGG\",\"MEAN\"))":-1.47209946751157,"VWO^SIZE(FG_CONSTITUENTS)":4786,"EWQ^FMA_COS_DOWN(\"EPS\",\"1M\",+1,0,,,\"PORTAGG\",\"MEANR\")":41.0,"EWU^FMA_RBICS_REV_CURRENT(30, LOC, \"PORTAGG\")":17.7139371648032,"CAGDPY@GB^EE_ACTUAL_ANNUAL(MED,+1)":-2.9,"CC_GB^FG_COMPANY_NAME":"United Kingdom","USDEUR^STD(FG_PRICE_CHANGE(0,-1AY,AM))":2.13177762255548,"USDAUD^STD(FG_PRICE_CHANGE(0,-1AY,AM))":2.64623354845713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51009258677616],"EWQ^P_PRICE_RETURNS_PR('52W',2,-10AY,0,AM)":[33.2538,22.73481,22.467566,17.288029,5.764818,3.2238483,-9.189707,-4.894197,-5.0677595,-10.725755,-5.04486,-6.7549524,-7.022524,-4.3790936,-9.1613,-1.9997418,-0.3728509,-8.208251,10.109425,0.64741373,-2.8313994,-6.1715784,-11.665857,-4.758459,-5.5924177,-11.731839,-8.816057,-10.217237,-5.019486,-4.1632595,-4.3542624,-5.8722973,1.2059689,16.589428,12.379289,10.342598,8.413565,24.985481,29.555225,28.924538,23.470974,33.236862,32.774044,34.146477,31.306314,34.271442,29.562653,24.492,29.0205,15.136218,10.935211,9.374785,5.681145,3.7383318,-5.0604286,-5.600089,-12.496257,-15.058523,-8.435613,-3.103435,-3.9040685,-6.363696,-1.0557532,0.3245473,-1.4402509,0.69185495,9.329605,15.765405,24.12368,25.320984,15.387165,-31.705278,-19.731976,-16.324116,-8.631647,-4.6919227,2.6582599,-3.0591726,-5.4467974,1.3092875,4.6060205,3.5334587,7.499099,76.80067,62.14005,58.181656,42.04806,31.805206,33.69452,30.685556,35.79639,26.927053,15.239679,20.245016,13.938189,4.478252,-3.7965477,-11.709648,-18.84843,-15.873843,-12.16076,-19.333447,-20.720636,-13.373595,-10.338593,-2.9215038,3.265965,3.0863643,18.618858,23.646938,32.05789,36.216187,18.987692,28.456366,22.918583,16.748095,21.548891,7.199681,7.6664805,20.759224,3.9987087],"EWL^FMA_DIV_YLD(NTMA,-10AY,0,AM,\"PORTAGG\",\"MEANR\")":[3.22303581302972,3.19114666665821,3.22856707559903,3.33887104729427,3.37478634658589,3.28223309374304,3.54645452129457,3.25719147172654,3.28629028709389,3.5452035248247,3.23678233314757,3.12283106663936,3.07147860181488,3.08975605373956,3.22876970439316,3.1078588723757,3.13948453863329,3.34838821557798,3.33290528003426,3.24209646510552,3.34250773285587,3.55952169820058,3.52536211616592,3.51909946379534,3.46789405056409,3.54445566580022,3.6457634453746,3.50120242717039,3.44054388613625,3.51145934261591,3.55264314414984,3.63805827482229,3.57244797468013,3.50070965308228,3.37887043631587,3.323669932443,3.46438664289369,3.33151073296673,3.27060393818847,3.26621746699063,3.33854731677605,3.28118621975913,3.23773228237997,3.27458560052576,3.19530609284126,3.18152425609597,3.32727490180322,3.44272333089131,3.4239825596324,3.43705209392803,3.5972210675629,3.44786313898022,3.44436241737707,3.43006110629678,3.5851459567318,3.56578872563424,3.69058736012018,3.46354294014338,3.37669559867037,3.3116531475673,3.28800706694223,3.2914434844968,3.21003685849989,3.19870640978022,3.29323438479681,3.21831526598451,3.22751445493823,3.12120591475967,3.07009863648479,2.9842273900564,2.93216835831735,3.93093542649074,3.33388939220045,3.21577102108364,3.05901856704735,2.99382199932835,2.94914005292073,2.87875824593571,2.9640610031655,2.86715145208183,2.86796468733837,2.80366229424796,2.84539367350898,2.82070277503424,2.71758254894283,2.75339638650085,2.63491211312143,2.62195490064624,2.53677680783492,2.67484877095208,2.692769378087,2.57859577129611,2.56679183582594,2.6374684291173,2.79053229627966,2.77198717068382,2.752664311459,2.99036375157844,3.30026022203637,3.13674010254617,3.08401111235923,3.2865422619023,3.3314124220092,3.13582975044623,3.22598460731683,3.03228918937856,3.0775083928221,3.29865056066862,3.09175296002169,3.11834434164922,3.13594939452627,3.16836354380106,3.29864954331485,3.28555651218695,3.43402049935975,3.41026481144872,3.2955286416916,3.33208513681197,3.32742837720955,3.27099845662559,3.36114924901481],"EWG^FMA_PE(NTMA,-10AY,0,AM,\"PORTAGG\",\"MEANR\")":[12.8439718244504,12.9439513438682,13.3126859469281,12.9180011281095,12.3293775317951,12.9349618077146,11.6960462198589,12.4550576049887,12.8745425977393,13.3310697659629,14.2566776141772,15.4347565705434,15.0004046304314,14.449482267157,13.5606436749507,14.150343345255,13.1872358951879,12.0281615264763,12.4512656761967,13.6542118398273,13.1989785674518,11.9224051099086,12.035881812425,12.6772453328285,12.8818394614971,12.4135694872223,11.8602820036598,12.4171198016082,13.0157574238191,12.6510087153016,12.9804191076117,12.7710283801612,13.582688290161,13.7187646423552,13.3332944813125,13.9558543848311,13.6417405631765,13.7577457192801,13.7864069181796,13.3777553708844,13.0382852891774,13.415274456916,13.8827283504737,13.8003083422623,14.1818869564723,14.0806015880163,13.1979830615009,13.0514223679959,13.2169129223246,13.451970542583,13.2645802346851,13.1892300630685,12.66424486454,12.60955818196,11.995739449476,11.6359773118956,11.134280981007,11.7177722778855,11.9185768447603,12.3339784944811,12.8911577902584,12.6271601906133,12.5796601411307,12.7145316061491,12.2222510663755,13.0441752305882,13.2868953541734,13.9988849745769,14.1454819323748,14.3807475088946,14.4426943395099,9.16728358255597,13.9304384358285,15.758069359091,17.8276210030733,18.5492634897501,17.9309612119506,17.5275538516916,16.6818198419327,16.163230146622,16.1873672215304,15.9914970747524,15.57955780193,16.1479198955107,16.1949373789364,14.8216472765462,14.7594169335065,14.4733237748711,14.3768946054381,13.8572574287072,13.6962651712117,13.867441827172,13.1672388085472,13.2382370125489,12.3538309085282,11.7112988104842,11.3092849066282,10.7318271762364,10.015099799724,9.87506426672573,10.2077562663966,9.51144661636089,9.50554869741407,10.7668453823927,10.3648731723719,11.4931371517047,11.6785249298047,10.8973533860669,11.4757779543588,11.100848148258,11.0083895991457,10.7949865392439,10.4530474992212,10.5527831481924,10.0605637707823,10.7759796969047,11.1526362626729,11.0119922360363,11.6571679506181,12.0690918528831,12.0194879084315],"EWA^FMA_PE(LTMA,-10AY,0,AM,\"PORTAGG\",\"MEANR\")":[15.2863221210471,15.2273361141073,15.0713656896524,15.3694639032187,15.4293910414643,15.0026347858311,14.770733588586,14.950062880727,14.1050361869075,14.4967175436913,16.13460799206,16.1929545740673,16.3460728609376,16.2110579217244,15.9890016028357,16.1138307346702,15.6343801905984,15.4908590452119,15.673842823259,15.2758238244005,15.3771286118973,14.6889113285286,15.3010371665802,15.1977188308522,15.2719363884714,15.6940497593603,15.5692454246995,16.1987888402927,16.6270963462566,16.2787634815342,16.7795898506328,16.9238085569079,17.2656872029063,17.7397495473702,17.9848459005171,17.4331567442892,17.2753173865868,16.9969307979923,16.881450139886,16.7637901132942,16.7369887310334,16.5250188545042,16.6965155733437,16.6239095729351,16.705963547109,16.5858066313716,16.348062710048,16.4564602181154,16.2770754805869,16.3362761995317,16.1499585347885,16.2857000437326,16.4391420629147,15.9966462411476,15.5210668312867,15.0557026032624,14.5352094066554,15.2609966992131,15.6489885190806,15.8758635735665,15.8513450872888,15.8752874777956,16.1347521770382,16.3125382393314,16.0557846265606,16.753542872633,17.0351838023523,17.5579423236004,18.0415781682897,18.6674392411147,18.9124797625197,16.149243194673,17.0030600708912,17.479787785265,18.4560751941949,18.8459457604042,19.7146172133249,19.2718131776132,19.8796482913867,21.7266148156378,22.9942018822509,23.2571726967689,22.7186531810587,21.5732771290751,21.272406053702,20.7769225485195,20.4486110144366,19.4227864908401,19.145406563815,18.7168136681148,18.7102685079624,18.0373488151884,17.5953739913474,17.6818066896991,15.9806795378185,15.7582392979741,15.6331614101943,15.1564948624322,14.1163854541898,14.0899543334939,14.60772514938,13.7976637541728,13.4069575628318,14.2023106706655,13.982139251916,14.6980295413287,14.4395982576794,14.1599251896837,14.3585728439577,14.3322485316534,14.6091501741021,14.8519232569286,14.7166403173059,15.1413073156496,14.8332820273902,15.0207756834432,16.0213643163516,15.8045661371999,16.5336526059979,16.5817645837701,16.6063057149379],"EWN^FG_PRICE_MAVG(0,,,,60)":47.928417,"FXI^PERCENT_CHANGE(FMA_EPS(+1,0,,,,\"PORTAGG\",\"MEAN\"),FMA_EPS(+1,-1AM,,,,\"PORTAGG\",\"MEAN\"))":-1.52455911184445,"VWO^FG_TOTAL_RETURNC(0,-6AM)":8.911932,"EWD^FMA_PCT_ABOVE_MAVG(200,0,,,,\"PORTAGG\")":88.3720930232558,"EWL^P_PRICE(0)/P_PRICE_HIGH_PR(0,,,,,,\"PRICE\",\"INTRA\",\"52W\")":0.9232655,"ENZL^FG_TOTAL_RETURNC(0,-1AM)":-2.1787465,"EWJ^FMA_COS_UP(\"EPS\",\"1M\",+1,0,,,\"PORTAGG\",\"MEANR\")":97.0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SEK^FG_PRICE_CHANGE(0,-6AM)":-0.7573843,"USDCHF^FG_PRICE_CHANGE(0,-6AM)":1.5758157,"USDUSD^FG_PRICE_CHANGE(0,-6AM)":0.0,"USDEUR^FG_PRICE_CHANGE(0,-6AM)":-1.0980248,"USDAUD^FG_PRICE_CHANGE(0,-6AM)":-1.4065921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186165],"SPY^P_PRICE_RETURNS_PR('52W',2,-10AY,0,AM)":[22.589075,16.028427,20.802366,19.379879,21.353197,18.917381,10.917616,16.789282,16.013872,11.466682,16.279198,14.339363,13.744938,15.53297,10.536539,10.699725,8.482671,-0.7333815,11.335730999999999,3.6028147,-0.71275234,-3.668362,-6.6824255,-0.35851002,2.7870774,-1.7722785,0.70261955,4.0775776,6.5094113,9.473515,7.4132204,6.948006,11.17239,23.330128,24.505222,18.840206,14.087009,17.941929,19.43853,15.828109,13.155723,19.405592,22.080004,20.133554,21.490742,25.492823,18.612814,17.677475,17.816221,16.777742,16.105032,16.543663,19.451963,18.081844,10.056019,7.770729,-3.6478043,-2.717179,3.5321832,4.973972,9.35266,7.1347117,7.3081017,8.437454,3.7090182,5.5616856,9.960281,16.268301,27.796257,28.624249,23.697865,-13.762826,1.0795474,5.3413987,8.835602,10.242605,19.61193,12.492048,18.671822,16.429556,18.29158,16.655182,18.242062,66.22124,51.914,41.893612,35.67654,36.480095,31.636,33.83608,30.592323,33.71333,25.739742,23.13906,12.631536,15.430355,6.353903,-3.6142588,-11.7698555,-10.188341,-1.1821389,-12.186831,-15.749699,-14.411134,-16.198635,-12.843836,-5.3023043,-9.7954035,-3.8107812,8.810711,22.358454,20.873081,3.6932826,16.89098,17.762363,16.162418,25.028206,23.575258,24.217987,33.42161,22.352589],"EWU^FG_TOTAL_RETURNC(-10AY,0,AM)":[2.0507813,4.593301,0.32022,-0.20074844,-1.917553,-1.0752678,-9.189725,3.9173126,-3.0982435,-1.9834638,6.7453504,-1.843077,1.072967,4.72399,-1.9766808,-1.1258066,-2.9819012,-7.3545575,4.502368,-2.4376452,-6.7983627,-7.795924,4.206896,5.1621437,1.5103817,-0.8059442,-2.4999976,2.204883,2.8277636,-3.125,-1.935488,-2.3684204,4.5822144,2.0053387,2.3054838,2.2222161,-0.3674209,5.961883,-0.7250607,0.9287715,-1.775682,4.0674925,1.6502619,-1.9082963,3.6875725,6.255007,-4.3501673,-2.1336257,4.733217,1.1777639,-3.140229,-0.8833349,-3.2621264,-0.1193583,-4.571259,-0.72010756,-6.0635567,6.209266,4.0697694,4.2830467,0.6250143,-3.3422112,0.30653477,0.62578917,-7.3383093,5.771816,1.5228391,2.3125052,4.5478463,1.3376951,-3.90144,-38.217335,22.776688,1.7303824,4.286611,2.4258852,1.5789509,-3.367877,-1.6851783,10.479164,4.783571,3.9823055,1.4729977,1.7096758,4.0596247,3.0783296,-2.6100338,-0.24698377,2.3212671,-2.1173656,3.646481,-0.56649446,-1.8686533,8.006287,-0.37791133,-2.7137458,1.7996311,-6.776661,-6.0817537,0.23988485,5.709398,-8.247089,-4.5823097,11.821211,1.9657135,7.234466,0.61330795,-7.253891,10.778832,-1.8095553,1.5421867,-0.51562786,-4.05488,2.7327657,-2.5363505,1.8724203,3.0529737,-1.1924505,2.284813,1.9889832,0.0],"EWJ^FMA_DIV_YLD(NTMA,-10AY,0,AM,\"PORTAGG\",\"MEANR\")":[2.17229453244088,2.2299672182645,2.08969844095773,2.07953884520047,2.08554540726632,2.02482917040703,2.29140445203823,1.95113057667888,2.02187610245672,2.06373440990518,1.92468316343739,1.82298778811567,1.84768452478315,1.85990308308611,1.92556115809751,1.89250052145139,1.90107230229826,2.18369333257475,2.1166005519027,2.02382627720614,2.10067244513418,2.32247062199098,2.47639551184688,2.40351552637257,2.43950883612942,2.39145235306432,2.52035690022553,2.38540902628952,2.43740033626131,2.41694927701799,2.35751218955186,2.24889876127156,2.07486561142846,2.14542683385218,2.14000132546178,2.13465831319679,2.29242085462331,2.20374306051427,2.18180930940393,2.16637089543639,2.21752944055933,2.1973656864569,2.10244149037919,2.08956127012899,2.0528279083484,1.99662930881877,2.19871468312943,2.23127629619239,2.23420832973445,2.1760897238028,2.2502745938235,2.27516761885478,2.35713631676121,2.28404177661752,2.3685616797053,2.50288888893973,2.6054153579176,2.64761940495709,2.61644662750196,2.55858727766166,2.56631366895633,2.66662261187185,2.72531429936958,2.71558063861054,2.80384153970968,2.58664698843876,2.57324359877894,2.47136191561014,2.41660068204592,2.42292588428403,2.52015891380208,3.29190595665127,2.84660462979419,2.79924686484967,2.4780788131885,2.48300212633763,2.40329404543585,2.34997252465592,2.39945097170698,2.25592002536033,2.15321688818265,2.08552421320703,2.02397930256409,2.00763952505741,2.07493649289888,2.18041406021735,2.17826336333228,2.22545572346547,2.27092748672579,2.12690360494463,2.21625777589785,2.22328995470092,2.31808799993634,2.35006339540935,2.47669570386119,2.55499825223119,2.60515518565271,2.63045068180215,2.74569886537871,2.67359759376642,2.55238555040588,2.64386893650906,2.71741474567403,2.61883700486419,2.6661279503009,2.67817394296047,2.60860207420403,2.66443171899992,2.57145237272797,2.45345674633811,2.30802487982496,2.38389991111534,2.44209832955635,2.27033362004229,2.41446813607286,2.34741320490023,2.47089955333048,2.29881460561399,2.22299598356953,2.17756610229419,2.18772890632457],"EWC^FMA_PE(NTMA,-10AY,0,AM,\"PORTAGG\",\"MEANR\")":[14.9137078451372,14.6704752274815,15.0283160035548,15.0774124707646,15.0108571676785,15.0896230273103,13.7889254230146,14.7509239527322,15.1360417351592,15.5026934232119,17.3366935088553,17.176283950015,17.4436986898473,16.7726263176108,16.1948334405385,15.8584294860784,15.3340457946164,14.8540775433958,15.1105735831615,14.6058209798219,14.2871955974656,13.3180754183939,14.8682375708018,16.1056287442589,16.2859807051735,16.5676373062362,16.2998758884347,16.5952648962916,16.4555562045682,15.9464251882732,16.0442935652958,15.8956600143823,15.9218787295197,16.0681837005714,16.3850759989601,15.8361930356761,15.8006709925046,15.3297375501217,15.2326677864307,15.4605385989897,15.3500408549878,15.3763705096186,15.7074135106905,15.8463516639139,15.9536173082333,15.7499103770313,14.5794402462917,14.5510696313716,14.1853197638159,14.3911530738027,14.4393303732443,14.3021097297957,13.9971465026428,13.6810380214929,12.8292645475736,12.6451568470615,12.2155097922308,13.3283988257423,13.9455945451503,14.3045053660433,13.9994623415739,13.6603926710374,13.7437106928285,13.681256385783,13.4515578282522,14.0472751188545,13.7468046193549,14.3839480850466,14.4458239879429,14.717578660922,14.9933737784433,10.7294109755567,15.4004436697177,17.5194233322336,17.9063491096422,17.7618784675392,17.5686554542614,16.5063692420964,16.2389279324023,16.0879910067892,16.0252815093425,16.0474308198033,16.0174136852734,15.5067364119971,15.6863838917343,15.4058579648374,15.5159182354501,15.0705135829639,14.8788960629819,14.7014822850612,14.9125181717036,14.9369752480545,14.149471642574,14.3139938244179,13.8683930521253,13.7564270125684,13.3903668772372,12.1516264707716,11.2377397201909,10.9259963954711,11.9327726942988,11.3291722882641,11.0565257608954,11.9264962840671,11.854512317126,12.7754209445057,12.888014581734,12.1917695931824,13.1373445964771,12.9681078127483,12.9159711125496,13.3624378060157,12.883129985119,13.2270550357657,12.479552703517,12.8197702660282,13.4124810837193,13.519744540814,14.0699925635089,14.4711402448058,14.1409055493399],"ENZL^FMA_PE(LTMA,-10AY,0,AM,\"PORTAGG\",\"MEANR\")":[17.9152365448979,18.0539441924434,18.0210204882939,17.9193306430694,17.8832743217588,17.709262552575,17.6385485902579,18.8377461926237,18.9969463879188,19.4178331283541,19.8529688803707,20.3688063141357,20.1863890287462,20.0122692960068,19.7284292383101,19.7907254696102,19.3515454677995,19.1891217402598,19.1368195551428,19.3393543754336,19.44496233533,19.2866706508681,19.1750667673687,19.3108693452294,19.4676664456764,19.7220990516029,19.6036139677742,20.0439265022868,20.7226893119105,20.7799639113457,20.1044883052814,20.0041637422518,19.550714252456,20.4261595638738,20.3505065577855,19.7516889647336,19.8156364033115,19.9020529938396,20.0777917390615,20.2703503118862,20.8004019814587,20.4328189080726,20.971094719315,21.3020750296269,22.1536763149793,21.955691569471,21.8745133611313,22.5700914670495,22.3342488865492,22.4377334770156,22.8362471614615,22.8413884893077,23.1392678848738,23.6764457109069,22.8689256741023,22.7207778810362,22.6064835236337,23.6043249880053,23.8210197523605,24.0815029277118,24.1795180117208,24.3509707040085,24.2795118930777,25.1175095437909,25.0322735008327,28.4121521058491,29.1113278325182,29.1945792851556,31.8399632532008,33.0303770825293,33.5395931870091,29.9712045720996,31.6003858512158,32.2133524348701,32.3075987202999,33.4813234171559,34.2979413772575,33.0898242698505,35.1876283192318,35.8007894798451,36.523837880664,37.4582800177366,35.2818271427462,34.4928469553681,34.5250602156161,34.7389121219729,35.6980200213769,36.4841007473112,36.9476705989164,38.7933502573113,38.5251222572682,38.5861700927923,38.3685357986647,38.1258784086095,36.1299188194238,35.1068501183213,34.5184909530019,34.0040168830586,32.7121800483975,32.9887199327501,34.0186372982057,33.7357829928235,31.1088425792805,30.419379291277,29.5795507733525,30.0355659604897,30.1787104647234,29.0741108410498,28.5907252593245,28.1913007147894,26.3616757506225,25.6289235118181,24.4330670530762,24.0167624661942,23.1833832140909,22.2681538231345,23.8682803845776,23.0968159478221,23.0635498826774,23.8320441922562,24.13696045852]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00246,7.43859928994854,9.22076567807042,9.22544557497206,9.29901046676666],"TRYQA10Y-FDS^FG_YIELD(-10AY,0,Y,,\"YTM\")":[null,null,null,null,null,null,null,null,null,null],"TRYCH10Y-FDS^FG_YIELD(-10AY,0,Y,,\"YTM\")":[0.314,null,-0.12,-0.09,-0.176,-0.434,-0.49,-0.111,1.617,0.703],"CAGDPY@CH^EE_ACTUAL_ANNUAL(MED,+1)":8.0,"CC_JP^FG_COMPANY_NAME":"Japan","USDSEK^FG_PRICE_CHANGE(0,-3AM)":4.2674065,"USDCHF^FG_PRICE_CHANGE(0,-3AM)":4.9536824,"USDEUR^FG_PRICE_CHANGE(0,-3AM)":1.8394232,"USDAUD^FG_PRICE_CHANGE(0,-3AM)":1.8884063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5885,2.46081798634908,2.80265475944353,2.92072613428035],"QQQ^P_PRICE_RETURNS_PR('52W',2,-10AY,0,AM)":[28.55953,21.07935,28.35796,29.491985,32.025326,28.384912,16.737652,26.543331,22.80767,15.821398,20.553982,20.536173,24.346851,26.874865,20.381773,21.337664,14.161181,6.4448714,19.06483,10.782396,6.824112,2.2286057,-4.4738474,0.8048773,6.0679317,-2.7675152,-1.0625899,0.19359589,6.9939613,11.038101,10.242677,4.4163346,6.433618,23.378159,28.058683,24.105633,19.239735,30.995537,29.53844,28.504694,21.65525,25.337564,27.567959,32.041943,33.852184,35.99863,28.792942,30.732632,27.884542,23.062574,28.79374,26.719498,28.292477,26.359522,17.232168,9.219694,0.4207611,0.50828457,4.6530247,5.4278374,13.568056,9.686184,6.3070297,7.88033,4.0530205,6.2185407,11.684823,22.327305,33.46584,37.638535,37.64181,-0.40339231,16.01857,25.312733,32.16368,36.060333,51.071404,39.735043,50.573994,43.93065,49.07144,42.655647,42.649853,77.9537,61.38079,42.562984,41.13655,38.788246,31.044436,39.075947,29.854727,39.222908,24.427486,19.392347,3.214395,13.185811,-0.49316287,-9.209842,-20.07451,-18.6225,-8.586943,-23.098648,-26.69698,-28.665483,-28.665369,-24.457853,-12.180513,-10.694676,-5.134445,16.73113,36.609913,34.242188,9.538853,29.216253,34.75908,36.465824,49.74122,49.6457,42.939877,44.443176,33.672558],"EWL^FG_TOTAL_RETURNC(-10AY,0,AM)":[1.5463829,2.3060203,0.17012358,-1.8713772,-1.8884599,0.48120022,-8.231068,7.208085,-1.3081849,0.52405596,1.0732889,1.7293692,3.2209992,3.4094214,-3.2411277,1.3535619,-2.4504066,-5.4425774,1.6445279,-2.893591,-2.2428691,-6.26024,-0.034964085,3.7425637,3.573835,-2.5390565,0.1670003,2.251339,3.7495732,-3.0009687,-1.0312676,-3.7647069,1.7464161,3.978324,2.5768042,3.413856,-0.34257174,7.2812557,1.3399363,1.7857909,-2.192092,2.5951028,0.9772897,-2.106464,2.99505,3.4726262,-1.9099593,-3.0041754,-0.54487586,-0.86504817,-3.2867968,3.5558343,1.2205958,2.382362,-6.4923944,1.105988,-4.497111,6.1724424,1.7980337,4.0329695,1.3016343,0.6145239,4.6049237,2.2481084,-2.092719,1.5422106,0.15987158,3.3785582,2.9593349,3.9490223,0.7694125,-25.17299,18.207909,0.9981036,6.376195,4.4143915,2.297175,1.9350171,-2.929461,3.2351494,3.679037,1.8280268,-0.79787374,-1.6309202,6.2684536,1.517415,4.2244315,1.049161,3.7255764,-5.0049067,0.45454502,4.9568057,0.3723383,-0.937134,-4.808831,1.387167,0.24504662,-11.000204,-7.745683,4.0506244,4.7445297,-6.852502,-3.6907732,9.010876,-0.71258545,7.799053,-0.33289194,-5.165887,11.152851,1.119554,-0.7452965,2.281034,-5.1546335,0.22182465,-4.4931355,3.1749725,5.503142,-0.17032623,-0.46918392,2.1855593,-5.263156],"EWG^FMA_DIV_YLD(NTMA,-10AY,0,AM,\"PORTAGG\",\"MEANR\")":[3.03169736524261,3.03334147898869,2.98055588104772,3.08894254247744,3.24072192158195,3.08169930149017,3.4220880623056,3.28653014644088,3.18536574383235,3.08590128961542,2.87618421017995,2.67373680991806,2.76424074100679,2.86794978451431,3.04371884362411,2.91049228103939,3.12619945034466,3.44090001248301,3.31652362997191,2.95535398254811,3.07318208695764,3.42500558004797,3.47155136012871,3.30419866262761,3.25137495960422,3.3614923495679,3.50515725063525,3.35075186455563,3.17504929758571,3.26531861693927,3.12948328121217,3.17988647226837,2.98869973323847,2.95310918629551,2.93697685304883,2.93582510261744,2.97068681728641,2.93079698618164,2.92392191708105,3.01523066392216,3.1177176948963,3.042417819834,2.94511052862043,2.95719677474329,2.86364956293989,2.8801871274447,3.11430430654098,3.16067180542612,3.14762392385229,3.09424852060369,3.13805354113238,3.16367037237914,3.30404631047552,3.32161276605737,3.51172059860775,3.63652245238099,3.8878840839689,3.71411516331461,3.67149104071305,3.56751756417327,3.41653387691734,3.50502238892625,3.51175863679063,3.48570311267477,3.63925440864288,3.40148424619104,3.33763277826815,3.12058324061507,3.09466067346845,3.0382588387476,3.01719655436079,4.84178212563649,3.49349703415107,3.2752319075673,2.90445415936478,2.80683457953695,2.81392277993741,2.81291563044555,2.81309170741906,2.82592670791488,2.72245857863979,2.73311165778358,2.77299960684647,2.72205186859517,2.66769027708152,2.8189826291937,2.82074309574889,2.83445374430217,2.82171746815389,2.9137704794274,2.95991726730877,2.93021077592876,3.08323305599586,3.09097345210727,3.30040582976468,3.50967941766498,3.62988425270808,3.84710325748114,4.09897744985905,4.16819985428172,3.95271562036819,4.24143564349116,4.23754178951971,3.75004274638745,3.87138634144437,3.50048052073986,3.45667629463102,3.72236564955837,3.49683856584736,3.56106770758931,3.56407236529932,3.64736984068588,3.77700685690902,3.75949796682846,3.95532367601128,3.70744764725446,3.56444220043697,3.63415280991162,3.48700850788703,3.32269006475038,3.35120864891167],"EWA^FMA_PE(NTMA,-10AY,0,AM,\"PORTAGG\",\"MEANR\")":[14.3601782616914,14.3333576955102,14.1164954984192,14.7557223619488,14.8347958776075,14.2405871259863,13.9235147185662,14.2143522569018,13.8865226993557,14.4484274764468,16.2594857148758,16.0517149494305,16.4311562951369,15.8840228831958,15.3156530870609,15.5780870981543,14.7778917780462,14.6497971243511,15.0738126732397,14.7432291458896,15.0527535956953,14.5769176103174,15.415856193594,16.1506061467616,15.8418266757079,16.4968885856731,15.7630738048685,16.5215551682704,16.720156518589,15.8920567278143,16.0813323264946,15.725058158022,15.5675462201942,15.8102062197153,16.0601710720143,15.7588330907249,15.7529645687295,15.3786816826317,15.4931070075755,15.527511543296,15.7267693305031,15.5867213235601,15.8802002637073,15.8505622006117,15.9188657215044,15.7263856102845,15.3536324233092,15.2802382453732,15.0133301232438,15.4546380810113,15.1487236634042,15.5485480176819,15.7882168000345,15.1858530349023,14.5476794991797,14.1756193041024,13.8268893206285,14.7056799229484,15.0265526899971,15.2874582417404,15.3050573638258,15.4211261748783,15.9813320732357,16.158992742916,15.631555354932,16.6038791556273,16.7442536849749,17.2038690780042,17.5504830409504,18.036642423487,18.3084043599339,12.8567751286237,16.5885771895915,17.4356243156278,19.0548410005757,19.1954402161942,19.7254312941756,18.4361012001243,18.5841508816394,19.4659217327722,19.3743939284503,19.1787307887155,18.6336393140522,18.0099400265711,18.2188081801904,17.8958608216466,18.0435982406887,16.7966839522648,17.0978053739314,16.9877472327236,17.4322074921263,17.1710352398768,17.1221553450961,17.4010127740468,15.7619702794235,16.0050291901089,15.5931052080236,14.3987195192137,12.4496745403917,12.9927089330318,14.1590277535445,13.1795040960223,13.0507092412279,14.2856401299225,14.0589367716908,14.8075917410394,14.6878779855471,13.9201466758633,14.7069147570802,14.5169657813233,15.0516797816379,15.3367142145221,14.9345129982042,15.3992115387349,14.8662497799562,15.0583792163135,15.9751251344867,15.7133525225441,16.4506059541011,16.42598283837,16.4762638259063],"ENZL^JULIAN(FMA_DIV_YLD(LTMA,-10AY,0,AM,\"PORTAGG\",\"MEANR\"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4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397],"CAGDPY@IT^EE_ACTUAL_ANNUAL(MED,+1)":0.95,"CAGDPY@JP^EE_ACTUAL_ANNUAL(MED,+1)":3.5,"CC_CA^FG_COMPANY_NAME":"Canada","USDSEK^FG_PRICE_CHANGE(0,-1AY)":6.0840845,"USDCHF^FG_PRICE_CHANGE(0,-1AY)":1.5984416,"USDEUR^FG_PRICE_CHANGE(0,-1AY)":2.8811336,"USDAUD^FG_PRICE_CHANGE(0,-1AY)":4.670500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EWL^P_PRICE_RETURNS_PR('52W',2,-10AY,0,AM)":[21.516228,17.312849,19.024456,16.612328,11.851811,8.638954,-0.8076787,4.006803,4.3897986,0.5256176,0.17073154,1.0326028,2.6987433,3.8063765,0.2712965,3.811705,2.9734492,-3.097248,9.400368,-2.7824283,-3.7031472,-11.074763,-11.186767,-9.429174,-9.119582,-14.347351,-10.841232,-10.544986,-4.8594713,-3.7422538,-4.9720407,-5.8245125,-4.4248104,8.724523,11.098862,10.726333,7.0064425,17.78859,20.656443,18.62527,11.8316765,18.283485,20.68404,21.490515,24.270105,23.665714,18.25651,11.05566,10.692156,2.2868395,-2.383113,-0.68556666,2.477491,2.5665522,-5.02069,-1.3877213,-9.039664,-6.6663265,-3.3263624,3.8892984,5.8181405,7.210362,16.161024,14.6941185,11.431384,10.029387,17.857038,20.506119,29.914713,28.347946,25.908863,-9.438485,5.6458354,6.0782313,7.874453,11.2801075,15.099203,15.544451,11.950815,11.825252,12.606943,11.896658,8.593618,42.759335,31.606281,28.999996,26.390589,22.917843,24.025011,15.20319,19.610477,21.605217,17.779945,14.529896,9.899199,13.271046,6.8507195,-6.3245177,-18.044102,-14.620209,-13.781482,-16.883707,-18.94703,-15.8162775,-17.769735,-9.382433,-5.219674,-9.836197,-1.597333,11.802888,20.104206,18.24094,7.066262,15.19767,14.237952,8.638298,14.891028,6.3973546,7.3997617,14.4883995,-2.4202228],"EWG^FG_TOTAL_RETURNC(-10AY,0,AM)":[0.84525347,0.9671211,2.7139187,-2.9931843,-5.7862043,1.596117,-10.655743,3.172779,4.1496873,-1.4941275,5.2004337,2.8149724,-1.8697858,3.6406875,-3.9067566,0.31039715,-4.712409,-6.3272715,1.8633485,1.753056,-2.284646,-9.428906,1.4388442,6.5915704,2.1135092,-2.8746665,-1.6179919,1.6493201,8.08407,-4.5624495,1.4498353,-3.9783657,5.108607,4.054117,1.3245106,3.1590343,-0.56318045,8.42477,1.9588709,0.60908794,-0.5840361,4.76501,2.4922252,-0.57751536,2.5374532,4.1680455,-4.50502,-1.953119,2.2372007,-1.4388502,-2.8588831,-0.5354941,-5.1579657,1.7335176,-7.4173093,-1.5517831,-6.4516125,4.5846343,0.03746748,3.3707857,3.5144925,-1.8200934,0.4331708,0.109410286,-6.7395267,6.60156,2.9314756,3.2751918,0.8617759,2.0164013,-2.1440566,-38.274555,27.787018,4.3836713,13.352882,6.8939924,3.952837,0.96731186,-2.1803737,1.2495756,8.217692,-0.62422156,2.3555279,2.5467873,5.894673,0.11303425,-1.3148248,-0.2036035,1.6613245,-2.40826,-1.7332554,2.3617387,-6.2053323,2.7329683,-4.61632,-7.3397455,-6.2262177,-5.71745,-4.5309663,-6.210393,5.360353,-7.6100826,-2.0360947,17.76098,-1.2905419,12.601625,1.6245484,-6.0745955,10.438728,-0.4109621,2.1452427,1.4873743,-6.4758005,-1.1297405,-6.118685,9.89399,4.465878,-1.739043,2.714932,5.015242,-3.0655026],"EWA^FMA_DIV_YLD(NTMA,-10AY,0,AM,\"PORTAGG\",\"MEANR\")":[4.7720048493328,4.76307396845451,4.87582554876083,4.71793027178358,4.70535562970632,4.91584162951924,5.0655415651363,4.96768400094698,5.16313847558668,5.07826404210497,4.5867940554626,4.6513853193405,4.60128995658797,4.75718247294113,4.90081231750078,4.81765920522461,5.18998660911578,5.31321803080802,5.17781929203322,5.35316670105698,5.32536243434874,5.57444278315214,5.06569901704711,4.71052050457261,4.76632684168503,4.57128520061198,4.7553197926033,4.50408072473317,4.46139303801457,4.66560174717176,4.56043362664248,4.63444114827181,4.60882932854851,4.50792332120316,4.45976471142303,4.55232794586758,4.53669617458827,4.63876556500603,4.60557263210598,4.61514441749311,4.54507692948587,4.58276776137191,4.49018195654982,4.49201546880016,4.48020229566627,4.52926826096864,4.64556705569957,4.67978048313108,4.76815216379812,4.62891811807485,4.72436666011873,4.60430427507157,4.55468585283681,4.76618478168238,4.97674056487448,5.22372835161489,5.42544083248843,5.08322022534321,4.95936250542958,4.945032682567,4.90718907492549,4.85541330209604,4.66479218382375,4.60366493040884,4.77194941420051,4.45320135341287,4.43716154268618,4.32655033288796,4.22446808250236,4.12272998447865,4.06178761042806,5.82100062707017,4.2906887378624,3.79016215805302,3.42883168040535,3.41837081258369,3.35298883107278,3.61854604948926,3.56363253816023,3.44003168558139,3.52391762492234,3.55834767383295,3.80181452331497,3.90283864622464,3.85939079817717,3.90787594670637,3.88464716373025,4.18676000273965,4.07529079332765,4.09888902551727,3.97565010535906,4.02816128702327,3.96390309795131,3.90236448070062,4.30660238195959,4.23444338738438,4.357732379929,4.65487646327262,5.33004498627038,5.14332869655862,4.67452773934202,5.00216648527706,5.07761763796253,4.62262683462782,4.59377994530833,4.34105291717175,4.3951920127214,4.66241896599867,4.36684476805793,4.45154285735294,4.29993057713714,4.19383586540309,4.31250982029111,4.16783854698549,4.32835182811423,4.33081440958178,4.09405612179374,4.16723405563367,3.98526379847662,4.00607062242959,3.98044488875791],"ENZL^JULIAN(FMA_DIV_YLD(NTMA,-10AY,0,AM,\"PORTAGG\",\"MEANR\"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4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397],"DDR3512M-FDS^FG_PRICE(0)/MAX(FG_PRICE(0,-1AY))":0.881563963636363,"PASP-FDS^FG_PRICE(0)/MAX(FG_PRICE(0,-1AY))":0.646341463414634,"PLATI-FDS^FG_PRICE(0)/MAX(FG_PRICE(0,-1AY))":0.832599118942731,"W-FDS^FG_PRICE(0)/MAX(FG_PRICE(0,-1AY))":0.706017757316672,"COPP-FDS^FG_PRICE(0)/MAX(FG_PRICE(0,-1AY))":1.0,"FC0000JP^FG_PRICE(0)":171.00948,"FC0000NZ^FG_PRICE(0)":375.87277,"EWQ^FG_PRICE_MAVG(0,,,,60)":40.1115,"EWL^FG_PRICE_MAVG(0,,,,60)":47.094666,"EWA^FG_PRICE_MAVG(0,,,,60)":24.010334,"EWJ^FG_COMPANY_NAME":"iShares MSCI Japan ETF","SPY^P_PRICE(0)/P_PRICE_HIGH_PR(0,,,,,,\"PRICE\",\"INTRA\",\"52W\")":0.952174,"URTH^FG_TOTAL_RETURNC(0,-12AM)":17.553425,"VWO^PERCENT_CHANGE(FMA_EPS(+1,0,,,,\"PORTAGG\",\"MEAN\"),FMA_EPS(+1,-1AM,,,,\"PORTAGG\",\"MEAN\"))":-13.2809604611122,"EWI^FG_TOTAL_RETURNC(0,-1AM)":-2.6954174,"EWN^FG_TOTAL_RETURNC(0,-6AM)":28.539871,"SPY^P_PRICE(0)/P_PRICE_LOW_PR(0,,,,,,\"PRICE\",\"INTRA\",\"52W\")-1":0.23723185,"QQQ^FMA_PCT_ABOVE_MAVG(200,0,,,,\"PORTAGG\")":60.7843137254902,"EWL^PERCENT_CHANGE(FMA_EPS(+1,0,,,,\"PORTAGG\",\"MEAN\"),FMA_EPS(+1,-3AM,,,,\"PORTAGG\",\"MEAN\"))":-6.21578443743641,"EWG^FG_TOTAL_RETURNC(0,-3AM)":4.5596957,"EWA^P_PRICE(0)/P_PRICE_HIGH_PR(0,,,,,,\"PRICE\",\"INTRA\",\"52W\")":0.9305111,"FXI^SIZE(FG_CONSTITUENTS)":51,"VGK^FMA_COS_DOWN(\"EPS\",\"1M\",+1,0,,,\"PORTAGG\",\"MEANR\")":451.0,"SPY^FMA_COS_UP(\"EPS\",\"1M\",+1,0,,,\"PORTAGG\",\"MEANR\")":180.0,"EWC^SIZE(FG_CONSTITUENTS)":88,"EWL^FG_COMPANY_NAME":"iShares MSCI Switzerland ETF","EWC^FMA_RBICS_REV_CURRENT(30, LOC, \"PORTAGG\")":40.9198307473676,"TRYIT10Y-FDS^FG_YIELD_NAME":"Italy Benchmark Bond - 10 Year","REFEUREFI-FDS^(SUBARRAY(NOT_NA(NO_REPEAT_F(FG_YIELD(NOW,-10AY,D))),0,1)-SUBARRAY(NOT_NA(NO_REPEAT_F(FG_YIELD(NOW,-10AY,D))),1,1))*100":25.0,"REFCHMPR-FDS^FG_YIELD(NOW,,,0)":1.5,"REFNZOCR-FDS^PROPER_NAME(0,,,\"SECURITY\",\"NAME\")":"New Zealand Official Cash Rate","TRYCH10Y-FDS^PCTCHG(FG_YIELD(0,,,,\"YTM\"),FG_YIELD(-1AM,,,,\"YTM\"))":-3.413402,"TRYSE10Y-FDS^FG_YIELD_NAME":"Sweden Benchmark Bond - 10 Year","TRYDE10Y-FDS^FG_YIELD_NAME":"Germany Benchmark Bond - 10 Year","CC_DE^IMF_IFS_RCPI_Q(0)":null,"VGK^FG_PE(0)":12.7354213307713,"EWN^FMA_EVAL_EBIT(LTMA,NOW,NOW,M,\"PORTAGG\",\"MEANR\")":22.2985346957706,"SPY^FG_FCF_YIELD_NTM(0)":4.26939716681938,"EWU^FMA_PE(NTMA,0,,,\"PORTAGG\",\"MEANR\")":11.4417257444358,"EWJ^JULIAN(FMA_DIV_YLD(NTMA,NOW,NOW,M,\"PORTAGG\",\"MEANR\").DATES)":45379,"EWA^FMA_EVAL_EBITDA(NTMA,0,,,\"PORTAGG\",\"MEANR\")":8.55362431022274,"EWA^FG_COMPANY_NAME":"iShares MSCI Australia ETF","USO^FG_TOTAL_RETURNC(0,-3AM)":14.074718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,13.2261379950135],"TRYFR10Y-FDS^FG_YIELD(-10AY,0,Y,,\"YTM\")":[0.837,0.9989,0.682,0.785,0.71,0.118,-0.344,0.201,3.07,2.534],"CAGDPY@IT^EE_ACTUAL_ANNUAL(MED,0)":0.508205836311015,"CAGDPY@JP^EE_ACTUAL_ANNUAL(MED,0)":3.67564716252459,"CC_AU^FG_COMPANY_NAME":"Australia","USDSEK^FG_PRICE(0)":10.9413,"CAGDPY@SE^EE_ACTUAL_ANNUAL(MED,+1)":5.4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EWG^P_PRICE_RETURNS_PR('52W',2,-10AY,0,AM)":[31.840694,22.192907,21.955204,19.567394,9.829605,5.7368755,-7.526946,-7.4160395,-5.7915154,-10.803318,-6.2830744,-0.6691158,-3.3433855,-0.78394413,-7.179159,-3.6401212,-2.924186,-10.495037,4.6057343,0.6423354,-5.575311,-11.127215,-16.285658,-13.21066,-9.687716,-15.365177,-11.597597,-12.192744,-0.40082932,-1.6178787,1.0637164,-4.6288786,1.0761023,17.858791,17.873466,14.113498,10.948288,23.855877,29.606606,27.045334,16.856575,28.277397,29.595411,32.9553,30.902946,31.046284,23.059929,17.056633,20.692146,9.712529,4.5284033,3.339219,-0.8651674,-4.2678537,-13.523793,-14.788002,-21.877945,-21.56551,-17.68616,-13.373012,-12.290746,-12.974083,-9.669095,-9.083408,-9.895086,-6.321603,4.1496515,9.256172,17.797543,17.367422,12.399101,-32.883507,-17.290485,-11.910361,-0.57854056,5.966401,18.330658,12.076497,7.466924,4.421413,12.036932,9.577454,14.155245,89.65037,63.62219,50.729813,31.225597,23.540474,19.811762,15.083814,16.33551,17.613388,1.7158866,5.3818703,-1.7961204,-11.263948,-21.42083,-25.99721,-29.797476,-32.718044,-30.269932,-34.979935,-34.190117,-24.289715,-21.52124,-12.668628,-8.161473,-5.7494106,11.077046,17.328787,26.388,35.836803,20.576942,29.034351,23.656918,15.767538,22.12559,6.5719724,8.099461,20.433485,5.707109],"EWA^FG_TOTAL_RETURNC(-10AY,0,AM)":[4.7939777,1.0586023,-1.2345672,2.7746916,0.44894218,-5.5865946,-4.1420164,1.7283916,-8.696074,2.1042943,5.2419305,-0.085145235,-0.80953836,-0.21477938,-3.9603949,-3.407067,-6.368822,-5.532998,5.158508,-4.2922854,-1.0677993,-9.855371,8.676922,12.287653,1.5128613,-3.4773886,-1.6469359,8.688509,2.5390625,-5.7618976,5.6088924,-4.162675,2.6959538,5.81851,4.905653,1.1240959,-1.0226727,-3.4141958,3.0697703,2.6137948,1.61798,0.973022,1.0512471,-1.9072413,2.96067,3.8255215,-2.6683629,-0.9138346,-0.57092905,0.2650261,-0.088107586,2.1357417,1.2323976,-3.782612,-6.4166307,1.4968634,-4.639101,6.6321254,2.429545,2.0872831,1.8587351,-2.281022,4.853523,3.1803727,-6.5169516,5.7936907,-0.6233275,1.8817186,1.4609814,3.978777,-2.2959232,-40.295906,22.667635,3.3868074,12.272274,3.4805179,4.718876,-3.4995258,3.0799866,8.867466,7.098639,1.9174695,3.3537865,-1.8994808,5.929804,0.41888952,0.009572506,-1.5763164,-0.42968988,-0.19615293,2.319181,-1.8824399,-3.2510936,1.4647126,-0.86812973,7.1309447,2.413392,-10.604328,-8.663666,1.2013435,8.784426,-7.2893915,-5.5084763,13.403093,-0.59937835,7.429099,-0.7124901,-7.2604537,7.1916223,-3.0997872,4.1672945,-0.1714468,-7.85746,3.308487,-4.2399645,4.6161056,8.0594425,-1.9370317,2.9054642,1.4749289,-3.2392085],"EWD^FMA_PE(LTMA,-10AY,0,AM,\"PORTAGG\",\"MEANR\")":[15.3263973349971,15.6083380760136,15.6899113754229,15.9358881665232,15.9863752352423,16.1235806247349,15.3152851529383,16.893463432604,17.3231053311181,17.5544061642548,19.9090148128009,20.1515908440463,19.6902739787084,19.0998383137241,18.693074680168,18.778407317984,18.2580088680693,16.9105560106219,16.7426664253363,16.8846826477317,15.9933489557244,14.3421430706431,15.1685568611443,15.6192548098153,15.6528521432427,15.4547512950018,15.2450190411315,15.5831610886501,15.985990663929,15.9985532918426,17.1439883483421,17.259462022476,18.3076274568384,18.1149085714474,17.4239993911243,17.5068735934462,17.5183397532605,17.9802820129532,17.6291685266696,17.6164798859598,16.7680284956134,17.2941004398528,17.7966123435142,18.0300095400379,18.2801583911575,18.2569843859972,16.7432305380009,16.9421789863474,16.847109193314,16.8814719956118,16.495303984402,16.4811038441933,16.586003292887,16.6141879636484,15.7094708032642,14.9035903354192,14.1537981811058,15.2243604995117,18.4479125766109,18.0402052859021,17.8697906835608,17.518844468656,17.1793228335724,16.8717488341422,15.78093210904,16.2797052527047,16.6838436478001,16.0774127767059,16.3013801135735,16.9041263527043,14.367411504787,12.3708636093547,14.032282537448,15.1515496637236,16.6075145689116,18.1520264476177,16.8946151987304,18.009388260271,16.3449573886579,16.6349751047673,17.1561852565765,18.5491841136136,17.5388017286504,17.984206716652,18.4927555874989,17.5242145887321,17.844137682604,17.7443882913366,17.4633144298321,17.3755195467397,17.4390044127653,16.7418170176377,16.1573098080634,15.6029229042369,11.8513886872962,11.9997825175984,12.2477437670417,13.3494033296601,13.1048872069135,13.9212847371378,15.0128812935334,14.5332383849762,15.2271525377292,14.0611387180837,15.2739553195544,16.7685701001054,26.201400954842,24.8279804885357,23.8566690206222,22.5157881068051,21.5498496229045,20.1216307927566,18.2209942348275,17.2718245064457,16.7249785656198,15.8744415282001,18.0812739724863,17.0560587320779,15.6107027452955,16.0340883631296,16.0538573907806],"DDR3512M-FDS^FG_PRICE_CHANGE(0,-6AM)":-4.23045597177284,"PASP-FDS^FG_PRICE_CHANGE(0,-6AM)":-7.4235807860262,"PLATI-FDS^FG_PRICE_CHANGE(0,-6AM)":4.41988950276244,"W-FDS^FG_PRICE_CHANGE(0,-6AM)":-7.49676863420941,"COPP-FDS^FG_PRICE_CHANGE(0,-6AM)":23.9670575097711,"EWQ^FG_PRICE(0)":39.81,"EWL^FG_PRICE(0)":45.18,"EWA^FG_PRICE(0)":23.3,"EWC^FG_COMPANY_NAME":"iShares MSCI Canada ETF","EWU^FG_COMPANY_NAME":"iShares MSCI United Kingdom ETF","CAGDPY@CA^EE_ACTUAL_ANNUAL(MED,0)":-0.614727995236974,"EWD^FMA_PE(NTMA,-10AY,0,AM,\"PORTAGG\",\"MEANR\")":[15.4806213819449,15.8372478736628,15.5429742466925,15.5547394434393,15.2241310869787,14.8941304481421,13.6107748756822,15.4378312378277,15.4318407978808,15.6294680213848,16.8625098297444,17.361517668949,16.5876658927194,15.8889527976741,15.5451760461233,16.240203497935,15.8068688520489,14.4291124337925,14.7821973688787,15.4538116078985,14.737310945667,13.5975182581164,15.0258406397252,15.3211515521384,15.3064332394062,14.7323729860324,14.257975637838,14.9372513661773,15.414960557198,15.3242835708722,16.2005159157725,16.1445711356947,16.7511997174863,16.0379142186177,16.3751415979077,16.8187429227996,16.7656466765294,17.8326632047283,16.8378806596828,16.5856408612301,15.6324946227962,16.2757063697814,16.9389964114665,16.6859208443406,16.5416283099941,16.6491856749222,16.1561197240843,16.2175354668837,15.9396728025481,16.1602140051721,15.375296416568,15.3498678934393,15.5559387699017,15.5386686229608,14.6137622625719,14.1007755286879,13.6208500372184,14.4322592674037,14.9294651026098,15.0947907516833,15.4924773199812,15.0391529814082,14.9162537733959,14.7939891468258,13.5136919098557,14.6521540423952,15.4682601326772,15.7120392481248,16.3012587776649,16.4910119251613,16.9418561062384,11.9977178172909,16.4726400498131,17.7851540824938,19.0277803075746,19.9218035469405,18.0960536446332,18.5132758212791,17.3761396484462,17.322437934695,17.2218758133812,18.7174238345529,18.7146749724805,20.1402236033016,20.7635329700299,18.0037964995357,18.4997778481403,18.5991830699659,18.4118498768071,18.3781669243357,18.4149930601615,18.8632142074483,17.726244849041,17.2096871541012,15.615379542874,15.6602048570424,14.9944690908975,15.8105808485338,14.2161411551396,14.5701227580137,15.0966327727033,13.6121127952201,13.6462099312918,12.9406906640064,12.7426217494804,13.730582815645,14.1822357395213,13.0936615977277,14.0939580201005,13.4847194541651,13.8305195227812,13.4533531386945,12.541369490191,13.0227620957899,13.0310546147031,13.3425651866105,15.5949027209874,15.1846266462664,16.0428926950517,16.5245693990183,16.2567726360342],"PASP-FDS^MAX(FG_PRICE(0,-5AY))":3158.12,"W-FDS^FG_PRICE_CHANGE(0,-1AY)":-23.1017191977077,"EWN^FG_PRICE_MAVG(0,,,,30)":48.971,"URTH^FG_TOTAL_RETURNC(0,-1AM)":-2.855736,"EWI^FG_TOTAL_RETURNC(0,-3AM)":8.051479,"EWJ^FG_TOTAL_RETURNC(0,-6AM)":15.068388,"EWA^FG_TOTAL_RETURNC(0,-6AM)":12.011576,"ENZL^FMA_COS_UP(\"EPS\",\"1M\",+1,0,,,\"PORTAGG\",\"MEANR\")":2.0,"TRYGB10Y-FDS^FG_YIELD_NAME":"United Kingdom Benchmark Bond - 10 Year","REFSEREPO-FDS^FG_YIELD(NOW,,,0)":4.0,"TRYUS10Y-FDS^PCTCHG(FG_YIELD(0,,,,\"YTM\"),FG_YIELD(-3AM,,,,\"YTM\"))":11.919536,"SPY^FMA_PE(NTMA,0,,,\"PORTAGG\",\"MEANR\")":20.0577707227666,"EWC^FMA_DIV_YLD(NTMA,NOW,NOW,M,\"PORTAGG\",\"MEANR\")":3.10692325273598,"TLT^FG_TOTAL_RETURNC(0,-1AM)":-3.809774,"GLD^FG_TOTAL_RETURNC(0,-3AM)":17.596197,"EWC^FMA_PE(NTMA,0,,,\"PORTAGG\",\"MEANR\")":14.1409055493399,"SPY^P_PRICE(0)/P_PRICE_HIGH_PR(0,,,USD,,,\"PRICE\",\"INTRA\",\"52W\")":0.952174,"VWO^FMA_COS_UP(\"EPS\",\"1M\",+1,0,,,\"PORTAGG\",\"MEANR\")":716.0,"CC_IT^IMF_IFS_RCPI_Q(0)":null,"QQQ^FMA_EVAL_EBIT(LTMA,NOW,NOW,M,\"PORTAGG\",\"MEANR\")":24.8021516625678,"USO^FG_TOTAL_RETURNC(0,-1AM)":1.0259032,"EWN^FG_ROE(0)":11.6506727556571,"EWG^FG_COMPANY_NAME":"iShares MSCI Germany ETF","TRYEU10Y-FDS^FG_YIELD(-10AY,0,Y,,\"YTM\")":[0.5475,0.636,0.2082,0.4294,0.239,-0.189,-0.575,-0.181,2.533,2.004],"EWU^P_PRICE_RETURNS_PR('52W',2,-10AY,0,AM)":[19.951653,16.718887,19.263327,17.538988,14.01428,6.922984,-2.7335227,-0.2656877,-3.2941043,-8.800268,-3.846407,-2.6230931,-3.5561144,-3.4356296,-5.646527,-5.934888,-7.5355053,-13.404733,1.6426563,-6.4422607,-10.0146885,-13.99728,-17.3639,-11.466354,-11.08321,-15.778452,-15.396923,-13.406122,-8.220684,-6.252199,-9.942854,-9.878951,-1.5744865,11.875057,9.255278,6.36158,4.788232,11.937761,16.438652,12.552452,7.513654,15.496027,19.71916,19.00035,19.25441,24.222708,15.814948,11.670923,16.88466,11.607361,8.892179,6.9370866,5.03397,1.0815859,-5.1051197,-3.8719296,-12.987995,-13.025451,-5.44883,0.83533525,-3.1199574,-7.79739,-4.1544676,-2.6951492,-6.3761415,-1.2978017,5.0053477,8.212841,20.436966,15.96154,6.1110616,-37.134327,-23.566305,-19.269556,-16.066235,-14.137566,-6.3429174,-14.43578,-16.592163,-10.525549,-10.323805,-7.303733,-2.8373837,59.953915,40.19542,37.365555,28.281343,25.689804,25.846756,25.93193,34.388374,20.952297,11.977732,17.657125,15.511012,10.487366,8.087778,-2.2461534,-8.362007,-5.2707376,-2.1339834,-9.768391,-15.545952,-5.024439,-2.2646487,-2.0186126,-1.130259,-4.9203215,2.659285,8.129144,15.131187,16.025532,5.308366,17.910362,20.438623,10.269558,10.893118,2.1786928,4.385245,14.228285,3.1138182],"EWJ^FG_PRICE(0)":66.89,"EWQ^FG_TOTAL_RETURNC(0,-12AM)":3.9987087,"EWU^FG_TOTAL_RETURNC(0,-12AM)":3.1138182,"QQQ^FMA_COS_DOWN(\"EPS\",\"1M\",+1,0,,,\"PORTAGG\",\"MEANR\")":40.0,"ENZL^FMA_RBICS_REV_CURRENT(30, LOC, \"PORTAGG\")":13.7517044499309,"TRYCH10Y-FDS^FG_YIELD_NAME":"Treasury - Switzerland Benchmark Bond 10Y","REFJPTON-FDS^PROPER_NAME(0,,,\"SECURITY\",\"NAME\")":"Japan Policy Rate","TRYUS10Y-FDS^PCTCHG(FG_YIELD(0,,,,\"YTM\"),FG_YIELD(-1AM,,,,\"YTM\"))":6.9727116,"TRYSE10Y-FDS^FG_YIELD(0,,,,\"YTM\")":2.49,"VWO^FG_PE(0)":13.8523150839886,"EWD^FMA_PE(LTM,0,,,\"PORTAGG\",\"MEANR\")":14.1502269841952,"EWL^FMA_DIV_YLD(NTMA,NOW,NOW,M,\"PORTAGG\",\"MEANR\")":3.26227190151517,"GLD^FG_TOTAL_RETURNC(0,-1AM)":10.153473,"USO^P_PRICE(0)/P_PRICE_HIGH_PR(0,,,USD,,,\"PRICE\",\"INTRA\",\"52W\")":0.944491,"USO^FG_TOTAL_RETURNC(0,-6AM)":-1.3276517,"EWG^P_PRICE(0)/P_PRICE_LOW_PR(0,,,,,,\"PRICE\",\"INTRA\",\"52W\")-1":0.21594822,"TRYGB10Y-FDS^PCTCHG(FG_YIELD(0,,,,\"YTM\"),FG_YIELD(-3AM,,,,\"YTM\"))":8.784482,"EWC^JULIAN(FMA_DIV_YLD(NTMA,NOW,NOW,M,\"PORTAGG\",\"MEANR\").DATES)":45379,"USDCAD^STD(FG_PRICE_CHANGE(0,-3AY,M))":1.87874814846935,"EWN^FMA_PE(NTMA,-10AY,0,AM,\"PORTAGG\",\"MEANR\")":[14.0304073562034,14.0213257835973,14.5278756422504,14.099183775846,13.989100157689,14.7006833717091,13.5006858606735,14.9030491055146,14.683577048972,15.0926858747339,16.2342555722826,17.5219300119249,17.1777104831432,16.8821202677832,16.1688485196385,17.0950567755387,16.0785690798329,14.5339075503058,15.1715846055331,16.2399283242846,15.392730635689,14.1271977719314,14.3664811030354,15.3854813962068,15.3722621281522,14.7553358232917,13.9513203304134,14.5424199433114,14.8481458969402,14.4750377367676,14.8255191725871,14.5486188107582,14.946536712276,14.9759024964651,15.6782842710407,16.0975580919081,15.9751344097462,16.2245195766043,16.0596069330318,15.8850028793428,15.7735999655174,15.93940672107,16.2835671887699,15.9378221525605,16.2159428409939,16.3954278019766,15.5175437484168,15.691995133409,15.7270590226948,15.8355442174791,15.8622472241377,15.9415113954696,15.3546322799965,14.9456159280396,14.166412309166,14.1917440632078,13.3865622334263,13.6370287671703,14.8547936676726,15.2838637875516,15.7626743854562,15.3786629098857,15.3988379684141,15.7068225525751,15.0658977755566,16.2763295399839,16.1260345954159,16.7432386382439,17.043843578556,17.3617062024702,18.0335282297761,11.8970902657978,16.3937241111353,17.6065996500263,19.5781378875771,20.1912886143877,19.8999941960637,19.4091159570781,19.9240631261243,20.6055106075303,20.6496805452553,21.2620504012239,22.2857601950382,21.8722804270137,22.8318428446414,21.1907554447938,21.161201087634,21.0801286046273,21.6417744950877,21.5889952107946,20.7901164919403,21.6615818024054,19.7594203094328,19.4865765108725,18.0427361655897,18.134897519931,17.6668427016861,16.669293161821,15.4267058557653,16.4101597933917,17.6811032573511,15.4635639706857,14.4445692351878,16.4330999869548,15.7371948245057,17.0279588881232,17.0390917970217,15.7458410321025,16.3422239841337,15.8744851153484,15.8433562183007,16.0969871159114,14.6780439954087,13.8714748337689,13.3208334296334,14.6755630986315,15.1486687775491,14.8265205072821,16.3590225154175,15.9502706742904,15.9064093026385],"PASP-FDS^FG_PRICE_CHANGE(0,-1AY)":-35.1681957186544,"EWN^FG_PRICE(0)":47.21,"EWG^FG_PRICE_MAVG(0,,,,60)":30.431,"URTH^PERCENT_CHANGE(FMA_EPS(+1,0,,,,\"PORTAGG\",\"MEAN\"),FMA_EPS(+1,-3AM,,,,\"PORTAGG\",\"MEAN\"))":-1.46049663240197,"EWI^PERCENT_CHANGE(FMA_EPS(+1,0,,,,\"PORTAGG\",\"MEAN\"),FMA_EPS(+1,-3AM,,,,\"PORTAGG\",\"MEAN\"))":0.407981248096939,"EWQ^P_PRICE(0)/P_PRICE_LOW_PR(0,,,,,,\"PRICE\",\"INTRA\",\"52W\")-1":0.18270946,"EWA^FG_TOTAL_RETURNC(0,-3AM)":1.0407567,"URTH^FMA_COS_DOWN(\"EPS\",\"1M\",+1,0,,,\"PORTAGG\",\"MEANR\")":553.0,"TRYJP10Y-FDS^FG_YIELD_NAME":"Japan Benchmark Bond - 10 Year","REFSEREPO-FDS^PROPER_NAME(0,,,\"SECURITY\",\"NAME\")":"Sweden Repo Rate","VWO^JULIAN(FMA_DIV_YLD(NTMA,NOW,NOW,M,\"PORTAGG\",\"MEANR\").DATES)":45351,"SPY^FMA_PE(LTM,0,,,\"PORTAGG\",\"MEANR\")":24.8811474420671,"EWL^FMA_PE(NTMA,0,,,\"PORTAGG\",\"MEANR\")":16.9985445497671,"EWU^P_PRICE(0)/P_PRICE_HIGH_PR(0,,,,,,\"PRICE\",\"INTRA\",\"52W\")":0.9653679,"EWU^SIZE(FG_CONSTITUENTS)":85,"EWD^FG_ROE(0)":16.2997911850515,"EWL^JULIAN(FMA_DIV_YLD(NTMA,NOW,NOW,M,\"PORTAGG\",\"MEANR\").DATES)":45379,"EWI^FMA_PCT_ABOVE_MAVG(200,0,,,,\"PORTAGG\")":64.0,"EWJ^FMA_EVAL_EBIT(LTMA,NOW,NOW,M,\"PORTAGG\",\"MEANR\")":18.1571800625872,"TRYFR10Y-FDS^FG_YIELD(0,,,,\"YTM\")":2.998,"TIPSCL10Y-FDS^FG_YIELD(-10AY,0,Y,,\"YTM\")":[null,null,null,null,null,null,null,null,null,5.3314],"CC_DE^FG_COMPANY_NAME":"Germany","EWJ^P_PRICE_RETURNS_PR('52W',2,-10AY,0,AM)":[0.13667345,-5.3683996,6.7870855,2.1024823,7.3738933,-0.83402395,-8.067256,-2.3157477,-2.3065984,-4.4525623,5.6310415,15.85536,17.084455,20.351517,8.637894,8.808088,8.250963,-1.3049483,13.350034,8.157194,6.1661363,0.6507635,-9.196222,-9.1215725,-7.027191,-11.217767,-9.810615,-6.842065,-2.6569605,3.1483054,3.2734513,-0.19043684,2.840495,14.773989,19.94797,14.999998,9.514332,15.446663,20.723175,15.076363,12.4158745,16.3319,17.893578,19.188011,23.156595,27.740728,21.851276,19.028711,21.288181,17.473293,11.8951435,9.297729,7.035756,9.3364,-0.28779507,-5.904084,-11.821413,-13.294422,-8.780831,-8.861101,-7.902813,-10.840183,-7.5940075,-4.393339,-4.714155,-3.2282948,3.2016277,11.246133,17.027723,14.143551,7.896507,-16.792547,-6.1146736,0.7940769,6.362915,4.7787547,11.318314,6.6793203,4.2465925,8.407843,12.427664,16.564512,24.606586,60.02672,41.17093,28.481638,20.797657,21.239067,16.673672,24.762844,17.95491,10.939503,2.7595282,-1.7160714,-8.394777,-9.432989,-15.815806,-15.221035,-22.599094,-19.539047,-13.869417,-28.563446,-27.349,-20.45598,-18.862295,-12.470418,-9.452688,-8.295309,3.4127116,10.202169,20.985365,20.882809,5.7614446,23.430311,21.972359,15.978109,16.398,17.293453,21.085941,29.51286,15.861082],"W-FDS^FG_PRICE_CHANGE(0,-3AM)":-8.32621690862512,"SPY^FG_TOTAL_RETURNC(0,-6AM)":16.947006,"URTH^PERCENT_CHANGE(FMA_EPS(+1,0,,,,\"PORTAGG\",\"MEAN\"),FMA_EPS(+1,-1AM,,,,\"PORTAGG\",\"MEAN\"))":-1.00881174015027,"EWQ^P_PRICE(0)/P_PRICE_HIGH_PR(0,,,,,,\"PRICE\",\"INTRA\",\"52W\")":0.9506866,"EWU^P_PRICE(0)/P_PRICE_LOW_PR(0,,,,,,\"PRICE\",\"INTRA\",\"52W\")-1":0.10583949,"EWJ^PERCENT_CHANGE(FMA_EPS(+1,0,,,,\"PORTAGG\",\"MEAN\"),FMA_EPS(+1,-1AM,,,,\"PORTAGG\",\"MEAN\"))":-3.24928630409766,"QQQ^FMA_COS_UP(\"EPS\",\"1M\",+1,0,,,\"PORTAGG\",\"MEANR\")":34.0,"EWI^FG_ROE(0)":13.1889506238377,"TRYNL10Y-FDS^FG_YIELD(0,,,,\"YTM\")":2.783,"TRYNZ10Y-FDS^FG_YIELD(0,,,,\"YTM\")":4.9004,"VGK^FMA_EVAL_EBIT(LTMA,NOW,NOW,M,\"PORTAGG\",\"MEANR\")":13.19799269758,"EWD^JULIAN(FMA_DIV_YLD(NTMA,NOW,NOW,M,\"PORTAGG\",\"MEANR\").DATES)":45379,"EWL^FMA_PE(LTM,0,,,\"PORTAGG\",\"MEANR\")":15.1546946654359,"EWC^FMA_PE(LTM,0,,,\"PORTAGG\",\"MEANR\")":16.3273594863983,"TRYNZ10Y-FDS^FG_YIELD_NAME":"New Zealand Benchmark Bond - 10 Year","REFEUREFI-FDS^PROPER_NAME(0,,,\"SECURITY\",\"NAME\")":"Eurozone Main Refinancing Operations Minimum Bid Rate","VGK^FG_FCF_YIELD_NTM(0)":5.02473897691092,"EWN^FG_FCF_YIELD_NTM(0)":3.99758723636453,"EWA^FMA_EVAL_EBIT(LTMA,NOW,NOW,M,\"PORTAGG\",\"MEANR\")":12.4430506058536,"TRYCN10Y-FDS^FG_YIELD(-10AY,0,Y,,\"YTM\")":[3.653331,2.901145,3.070911,3.93859,3.259862,3.197311,3.1948,2.7893,2.855,2.574],"USDCAD^STD(FG_PRICE_CHANGE(0,-1AY,AM))":1.6560389612643,"EWQ^FG_PRICE_MAVG(0,,,,200)":38.078773,"EWC^FG_PRICE_MAVG(0,,,,30)":37.793335,"URTH^FMA_PCT_ABOVE_MAVG(200,0,,,,\"PORTAGG\")":66.3934426229508,"EWI^PERCENT_CHANGE(FMA_EPS(+1,0,,,,\"PORTAGG\",\"MEAN\"),FMA_EPS(+1,-1AM,,,,\"PORTAGG\",\"MEAN\"))":-1.92636486924864,"EWQ^FG_TOTAL_RETURNC(0,-3AM)":5.0118685,"EWA^FG_TOTAL_RETURNC(0,-1AM)":-3.2392085,"VWO^FMA_COS_DOWN(\"EPS\",\"1M\",+1,0,,,\"PORTAGG\",\"MEANR\")":1045.0,"TRYCA10Y-FDS^FG_YIELD_NAME":"Canada Benchmark Bond - 10 Year","VGK^FMA_EVAL_EBITDA(NTMA,0,,,\"PORTAGG\",\"MEANR\")":9.08174988134934,"SPY^JULIAN(FMA_DIV_YLD(NTMA,NOW,NOW,M,\"PORTAGG\",\"MEANR\").DATES)":45379,"EWA^PERCENT_CHANGE(FMA_EPS(+1,0,,,,\"PORTAGG\",\"MEAN\"),FMA_EPS(+1,-3AM,,,,\"PORTAGG\",\"MEAN\"))":-2.50184826401245,"TRYTR7Y-FDS^FG_YIELD(-10AY,0,Y,,\"YTM\")":[7.979133,10.679033,11.110786,11.586128,15.896213,12.034795,12.534946,23.870693,7.323803,21.984322],"ENZL^FMA_PE(NTMA,-10AY,0,AM,\"PORTAGG\",\"MEANR\")":[17.1694807886028,17.465533554149,17.3383860206602,17.1577976152777,17.009636066709,16.871493292199,16.7401097983836,18.1143159255858,18.0847357453527,18.5478301470677,18.9270334933425,18.7412794877628,18.4332732653751,18.2181894539528,17.8581635355801,18.1715087899683,17.6511614231856,17.6180809178897,17.6236065596109,17.8732518950287,17.9093627245329,17.7346036848985,17.3276760496274,18.181524816871,18.8903653548927,19.435032795185,18.9217504725008,19.5752481293212,20.3342648919915,20.1995497998947,19.0920874953932,18.7461524724985,18.1634957042499,18.9449209526694,18.9227869332119,18.7962032498598,19.1325259851472,19.3382519089278,19.5568107789944,19.7334513527682,20.288293392972,19.5731256707439,20.1075555513208,20.1973244525382,20.8116084504574,20.5036014843541,20.2818365986933,20.4977190042163,20.0407895226211,20.5097721667799,21.3595746025419,21.0699127799248,21.3168575086892,21.7118863674173,20.4752200229331,20.0735276404331,19.8115779637316,20.6437248611298,21.018988736511,21.6878148063428,22.5484485911005,23.1098901534411,22.8956250753916,24.4134344861906,24.0303312312609,25.6166269537834,25.487088993533,24.6853752436586,25.726892436168,26.3438275426871,27.178093278385,21.8280538667606,29.2371303809708,30.5854977142396,30.4751723263253,31.8749262772598,32.6162344842546,31.2049054436918,33.0706454167922,32.8466424206825,33.0709296234812,33.6408252776016,32.1069005308702,32.4405180308913,32.3808061431811,32.3352642730536,33.5443861814638,34.2078054989961,33.6675237303946,34.9638427182766,33.4491554137332,32.6668299064532,31.9105486234566,31.1447631933645,29.4572258063608,29.2951193667374,28.3730183800061,27.4193243558707,25.0638707867245,25.8656424646724,27.3354846821463,26.2433274484386,23.4579177772123,23.6882726341079,23.4464203034506,23.9513430454364,24.8437661889129,22.7621783174531,23.2690551914841,23.584549184559,20.8172027291688,20.9309482619326,20.0747089930747,20.4111151163432,19.7310823516886,20.1270027042033,22.5962071345471,22.1770090513255,22.2964802939291,24.7288747400243,24.9890945740817],"PASP-FDS^FG_PRICE_CHANGE(0,-3AM)":12.1693121693122,"W-FDS^FG_PRICE_CHANGE(0,-1AM)":-1.10548134500231,"FC0000GR^FG_PRICE(0)":9.245088,"SPY^FG_TOTAL_RETURNC(0,-3AM)":5.161214,"VWO^P_PRICE(0)/P_PRICE_LOW_PR(0,,,,,,\"PRICE\",\"INTRA\",\"52W\")-1":0.09491384,"TRYNL10Y-FDS^FG_YIELD_NAME":"Netherlands Benchmark Bond - 10 Year","EWN^FMA_EVAL_EBITDA(NTMA,0,,,\"PORTAGG\",\"MEANR\")":12.5463445976416,"EWQ^PERCENT_CHANGE(FMA_EPS(+1,0,,,,\"PORTAGG\",\"MEAN\"),FMA_EPS(+1,-1AM,,,,\"PORTAGG\",\"MEAN\"))":-3.21341621008931,"USDCAD^FG_PRICE_CHANGE(0,-6AM)":0.46744347,"EWC^P_PRICE_RETURNS_PR('52W',2,-10AY,0,AM)":[16.080929,11.879158,17.347729,19.333351,17.31559,14.89706,2.4404526,4.535496,1.9524455,-3.1264842,-1.7197967,-4.204631,-1.039505,-3.734821,-10.456568,-17.852228,-20.555252,-24.991465,-11.991156,-21.753746,-22.81688,-27.594692,-21.59437,-11.970115,-13.916421,-13.906294,-9.46402,0.11188984,6.243038,5.3344846,6.249559,11.970341,22.752619,43.337395,31.231451,13.532782,11.585772,8.573937,10.862279,10.498738,6.6421986,16.467213,15.8370495,16.373873,11.789417,15.573502,3.6932707,5.15635,8.13632,15.291035,10.846877,7.0519447,8.572996,3.2314777,-5.5157127,-5.9004126,-13.060409,-10.434514,-1.0908008,3.5556912,3.492713,-1.8525302,1.3315916,2.9179096,-0.45426488,3.3816457,8.239185,14.142871,23.543144,19.122887,13.857735,-31.902754,-16.524607,-10.380703,-6.4163504,-4.7004404,5.6042194,-2.2992551,1.0293007,1.0135055,7.2561145,7.257855,9.575748,88.8877,61.244953,54.798187,45.473373,38.35926,31.404198,34.034218,41.07126,37.463284,19.679535,25.03593,17.657518,17.891657,14.391172,-1.7484128,-8.988804,-7.613349,-0.46787262,-8.034897,-17.498028,-11.057556,-10.896492,-9.539151,-6.4002037,-16.537302,-8.365703,-1.1737585,5.64878,10.867119,-3.9237857,7.401681,7.127273,2.2477984,12.479221,5.6780577,6.7855477,19.34898,5.984664],"EWQ^FG_PRICE_MAVG(0,,,,30)":40.909,"EWC^FG_PRICE(0)":36.85,"USDITL^STD(FG_PRICE_CHANGE(0,-3AY,M))":2.22271940521832,"EWI^FMA_PE(LTMA,-10AY,0,AM,\"PORTAGG\",\"MEANR\")":[17.1754040068139,16.949014463329,17.3275003330369,17.1395708239488,16.7621343136824,18.0675488097636,16.3077123524235,17.8567218526246,18.3142517184806,19.9002375160191,44.0079992201295,43.5571836290492,40.8220593444703,37.9560986728922,34.7612665461308,32.5083197140623,29.7029789836909,26.0394574486288,24.2645142485921,22.1761480512204,18.8937401437577,16.1443030110855,14.9495140578168,15.4308944255059,15.2999815529942,15.4364522331808,14.7092398888453,14.6385992840547,14.9952164275485,14.4842834856679,15.0755917503449,14.0496174463118,16.3027663274373,27.4114068726172,20.6319465074625,82.0940992664108,74.3644155876041,67.6938066047321,60.7894872833788,53.4966706546206,46.1890279829435,39.070491895521,32.2256497084716,25.1233403961635,18.4502325301556,16.020457479808,14.4947001707681,14.1852545697043,14.183415025834,13.9551726303824,13.4696209243715,13.232320776556,12.6127235049035,12.615287573659,11.5452711881105,11.2121493992115,10.731129921194,11.1708503375256,11.1305089337494,11.3228248185985,11.3660816738568,11.1689750275009,11.1171136884565,11.3607647358721,10.8001183198277,11.2854387864117,11.4900737987033,11.9382779958916,12.1521502569638,12.3791748547343,12.9266617285416,10.7633883850742,11.6131624635042,13.6393707916509,15.8179528771425,17.5337624304465,17.5308550618307,18.2296827960359,18.9572518573297,21.7761875716915,22.7581932414655,23.3177998003994,20.1962921094369,20.0510155994829,19.5136410634962,18.7139093350675,18.2623154863166,17.4890815939408,16.1666460415627,14.9984851444337,14.3535896706687,13.7176644903786,12.1197470273986,12.1085354205466,11.5506029459094,10.5425337923896,10.5136812901574,10.1051584263222,9.50226695752484,9.00723196261705,8.7151435463373,8.42534118953348,8.02203154116527,8.33437121281537,7.4757163263452,8.09021212181281,8.38011542286428,8.18089520228113,8.40616566982941,8.25941779346841,8.55188148016099,8.66226151889319,8.11732934537723,8.36324818122181,8.18294681643728,8.29273202667747,8.7962183475072,8.97592977038025,9.07152457980404,9.43080360664328,9.40731564969224],"PASP-FDS^FG_PRICE_CHANGE(0,-1AM)":-1.3953488372093,"W-FDS^FG_PRICE_MAVG(0,,,,30)":5.4651666,"SPY^FG_TOTAL_RETURNC(0,-1AM)":-2.601099,"VWO^FG_TOTAL_RETURNC(0,-3AM)":4.5274973,"EWU^FG_TOTAL_RETURNC(0,-6AM)":8.211077,"EWG^P_PRICE(0)/P_PRICE_HIGH_PR(0,,,,,,\"PRICE\",\"INTRA\",\"52W\")":0.9396309,"EWU^FMA_COS_DOWN(\"EPS\",\"1M\",+1,0,,,\"PORTAGG\",\"MEANR\")":40.0,"REFCATARG-FDS^(SUBARRAY(NOT_NA(NO_REPEAT_F(FG_YIELD(NOW,-10AY,D))),0,1)-SUBARRAY(NOT_NA(NO_REPEAT_F(FG_YIELD(NOW,-10AY,D))),1,1))*100":25.0,"TRYGB10Y-FDS^PCTCHG(FG_YIELD(0,,,,\"YTM\"),FG_YIELD(-1AM,,,,\"YTM\"))":1.767806,"CC_SE^IMF_IFS_RCPI_Q(0)":null,"EWJ^FMA_EVAL_EBITDA(NTMA,0,,,\"PORTAGG\",\"MEANR\")":10.7219387395957,"EWA^P_PRICE_RETURNS_PR('52W',2,-10AY,0,AM)":[4.0840864,5.5419326,14.628351,17.933619,16.101683,0.7074475,-4.8434734,-2.2429168,-1.3623655,-1.919049,-1.4470935,-2.5453389,-7.756406,-8.91872,-11.432468,-15.814853,-22.409445,-22.365396,-13.66046,-19.873493,-13.1790695,-22.480297,-20.846748,-11.044926,-8.962178,-11.9387865,-9.492964,1.4753342,11.1294985,9.159195,11.335003,11.485779,14.982498,35.849144,31.582022,17.446136,15.1478405,15.223253,21.768486,14.000201,12.976158,21.050226,15.826214,17.554342,18.857647,16.619087,8.005118,6.207752,6.5027356,10.559726,7.17237,6.6730857,6.7878604,1.2632847,-6.2202573,-3.8158774,-10.12814,-7.6987386,-3.6608398,0.0777483,2.5232673,-0.7794857,4.861903,5.9344053,-0.83835125,7.5614333,14.220047,14.653147,21.98732,19.416094,13.464176,-33.642323,-20.013004,-15.4508705,-9.468722,-8.723068,1.7073512,-7.2269144,-3.7696838,2.8285503,8.542204,7.4872255,12.542415,84.91981,63.77481,55.10359,38.16272,32.140743,24.950146,27.704834,28.273619,15.607476,3.1456232,3.971541,-0.27561188,8.904303,5.2891374,-6.268704,-16.51585,-11.98163,-3.8365066,-12.325263,-17.5049,-4.653162,-3.16723,3.7185073,3.0647397,-8.939248,-5.8778706,2.0234466,14.323068,14.777363,-2.7813137,8.331895,9.786201,1.6367197,10.10195,0.50280094,3.5096407,13.976622,2.8855324],"USDITL^STD(FG_PRICE_CHANGE(0,-1AY,AM))":2.13178024667392,"USDAUD^FG_PRICE_CHANGE(0,-1AM)":1.9583464,"PASP-FDS^FG_PRICE_MAVG(0,,,,30)":1043.0667,"W-FDS^FG_PRICE(0)":5.3675,"SPY^FG_PRICE_MAVG(0,,,,200)":465.95514,"SPY^PERCENT_CHANGE(FMA_EPS(+1,0,,,,\"PORTAGG\",\"MEAN\"),FMA_EPS(+1,-3AM,,,,\"PORTAGG\",\"MEAN\"))":-0.206187748583798,"VWO^FG_TOTAL_RETURNC(0,-1AM)":-1.6310871,"EWU^FG_TOTAL_RETURNC(0,-3AM)":4.3192506,"EWG^FG_TOTAL_RETURNC(0,-6AM)":17.948854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USDGBP^STD(FG_PRICE_CHANGE(0,-3AY,M))":2.40614321798816,"ENZL^P_PRICE_RETURNS_PR('52W',2,-10AY,0,AM)":[16.818916,19.328392,26.708626,22.604895,18.281614,6.053257,0.8392453,7.926953,13.260269,7.896459,7.6161146,-0.38468838,2.8755665,-4.0285053,-10.477882,-12.934321,-12.17565,-12.4033985,-2.4872541,-11.666166,-5.430871,-11.685556,-7.294214,1.738596,6.8019032,9.584212,20.758915,34.17213,45.346405,46.31208,25.996983,24.122059,13.190007,27.926624,25.510765,11.342251,5.8417916,8.473337,12.827587,11.50198,6.079054,6.30455,15.944874,14.290535,24.486637,19.125319,15.894151,23.003054,20.048439,16.04755,12.780523,6.4453125,5.3826213,8.870935,-0.21230578,10.682285,1.893723,3.3406377,7.3292017,6.7233443,8.826447,12.359774,5.5152416,19.419098,14.179587,9.909069,21.161116,14.312053,24.866724,25.592005,19.017113,-16.82477,-2.377832,2.147007,10.935152,8.708692,18.05122,16.261625,18.294704,25.167679,19.526302,17.366196,15.592718,59.569298,36.742176,25.73756,12.058485,9.674692,2.309072,8.387637,3.9820433,-3.7010252,-13.658762,-12.335051,-15.3697195,-9.137684,-16.581238,-24.174864,-26.982515,-24.424744,-15.736037,-25.360292,-32.799,-21.633179,-14.105469,-8.438147,-4.373699,-11.11235,-4.2508545,10.555637,13.760889,12.149799,-6.284511,-1.753962,6.724012,-2.1520674,-0.99828243,-6.5208673,-7.915759,-5.045724,-8.26962],"EWN^FMA_PE(LTMA,-10AY,0,AM,\"PORTAGG\",\"MEANR\")":[16.9991165299833,16.7747597336726,16.8291708264647,16.4909559537749,16.3143291128377,16.8099333449788,15.7590722943539,17.3970457980016,17.3912906738911,18.0903629750486,19.5205269197215,20.0897153502216,19.8038417552964,19.4916873535608,18.9559057882287,19.274666241034,18.3948636093369,16.9463248467508,17.0951651431467,18.057008520925,16.9901125316453,15.4322461669667,15.5516449071134,16.4295733665154,16.3884248280945,16.1374907121044,15.7226610480274,15.9768878205163,16.104868436504,15.7667852999638,15.9346017210567,15.5651254287989,16.0828483935714,16.2490334811847,16.6594780154153,16.5136383339274,16.5058917735133,16.6544912646658,16.6509615733331,16.636029220152,16.6081050975706,16.8992097482556,17.3148523448502,17.1905879558156,17.4929198875851,17.4500591008164,16.5216428307624,16.6538081729037,16.6284508453022,16.6428252727867,16.6740292984639,16.7778101024543,16.4729422049457,16.282092106268,15.6233844155876,15.5141100341062,14.6214847971165,14.9261238535329,16.1285688908039,16.1920833398743,16.3279970255819,16.2298200150131,16.3163236918473,16.5569976541824,16.2289825165852,17.1111387589127,17.192244413743,17.9535450692616,18.5425137399674,18.8324688985931,19.791496554678,16.4492188711934,17.4971581154359,18.0888840786494,19.410239240244,20.2741997589764,21.0209402672807,21.5840326878058,22.6582799392748,24.7372353159915,26.6826355644996,28.286081415152,29.7612095570049,28.6782226263681,28.4545425731192,27.2973249710175,26.7333104341191,26.2391934668936,26.0291268858145,25.4324964573599,24.4233061506613,24.4830551371652,22.1467288430275,21.5277224652704,18.9280761877395,18.4740847657378,18.4352200485784,18.2199356510694,17.7089947674873,18.413547426376,19.6282478259925,18.0711075889628,17.1200053672102,18.4819028142098,18.0166293353354,19.4399773737636,21.4255932764086,20.3201718516373,20.1255317659857,19.6527018879475,19.3670692914035,19.2260638948949,17.8945995785608,17.1051486783545,16.1249585140937,16.5988341273069,16.7961651665369,16.4533849572957,17.903875635887,18.4338488768305,18.2878617807243],"EWA^FG_PRICE_MAVG(0,,,,30)":24.295666,"EWD^P_PRICE(0)/P_PRICE_LOW_PR(0,,,,,,\"PRICE\",\"INTRA\",\"52W\")-1":0.25109994,"SPY^FG_TOTAL_RETURNC(0,-12AM)":22.352589,"EWA^FMA_PCT_ABOVE_MAVG(200,0,,,,\"PORTAGG\")":74.5762711864407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9,12.1999545354885,11.8188093455252,11.940053323267],"TRYTW10Y-FDS^FG_YIELD(-10AY,0,Y,,\"YTM\")":[1.6015,1.015,1.2037,0.9478,0.8648,0.672,0.315,0.7413,1.2812,1.211],"USDITL^FG_PRICE_CHANGE(0,-6AM)":-1.0980308,"USDAUD^FG_PRICE(0)":1.5542431,"BRENT-FDS^FG_PRICE_MAVG(0,,,,30)":85.86,"SPY^FG_PRICE_MAVG(0,,,,60)":507.01617,"SPY^PERCENT_CHANGE(FMA_EPS(+1,0,,,,\"PORTAGG\",\"MEAN\"),FMA_EPS(+1,-1AM,,,,\"PORTAGG\",\"MEAN\"))":-0.212579606823208,"VWO^PERCENT_CHANGE(FMA_EPS(+1,0,,,,\"PORTAGG\",\"MEAN\"),FMA_EPS(+1,-3AM,,,,\"PORTAGG\",\"MEAN\"))":-16.6634637556376,"EWU^FG_TOTAL_RETURNC(0,-1AM)":0.0,"EWG^FG_TOTAL_RETURNC(0,-1AM)":-3.0655026,"ENZL^FG_TOTAL_RETURNC(0,-12AM)":-8.26962,"EWL^FMA_COS_DOWN(\"EPS\",\"1M\",+1,0,,,\"PORTAGG\",\"MEANR\")":18.0,"QQQ^FG_ROE(0)":22.0490307371747,"REFAUCASH-FDS^FG_YIELD(NOW,,,0)":4.35,"TRYJP10Y-FDS^PCTCHG(FG_YIELD(0,,,,\"YTM\"),FG_YIELD(-3AM,,,,\"YTM\"))":36.498756,"TRYUS10Y-FDS^FG_YIELD(0,,,,\"YTM\")":4.6347,"CC_US^IMF_IFS_RCPI_Q(0)":null,"USDGBP^STD(FG_PRICE_CHANGE(0,-1AY,AM))":2.11901590165476,"EWQ^FMA_PE(LTMA,-10AY,0,AM,\"PORTAGG\",\"MEANR\")":[15.8320618782576,15.783437482101,15.8316424011517,15.4590393041361,15.1589581312121,15.5584899313599,14.4454434475899,15.0779655549387,14.9832242587906,15.3428384201067,16.9574728539795,17.5651821564699,17.5937028814129,17.4380817927164,17.0447882254996,17.4102081314941,16.8673728972873,15.793579836624,15.9960417350144,16.3329222691246,15.4503660874686,14.0278255720747,14.7729149055311,15.1986459838719,15.2496602954464,15.0475038277241,14.7654091224685,14.9811186818851,14.946592944026,14.6746970155932,15.0185101309783,14.7796538302644,15.6390211508184,15.7960468788078,15.5069192023849,15.6202713042743,15.5384534773624,15.7486987488624,15.7158219457954,15.65433289075,15.4877834609101,15.7450222668997,16.1131329923517,15.8531549814856,16.2623610851916,16.5325360105291,15.7154374416483,15.5723302975611,15.5571925638947,15.6387994409497,15.3489511328682,15.3033897442096,14.9546197531653,14.9062015193707,14.2724777252246,13.9356086321765,13.0904000075552,13.422658207518,14.1935261736236,14.6088745046735,14.6761979587099,14.5685429181405,14.637910005141,14.7954678030513,14.4682297774342,15.0708452219865,15.3222679069401,16.0984730674582,16.3586831515196,16.8376366337947,16.6926346052599,13.8644575032107,15.2638187893409,16.2698895800485,18.1146642876599,20.0875677069612,22.0621329495432,23.2335214155261,24.2610337078086,27.4830615532208,28.2617598516602,28.7158816478859,27.6534338460194,26.6883509254881,25.9385788870851,24.876044183943,24.1656507820948,22.8820908008251,21.5952289873186,20.2621615031936,19.1066674234224,18.5053672784839,17.1025815705798,16.9152557732655,16.1043966845217,15.3676371166074,15.0423171367857,14.4202044407306,13.6911262966652,13.3578099643442,13.1482656258392,12.238282947178,11.6781328599353,12.1829711907008,11.6279511597447,12.7859320164555,13.0524972527005,12.8072314400985,13.1867917494349,13.1666002939019,13.2778613607399,13.323710680899,13.0930047750593,13.2098347944409,12.729502399338,13.2550989664045,14.0255349904748,13.9563301600738,15.1599584461579,15.5177665094737,15.4225663240634],"NI-FDS^FG_PRICE_MAVG(0,,,,30)":17501.834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RYZA10Y-FDS^JULIAN(FG_YIELD(-10AY,0,CY,,\"YTM\").DATES)":[42004,42369,42734,43098,43465,43830,44196,44561,44925,45289],"EWJ^FG_TOTAL_RETURNC(-10AY,0,AM)":[0.2690673,-0.2683401,7.3542714,1.9461274,-0.907588,-1.8318117,-7.2095037,7.3126197,-1.8962502,-0.96069574,6.9664955,5.1525116,1.3328075,2.5145054,-3.0943394,1.6003728,-0.92449784,-10.497665,6.0816646,2.8665066,-3.7022293,-6.933832,-2.6398242,5.238962,3.6681175,-2.106148,-1.6351104,5.0263047,3.5264492,-1.9464731,2.7295232,-0.5837381,1.4780283,1.5564084,1.749146,1.2502551,-1.620686,3.1967044,3.0406713,-0.061166286,1.1329889,1.4692307,4.108596,2.034068,3.2884598,5.336535,-2.8850734,-1.4772713,0.5767107,-0.04914999,-1.8521488,-2.3810446,-1.3965547,4.1091084,-5.0554276,-3.2372177,-3.6828697,3.5768986,0.62788725,-0.05506277,1.6342282,-2.999097,1.4717817,1.0001779,-2.0539105,6.0850024,1.2530923,4.3053865,1.3228536,-0.3003955,-3.6156654,-22.924625,14.511037,4.289651,7.0780635,-0.24866462,3.792739,1.6640902,-0.6074846,7.9796195,5.079961,3.2296896,3.1722903,-1.0155141,-0.3134787,-3.8164616,0.67412853,-0.044608116,0.044631958,9.189594,-6.441516,1.5574932,-2.3901582,-1.5473902,-3.8385928,-2.137357,-7.3390064,-3.136915,-5.9414682,1.5366912,7.0942163,-8.797031,-5.520052,11.193121,0.79505444,4.912925,-0.3669381,-2.2974432,5.833781,3.2225251,4.412532,0.3328085,-6.302327,6.43965,-6.6360474,5.767596,1.1227012,5.7200074,2.8905988,4.4654846,-5.3220153],"NI-FDS^FG_PRICE(0)":18210.0,"SPY^FG_PRICE_MAVG(0,,,,30)":515.1197,"ENZL^FG_PRICE_MAVG(0,,,,200)":45.894863,"SPY^FMA_PCT_ABOVE_MAVG(200,0,,,,\"PORTAGG\")":65.0698602794411,"VWO^FMA_PCT_ABOVE_MAVG(200,0,,,,\"PORTAGG\")":40.5057771964247,"EWD^FG_TOTAL_RETURNC(0,-6AM)":20.92842,"EWU^PERCENT_CHANGE(FMA_EPS(+1,0,,,,\"PORTAGG\",\"MEAN\"),FMA_EPS(+1,-1AM,,,,\"PORTAGG\",\"MEAN\"))":-1.32026932044517,"EWG^PERCENT_CHANGE(FMA_EPS(+1,0,,,,\"PORTAGG\",\"MEAN\"),FMA_EPS(+1,-3AM,,,,\"PORTAGG\",\"MEAN\"))":-6.13801624416684,"ENZL^FG_TOTAL_RETURNC(0,-6AM)":4.3821692,"EWL^FG_ROE(0)":24.2199024535139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USDSEK^FG_PRICE_CHANGE(0,-1AM)":4.9444675,"EWA^JULIAN(FMA_ROE(NTMA,-20AY,NOW,FY,\"PORTAGG\",\"MEANR\").DATES)":[38352,38716,39080,39447,39813,40178,40543,40907,41274,41639,42004,42369,42734,43098,43465,43830,44196,44561,44925,45289],"EWC^FG_TOTAL_RETURNC(-10AY,0,AM)":[2.0797849,1.7368078,4.1365743,3.0602574,-0.7704139,0.8385062,-10.594398,4.478121,-5.6051073,-3.470254,2.9346943,-1.9600809,5.4525614,-1.0341287,-3.134793,-6.15108,-3.3204556,-4.7923326,3.8171172,-6.1414185,-6.887645,-11.106605,13.547718,10.07427,3.1210542,-1.0224938,1.5702486,4.074621,2.6004791,-4.3394804,3.331995,-1.0878026,4.4383407,1.4549732,4.0059924,-3.8516998,0.33695698,-3.6940277,2.8671026,4.5843244,-0.9803951,4.4737816,2.7729034,-0.78552365,0.4819274,4.889238,-6.4836206,-2.1223903,2.565956,2.6779413,-1.098144,1.0037899,0.24238825,-0.48359632,-5.9354362,-1.2915134,-7.067728,8.0572605,3.7471652,2.0065665,2.503574,-2.0237267,1.4835715,2.584982,-4.31481,4.7258377,-1.5156746,4.0923357,0.58573484,3.5206437,-0.19620657,-38.990826,25.563896,5.2609086,5.972755,4.1053414,6.398809,-3.111893,1.7683268,4.1489363,6.801915,2.743709,2.7332783,5.1681876,2.8787494,5.2854657,-0.41089058,-1.4645994,1.5414238,-0.35240054,6.2296033,1.4852762,-5.9646425,6.142974,-3.3290625,5.3774834,-0.17596483,-9.569377,-6.5488634,-1.2608886,9.394956,-6.725955,-5.9296846,9.407675,-4.7701178,6.6008687,1.2442112,-7.5164375,10.012352,-2.4719,1.0422826,2.447462,-5.1995573,4.2691946,-6.1700287,4.454553,4.7287464,0.15515089,2.8315187,2.8353333,-2.3064733],"PLATI-FDS^MAX(FG_PRICE(0,-5AY))":1272.59,"SPY^FG_PRICE(0)":499.52,"ENZL^FG_PRICE_MAVG(0,,,,60)":45.57663,"EWJ^P_PRICE(0)/P_PRICE_LOW_PR(0,,,,,,\"PRICE\",\"INTRA\",\"52W\")-1":0.16940558,"VGK^FG_TOTAL_RETURNC(0,-12AM)":5.7628155,"EWD^PERCENT_CHANGE(FMA_EPS(+1,0,,,,\"PORTAGG\",\"MEAN\"),FMA_EPS(+1,-3AM,,,,\"PORTAGG\",\"MEAN\"))":-2.21418026100768,"EWG^PERCENT_CHANGE(FMA_EPS(+1,0,,,,\"PORTAGG\",\"MEAN\"),FMA_EPS(+1,-1AM,,,,\"PORTAGG\",\"MEAN\"))":-2.76937721912335,"ENZL^PERCENT_CHANGE(FMA_EPS(+1,0,,,,\"PORTAGG\",\"MEAN\"),FMA_EPS(+1,-3AM,,,,\"PORTAGG\",\"MEAN\"))":-17.9248798622186,"REFFFUND-FDS^FG_YIELD(NOW,,,0)":5.5,"REFNZOCR-FDS^(SUBARRAY(NOT_NA(NO_REPEAT_F(FG_YIELD(NOW,-10AY,D))),0,1)-SUBARRAY(NOT_NA(NO_REPEAT_F(FG_YIELD(NOW,-10AY,D))),1,1))*100":25.0,"TRYDE10Y-FDS^PCTCHG(FG_YIELD(0,,,,\"YTM\"),FG_YIELD(-3AM,,,,\"YTM\"))":6.832839,"TRYUS10Y-FDS^FG_YIELD_NAME":"US Benchmark Bond - 10 Year","CC_CH^IMF_IFS_RCPI_Q(0)":null,"EWN^JULIAN(FMA_DIV_YLD(NTMA,NOW,NOW,M,\"PORTAGG\",\"MEANR\").DATES)":45379,"EWU^FMA_EVAL_EBIT(LTMA,NOW,NOW,M,\"PORTAGG\",\"MEANR\")":10.4796859533219,"EWA^FMA_PE(LTM,0,,,\"PORTAGG\",\"MEANR\")":18.2122699483333,"EWJ^P_PRICE(0)/P_PRICE_HIGH_PR(0,,,USD,,,\"PRICE\",\"INTRA\",\"52W\")":0.9281898,"EWI^FMA_EVAL_EBITDA(NTMA,0,,,\"PORTAGG\",\"MEANR\")":7.21675324972617,"EWG^FMA_EVAL_EBIT(LTMA,NOW,NOW,M,\"PORTAGG\",\"MEANR\")":13.3184845927212,"QQQ^P_PRICE(0)/P_PRICE_HIGH_PR(0,,,USD,,,\"PRICE\",\"INTRA\",\"52W\")":0.94229317,"EWL^FG_TOTAL_RETURNC(0,-3AM)":-3.6468327,"EWD^SIZE(FG_CONSTITUENTS)":44,"EWA^FG_ROE(0)":12.8527958975234,"USDNZD^STD(FG_PRICE_CHANGE(0,-1AY,AM))":2.32668411948324,"COPP-FDS^FG_PRICE_CHANGE(0,-1AY)":8.58295635163222,"QQQ^FG_PRICE_MAVG(0,,,,60)":435.76782,"EWL^FG_TOTAL_RETURNC(0,-6AM)":4.704511,"EWI^FMA_COS_UP(\"EPS\",\"1M\",+1,0,,,\"PORTAGG\",\"MEANR\")":10.0,"EWG^FMA_COS_DOWN(\"EPS\",\"1M\",+1,0,,,\"PORTAGG\",\"MEANR\")":25.0,"EWC^FG_ROE(0)":11.3506378095427,"TRYGB10Y-FDS^FG_YIELD(0,,,,\"YTM\")":4.26,"EWQ^FMA_EVAL_EBIT(LTMA,NOW,NOW,M,\"PORTAGG\",\"MEANR\")":13.2966751583548,"CAGDPY@SE^EE_ACTUAL_ANNUAL(MED,0)":6.76905401199225,"USDCHF^FG_PRICE_CHANGE(0,-1AM)":2.905178,"DDR3512M-FDS^MAX(FG_PRICE(0,-5AY))":3.3053632,"PLATI-FDS^FG_PRICE_CHANGE(0,-1AY)":-12.5,"ENZL^FG_PRICE_MAVG(0,,,,30)":45.28459,"VGK^P_PRICE(0)/P_PRICE_LOW_PR(0,,,,,,\"PRICE\",\"INTRA\",\"52W\")-1":0.17181253,"EWN^FG_TOTAL_RETURNC(0,-12AM)":13.334346,"EWG^FMA_PCT_ABOVE_MAVG(200,0,,,,\"PORTAGG\")":75.4385964912281,"ENZL^PERCENT_CHANGE(FMA_EPS(+1,0,,,,\"PORTAGG\",\"MEAN\"),FMA_EPS(+1,-1AM,,,,\"PORTAGG\",\"MEAN\"))":-3.49829855308092,"REFFFUND-FDS^(SUBARRAY(NOT_NA(NO_REPEAT_F(FG_YIELD(NOW,-10AY,D))),0,1)-SUBARRAY(NOT_NA(NO_REPEAT_F(FG_YIELD(NOW,-10AY,D))),1,1))*100":25.0,"REFNZOCR-FDS^FG_YIELD(NOW,,,0)":5.5,"TRYDE10Y-FDS^PCTCHG(FG_YIELD(0,,,,\"YTM\"),FG_YIELD(-1AM,,,,\"YTM\"))":1.2214972,"CC_JP^IMF_IFS_RCPI_Q(0)":null,"EWQ^FMA_EVAL_EBITDA(NTMA,0,,,\"PORTAGG\",\"MEANR\")":9.2358039897549,"EWU^FMA_EVAL_EBITDA(NTMA,0,,,\"PORTAGG\",\"MEANR\")":7.44394048214559,"EWA^JULIAN(FMA_DIV_YLD(NTMA,NOW,NOW,M,\"PORTAGG\",\"MEANR\").DATES)":45379,"EWU^FG_PRICE_MAVG(0,,,,30)":33.778,"EWG^FMA_COS_UP(\"EPS\",\"1M\",+1,0,,,\"PORTAGG\",\"MEANR\")":29.0,"TRYCH10Y-FDS^FG_YIELD(0,,,,\"YTM\")":0.764,"EWI^FG_FCF_YIELD_NTM(0)":6.31754025428317,"USDANG^STD(FG_PRICE_CHANGE(0,-3AY,M))":0.0414043666666667,"USDNZD^FG_PRICE_CHANGE(0,-6AM)":-0.8285403,"ENZL^FG_TOTAL_RETURNC(-10AY,0,AM)":[-1.3781846,2.3922324,0.13879538,-2.0977974,-2.869898,-2.4626672,-1.9617856,7.510388,-1.121068,2.337277,-1.7927289,1.4003396,1.8495679,-4.479414,-6.5906286,-5.1518917,-1.6436815,-2.7156055,8.852768,-2.3558557,5.8585763,-4.2671385,2.9138565,11.280322,6.9183946,-1.9909918,3.772676,4.5322895,6.547749,-2.6700556,-5.682564,-3.808868,-2.5437891,7.174039,1.2835741,-1.7366827,1.7912626,0.44580698,8.315813,2.9440284,1.3657689,-2.463156,2.8707027,-5.772978,6.8169594,2.5583148,-0.5386412,2.7286053,-0.08110404,-2.9017866,5.2664638,-2.8386414,-0.9349704,2.0763397,-5.711937,4.75049,-1.8862069,4.014671,3.2786965,2.1699786,1.8879056,-0.4825294,-0.41757822,9.964407,-6.2747183,-0.70017576,3.9408922,-1.1708975,7.1728587,4.7491074,-2.2497892,-28.598404,20.57761,3.2730222,8.149921,5.9556484,3.5108924,-2.205515,4.9034715,5.4234505,2.3424983,1.465869,-2.407825,-1.4340818,0.8917451,-2.744609,-3.6157727,2.5538325,-2.360022,5.5342555,-1.2004435,-2.3661077,-5.844241,0.39994717,-5.7861447,5.8241487,-7.373434,-11.597795,-5.4959955,4.249537,8.865416,-6.5637054,-11.004787,13.856316,5.143535,5.046153,-0.410074,-4.2352915,1.2592196,2.0725846,-2.2402942,2.2308588,-9.029031,-2.0466566,-3.3250928,2.997911,7.8181386,-0.8136153,-1.7230213,-1.4245033,-2.1787465],"EWG^FMA_EVAL_EBITDA(NTMA,0,,,\"PORTAGG\",\"MEANR\")":8.46241302801039,"COPP-FDS^FG_PRICE_CHANGE(0,-3AM)":18.5714285714286,"TRYBR10Y-FDS^FG_YIELD(-10AY,0,Y,,\"YTM\")":[12.319731,15.989595,11.062725,9.887577,8.936093,6.883678,6.961219,10.970291,12.900059,10.455909],"CAGDPY@NL^EE_ACTUAL_ANNUAL(MED,+1)":7.6,"USDCHF^FG_PRICE(0)":0.9121,"DDR3512M-FDS^FG_PRICE_CHANGE(0,-1AY)":-11.8436036363637,"USDANG^STD(FG_PRICE_CHANGE(0,-1AY,AM))":0.0,"ENZL^JULIAN(FG_TOTAL_RETURNC(-10AY,0,AM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],"PLATI-FDS^FG_PRICE_CHANGE(0,-3AM)":5.0,"EWU^FG_PRICE(0)":33.33,"EWL^FG_TOTAL_RETURNC(0,-1AM)":-5.263156,"EWD^FMA_COS_DOWN(\"EPS\",\"1M\",+1,0,,,\"PORTAGG\",\"MEANR\")":9.0,"EWC^FMA_COS_DOWN(\"EPS\",\"1M\",+1,0,,,\"PORTAGG\",\"MEANR\")":26.0,"EWD^FMA_RBICS_REV_CURRENT(30, LOC, \"PORTAGG\")":27.1998242779552,"ENZL^FG_ROE(0)":5.61775799865401,"EWI^FMA_DIV_YLD(NTMA,NOW,NOW,M,\"PORTAGG\",\"MEANR\")":5.07522241707554,"EWQ^FMA_DIV_YLD(NTMA,NOW,NOW,M,\"PORTAGG\",\"MEANR\")":3.05306958669706,"EWG^FG_FCF_YIELD_NTM(0)":6.12118595497171,"ENZL^FMA_EVAL_EBITDA(NTMA,0,,,\"PORTAGG\",\"MEANR\")":12.2715058053029,"EWI^FMA_PE(NTMA,0,,,\"PORTAGG\",\"MEANR\")":9.4499010594736,"EWG^FMA_DIV_YLD(NTMA,NOW,NOW,M,\"PORTAGG\",\"MEANR\")":3.24833813009107,"COPP-FDS^FG_PRICE_MAVG(0,,,,30)":4.124133,"VGK^FG_TOTAL_RETURNC(0,-3AM)":3.8551927,"EWN^FG_TOTAL_RETURNC(0,-3AM)":8.429027,"EWC^FG_TOTAL_RETURNC(0,-6AM)":13.188148,"FXI^FMA_COS_UP(\"EPS\",\"1M\",+1,0,,,\"PORTAGG\",\"MEANR\")":12.0,"TRYSE10Y-FDS^PCTCHG(FG_YIELD(0,,,,\"YTM\"),FG_YIELD(-3AM,,,,\"YTM\"))":8.923884,"EWI^FMA_PE(LTM,0,,,\"PORTAGG\",\"MEANR\")":10.3560882418401,"VGK^P_PRICE(0)/P_PRICE_HIGH_PR(0,,,USD,,,\"PRICE\",\"INTRA\",\"52W\")":0.95190316,"EWA^SIZE(FG_CONSTITUENTS)":59,"EWI^JULIAN(FMA_DIV_YLD(NTMA,NOW,NOW,M,\"PORTAGG\",\"MEANR\").DATES)":45379,"EWQ^JULIAN(FMA_DIV_YLD(NTMA,NOW,NOW,M,\"PORTAGG\",\"MEANR\").DATES)":45379,"TRYVN10Y-FDS^FG_YIELD(-10AY,0,Y,,\"YTM\")":[7.3,6.277413,7.1117578,5.6717234,4.738006,3.5404546,2.4877946,2.059403,4.687226,2.9473283],"CAGDPY@NL^EE_ACTUAL_ANNUAL(MED,0)":10.0892019550425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8510974762,24.3449681592733],"COPP-FDS^FG_PRICE_CHANGE(0,-1AM)":7.92319844452547,"VGK^FG_TOTAL_RETURNC(0,-6AM)":14.664877,"EWN^P_PRICE(0)/P_PRICE_HIGH_PR(0,,,,,,\"PRICE\",\"INTRA\",\"52W\")":0.9385686,"EWC^P_PRICE(0)/P_PRICE_LOW_PR(0,,,,,,\"PRICE\",\"INTRA\",\"52W\")-1":0.17319322,"FXI^FMA_COS_DOWN(\"EPS\",\"1M\",+1,0,,,\"PORTAGG\",\"MEANR\")":36.0,"EWD^FMA_COS_UP(\"EPS\",\"1M\",+1,0,,,\"PORTAGG\",\"MEANR\")":21.0,"EWN^FMA_RBICS_REV_CURRENT(30, LOC, \"PORTAGG\")":24.7200394051192,"REFGBBANK-FDS^FG_YIELD(NOW,,,0)":5.25,"TRYIT10Y-FDS^PCTCHG(FG_YIELD(0,,,,\"YTM\"),FG_YIELD(-1AM,,,,\"YTM\"))":5.2960396,"TRYCA10Y-FDS^PCTCHG(FG_YIELD(0,,,,\"YTM\"),FG_YIELD(-1AM,,,,\"YTM\"))":4.2826605,"TRYJP10Y-FDS^FG_YIELD(0,,,,\"YTM\")":0.8725,"CC_AU^IMF_IFS_RCPI_Q(0)":null,"EWQ^FMA_PE(NTMA,0,,,\"PORTAGG\",\"MEANR\")":14.3742650847746,"EWU^FMA_DIV_YLD(NTMA,NOW,NOW,M,\"PORTAGG\",\"MEANR\")":4.02267445589315,"ENZL^FG_FCF_YIELD_NTM(0)":0.337419783131455,"QQQ^FG_TOTAL_RETURNC(0,-1AM)":-3.2161474,"TRYUS10Y-FDS^FG_YIELD(-10AY,0,Y,,\"YTM\")":[2.1881,2.2961,2.4752,2.4325,2.6836,1.9185,0.9174,1.5119,3.8776,3.8791],"USDANG^FG_PRICE_CHANGE(0,-6AM)":0.0,"USDJPY^STD(FG_PRICE_CHANGE(0,-3AY,M))":3.01948152393537,"EWI^FMA_DIV_YLD(NTMA,-10AY,0,AM,\"PORTAGG\",\"MEANR\")":[3.42341169350465,3.58048748172727,3.39973240930763,3.48519459925562,3.71616283065742,3.51924915956084,4.08857713429136,3.95670030768122,4.04591559274003,4.04382352170221,3.51855245144576,3.20481426593504,3.16458340530868,3.2073565135227,3.3747119323474,3.1554905469398,3.14940029098058,3.46852254345392,3.55207073737418,3.64272232206201,3.84886814215635,4.30985214745065,4.65445340435889,4.25994178135223,4.37673608520483,4.54468893858671,4.8366151161657,4.76228333906135,4.77295699418237,5.01482055046861,4.84665594127021,4.89782628578067,4.33500027503235,4.33217484498994,4.43891666415069,3.9863165802137,4.12601387645854,3.80973121205636,3.7853080044945,3.76468447782024,3.76372439793915,3.70665795433972,3.83142448340642,3.92266861476023,3.87702585838985,3.73747517532804,3.92503073918298,4.01384244607288,3.91327911618714,4.02712981032919,4.39188166948059,4.46401139120189,4.70533723590552,4.57409903242044,5.09041400903525,5.17219035349407,5.31942751395732,5.07212143979012,4.919361234089,4.70143356398454,4.60895623624655,4.82135189210368,4.84599681767759,4.66535107729266,5.10238955572681,4.76487166176215,4.70944685406451,4.53299130976608,4.46580460180627,4.40434774007868,4.39223103378862,7.01484104424483,5.83046663565817,4.95432522947276,4.29071472835944,4.19572870807577,3.97184911104098,4.09721807676856,4.13893151430475,3.94143905936604,3.95761846991395,3.9855176020305,4.04064660011001,4.01346324371235,4.06134480810066,4.16168156298897,4.11617877378006,4.24017078880966,4.30606917476732,4.54412784350503,4.43282955151366,4.32627135466019,4.69808614891234,4.63532129002097,4.87962721588193,5.22677517032136,5.0394935013942,5.18536891598791,5.82744226824427,6.01960655869,5.54060031260596,5.64208214212667,5.99201569674036,5.43678694208399,5.93596553972739,5.42606814180322,5.39714647360119,5.76033624159116,5.29539547280831,5.58334893437973,5.31858362174296,5.24476526334454,5.66858929225068,5.42534088365737,5.60038417148665,5.48695311589732,5.49693415118855,5.42856697348363,5.44131822946714,5.16546177552597,5.31785998768009],"DDR3512M-FDS^FG_PRICE_CHANGE(0,-3AM)":-1.74832435118224,"PLATI-FDS^FG_PRICE_CHANGE(0,-1AM)":1.06951871657754,"EWL^FG_PRICE_MAVG(0,,,,200)":45.9514,"EWL^PERCENT_CHANGE(FMA_EPS(+1,0,,,,\"PORTAGG\",\"MEAN\"),FMA_EPS(+1,-1AM,,,,\"PORTAGG\",\"MEAN\"))":-1.47205448787202,"EWC^P_PRICE(0)/P_PRICE_HIGH_PR(0,,,,,,\"PRICE\",\"INTRA\",\"52W\")":0.9541688,"EWN^SIZE(FG_CONSTITUENTS)":54,"EWC^FMA_COS_UP(\"EPS\",\"1M\",+1,0,,,\"PORTAGG\",\"MEANR\")":34.0,"EWQ^FMA_RBICS_REV_CURRENT(30, LOC, \"PORTAGG\")":10.7938787406678,"TRYAU10Y-FDS^PCTCHG(FG_YIELD(0,,,,\"YTM\"),FG_YIELD(-3AM,,,,\"YTM\"))":0.37524086,"EWQ^FMA_PE(LTM,0,,,\"PORTAGG\",\"MEANR\")":16.2108611115573,"UUP^P_PRICE(0)/P_PRICE_HIGH_PR(0,,,USD,,,\"PRICE\",\"INTRA\",\"52W\")":0.95806396,"URTH^P_PRICE(0)/P_PRICE_LOW_PR(0,,,,,,\"PRICE\",\"INTRA\",\"52W\")-1":0.20409763,"VGK^FG_TOTAL_RETURNC(0,-1AM)":-2.684778,"EWL^FMA_PCT_ABOVE_MAVG(200,0,,,,\"PORTAGG\")":57.7777777777778,"TRYDE10Y-FDS^FG_YIELD(0,,,,\"YTM\")":2.486,"URTH^P_PRICE(0)/P_PRICE_HIGH_PR(0,,,,,,\"PRICE\",\"INTRA\",\"52W\")":0.9512363,"VGK^FMA_PCT_ABOVE_MAVG(200,0,,,,\"PORTAGG\")":58.4313725490196,"EWJ^FG_TOTAL_RETURNC(0,-12AM)":15.861082,"EWC^FMA_PCT_ABOVE_MAVG(200,0,,,,\"PORTAGG\")":61.3636363636364,"EWA^FMA_COS_DOWN(\"EPS\",\"1M\",+1,0,,,\"PORTAGG\",\"MEANR\")":20.0,"TRYFR10Y-FDS^FG_YIELD_NAME":"France Benchmark Bond - 10 Year","FXI^FG_TOTAL_RETURNC(0,-12AM)":-15.365267,"DDR3512M-FDS^FG_PRICE_CHANGE(0,-1AM)":0.697773044425287,"EWL^FG_PRICE_MAVG(0,,,,30)":47.114,"QQQ^FG_TOTAL_RETURNC(0,-12AM)":33.672558,"TRYNZ10Y-FDS^PCTCHG(FG_YIELD(0,,,,\"YTM\"),FG_YIELD(-3AM,,,,\"YTM\"))":4.317104,"VGK^PERCENT_CHANGE(FMA_EPS(+1,0,,,,\"PORTAGG\",\"MEAN\"),FMA_EPS(+1,-3AM,,,,\"PORTAGG\",\"MEAN\"))":-8.71714152710512,"SPY^SIZE(FG_CONSTITUENTS)":504,"EWQ^FMA_COS_UP(\"EPS\",\"1M\",+1,0,,,\"PORTAGG\",\"MEANR\")":16.0,"EWL^FMA_RBICS_REV_CURRENT(30, LOC, \"PORTAGG\")":18.5381872854438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513288],"EWI^FG_PRICE_MAVG(0,,,,200)":33.12385,"EWN^FMA_COS_UP(\"EPS\",\"1M\",+1,0,,,\"PORTAGG\",\"MEANR\")":19.0,"SPY^FMA_RBICS_REV_CURRENT(30, LOC, \"PORTAGG\")":12.5169610337794,"REFGBBANK-FDS^PROPER_NAME(0,,,\"SECURITY\",\"NAME\")":"UK Bank Rate","TRYAU10Y-FDS^PCTCHG(FG_YIELD(0,,,,\"YTM\"),FG_YIELD(-1AM,,,,\"YTM\"))":4.0603037,"CC_NZ^IMF_IFS_RCPI_Q(0)":null,"EWU^FMA_PE(LTM,0,,,\"PORTAGG\",\"MEANR\")":10.6549444836087,"ENZL^FMA_DIV_YLD(NTMA,NOW,NOW,M,\"PORTAGG\",\"MEANR\")":2.74326885778498,"UUP^FG_TOTAL_RETURNC(0,-6AM)":2.7577877,"PLATI-FDS^FG_PRICE_MAVG(0,,,,30)":938.13336,"EWC^FG_TOTAL_RETURNC(0,-1AM)":-2.3064733,"EWG^FMA_PE(NTMA,0,,,\"PORTAGG\",\"MEANR\")":12.0194879084315,"UUP^FG_TOTAL_RETURNC(0,-3AM)":4.181683,"EWN^FG_TOTAL_RETURNC(0,-1AM)":-1.7481804,"REFCHMPR-FDS^(SUBARRAY(NOT_NA(NO_REPEAT_F(FG_YIELD(NOW,-10AY,D))),0,1)-SUBARRAY(NOT_NA(NO_REPEAT_F(FG_YIELD(NOW,-10AY,D))),1,1))*100":-25.0,"TRYNZ10Y-FDS^PCTCHG(FG_YIELD(0,,,,\"YTM\"),FG_YIELD(-1AM,,,,\"YTM\"))":4.5463266,"VWO^FMA_EVAL_EBIT(LTMA,NOW,NOW,M,\"PORTAGG\",\"MEANR\")":14.3869386780299,"EWU^JULIAN(FMA_DIV_YLD(NTMA,NOW,NOW,M,\"PORTAGG\",\"MEANR\").DATES)":45379,"ENZL^FMA_PE(LTM,0,,,\"PORTAGG\",\"MEANR\")":29.3191143754297,"CAGDPY@CH^EE_ACTUAL_ANNUAL(MED,0)":7.64151941312264,"USDJPY^STD(FG_PRICE_CHANGE(0,-1AY,AM))":2.53537331197111,"ENZL^FMA_PE(NTMA,0,,,\"PORTAGG\",\"MEANR\")":24.9890945740817,"EWI^FG_PRICE_MAVG(0,,,,60)":35.7725,"FXI^P_PRICE(0)/P_PRICE_LOW_PR(0,,,,,,\"PRICE\",\"INTRA\",\"52W\")-1":0.15436232,"QQQ^P_PRICE(0)/P_PRICE_HIGH_PR(0,,,,,,\"PRICE\",\"INTRA\",\"52W\")":0.94229317,"FXI^FG_TOTAL_RETURNC(0,-6AM)":-4.9655495,"EWC^FMA_DIV_YLD(NTMA,-10AY,0,AM,\"PORTAGG\",\"MEANR\")":[2.89881921790283,2.904279209262,2.81129355813891,2.77506659534675,2.79263763244919,2.77022217824744,3.04579480898147,2.90419296432011,2.99971628089149,3.02490215774651,2.85448162851626,2.90202090771268,2.83053741302833,2.87644855134732,2.95367546889931,3.00539281565567,3.09073106527157,3.21983972855359,3.17867320621897,3.29813836001413,3.38316276804437,3.64412404871095,3.30930861964524,3.14164519980974,3.09993812559022,3.07292009351019,3.0980306284358,2.98700031790168,2.95567481480653,3.00052497913214,2.93486998414884,2.90861573950751,2.8392288205718,2.83107301605413,2.7799235385461,2.91681891170469,2.92164313635441,3.01294781425565,3.03561012837462,3.04708869850316,3.09023776149447,3.06305262300815,2.95453118688667,2.92741102375636,2.91178706250022,2.90264749799026,3.11203558435758,3.10563011661686,3.16663565156527,3.0510189842002,3.0425261356792,3.04873652785464,3.0875653910289,3.14686994112018,3.34268182880634,3.39395448359306,3.57252846107522,3.36494241515796,3.30233583513369,3.23867018644986,3.17814092642641,3.29691206358231,3.29317487992407,3.31695780676376,3.43608433709242,3.29903661802114,3.37987352592529,3.24560170914196,3.25794074943528,3.21137301370799,3.21508857350989,4.96064041747577,4.01732741148533,3.80064283565453,3.54725854435901,3.42392078339805,3.3313192043873,3.43870432803185,3.39720943577472,3.26518080529952,3.11430158737742,3.03471458206327,2.95102456058504,2.83896333533758,2.7377678768976,2.71183330959312,2.58418415932303,2.7423913748421,2.71837487972904,2.77061552746887,2.7046106333746,2.69321600479931,2.84314354829194,2.78715922832039,2.87182801541012,2.80596353088321,2.84048510177326,3.19617319863753,3.41604206723269,3.48969985200047,3.28785428157743,3.45322396694688,3.56791216224051,3.33109033600443,3.46249639725673,3.34605708292771,3.29751361090514,3.49150030663514,3.23264320891124,3.28129309481623,3.29944235753295,3.19886250810687,3.57792444435093,3.46110267079736,3.65837966414352,3.50362291855412,3.41717267740253,3.38717262383872,3.28420160477217,3.15120075809683,3.16707993282987],"COPP-FDS^FG_PRICE(0)":4.4405,"TRYSE10Y-FDS^PCTCHG(FG_YIELD(0,,,,\"YTM\"),FG_YIELD(-1AM,,,,\"YTM\"))":1.9238613,"TRYPH10Y-FDS^FG_YIELD(-10AY,0,Y,,\"YTM\")":[3.8633,4.1,4.6281,5.6986,7.1730304,4.847582,3.4208684,4.796723,6.9293385,6.0028777],"USDJPY^FG_PRICE_CHANGE(0,-6AM)":3.2381892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41649,3.67789542170035,4.61613856580543,4.46089542957005,4.56547558721348],"DDR3512M-FDS^FG_PRICE_MAVG(0,,,,30)":0.9640818,"ENZL^FMA_DIV_YLD(NTMA,-10AY,0,AM,\"PORTAGG\",\"MEANR\")":[4.12045222162689,4.09911717663737,4.21959116178656,4.47656021800812,4.560574012051,4.64610721721936,4.69560903056722,4.4214508398475,4.47131171207156,4.37563125257406,4.27718286118272,4.37444630980212,4.42228280190139,4.44036397284699,4.52862030262567,4.60652623675071,4.7354061583613,5.08593339251988,5.06854880395035,4.92439415185822,4.84298309557243,4.85114730430349,4.89201941149249,4.62595868066457,4.5291619067172,4.42682069420825,4.44974880459988,4.26090969733327,4.14067548658848,4.32404130987216,4.57126788554229,4.62691666103602,4.71264125286212,4.51181235308481,4.55040528891217,4.59630881481287,4.56468454391643,4.51349268215281,4.3972567422724,4.39354774649853,4.31642407887395,4.45201711419674,4.3474669913041,4.41094947834673,4.22792260256751,4.28464693918502,4.39585866613761,4.22365478740251,4.28869518468489,4.20793796919471,4.00471625117642,4.07496156772523,4.02999009094997,3.94606340730041,4.20168619858462,4.23580567805645,4.22915756435075,4.03738344663791,4.02858216118949,3.87259080521858,3.70535227064247,3.66575340239948,3.66335689286533,3.43023357326797,3.48061867404903,3.37757816372345,3.29550963284463,3.35291028848066,3.2030271555742,3.08828197843223,3.04071358778958,3.76471332409713,2.69678493501565,2.61427378938233,2.51257340212453,2.44301742072781,2.37641153055256,2.46696320542082,2.35087358014792,2.37432762059413,2.45707209666718,2.45487748039979,2.54556812504865,2.56346356657746,2.56196760003025,2.67554768283422,2.68001705021394,2.61688842745586,2.68214961619535,2.58712724077911,2.68238820851639,2.73975737540522,2.80549711955461,2.84238470055222,2.99524905450863,3.01890987796656,3.13812170092085,3.21473660584327,3.46124124041875,3.32956352694224,3.12600000015653,3.26159331495112,3.4751099196892,3.35315638026749,3.43013813231712,3.34538306107927,3.23639464544743,3.50053697761812,3.41887945281716,3.47438727384919,3.46761371741946,3.43601775427463,3.48658080809243,3.40403884953468,3.46034650612121,3.4648363430824,3.01924003008224,3.03436715014194,2.90899463866917,2.80284778537959,2.77582154185092],"CPALM-FDS^FG_PRICE_MAVG(0,,,,30)":4351.533,"TIOS-FDS^FG_PRICE_MAVG(0,,,,30)":108.05067,"EWI^FG_PRICE_MAVG(0,,,,30)":37.03533,"EWJ^FG_PRICE_MAVG(0,,,,200)":63.91735,"FXI^FG_TOTAL_RETURNC(0,-1AM)":0.2080679,"CAGDPY@DE^EE_ACTUAL_ANNUAL(MED,0)":6.10157214967637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62621403284],"CPALM-FDS^FG_PRICE(0)":4125.0,"TIOS-FDS^FG_PRICE(0)":107.95,"URTH^FG_TOTAL_RETURNC(0,-6AM)":15.9934635,"USDEUR^FG_PRICE_CHANGE(0,-1AM)":2.1585107,"WL-FDS^FG_PRICE_MAVG(0,,,,30)":625.09,"EWI^FG_PRICE(0)":36.1,"EWJ^FG_PRICE_MAVG(0,,,,60)":68.84233,"FXI^FMA_PCT_ABOVE_MAVG(200,0,,,,\"PORTAGG\")":47.0588235294118,"EWN^PERCENT_CHANGE(FMA_EPS(+1,0,,,,\"PORTAGG\",\"MEAN\"),FMA_EPS(+1,-1AM,,,,\"PORTAGG\",\"MEAN\"))":-0.597518938290009,"QQQ^PERCENT_CHANGE(FMA_EPS(+1,0,,,,\"PORTAGG\",\"MEAN\"),FMA_EPS(+1,-3AM,,,,\"PORTAGG\",\"MEAN\"))":0.207229334062182,"SPY^FMA_COS_DOWN(\"EPS\",\"1M\",+1,0,,,\"PORTAGG\",\"MEANR\")":189.0,"EWG^FMA_RBICS_REV_CURRENT(30, LOC, \"PORTAGG\")":22.665656730962,"CAGDPY@CA^EE_ACTUAL_ANNUAL(MED,+1)":-0.6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I^FMA_PE(NTMA,-10AY,0,AM,\"PORTAGG\",\"MEANR\")":[13.7270420768559,13.5752952232511,14.535583150797,13.920751101942,13.1269566177343,14.0202619769476,12.1588940617381,12.8153009020994,12.5001036411923,12.9713912814776,15.0206033469595,15.4252538324667,15.6874618983984,15.5938598795598,14.8710142332207,15.5309850173596,15.344219376504,14.1646910539726,14.6660591370084,14.7406462035595,13.9898757845437,12.9375630811572,12.2935694432065,13.5470497345791,13.3715412682516,13.5228899279811,12.3419643320221,12.356688395981,12.5225482050175,11.6759630743512,12.0596888681987,11.3868950540017,13.4700170878655,13.3095896859618,13.0803427844456,13.5188472491037,12.7664275348768,13.6950362976949,13.356857243235,13.4978236373046,13.3710631675309,13.4853804971745,13.4925233557706,13.1060458015238,13.3743156154261,13.6615687520611,12.7056101915544,12.70020595427,13.0114497089385,12.4936803291754,11.6199747750822,11.4184876776307,10.7085908329166,10.9139569561109,9.80396538323621,9.58884661010097,9.35864251314301,9.89856193864263,10.3589539345726,10.7479145788376,10.9743371254587,10.4634374155735,10.4526448633091,10.8956673297726,10.0166494519419,10.7503470740274,10.8774998519313,11.3174221241967,11.5032510299579,11.6649048548083,12.0400292459556,7.93320814879931,11.1768083775679,14.8666070686213,17.3047065361465,17.8707721558781,16.1391160297499,15.3195401908117,14.6175666502017,15.0887840831674,14.8722536469434,14.5483480324116,13.8582571794223,14.1083360061198,13.9800235170131,13.3553271800491,13.5227577334767,12.968662598616,12.2811328706567,11.6240744240396,11.6255399174005,11.7490220296875,10.8266698176851,11.0330437246941,10.444037929157,9.51395946272015,9.69959603049536,8.92947741435485,7.87479265573353,7.50904157348756,7.77003484400483,7.68022288790052,7.48884618113005,8.29382642808285,7.59605159606092,8.29410619604822,8.4859409152171,7.98715991283366,8.76866141065281,8.26795603486515,8.79828247641717,8.82899189658471,8.09342166617299,8.41488786953007,8.13279334120108,8.32444449997972,8.82996408319547,8.95739608319099,9.00171601396808,9.63487266193369,9.4499010594736],"WL-FDS^FG_PRICE(0)":568.9,"W-FDS^MAX(FG_PRICE(0,-5AY))":14.2525,"EWD^FG_PRICE_MAVG(0,,,,60)":39.19533,"URTH^FG_TOTAL_RETURNC(0,-3AM)":4.4309974,"EWI^FG_TOTAL_RETURNC(0,-6AM)":21.648716,"EWA^P_PRICE(0)/P_PRICE_LOW_PR(0,,,,,,\"PRICE\",\"INTRA\",\"52W\")-1":0.13880742,"ENZL^SIZE(FG_CONSTITUENTS)":14,"REFSEREPO-FDS^(SUBARRAY(NOT_NA(NO_REPEAT_F(FG_YIELD(NOW,-10AY,D))),0,1)-SUBARRAY(NOT_NA(NO_REPEAT_F(FG_YIELD(NOW,-10AY,D))),1,1))*100":25.0,"TRYFR10Y-FDS^PCTCHG(FG_YIELD(0,,,,\"YTM\"),FG_YIELD(-3AM,,,,\"YTM\"))":5.9363956,"VWO^FMA_DIV_YLD(NTMA,NOW,NOW,M,\"PORTAGG\",\"MEANR\")":3.0627682456432,"SPY^FMA_DIV_YLD(NTMA,NOW,NOW,M,\"PORTAGG\",\"MEANR\")":1.42735417104272,"EWC^FMA_EVAL_EBITDA(NTMA,0,,,\"PORTAGG\",\"MEANR\")":9.79487412968778,"TLT^FG_TOTAL_RETURNC(0,-3AM)":-4.370773,"USDEUR^FG_PRICE(0)":0.93848246,"EWJ^FG_PRICE_MAVG(0,,,,30)":70.06233,"EWN^FMA_PCT_ABOVE_MAVG(200,0,,,,\"PORTAGG\")":61.1111111111111,"QQQ^PERCENT_CHANGE(FMA_EPS(+1,0,,,,\"PORTAGG\",\"MEAN\"),FMA_EPS(+1,-1AM,,,,\"PORTAGG\",\"MEAN\"))":0.26802734538025,"EWJ^SIZE(FG_CONSTITUENTS)":219,"QQQ^SIZE(FG_CONSTITUENTS)":102,"ENZL^FMA_COS_DOWN(\"EPS\",\"1M\",+1,0,,,\"PORTAGG\",\"MEANR\")":0.0,"EWA^FMA_RBICS_REV_CURRENT(30, LOC, \"PORTAGG\")":40.7151096463948,"REFJPTON-FDS^FG_YIELD(NOW,,,0)":0.1,"TRYFR10Y-FDS^PCTCHG(FG_YIELD(0,,,,\"YTM\"),FG_YIELD(-1AM,,,,\"YTM\"))":3.629451,"TRYAU10Y-FDS^FG_YIELD(0,,,,\"YTM\")":4.28,"VWO^FG_PE_NTM(0,,,90,0)":14.2345516611312,"EWD^FMA_PE(NTMA,0,,,\"PORTAGG\",\"MEANR\")":16.2567726360342,"EWL^FG_FCF_YIELD_NTM(0)":5.08375353558046,"USDGBP^FG_PRICE_CHANGE(0,-6AM)":-2.4064958,"EWA^PERCENT_CHANGE(FMA_EPS(+1,0,,,,\"PORTAGG\",\"MEAN\"),FMA_EPS(+1,-1AM,,,,\"PORTAGG\",\"MEAN\"))":-2.17505509709052,"EWU^FG_ROE(0)":17.0428858198266,"VGK^FMA_DIV_YLD(NTMA,NOW,NOW,M,\"PORTAGG\",\"MEANR\")":3.58646501222304,"USDNZD^STD(FG_PRICE_CHANGE(0,-3AY,M))":3.49434304497674,"ENZL^P_PRICE(0)/P_PRICE_LOW_PR(0,,,,,,\"PRICE\",\"INTRA\",\"52W\")-1":0.072383404,"EWG^FG_ROE(0)":12.4231931337635,"TRYNL10Y-FDS^PCTCHG(FG_YIELD(0,,,,\"YTM\"),FG_YIELD(-1AM,,,,\"YTM\"))":1.6064224,"EWL^FMA_EVAL_EBIT(LTMA,NOW,NOW,M,\"PORTAGG\",\"MEANR\")":16.6905797975549,"VGK^FG_PE_NTM(0,,,90,0)":13.9986057326763,"TLT^P_PRICE(0)/P_PRICE_HIGH_PR(0,,,USD,,,\"PRICE\",\"INTRA\",\"52W\")":0.828329,"SPY^FMA_PE(LTMA,-10AY,0,AM,\"PORTAGG\",\"MEANR\")":[16.2696802727531,16.1805850851913,16.3801473393373,16.4300983525955,16.3555290735578,16.6090272822809,15.8473913586229,16.9839570321396,17.2765939902662,16.9591436776908,17.5575503992601,17.5683662017921,17.5202825073247,17.5924823243729,17.559150815921,17.6302497900012,17.4986249700203,16.7007234873084,17.1847933276884,17.4520700352513,16.8174984182461,15.7767110477485,16.2966838906097,16.18819342752,16.4452153070474,16.565182572191,16.7256261745427,17.2894754103028,17.5723674264573,17.4840399970967,17.6355201346223,18.0617103989256,18.8285687523753,18.9709463813224,19.4499488578833,19.4355308648251,19.2032882911726,19.0843829449953,19.1742879317122,19.1976785228623,18.8952078804336,19.243103066265,19.5748568147634,19.5710537212846,20.3668225624892,21.0171057257661,20.0308807036986,19.7085349609422,19.3628745059458,19.0089893537816,18.8869877058729,18.7474380549928,18.5936275063908,18.5906262493504,17.7663211759576,17.2553677944083,15.8526766815773,16.5224888589966,17.0772159171718,17.1452726974594,17.2409943389753,17.1403868413901,17.3069036988811,17.6734438119001,17.3653734218844,17.9191072328942,18.038296345791,18.8635414394761,19.5071165778472,20.4344994313111,20.4516343765189,17.2614711701058,18.7990608392291,19.9359888797017,21.0158794605381,22.0250043357081,22.917872531459,23.0510288900996,24.3645956616323,24.7765215780874,26.2505410035609,27.1287538784987,27.1849263844919,26.0994052952755,25.9954653409464,25.148344755142,24.6836795337567,24.5509958272906,23.8162222053526,23.4914808605602,23.1978581514067,23.4089291888741,22.6499125521586,22.1718817332378,20.6739851748108,20.6906520279676,20.4350246031018,19.5124768649439,18.6617659356113,18.6439568371794,19.6744202704331,18.2616896130597,17.5875473625571,18.29992528867,17.5851735716234,17.8283158022737,18.5242144474506,17.9933581308225,18.3187837246061,18.4354133271682,18.9218441950953,19.5983019485446,19.1147331818931,19.546335606268,19.2927044221707,20.1668508249389,21.4522770952765,21.8400156289055,22.4549181994537,22.719009130599,22.4604518402185],"ENZL^FMA_PCT_ABOVE_MAVG(200,0,,,,\"PORTAGG\")":42.8571428571429,"TRYCH10Y-FDS^PCTCHG(FG_YIELD(0,,,,\"YTM\"),FG_YIELD(-3AM,,,,\"YTM\"))":-15.486724,"EWL^FMA_EVAL_EBITDA(NTMA,0,,,\"PORTAGG\",\"MEANR\")":12.6240076265329,"TLT^FG_TOTAL_RETURNC(0,-6AM)":7.165718,"VGK^JULIAN(FMA_DIV_YLD(NTMA,NOW,NOW,M,\"PORTAGG\",\"MEANR\").DATES)":45351,"EWJ^FG_FCF_YIELD_NTM(0)":4.04087386254844,"VGK^P_PRICE(0)/P_PRICE_HIGH_PR(0,,,,,,\"PRICE\",\"INTRA\",\"52W\")":0.95190316,"VGK^SIZE(FG_CONSTITUENTS)":1280,"TRYJP10Y-FDS^PCTCHG(FG_YIELD(0,,,,\"YTM\"),FG_YIELD(-1AM,,,,\"YTM\"))":14.908469,"EWI^FMA_EVAL_EBIT(LTMA,NOW,NOW,M,\"PORTAGG\",\"MEANR\")":11.1884805239824,"EWJ^FMA_DIV_YLD(NTMA,NOW,NOW,M,\"PORTAGG\",\"MEANR\")":2.1573311018163,"DBA^P_PRICE(0)/P_PRICE_HIGH_PR(0,,,USD,,,\"PRICE\",\"INTRA\",\"52W\")":0.99884826,"BRENT-FDS^FG_PRICE(0)":85.86,"EWI^P_PRICE(0)/P_PRICE_HIGH_PR(0,,,,,,\"PRICE\",\"INTRA\",\"52W\")":0.95100105,"VGK^FMA_COS_UP(\"EPS\",\"1M\",+1,0,,,\"PORTAGG\",\"MEANR\")":473.0,"COPP-FDS^MAX(FG_PRICE(0,-5AY))":4.929,"EWD^FG_TOTAL_RETURNC(0,-12AM)":7.2464943,"EWI^SIZE(FG_CONSTITUENTS)":27,"TRYCA10Y-FDS^PCTCHG(FG_YIELD(0,,,,\"YTM\"),FG_YIELD(-3AM,,,,\"YTM\"))":7.9190035,"EWD^FMA_EVAL_EBIT(LTMA,NOW,NOW,M,\"PORTAGG\",\"MEANR\")":15.9521965032378,"EWJ^FMA_PE(NTMA,0,,,\"PORTAGG\",\"MEANR\")":15.6457867150851,"DBA^FG_TOTAL_RETURNC(0,-6AM)":23.698902,"EWD^P_PRICE(0)/P_PRICE_HIGH_PR(0,,,,,,\"PRICE\",\"INTRA\",\"52W\")":0.9237247,"EWI^FMA_COS_DOWN(\"EPS\",\"1M\",+1,0,,,\"PORTAGG\",\"MEANR\")":11.0,"EWD^FMA_EVAL_EBITDA(NTMA,0,,,\"PORTAGG\",\"MEANR\")":11.1902054713883,"EWD^FG_TOTAL_RETURNC(0,-3AM)":5.2357435,"EWD^FG_FCF_YIELD_NTM(0)":5.12174207557088,"EWJ^FMA_PE(LTM,0,,,\"PORTAGG\",\"MEANR\")":16.2964065627258,"DBA^FG_TOTAL_RETURNC(0,-3AM)":24.364508,"EWN^P_PRICE(0)/P_PRICE_LOW_PR(0,,,,,,\"PRICE\",\"INTRA\",\"52W\")-1":0.30090928,"TRYIT10Y-FDS^FG_YIELD(0,,,,\"YTM\")":3.877,"EWG^SIZE(FG_CONSTITUENTS)":57,"EWN^FMA_PE(LTM,0,,,\"PORTAGG\",\"MEANR\")":19.2785921099779,"EWA^FG_FCF_YIELD_NTM(0)":4.92339708408311,"GLD^FG_TOTAL_RETURNC(0,-6AM)":21.82231,"EWA^FG_PRICE_MAVG(0,,,,200)":22.8481,"EWU^PERCENT_CHANGE(FMA_EPS(+1,0,,,,\"PORTAGG\",\"MEAN\"),FMA_EPS(+1,-3AM,,,,\"PORTAGG\",\"MEAN\"))":-3.55988695976719,"REFCHMPR-FDS^PROPER_NAME(0,,,\"SECURITY\",\"NAME\")":"Swiss Policy Rate - Sight Deposit Rate","VWO^P_PRICE(0)/P_PRICE_HIGH_PR(0,,,USD,,,\"PRICE\",\"INTRA\",\"52W\")":0.9515081,"ENZL^JULIAN(FMA_DIV_YLD(NTMA,NOW,NOW,M,\"PORTAGG\",\"MEANR\").DATES)":45379,"EWI^FMA_RBICS_REV_CURRENT(30, LOC, \"PORTAGG\")":34.5462492743982,"QQQ^FMA_PE(LTM,0,,,\"PORTAGG\",\"MEANR\")":32.5761510525409,"TRYIT10Y-FDS^PCTCHG(FG_YIELD(0,,,,\"YTM\"),FG_YIELD(-3AM,,,,\"YTM\"))":-0.6661548,"SPY^FG_ROE(0)":18.1335627072545,"EWU^FG_FCF_YIELD_NTM(0)":6.22569746632296,"EWL^FG_TOTAL_RETURNC(0,-12AM)":-2.4202228,"CC_NL^IMF_IFS_RCPI_Q(0)":null,"SPY^FMA_EVAL_EBITDA(NTMA,0,,,\"PORTAGG\",\"MEANR\")":13.7535286796239,"EWA^FMA_PE(NTMA,0,,,\"PORTAGG\",\"MEANR\")":16.4762638259063,"REFCATARG-FDS^PROPER_NAME(0,,,\"SECURITY\",\"NAME\")":"Canada Target Rate","REFAUCASH-FDS^(SUBARRAY(NOT_NA(NO_REPEAT_F(FG_YIELD(NOW,-10AY,D))),0,1)-SUBARRAY(NOT_NA(NO_REPEAT_F(FG_YIELD(NOW,-10AY,D))),1,1))*100":25.0,"QQQ^FMA_DIV_YLD(NTMA,NOW,NOW,M,\"PORTAGG\",\"MEANR\")":0.882975847453205,"EWJ^FMA_RBICS_REV_CURRENT(30, LOC, \"PORTAGG\")":17.7091909618779,"CC_CA^IMF_IFS_RCPI_Q(0)":null,"QQQ^JULIAN(FMA_DIV_YLD(NTMA,NOW,NOW,M,\"PORTAGG\",\"MEANR\").DATES)":45379,"EWD^FMA_DIV_YLD(NTMA,NOW,NOW,M,\"PORTAGG\",\"MEANR\")":3.22683009064656,"REFJPTON-FDS^(SUBARRAY(NOT_NA(NO_REPEAT_F(FG_YIELD(NOW,-10AY,D))),0,1)-SUBARRAY(NOT_NA(NO_REPEAT_F(FG_YIELD(NOW,-10AY,D))),1,1))*100":20.0,"CC_FR^IMF_IFS_RCPI_Q(0)":null,"QQQ^FMA_EVAL_EBITDA(NTMA,0,,,\"PORTAGG\",\"MEANR\")":15.5928473475795,"ENZL^FMA_EVAL_EBIT(LTMA,NOW,NOW,M,\"PORTAGG\",\"MEANR\")":20.5144981216943,"QQQ^FG_FCF_YIELD_NTM(0)":3.83683089229911,"CC_GB^IMF_IFS_RCPI_Q(0)":null,"REFAUCASH-FDS^PROPER_NAME(0,,,\"SECURITY\",\"NAME\")":"Australia Target Cash Rate","QQQ^FMA_PE(NTMA,0,,,\"PORTAGG\",\"MEANR\")":24.9067985720621,"EWC^FG_TOTAL_RETURNC(0,-12AM)":5.984664,"EWA^FG_TOTAL_RETURNC(0,-12AM)":2.8855324,"VWO^FG_FCF_YIELD_NTM(0)":4.90642076521817,"ENZL^FG_PRICE(0)":44.0,"REFCATARG-FDS^FG_YIELD(NOW,,,0)":5.0,"VWO^FMA_EVAL_EBITDA(NTMA,0,,,\"PORTAGG\",\"MEANR\")":9.61567290028743,"EWQ^FG_ROE(0)":12.7702761924941,"TRYNL10Y-FDS^PCTCHG(FG_YIELD(0,,,,\"YTM\"),FG_YIELD(-3AM,,,,\"YTM\"))":6.6283565,"REFGBBANK-FDS^(SUBARRAY(NOT_NA(NO_REPEAT_F(FG_YIELD(NOW,-10AY,D))),0,1)-SUBARRAY(NOT_NA(NO_REPEAT_F(FG_YIELD(NOW,-10AY,D))),1,1))*100":25.0,"GLD^P_PRICE(0)/P_PRICE_HIGH_PR(0,,,USD,,,\"PRICE\",\"INTRA\",\"52W\")":0.97889733,"EWN^FMA_DIV_YLD(NTMA,NOW,NOW,M,\"PORTAGG\",\"MEANR\")":2.51696007875019,"EWN^FMA_PE(NTMA,0,,,\"PORTAGG\",\"MEANR\")":15.9064093026385,"SPY^FMA_EVAL_EBIT(LTMA,NOW,NOW,M,\"PORTAGG\",\"MEANR\")":20.7393757551023,"EWG^JULIAN(FMA_DIV_YLD(NTMA,NOW,NOW,M,\"PORTAGG\",\"MEANR\").DATES)":45379,"EWC^FMA_EVAL_EBIT(LTMA,NOW,NOW,M,\"PORTAGG\",\"MEANR\")":16.3842497351411,"EWC^FG_FCF_YIELD_NTM(0)":5.19129106481394,"EWU^FMA_COS_UP(\"EPS\",\"1M\",+1,0,,,\"PORTAGG\",\"MEANR\")":34.0,"EWL^SIZE(FG_CONSTITUENTS)":46,"UUP^FG_TOTAL_RETURNC(0,-1AM)":3.0670404,"TRYCA10Y-FDS^FG_YIELD(0,,,,\"YTM\")":3.7572,"EWG^FMA_PE(LTM,0,,,\"PORTAGG\",\"MEANR\")":12.4368514527115,"EWQ^FG_FCF_YIELD_NTM(0)":5.62774549262572,"EWN^PERCENT_CHANGE(FMA_EPS(+1,0,,,,\"PORTAGG\",\"MEAN\"),FMA_EPS(+1,-3AM,,,,\"PORTAGG\",\"MEAN\"))":-0.664150237797888,"EWQ^FMA_PCT_ABOVE_MAVG(200,0,,,,\"PORTAGG\")":69.8412698412698,"EWA^FMA_DIV_YLD(NTMA,NOW,NOW,M,\"PORTAGG\",\"MEANR\")":3.89931195372357,"EWA^FMA_COS_UP(\"EPS\",\"1M\",+1,0,,,\"PORTAGG\",\"MEANR\")":20.0,"DBA^FG_TOTAL_RETURNC(0,-1AM)":9.31704,"DUMMY^ECON_DATE(45279,,, 'MM/YYYY')":"12/2023","DUMMY^ECON_DATE(45370,,, 'MM/YYYY')":"03/2024","CC_US^IMF_IFS_RCPI_Q(-1AM)":3.2433991,"CC_NZ^IMF_IFS_RCPI_Q(-1AM)":4.655029,"CC_AU^IMF_IFS_RCPI_Q(-1AM)":4.051988,"CC_CA^IMF_IFS_RCPI_Q(-1AM)":3.2111022,"CC_DE^IMF_IFS_RCPI_Q(-1AM)":3.5546436,"CC_JP^IMF_IFS_RCPI_Q(-1AM)":2.9194753,"CC_CH^IMF_IFS_RCPI_Q(-1AM)":1.6172575,"CC_GB^IMF_IFS_RCPI_Q(-1AM)":4.3536315,"CC_FR^IMF_IFS_RCPI_Q(-1AM)":3.7187452,"CC_NL^IMF_IFS_RCPI_Q(-1AM)":0.80520856,"CC_SE^IMF_IFS_RCPI_Q(-1AM)":5.550837,"CC_IT^IMF_IFS_RCPI_Q(-1AM)":0.98369783,"DUMMY^ECON_EXPR_DATA('FDS_ECON[PMIDMMANHE]',03/2024,,Q)":49.13533,"DUMMY^ECON_EXPR_DATA('FDS_ECON[PMIDMMANHE]',12/2023,,Q)":47.377975,"DUMMY^ECON_EXPR_DATA('FDS_ECON[NTCPMIMFGSA@EME]',03/2024,,Q)":51.51058,"DUMMY^ECON_EXPR_DATA('FDS_ECON[NTCPMIMFGSA@EME]',12/2023,,Q)":50.624123,"DUMMY^ECON_EXPR_DATA('FDS_ECON[NTCPMIMFGSA@NZ]',03/2024,,Q)":47.884563,"DUMMY^ECON_EXPR_DATA('FDS_ECON[NTCPMIMFGSA@NZ]',12/2023,,Q)":44.378197,"DUMMY^ECON_EXPR_DATA('FDS_ECON[NTCPMIMFGSA@AU]',03/2024,,Q)":48.39547,"DUMMY^ECON_EXPR_DATA('FDS_ECON[NTCPMIMFGSA@AU]',12/2023,,Q)":47.862293,"DUMMY^ECON_EXPR_DATA('FDS_ECON[NTCPMIMFGSA@CA]',03/2024,,Q)":49.30091,"DUMMY^ECON_EXPR_DATA('FDS_ECON[NTCPMIMFGSA@CA]',12/2023,,Q)":47.255585,"DUMMY^ECON_EXPR_DATA('FDS_ECON[NTCPMIMFGSA@DE]',03/2024,,Q)":43.319096,"DUMMY^ECON_EXPR_DATA('FDS_ECON[NTCPMIMFGSA@DE]',12/2023,,Q)":42.238945,"DUMMY^ECON_EXPR_DATA('FDS_ECON[NTCPMIMFGSA@JP]',03/2024,,Q)":47.808857,"DUMMY^ECON_EXPR_DATA('FDS_ECON[NTCPMIMFGSA@JP]',12/2023,,Q)":48.31877,"DUMMY^ECON_EXPR_DATA('FDS_ECON[NTCPMIMFGSA@CH]',03/2024,,Q)":44.08605,"DUMMY^ECON_EXPR_DATA('FDS_ECON[NTCPMIMFGSA@CH]',12/2023,,Q)":41.921543,"DUMMY^ECON_EXPR_DATA('FDS_ECON[NTCPMIMFGSA@GB]',03/2024,,Q)":48.24796,"DUMMY^ECON_EXPR_DATA('FDS_ECON[NTCPMIMFGSA@GB]',12/2023,,Q)":46.0587,"DUMMY^ECON_EXPR_DATA('FDS_ECON[NTCPMIMFGMESA@US]',03/2024,,Q)":51.582687,"DUMMY^ECON_EXPR_DATA('FDS_ECON[NTCPMIMFGMESA@US]',12/2023,,Q)":49.098827,"DUMMY^ECON_EXPR_DATA('FDS_ECON[NTCPMIMFGSA@FR]',03/2024,,Q)":45.498753,"DUMMY^ECON_EXPR_DATA('FDS_ECON[NTCPMIMFGSA@FR]',12/2023,,Q)":42.573967,"DUMMY^ECON_EXPR_DATA('FDS_ECON[NTCPMIMFGSA@NL]',03/2024,,Q)":49.325874,"DUMMY^ECON_EXPR_DATA('FDS_ECON[NTCPMIMFGSA@NL]',12/2023,,Q)":44.495136,"DUMMY^ECON_EXPR_DATA('FDS_ECON[]',03/2024,,Q)":null,"DUMMY^ECON_EXPR_DATA('FDS_ECON[]',12/2023,,Q)":null,"DUMMY^ECON_EXPR_DATA('FDS_ECON[NTCPMIMFGSA@IT]',03/2024,,Q)":49.208153,"DUMMY^ECON_EXPR_DATA('FDS_ECON[NTCPMIMFGSA@IT]',12/2023,,Q)":44.859455}]]></FdsFormulaCache>
</file>

<file path=customXml/itemProps1.xml><?xml version="1.0" encoding="utf-8"?>
<ds:datastoreItem xmlns:ds="http://schemas.openxmlformats.org/officeDocument/2006/customXml" ds:itemID="{769C6511-35F3-40DF-81B1-4DE9B03E72E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2024-04-19T07:48:52Z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