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D0959CAC-51B6-429A-AEDE-1FA7045E48F3}" xr6:coauthVersionLast="47" xr6:coauthVersionMax="47" xr10:uidLastSave="{00000000-0000-0000-0000-000000000000}"/>
  <bookViews>
    <workbookView xWindow="25490" yWindow="-110" windowWidth="29020" windowHeight="15700" firstSheet="1" activeTab="3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Safety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ranking'!$A$2:$AK$30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3" i="1" l="1" a="1"/>
  <c r="O23" i="1" l="1"/>
  <c r="O22" i="1" a="1"/>
  <c r="O22" i="1" l="1"/>
  <c r="O20" i="1" a="1"/>
  <c r="O20" i="1" l="1"/>
  <c r="O17" i="1" a="1"/>
  <c r="O17" i="1" l="1"/>
  <c r="O16" i="1" a="1"/>
  <c r="O16" i="1" l="1"/>
  <c r="O15" i="1" a="1"/>
  <c r="O15" i="1" l="1"/>
  <c r="O14" i="1" a="1"/>
  <c r="O14" i="1" l="1"/>
  <c r="O13" i="1" a="1"/>
  <c r="O13" i="1" l="1"/>
  <c r="O12" i="1" a="1"/>
  <c r="O12" i="1" l="1"/>
  <c r="O11" i="1" a="1"/>
  <c r="O11" i="1" l="1"/>
  <c r="O9" i="1" a="1"/>
  <c r="O9" i="1" l="1"/>
  <c r="O8" i="1" a="1"/>
  <c r="O8" i="1" l="1"/>
  <c r="O7" i="1" a="1"/>
  <c r="O7" i="1" l="1"/>
  <c r="O6" i="1" a="1"/>
  <c r="O6" i="1" l="1"/>
  <c r="O5" i="1" a="1"/>
  <c r="O5" i="1" l="1"/>
  <c r="O4" i="1" a="1"/>
  <c r="O4" i="1" l="1"/>
  <c r="O3" i="1" a="1"/>
  <c r="O3" i="1" l="1"/>
  <c r="D31" i="1" a="1"/>
  <c r="G33" i="57" a="1"/>
  <c r="G16" i="57" a="1"/>
  <c r="D33" i="57" a="1"/>
  <c r="D16" i="57" a="1"/>
  <c r="G31" i="57" a="1"/>
  <c r="G15" i="57" a="1"/>
  <c r="D31" i="57" a="1"/>
  <c r="D15" i="57" a="1"/>
  <c r="G30" i="57" a="1"/>
  <c r="G14" i="57" a="1"/>
  <c r="D30" i="57" a="1"/>
  <c r="D14" i="57" a="1"/>
  <c r="G29" i="57" a="1"/>
  <c r="G13" i="57" a="1"/>
  <c r="D29" i="57" a="1"/>
  <c r="D13" i="57" a="1"/>
  <c r="G28" i="57" a="1"/>
  <c r="G12" i="57" a="1"/>
  <c r="D28" i="57" a="1"/>
  <c r="D12" i="57" a="1"/>
  <c r="G27" i="57" a="1"/>
  <c r="G11" i="57" a="1"/>
  <c r="D27" i="57" a="1"/>
  <c r="D11" i="57" a="1"/>
  <c r="G26" i="57" a="1"/>
  <c r="G10" i="57" a="1"/>
  <c r="D26" i="57" a="1"/>
  <c r="D10" i="57" a="1"/>
  <c r="G25" i="57" a="1"/>
  <c r="G9" i="57" a="1"/>
  <c r="D9" i="57" a="1"/>
  <c r="G24" i="57" a="1"/>
  <c r="G8" i="57" a="1"/>
  <c r="D24" i="57" a="1"/>
  <c r="D8" i="57" a="1"/>
  <c r="G23" i="57" a="1"/>
  <c r="G7" i="57" a="1"/>
  <c r="D23" i="57" a="1"/>
  <c r="G22" i="57" a="1"/>
  <c r="D22" i="57" a="1"/>
  <c r="G21" i="57" a="1"/>
  <c r="D21" i="57" a="1"/>
  <c r="D5" i="57" a="1"/>
  <c r="G20" i="57" a="1"/>
  <c r="D20" i="57" a="1"/>
  <c r="G19" i="57" a="1"/>
  <c r="D19" i="57" a="1"/>
  <c r="D3" i="57" a="1"/>
  <c r="G18" i="57" a="1"/>
  <c r="D18" i="57" a="1"/>
  <c r="D25" i="57" a="1"/>
  <c r="D7" i="57" a="1"/>
  <c r="G6" i="57" a="1"/>
  <c r="D6" i="57" a="1"/>
  <c r="G5" i="57" a="1"/>
  <c r="G4" i="57" a="1"/>
  <c r="D4" i="57" a="1"/>
  <c r="G3" i="57" a="1"/>
  <c r="G2" i="57" a="1"/>
  <c r="D2" i="57" a="1"/>
  <c r="E33" i="57" a="1"/>
  <c r="G17" i="57" a="1"/>
  <c r="D17" i="57" a="1"/>
  <c r="B33" i="57" a="1"/>
  <c r="D31" i="1" l="1"/>
  <c r="B33" i="57"/>
  <c r="D17" i="57"/>
  <c r="G17" i="57"/>
  <c r="E33" i="57"/>
  <c r="D2" i="57"/>
  <c r="G2" i="57"/>
  <c r="G3" i="57"/>
  <c r="D4" i="57"/>
  <c r="G4" i="57"/>
  <c r="G5" i="57"/>
  <c r="D6" i="57"/>
  <c r="G6" i="57"/>
  <c r="D7" i="57"/>
  <c r="D25" i="57"/>
  <c r="D18" i="57"/>
  <c r="G18" i="57"/>
  <c r="D3" i="57"/>
  <c r="D19" i="57"/>
  <c r="G19" i="57"/>
  <c r="D20" i="57"/>
  <c r="G20" i="57"/>
  <c r="D5" i="57"/>
  <c r="D21" i="57"/>
  <c r="G21" i="57"/>
  <c r="D22" i="57"/>
  <c r="G22" i="57"/>
  <c r="D23" i="57"/>
  <c r="G7" i="57"/>
  <c r="G23" i="57"/>
  <c r="D8" i="57"/>
  <c r="D24" i="57"/>
  <c r="G8" i="57"/>
  <c r="G24" i="57"/>
  <c r="D9" i="57"/>
  <c r="G9" i="57"/>
  <c r="G25" i="57"/>
  <c r="D10" i="57"/>
  <c r="D26" i="57"/>
  <c r="G10" i="57"/>
  <c r="G26" i="57"/>
  <c r="D11" i="57"/>
  <c r="D27" i="57"/>
  <c r="G11" i="57"/>
  <c r="G27" i="57"/>
  <c r="D12" i="57"/>
  <c r="D28" i="57"/>
  <c r="G12" i="57"/>
  <c r="G28" i="57"/>
  <c r="D13" i="57"/>
  <c r="D29" i="57"/>
  <c r="G13" i="57"/>
  <c r="G29" i="57"/>
  <c r="D14" i="57"/>
  <c r="D30" i="57"/>
  <c r="G14" i="57"/>
  <c r="G30" i="57"/>
  <c r="D15" i="57"/>
  <c r="D31" i="57"/>
  <c r="G15" i="57"/>
  <c r="G31" i="57"/>
  <c r="D16" i="57"/>
  <c r="D33" i="57"/>
  <c r="G16" i="57"/>
  <c r="G33" i="57"/>
  <c r="O10" i="1" a="1"/>
  <c r="O18" i="1" a="1"/>
  <c r="O19" i="1" a="1"/>
  <c r="O21" i="1" a="1"/>
  <c r="M8" i="48" a="1"/>
  <c r="M21" i="48" a="1"/>
  <c r="M24" i="48" a="1"/>
  <c r="M23" i="48" a="1"/>
  <c r="M4" i="48" a="1"/>
  <c r="M6" i="48" a="1"/>
  <c r="M18" i="48" a="1"/>
  <c r="M16" i="48" a="1"/>
  <c r="M19" i="48" a="1"/>
  <c r="M17" i="48" a="1"/>
  <c r="M15" i="48" a="1"/>
  <c r="M14" i="48" a="1"/>
  <c r="M10" i="48" a="1"/>
  <c r="M13" i="48" a="1"/>
  <c r="M12" i="48" a="1"/>
  <c r="M11" i="48" a="1"/>
  <c r="O21" i="1" l="1"/>
  <c r="O19" i="1"/>
  <c r="O18" i="1"/>
  <c r="O10" i="1"/>
  <c r="M11" i="48"/>
  <c r="M12" i="48"/>
  <c r="M13" i="48"/>
  <c r="M10" i="48"/>
  <c r="M14" i="48"/>
  <c r="M15" i="48"/>
  <c r="M17" i="48"/>
  <c r="M19" i="48"/>
  <c r="M16" i="48"/>
  <c r="M18" i="48"/>
  <c r="M6" i="48"/>
  <c r="M4" i="48"/>
  <c r="M23" i="48"/>
  <c r="M24" i="48"/>
  <c r="M21" i="48"/>
  <c r="M8" i="48"/>
  <c r="Y2" i="12" l="1"/>
  <c r="G18" i="43" a="1"/>
  <c r="G10" i="43" a="1"/>
  <c r="C22" i="43" a="1"/>
  <c r="C6" i="43" a="1"/>
  <c r="F22" i="42" a="1"/>
  <c r="F20" i="42" a="1"/>
  <c r="F18" i="42" a="1"/>
  <c r="F16" i="42" a="1"/>
  <c r="F14" i="42" a="1"/>
  <c r="F12" i="42" a="1"/>
  <c r="F10" i="42" a="1"/>
  <c r="F8" i="42" a="1"/>
  <c r="F6" i="42" a="1"/>
  <c r="F4" i="42" a="1"/>
  <c r="R3" i="18" a="1"/>
  <c r="B3" i="18" a="1"/>
  <c r="H2" i="15" a="1"/>
  <c r="N2" i="5" a="1"/>
  <c r="T2" i="7" a="1"/>
  <c r="D2" i="7" a="1"/>
  <c r="J2" i="47" a="1"/>
  <c r="P2" i="46" a="1"/>
  <c r="J12" i="52" a="1"/>
  <c r="J10" i="52" a="1"/>
  <c r="J8" i="52" a="1"/>
  <c r="J6" i="52" a="1"/>
  <c r="J4" i="52" a="1"/>
  <c r="V25" i="56" a="1"/>
  <c r="V21" i="56" a="1"/>
  <c r="V17" i="56" a="1"/>
  <c r="J28" i="48" a="1"/>
  <c r="H2" i="38" a="1"/>
  <c r="AF4" i="9" a="1"/>
  <c r="P4" i="9" a="1"/>
  <c r="H17" i="43" a="1"/>
  <c r="H9" i="43" a="1"/>
  <c r="C21" i="43" a="1"/>
  <c r="C5" i="43" a="1"/>
  <c r="E22" i="42" a="1"/>
  <c r="E20" i="42" a="1"/>
  <c r="E18" i="42" a="1"/>
  <c r="E16" i="42" a="1"/>
  <c r="E14" i="42" a="1"/>
  <c r="E12" i="42" a="1"/>
  <c r="E10" i="42" a="1"/>
  <c r="E8" i="42" a="1"/>
  <c r="E6" i="42" a="1"/>
  <c r="E4" i="42" a="1"/>
  <c r="Q3" i="18" a="1"/>
  <c r="A3" i="18" a="1"/>
  <c r="G2" i="15" a="1"/>
  <c r="M2" i="5" a="1"/>
  <c r="S2" i="7" a="1"/>
  <c r="C2" i="7" a="1"/>
  <c r="I2" i="47" a="1"/>
  <c r="O2" i="46" a="1"/>
  <c r="I12" i="52" a="1"/>
  <c r="I10" i="52" a="1"/>
  <c r="I8" i="52" a="1"/>
  <c r="I6" i="52" a="1"/>
  <c r="I4" i="52" a="1"/>
  <c r="U25" i="56" a="1"/>
  <c r="U21" i="56" a="1"/>
  <c r="U17" i="56" a="1"/>
  <c r="J27" i="48" a="1"/>
  <c r="G2" i="38" a="1"/>
  <c r="AE4" i="9" a="1"/>
  <c r="O4" i="9" a="1"/>
  <c r="G17" i="43" a="1"/>
  <c r="G9" i="43" a="1"/>
  <c r="C20" i="43" a="1"/>
  <c r="C4" i="43" a="1"/>
  <c r="D22" i="42" a="1"/>
  <c r="D20" i="42" a="1"/>
  <c r="D18" i="42" a="1"/>
  <c r="D16" i="42" a="1"/>
  <c r="D14" i="42" a="1"/>
  <c r="D12" i="42" a="1"/>
  <c r="D10" i="42" a="1"/>
  <c r="D8" i="42" a="1"/>
  <c r="D6" i="42" a="1"/>
  <c r="D4" i="42" a="1"/>
  <c r="P3" i="18" a="1"/>
  <c r="V2" i="15" a="1"/>
  <c r="F2" i="15" a="1"/>
  <c r="L2" i="5" a="1"/>
  <c r="R2" i="7" a="1"/>
  <c r="B2" i="7" a="1"/>
  <c r="H2" i="47" a="1"/>
  <c r="V2" i="38" a="1"/>
  <c r="F2" i="38" a="1"/>
  <c r="AD4" i="9" a="1"/>
  <c r="N4" i="9" a="1"/>
  <c r="H16" i="43" a="1"/>
  <c r="H8" i="43" a="1"/>
  <c r="C19" i="43" a="1"/>
  <c r="C3" i="43" a="1"/>
  <c r="C22" i="42" a="1"/>
  <c r="C20" i="42" a="1"/>
  <c r="C18" i="42" a="1"/>
  <c r="C16" i="42" a="1"/>
  <c r="C14" i="42" a="1"/>
  <c r="C12" i="42" a="1"/>
  <c r="C10" i="42" a="1"/>
  <c r="C8" i="42" a="1"/>
  <c r="C6" i="42" a="1"/>
  <c r="C4" i="42" a="1"/>
  <c r="O3" i="18" a="1"/>
  <c r="U2" i="15" a="1"/>
  <c r="E2" i="15" a="1"/>
  <c r="K2" i="5" a="1"/>
  <c r="Q2" i="7" a="1"/>
  <c r="A2" i="7" a="1"/>
  <c r="G2" i="47" a="1"/>
  <c r="M2" i="46" a="1"/>
  <c r="G12" i="52" a="1"/>
  <c r="G10" i="52" a="1"/>
  <c r="U2" i="38" a="1"/>
  <c r="E2" i="38" a="1"/>
  <c r="AC4" i="9" a="1"/>
  <c r="A4" i="9" a="1"/>
  <c r="G16" i="43" a="1"/>
  <c r="G8" i="43" a="1"/>
  <c r="C18" i="43" a="1"/>
  <c r="T2" i="38" a="1"/>
  <c r="D2" i="38" a="1"/>
  <c r="AB4" i="9" a="1"/>
  <c r="L4" i="9" a="1"/>
  <c r="H23" i="43" a="1"/>
  <c r="H15" i="43" a="1"/>
  <c r="H7" i="43" a="1"/>
  <c r="C17" i="43" a="1"/>
  <c r="S2" i="38" a="1"/>
  <c r="C2" i="38" a="1"/>
  <c r="AA4" i="9" a="1"/>
  <c r="K4" i="9" a="1"/>
  <c r="G23" i="43" a="1"/>
  <c r="G15" i="43" a="1"/>
  <c r="G7" i="43" a="1"/>
  <c r="C16" i="43" a="1"/>
  <c r="H23" i="42" a="1"/>
  <c r="H21" i="42" a="1"/>
  <c r="R2" i="38" a="1"/>
  <c r="B2" i="38" a="1"/>
  <c r="H22" i="43" a="1"/>
  <c r="H14" i="43" a="1"/>
  <c r="H6" i="43" a="1"/>
  <c r="C15" i="43" a="1"/>
  <c r="G23" i="42" a="1"/>
  <c r="G21" i="42" a="1"/>
  <c r="G21" i="43" a="1"/>
  <c r="G13" i="43" a="1"/>
  <c r="G5" i="43" a="1"/>
  <c r="C12" i="43" a="1"/>
  <c r="D23" i="42" a="1"/>
  <c r="D21" i="42" a="1"/>
  <c r="D19" i="42" a="1"/>
  <c r="D17" i="42" a="1"/>
  <c r="D15" i="42" a="1"/>
  <c r="D13" i="42" a="1"/>
  <c r="D11" i="42" a="1"/>
  <c r="D9" i="42" a="1"/>
  <c r="D7" i="42" a="1"/>
  <c r="D5" i="42" a="1"/>
  <c r="D3" i="42" a="1"/>
  <c r="H3" i="18" a="1"/>
  <c r="N2" i="15" a="1"/>
  <c r="T2" i="5" a="1"/>
  <c r="D2" i="5" a="1"/>
  <c r="Q2" i="38" a="1"/>
  <c r="Y4" i="9" a="1"/>
  <c r="C13" i="43" a="1"/>
  <c r="G22" i="42" a="1"/>
  <c r="J16" i="42" a="1"/>
  <c r="J8" i="42" a="1"/>
  <c r="F3" i="18" a="1"/>
  <c r="K2" i="47" a="1"/>
  <c r="D7" i="52" a="1"/>
  <c r="G4" i="52" a="1"/>
  <c r="V19" i="56" a="1"/>
  <c r="V10" i="56" a="1"/>
  <c r="G23" i="56" a="1"/>
  <c r="I18" i="56" a="1"/>
  <c r="I9" i="56" a="1"/>
  <c r="L22" i="12" a="1"/>
  <c r="M18" i="12" a="1"/>
  <c r="N14" i="12" a="1"/>
  <c r="N10" i="12" a="1"/>
  <c r="N8" i="12" a="1"/>
  <c r="O4" i="12" a="1"/>
  <c r="L34" i="12" a="1"/>
  <c r="G21" i="12" a="1"/>
  <c r="E10" i="12" a="1"/>
  <c r="G3" i="12" a="1"/>
  <c r="I28" i="1" a="1"/>
  <c r="H11" i="43" a="1"/>
  <c r="F19" i="42" a="1"/>
  <c r="J13" i="42" a="1"/>
  <c r="F11" i="42" a="1"/>
  <c r="J5" i="42" a="1"/>
  <c r="F3" i="42" a="1"/>
  <c r="D2" i="15" a="1"/>
  <c r="F2" i="5" a="1"/>
  <c r="H2" i="7" a="1"/>
  <c r="J2" i="46" a="1"/>
  <c r="I11" i="52" a="1"/>
  <c r="F9" i="52" a="1"/>
  <c r="T24" i="56" a="1"/>
  <c r="S15" i="56" a="1"/>
  <c r="T6" i="56" a="1"/>
  <c r="H18" i="56" a="1"/>
  <c r="J13" i="56" a="1"/>
  <c r="G5" i="56" a="1"/>
  <c r="L20" i="12" a="1"/>
  <c r="M16" i="12" a="1"/>
  <c r="N12" i="12" a="1"/>
  <c r="M10" i="12" a="1"/>
  <c r="N6" i="12" a="1"/>
  <c r="R33" i="12" a="1"/>
  <c r="F33" i="12" a="1"/>
  <c r="G15" i="12" a="1"/>
  <c r="G9" i="12" a="1"/>
  <c r="J7" i="39" a="1"/>
  <c r="H11" i="39" a="1"/>
  <c r="F15" i="39" a="1"/>
  <c r="M22" i="28" a="1"/>
  <c r="K17" i="28" a="1"/>
  <c r="L11" i="28" a="1"/>
  <c r="M5" i="28" a="1"/>
  <c r="H19" i="28" a="1"/>
  <c r="G11" i="28" a="1"/>
  <c r="P2" i="38" a="1"/>
  <c r="X4" i="9" a="1"/>
  <c r="I16" i="42" a="1"/>
  <c r="I8" i="42" a="1"/>
  <c r="E3" i="18" a="1"/>
  <c r="C7" i="52" a="1"/>
  <c r="F4" i="52" a="1"/>
  <c r="U19" i="56" a="1"/>
  <c r="U10" i="56" a="1"/>
  <c r="J22" i="56" a="1"/>
  <c r="G18" i="56" a="1"/>
  <c r="H9" i="56" a="1"/>
  <c r="K22" i="12" a="1"/>
  <c r="L18" i="12" a="1"/>
  <c r="M14" i="12" a="1"/>
  <c r="M12" i="12" a="1"/>
  <c r="G11" i="43" a="1"/>
  <c r="C11" i="43" a="1"/>
  <c r="J21" i="42" a="1"/>
  <c r="E19" i="42" a="1"/>
  <c r="I13" i="42" a="1"/>
  <c r="E11" i="42" a="1"/>
  <c r="I5" i="42" a="1"/>
  <c r="E3" i="42" a="1"/>
  <c r="C2" i="15" a="1"/>
  <c r="E2" i="5" a="1"/>
  <c r="G2" i="7" a="1"/>
  <c r="F2" i="47" a="1"/>
  <c r="I2" i="46" a="1"/>
  <c r="H11" i="52" a="1"/>
  <c r="E9" i="52" a="1"/>
  <c r="S24" i="56" a="1"/>
  <c r="V14" i="56" a="1"/>
  <c r="S6" i="56" a="1"/>
  <c r="I22" i="56" a="1"/>
  <c r="I13" i="56" a="1"/>
  <c r="S23" i="12" a="1"/>
  <c r="K20" i="12" a="1"/>
  <c r="L16" i="12" a="1"/>
  <c r="L12" i="12" a="1"/>
  <c r="L10" i="12" a="1"/>
  <c r="M6" i="12" a="1"/>
  <c r="Q33" i="12" a="1"/>
  <c r="E33" i="12" a="1"/>
  <c r="F15" i="12" a="1"/>
  <c r="E9" i="12" a="1"/>
  <c r="J6" i="39" a="1"/>
  <c r="H10" i="39" a="1"/>
  <c r="F14" i="39" a="1"/>
  <c r="L22" i="28" a="1"/>
  <c r="M16" i="28" a="1"/>
  <c r="K11" i="28" a="1"/>
  <c r="L5" i="28" a="1"/>
  <c r="G19" i="28" a="1"/>
  <c r="H10" i="28" a="1"/>
  <c r="D26" i="28" a="1"/>
  <c r="E15" i="28" a="1"/>
  <c r="G28" i="1" a="1"/>
  <c r="K22" i="1" a="1"/>
  <c r="H20" i="1" a="1"/>
  <c r="L17" i="1" a="1"/>
  <c r="I15" i="1" a="1"/>
  <c r="F13" i="1" a="1"/>
  <c r="J10" i="1" a="1"/>
  <c r="G8" i="1" a="1"/>
  <c r="K5" i="1" a="1"/>
  <c r="H3" i="1" a="1"/>
  <c r="C17" i="55" a="1"/>
  <c r="O2" i="38" a="1"/>
  <c r="W4" i="9" a="1"/>
  <c r="H16" i="42" a="1"/>
  <c r="H8" i="42" a="1"/>
  <c r="D3" i="18" a="1"/>
  <c r="H6" i="52" a="1"/>
  <c r="E4" i="52" a="1"/>
  <c r="T19" i="56" a="1"/>
  <c r="T10" i="56" a="1"/>
  <c r="H22" i="56" a="1"/>
  <c r="J17" i="56" a="1"/>
  <c r="G9" i="56" a="1"/>
  <c r="S21" i="12" a="1"/>
  <c r="K18" i="12" a="1"/>
  <c r="L14" i="12" a="1"/>
  <c r="K12" i="12" a="1"/>
  <c r="N2" i="38" a="1"/>
  <c r="V4" i="9" a="1"/>
  <c r="G22" i="43" a="1"/>
  <c r="H10" i="43" a="1"/>
  <c r="C10" i="43" a="1"/>
  <c r="I21" i="42" a="1"/>
  <c r="H13" i="42" a="1"/>
  <c r="H5" i="42" a="1"/>
  <c r="B2" i="15" a="1"/>
  <c r="F2" i="7" a="1"/>
  <c r="E2" i="47" a="1"/>
  <c r="H2" i="46" a="1"/>
  <c r="G11" i="52" a="1"/>
  <c r="D9" i="52" a="1"/>
  <c r="G6" i="52" a="1"/>
  <c r="V23" i="56" a="1"/>
  <c r="U14" i="56" a="1"/>
  <c r="V5" i="56" a="1"/>
  <c r="G22" i="56" a="1"/>
  <c r="H13" i="56" a="1"/>
  <c r="R23" i="12" a="1"/>
  <c r="S19" i="12" a="1"/>
  <c r="K16" i="12" a="1"/>
  <c r="K14" i="12" a="1"/>
  <c r="K10" i="12" a="1"/>
  <c r="L6" i="12" a="1"/>
  <c r="P33" i="12" a="1"/>
  <c r="G32" i="12" a="1"/>
  <c r="C19" i="42" a="1"/>
  <c r="G16" i="42" a="1"/>
  <c r="C11" i="42" a="1"/>
  <c r="G8" i="42" a="1"/>
  <c r="C3" i="42" a="1"/>
  <c r="C3" i="18" a="1"/>
  <c r="C2" i="5" a="1"/>
  <c r="D4" i="52" a="1"/>
  <c r="S19" i="56" a="1"/>
  <c r="M2" i="38" a="1"/>
  <c r="U4" i="9" a="1"/>
  <c r="H21" i="43" a="1"/>
  <c r="C9" i="43" a="1"/>
  <c r="G13" i="42" a="1"/>
  <c r="G5" i="42" a="1"/>
  <c r="A2" i="15" a="1"/>
  <c r="E2" i="7" a="1"/>
  <c r="D2" i="47" a="1"/>
  <c r="J18" i="42" a="1"/>
  <c r="J10" i="42" a="1"/>
  <c r="V3" i="18" a="1"/>
  <c r="B2" i="5" a="1"/>
  <c r="C4" i="52" a="1"/>
  <c r="V18" i="56" a="1"/>
  <c r="V9" i="56" a="1"/>
  <c r="S5" i="56" a="1"/>
  <c r="H17" i="56" a="1"/>
  <c r="I8" i="56" a="1"/>
  <c r="Q21" i="12" a="1"/>
  <c r="R17" i="12" a="1"/>
  <c r="R15" i="12" a="1"/>
  <c r="R11" i="12" a="1"/>
  <c r="S7" i="12" a="1"/>
  <c r="K4" i="12" a="1"/>
  <c r="K33" i="12" a="1"/>
  <c r="E20" i="12" a="1"/>
  <c r="E14" i="12" a="1"/>
  <c r="J21" i="39" a="1"/>
  <c r="G9" i="28" a="1"/>
  <c r="E22" i="28" a="1"/>
  <c r="Q19" i="12" a="1"/>
  <c r="R9" i="12" a="1"/>
  <c r="L2" i="38" a="1"/>
  <c r="T4" i="9" a="1"/>
  <c r="C8" i="43" a="1"/>
  <c r="F21" i="42" a="1"/>
  <c r="J15" i="42" a="1"/>
  <c r="F13" i="42" a="1"/>
  <c r="J7" i="42" a="1"/>
  <c r="F5" i="42" a="1"/>
  <c r="T2" i="15" a="1"/>
  <c r="V2" i="5" a="1"/>
  <c r="C2" i="47" a="1"/>
  <c r="F2" i="46" a="1"/>
  <c r="E11" i="52" a="1"/>
  <c r="H8" i="52" a="1"/>
  <c r="E6" i="52" a="1"/>
  <c r="T23" i="56" a="1"/>
  <c r="S14" i="56" a="1"/>
  <c r="U9" i="56" a="1"/>
  <c r="I21" i="56" a="1"/>
  <c r="J12" i="56" a="1"/>
  <c r="P23" i="12" a="1"/>
  <c r="Q15" i="12" a="1"/>
  <c r="Q13" i="12" a="1"/>
  <c r="S5" i="12" a="1"/>
  <c r="R32" i="12" a="1"/>
  <c r="E32" i="12" a="1"/>
  <c r="G19" i="12" a="1"/>
  <c r="E8" i="12" a="1"/>
  <c r="J3" i="39" a="1"/>
  <c r="H7" i="39" a="1"/>
  <c r="F11" i="39" a="1"/>
  <c r="L21" i="28" a="1"/>
  <c r="M15" i="28" a="1"/>
  <c r="K10" i="28" a="1"/>
  <c r="L4" i="28" a="1"/>
  <c r="H17" i="28" a="1"/>
  <c r="D22" i="28" a="1"/>
  <c r="E13" i="28" a="1"/>
  <c r="D5" i="28" a="1"/>
  <c r="K27" i="1" a="1"/>
  <c r="H22" i="1" a="1"/>
  <c r="L19" i="1" a="1"/>
  <c r="I17" i="1" a="1"/>
  <c r="F15" i="1" a="1"/>
  <c r="H20" i="43" a="1"/>
  <c r="I18" i="42" a="1"/>
  <c r="I10" i="42" a="1"/>
  <c r="U3" i="18" a="1"/>
  <c r="A2" i="5" a="1"/>
  <c r="V2" i="47" a="1"/>
  <c r="G8" i="52" a="1"/>
  <c r="J3" i="52" a="1"/>
  <c r="U18" i="56" a="1"/>
  <c r="T9" i="56" a="1"/>
  <c r="J25" i="56" a="1"/>
  <c r="G17" i="56" a="1"/>
  <c r="H8" i="56" a="1"/>
  <c r="P21" i="12" a="1"/>
  <c r="Q17" i="12" a="1"/>
  <c r="P15" i="12" a="1"/>
  <c r="Q11" i="12" a="1"/>
  <c r="R7" i="12" a="1"/>
  <c r="S3" i="12" a="1"/>
  <c r="M32" i="12" a="1"/>
  <c r="G31" i="12" a="1"/>
  <c r="G13" i="12" a="1"/>
  <c r="J20" i="39" a="1"/>
  <c r="G17" i="28" a="1"/>
  <c r="H8" i="28" a="1"/>
  <c r="V13" i="56" a="1"/>
  <c r="S9" i="56" a="1"/>
  <c r="H21" i="56" a="1"/>
  <c r="I12" i="56" a="1"/>
  <c r="O23" i="12" a="1"/>
  <c r="P19" i="12" a="1"/>
  <c r="P17" i="12" a="1"/>
  <c r="P13" i="12" a="1"/>
  <c r="Q9" i="12" a="1"/>
  <c r="R5" i="12" a="1"/>
  <c r="Q32" i="12" a="1"/>
  <c r="F31" i="12" a="1"/>
  <c r="F19" i="12" a="1"/>
  <c r="K2" i="38" a="1"/>
  <c r="S4" i="9" a="1"/>
  <c r="G6" i="43" a="1"/>
  <c r="C7" i="43" a="1"/>
  <c r="E21" i="42" a="1"/>
  <c r="I15" i="42" a="1"/>
  <c r="E13" i="42" a="1"/>
  <c r="I7" i="42" a="1"/>
  <c r="E5" i="42" a="1"/>
  <c r="S2" i="15" a="1"/>
  <c r="U2" i="5" a="1"/>
  <c r="B2" i="47" a="1"/>
  <c r="E2" i="46" a="1"/>
  <c r="D11" i="52" a="1"/>
  <c r="D6" i="52" a="1"/>
  <c r="S23" i="56" a="1"/>
  <c r="J2" i="38" a="1"/>
  <c r="G20" i="43" a="1"/>
  <c r="H18" i="42" a="1"/>
  <c r="H10" i="42" a="1"/>
  <c r="T3" i="18" a="1"/>
  <c r="V2" i="7" a="1"/>
  <c r="U2" i="47" a="1"/>
  <c r="F8" i="52" a="1"/>
  <c r="I3" i="52" a="1"/>
  <c r="T18" i="56" a="1"/>
  <c r="U13" i="56" a="1"/>
  <c r="I25" i="56" a="1"/>
  <c r="J16" i="56" a="1"/>
  <c r="G8" i="56" a="1"/>
  <c r="O21" i="12" a="1"/>
  <c r="O17" i="12" a="1"/>
  <c r="O15" i="12" a="1"/>
  <c r="P11" i="12" a="1"/>
  <c r="Q7" i="12" a="1"/>
  <c r="R3" i="12" a="1"/>
  <c r="L32" i="12" a="1"/>
  <c r="E31" i="12" a="1"/>
  <c r="F13" i="12" a="1"/>
  <c r="J19" i="39" a="1"/>
  <c r="M3" i="28" a="1"/>
  <c r="H16" i="28" a="1"/>
  <c r="F5" i="1" a="1"/>
  <c r="N23" i="12" a="1"/>
  <c r="O19" i="12" a="1"/>
  <c r="N17" i="12" a="1"/>
  <c r="O13" i="12" a="1"/>
  <c r="P9" i="12" a="1"/>
  <c r="P32" i="12" a="1"/>
  <c r="I27" i="1" a="1"/>
  <c r="J19" i="1" a="1"/>
  <c r="L9" i="1" a="1"/>
  <c r="C12" i="55" a="1"/>
  <c r="H25" i="56" a="1"/>
  <c r="N21" i="12" a="1"/>
  <c r="N19" i="12" a="1"/>
  <c r="N15" i="12" a="1"/>
  <c r="O11" i="12" a="1"/>
  <c r="P7" i="12" a="1"/>
  <c r="Q3" i="12" a="1"/>
  <c r="R4" i="9" a="1"/>
  <c r="H5" i="43" a="1"/>
  <c r="H15" i="42" a="1"/>
  <c r="H7" i="42" a="1"/>
  <c r="R2" i="15" a="1"/>
  <c r="A2" i="47" a="1"/>
  <c r="D2" i="46" a="1"/>
  <c r="C11" i="52" a="1"/>
  <c r="C6" i="52" a="1"/>
  <c r="V22" i="56" a="1"/>
  <c r="T13" i="56" a="1"/>
  <c r="V8" i="56" a="1"/>
  <c r="G21" i="56" a="1"/>
  <c r="H12" i="56" a="1"/>
  <c r="Q5" i="12" a="1"/>
  <c r="K32" i="12" a="1"/>
  <c r="E19" i="12" a="1"/>
  <c r="F7" i="12" a="1"/>
  <c r="H22" i="39" a="1"/>
  <c r="H5" i="39" a="1"/>
  <c r="F9" i="39" a="1"/>
  <c r="M20" i="28" a="1"/>
  <c r="K15" i="28" a="1"/>
  <c r="L9" i="28" a="1"/>
  <c r="G16" i="28" a="1"/>
  <c r="H7" i="28" a="1"/>
  <c r="D21" i="28" a="1"/>
  <c r="E12" i="28" a="1"/>
  <c r="D4" i="28" a="1"/>
  <c r="F22" i="1" a="1"/>
  <c r="G17" i="1" a="1"/>
  <c r="K14" i="1" a="1"/>
  <c r="H12" i="1" a="1"/>
  <c r="I7" i="1" a="1"/>
  <c r="C28" i="55" a="1"/>
  <c r="I16" i="56" a="1"/>
  <c r="J7" i="56" a="1"/>
  <c r="I2" i="38" a="1"/>
  <c r="H19" i="43" a="1"/>
  <c r="J23" i="42" a="1"/>
  <c r="C21" i="42" a="1"/>
  <c r="G18" i="42" a="1"/>
  <c r="C13" i="42" a="1"/>
  <c r="G10" i="42" a="1"/>
  <c r="C5" i="42" a="1"/>
  <c r="S3" i="18" a="1"/>
  <c r="S2" i="5" a="1"/>
  <c r="U2" i="7" a="1"/>
  <c r="T2" i="47" a="1"/>
  <c r="E8" i="52" a="1"/>
  <c r="H3" i="52" a="1"/>
  <c r="S18" i="56" a="1"/>
  <c r="S13" i="56" a="1"/>
  <c r="A2" i="38" a="1"/>
  <c r="Q4" i="9" a="1"/>
  <c r="I23" i="42" a="1"/>
  <c r="G15" i="42" a="1"/>
  <c r="G7" i="42" a="1"/>
  <c r="Q2" i="15" a="1"/>
  <c r="V2" i="46" a="1"/>
  <c r="C2" i="46" a="1"/>
  <c r="H10" i="52" a="1"/>
  <c r="J5" i="52" a="1"/>
  <c r="U22" i="56" a="1"/>
  <c r="U8" i="56" a="1"/>
  <c r="J20" i="56" a="1"/>
  <c r="G12" i="56" a="1"/>
  <c r="M23" i="12" a="1"/>
  <c r="M19" i="12" a="1"/>
  <c r="M17" i="12" a="1"/>
  <c r="N13" i="12" a="1"/>
  <c r="O9" i="12" a="1"/>
  <c r="P5" i="12" a="1"/>
  <c r="O32" i="12" a="1"/>
  <c r="L31" i="12" a="1"/>
  <c r="G18" i="12" a="1"/>
  <c r="E7" i="12" a="1"/>
  <c r="H21" i="39" a="1"/>
  <c r="H4" i="39" a="1"/>
  <c r="F8" i="39" a="1"/>
  <c r="L20" i="28" a="1"/>
  <c r="M14" i="28" a="1"/>
  <c r="K3" i="28" a="1"/>
  <c r="H15" i="28" a="1"/>
  <c r="G7" i="28" a="1"/>
  <c r="E20" i="28" a="1"/>
  <c r="D12" i="28" a="1"/>
  <c r="E3" i="28" a="1"/>
  <c r="M4" i="9" a="1"/>
  <c r="G19" i="43" a="1"/>
  <c r="H4" i="43" a="1"/>
  <c r="J20" i="42" a="1"/>
  <c r="J12" i="42" a="1"/>
  <c r="J4" i="42" a="1"/>
  <c r="R2" i="5" a="1"/>
  <c r="S2" i="47" a="1"/>
  <c r="D8" i="52" a="1"/>
  <c r="G3" i="52" a="1"/>
  <c r="AL4" i="9" a="1"/>
  <c r="H4" i="9" a="1"/>
  <c r="H3" i="43" a="1"/>
  <c r="H20" i="42" a="1"/>
  <c r="H12" i="42" a="1"/>
  <c r="H4" i="42" a="1"/>
  <c r="P2" i="5" a="1"/>
  <c r="Q2" i="47" a="1"/>
  <c r="J7" i="52" a="1"/>
  <c r="E3" i="52" a="1"/>
  <c r="T12" i="56" a="1"/>
  <c r="I24" i="56" a="1"/>
  <c r="J15" i="56" a="1"/>
  <c r="G7" i="56" a="1"/>
  <c r="S22" i="12" a="1"/>
  <c r="S18" i="12" a="1"/>
  <c r="K15" i="12" a="1"/>
  <c r="L11" i="12" a="1"/>
  <c r="M7" i="12" a="1"/>
  <c r="M3" i="12" a="1"/>
  <c r="O31" i="12" a="1"/>
  <c r="G23" i="12" a="1"/>
  <c r="E12" i="12" a="1"/>
  <c r="J15" i="39" a="1"/>
  <c r="F5" i="39" a="1"/>
  <c r="L19" i="28" a="1"/>
  <c r="G14" i="1" a="1"/>
  <c r="K11" i="1" a="1"/>
  <c r="E23" i="42" a="1"/>
  <c r="H17" i="42" a="1"/>
  <c r="H9" i="42" a="1"/>
  <c r="L3" i="18" a="1"/>
  <c r="N2" i="7" a="1"/>
  <c r="S2" i="46" a="1"/>
  <c r="H12" i="52" a="1"/>
  <c r="D10" i="52" a="1"/>
  <c r="G5" i="52" a="1"/>
  <c r="AJ4" i="9" a="1"/>
  <c r="G14" i="43" a="1"/>
  <c r="C23" i="43" a="1"/>
  <c r="C23" i="42" a="1"/>
  <c r="J14" i="42" a="1"/>
  <c r="J6" i="42" a="1"/>
  <c r="L2" i="15" a="1"/>
  <c r="O2" i="47" a="1"/>
  <c r="H7" i="52" a="1"/>
  <c r="C3" i="52" a="1"/>
  <c r="V20" i="56" a="1"/>
  <c r="V11" i="56" a="1"/>
  <c r="G24" i="56" a="1"/>
  <c r="H15" i="56" a="1"/>
  <c r="H6" i="56" a="1"/>
  <c r="P22" i="12" a="1"/>
  <c r="Q18" i="12" a="1"/>
  <c r="R14" i="12" a="1"/>
  <c r="S10" i="12" a="1"/>
  <c r="K7" i="12" a="1"/>
  <c r="S4" i="12" a="1"/>
  <c r="Q30" i="12" a="1"/>
  <c r="E23" i="12" a="1"/>
  <c r="F11" i="12" a="1"/>
  <c r="J13" i="39" a="1"/>
  <c r="H16" i="39" a="1"/>
  <c r="F20" i="39" a="1"/>
  <c r="K18" i="1" a="1"/>
  <c r="H16" i="1" a="1"/>
  <c r="AN4" i="9" a="1"/>
  <c r="H12" i="43" a="1"/>
  <c r="J19" i="42" a="1"/>
  <c r="I12" i="42" a="1"/>
  <c r="R2" i="47" a="1"/>
  <c r="G6" i="56" a="1"/>
  <c r="P20" i="12" a="1"/>
  <c r="Q16" i="12" a="1"/>
  <c r="R12" i="12" a="1"/>
  <c r="O5" i="12" a="1"/>
  <c r="E18" i="12" a="1"/>
  <c r="F9" i="12" a="1"/>
  <c r="F4" i="39" a="1"/>
  <c r="L16" i="28" a="1"/>
  <c r="L7" i="28" a="1"/>
  <c r="H4" i="28" a="1"/>
  <c r="H28" i="1" a="1"/>
  <c r="G12" i="1" a="1"/>
  <c r="F9" i="1" a="1"/>
  <c r="F6" i="1" a="1"/>
  <c r="F3" i="1" a="1"/>
  <c r="I18" i="1" a="1"/>
  <c r="C9" i="55" a="1"/>
  <c r="G4" i="42" a="1"/>
  <c r="G13" i="56" a="1"/>
  <c r="F16" i="12" a="1"/>
  <c r="L13" i="1" a="1"/>
  <c r="L7" i="1" a="1"/>
  <c r="C21" i="55" a="1"/>
  <c r="M33" i="12" a="1"/>
  <c r="M19" i="28" a="1"/>
  <c r="G6" i="42" a="1"/>
  <c r="K2" i="15" a="1"/>
  <c r="C12" i="52" a="1"/>
  <c r="H5" i="52" a="1"/>
  <c r="U11" i="56" a="1"/>
  <c r="J23" i="56" a="1"/>
  <c r="G15" i="56" a="1"/>
  <c r="K9" i="12" a="1"/>
  <c r="E34" i="12" a="1"/>
  <c r="G17" i="12" a="1"/>
  <c r="J14" i="39" a="1"/>
  <c r="H9" i="39" a="1"/>
  <c r="F3" i="39" a="1"/>
  <c r="K7" i="28" a="1"/>
  <c r="G18" i="28" a="1"/>
  <c r="E14" i="28" a="1"/>
  <c r="K21" i="1" a="1"/>
  <c r="L8" i="1" a="1"/>
  <c r="G19" i="42" a="1"/>
  <c r="G14" i="56" a="1"/>
  <c r="H5" i="56" a="1"/>
  <c r="O12" i="12" a="1"/>
  <c r="P8" i="12" a="1"/>
  <c r="L23" i="28" a="1"/>
  <c r="G27" i="1" a="1"/>
  <c r="G11" i="1" a="1"/>
  <c r="J9" i="42" a="1"/>
  <c r="K22" i="28" a="1"/>
  <c r="G13" i="28" a="1"/>
  <c r="D10" i="28" a="1"/>
  <c r="K20" i="1" a="1"/>
  <c r="O7" i="12" a="1"/>
  <c r="AM4" i="9" a="1"/>
  <c r="G12" i="43" a="1"/>
  <c r="I19" i="42" a="1"/>
  <c r="G12" i="42" a="1"/>
  <c r="P2" i="47" a="1"/>
  <c r="U20" i="56" a="1"/>
  <c r="J5" i="56" a="1"/>
  <c r="O20" i="12" a="1"/>
  <c r="P16" i="12" a="1"/>
  <c r="Q12" i="12" a="1"/>
  <c r="S8" i="12" a="1"/>
  <c r="N5" i="12" a="1"/>
  <c r="O33" i="12" a="1"/>
  <c r="G8" i="12" a="1"/>
  <c r="F2" i="39" a="1"/>
  <c r="K16" i="28" a="1"/>
  <c r="G4" i="28" a="1"/>
  <c r="D14" i="28" a="1"/>
  <c r="H15" i="1" a="1"/>
  <c r="F12" i="1" a="1"/>
  <c r="L5" i="1" a="1"/>
  <c r="C29" i="55" a="1"/>
  <c r="G15" i="1" a="1"/>
  <c r="L27" i="1" a="1"/>
  <c r="G3" i="43" a="1"/>
  <c r="N16" i="12" a="1"/>
  <c r="J10" i="39" a="1"/>
  <c r="G3" i="28" a="1"/>
  <c r="H21" i="1" a="1"/>
  <c r="C26" i="55" a="1"/>
  <c r="O8" i="12" a="1"/>
  <c r="G6" i="12" a="1"/>
  <c r="K4" i="1" a="1"/>
  <c r="F11" i="1" a="1"/>
  <c r="F8" i="1" a="1"/>
  <c r="C22" i="55" a="1"/>
  <c r="F3" i="52" a="1"/>
  <c r="G20" i="56" a="1"/>
  <c r="R22" i="12" a="1"/>
  <c r="C15" i="55" a="1"/>
  <c r="F34" i="12" a="1"/>
  <c r="G5" i="28" a="1"/>
  <c r="AK4" i="9" a="1"/>
  <c r="J2" i="15" a="1"/>
  <c r="J11" i="52" a="1"/>
  <c r="F5" i="52" a="1"/>
  <c r="T11" i="56" a="1"/>
  <c r="I23" i="56" a="1"/>
  <c r="J14" i="56" a="1"/>
  <c r="M5" i="12" a="1"/>
  <c r="R31" i="12" a="1"/>
  <c r="G33" i="12" a="1"/>
  <c r="F17" i="12" a="1"/>
  <c r="H8" i="39" a="1"/>
  <c r="L15" i="28" a="1"/>
  <c r="M6" i="28" a="1"/>
  <c r="D13" i="28" a="1"/>
  <c r="F28" i="1" a="1"/>
  <c r="J21" i="1" a="1"/>
  <c r="H18" i="1" a="1"/>
  <c r="L11" i="1" a="1"/>
  <c r="K8" i="1" a="1"/>
  <c r="C27" i="55" a="1"/>
  <c r="E11" i="28" a="1"/>
  <c r="J27" i="1" a="1"/>
  <c r="S10" i="56" a="1"/>
  <c r="H14" i="28" a="1"/>
  <c r="J14" i="1" a="1"/>
  <c r="J21" i="56" a="1"/>
  <c r="R19" i="12" a="1"/>
  <c r="K21" i="28" a="1"/>
  <c r="L10" i="1" a="1"/>
  <c r="H7" i="1" a="1"/>
  <c r="L7" i="12" a="1"/>
  <c r="G4" i="1" a="1"/>
  <c r="P14" i="12" a="1"/>
  <c r="K16" i="1" a="1"/>
  <c r="H6" i="28" a="1"/>
  <c r="G6" i="28" a="1"/>
  <c r="G4" i="43" a="1"/>
  <c r="H19" i="42" a="1"/>
  <c r="J11" i="42" a="1"/>
  <c r="I4" i="42" a="1"/>
  <c r="F11" i="52" a="1"/>
  <c r="E5" i="52" a="1"/>
  <c r="T20" i="56" a="1"/>
  <c r="I14" i="56" a="1"/>
  <c r="I5" i="56" a="1"/>
  <c r="N20" i="12" a="1"/>
  <c r="O16" i="12" a="1"/>
  <c r="P12" i="12" a="1"/>
  <c r="R8" i="12" a="1"/>
  <c r="L5" i="12" a="1"/>
  <c r="Q31" i="12" a="1"/>
  <c r="E17" i="12" a="1"/>
  <c r="F8" i="12" a="1"/>
  <c r="J12" i="39" a="1"/>
  <c r="H6" i="39" a="1"/>
  <c r="M23" i="28" a="1"/>
  <c r="H3" i="28" a="1"/>
  <c r="I21" i="1" a="1"/>
  <c r="S20" i="56" a="1"/>
  <c r="M20" i="12" a="1"/>
  <c r="G16" i="12" a="1"/>
  <c r="K6" i="28" a="1"/>
  <c r="I8" i="1" a="1"/>
  <c r="S15" i="12" a="1"/>
  <c r="K23" i="28" a="1"/>
  <c r="G14" i="28" a="1"/>
  <c r="H5" i="1" a="1"/>
  <c r="K17" i="1" a="1"/>
  <c r="L4" i="1" a="1"/>
  <c r="K19" i="12" a="1"/>
  <c r="L15" i="12" a="1"/>
  <c r="K8" i="12" a="1"/>
  <c r="P4" i="12" a="1"/>
  <c r="E30" i="12" a="1"/>
  <c r="K13" i="28" a="1"/>
  <c r="AI4" i="9" a="1"/>
  <c r="I2" i="15" a="1"/>
  <c r="N2" i="47" a="1"/>
  <c r="F10" i="52" a="1"/>
  <c r="S11" i="56" a="1"/>
  <c r="H23" i="56" a="1"/>
  <c r="H14" i="56" a="1"/>
  <c r="Q8" i="12" a="1"/>
  <c r="K5" i="12" a="1"/>
  <c r="P31" i="12" a="1"/>
  <c r="G7" i="12" a="1"/>
  <c r="J11" i="39" a="1"/>
  <c r="L14" i="28" a="1"/>
  <c r="L6" i="28" a="1"/>
  <c r="G15" i="28" a="1"/>
  <c r="G18" i="1" a="1"/>
  <c r="L14" i="1" a="1"/>
  <c r="J11" i="1" a="1"/>
  <c r="J8" i="1" a="1"/>
  <c r="D5" i="52" a="1"/>
  <c r="F32" i="12" a="1"/>
  <c r="J9" i="39" a="1"/>
  <c r="K14" i="28" a="1"/>
  <c r="E26" i="28" a="1"/>
  <c r="I5" i="1" a="1"/>
  <c r="R30" i="12" a="1"/>
  <c r="D23" i="28" a="1"/>
  <c r="I9" i="42" a="1"/>
  <c r="G6" i="1" a="1"/>
  <c r="I11" i="42" a="1"/>
  <c r="L16" i="1" a="1"/>
  <c r="G12" i="12" a="1"/>
  <c r="G23" i="28" a="1"/>
  <c r="H22" i="28" a="1"/>
  <c r="D19" i="28" a="1"/>
  <c r="H23" i="1" a="1"/>
  <c r="F23" i="1" a="1"/>
  <c r="E21" i="12" a="1"/>
  <c r="AH4" i="9" a="1"/>
  <c r="J17" i="42" a="1"/>
  <c r="M2" i="47" a="1"/>
  <c r="E10" i="52" a="1"/>
  <c r="S11" i="12" a="1"/>
  <c r="R4" i="12" a="1"/>
  <c r="H3" i="39" a="1"/>
  <c r="G21" i="1" a="1"/>
  <c r="F18" i="1" a="1"/>
  <c r="I11" i="1" a="1"/>
  <c r="Q23" i="12" a="1"/>
  <c r="G30" i="12" a="1"/>
  <c r="D11" i="28" a="1"/>
  <c r="H27" i="1" a="1"/>
  <c r="F21" i="1" a="1"/>
  <c r="C25" i="55" a="1"/>
  <c r="H8" i="1" a="1"/>
  <c r="G5" i="1" a="1"/>
  <c r="C24" i="55" a="1"/>
  <c r="L20" i="1" a="1"/>
  <c r="M11" i="12" a="1"/>
  <c r="P30" i="12" a="1"/>
  <c r="F21" i="39" a="1"/>
  <c r="H14" i="1" a="1"/>
  <c r="J17" i="1" a="1"/>
  <c r="U16" i="56" a="1"/>
  <c r="H11" i="56" a="1"/>
  <c r="O30" i="12" a="1"/>
  <c r="F4" i="12" a="1"/>
  <c r="E7" i="28" a="1"/>
  <c r="G9" i="1" a="1"/>
  <c r="H11" i="42" a="1"/>
  <c r="J3" i="42" a="1"/>
  <c r="Q2" i="5" a="1"/>
  <c r="C5" i="52" a="1"/>
  <c r="M13" i="28" a="1"/>
  <c r="H11" i="1" a="1"/>
  <c r="G17" i="42" a="1"/>
  <c r="U2" i="46" a="1"/>
  <c r="I23" i="1" a="1"/>
  <c r="F4" i="1" a="1"/>
  <c r="D6" i="28" a="1"/>
  <c r="G21" i="28" a="1"/>
  <c r="J3" i="1" a="1"/>
  <c r="L12" i="1" a="1"/>
  <c r="I6" i="1" a="1"/>
  <c r="F7" i="39" a="1"/>
  <c r="AG4" i="9" a="1"/>
  <c r="I17" i="42" a="1"/>
  <c r="L2" i="47" a="1"/>
  <c r="C10" i="52" a="1"/>
  <c r="T17" i="56" a="1"/>
  <c r="L19" i="12" a="1"/>
  <c r="M15" i="12" a="1"/>
  <c r="N11" i="12" a="1"/>
  <c r="M8" i="12" a="1"/>
  <c r="Q4" i="12" a="1"/>
  <c r="F30" i="12" a="1"/>
  <c r="J8" i="39" a="1"/>
  <c r="H2" i="39" a="1"/>
  <c r="L13" i="28" a="1"/>
  <c r="E10" i="28" a="1"/>
  <c r="I14" i="1" a="1"/>
  <c r="C19" i="55" a="1"/>
  <c r="E5" i="28" a="1"/>
  <c r="H14" i="39" a="1"/>
  <c r="M8" i="28" a="1"/>
  <c r="J22" i="1" a="1"/>
  <c r="Z4" i="9" a="1"/>
  <c r="G11" i="42" a="1"/>
  <c r="I3" i="42" a="1"/>
  <c r="O2" i="5" a="1"/>
  <c r="J9" i="52" a="1"/>
  <c r="H4" i="52" a="1"/>
  <c r="S17" i="56" a="1"/>
  <c r="T8" i="56" a="1"/>
  <c r="I20" i="56" a="1"/>
  <c r="J11" i="56" a="1"/>
  <c r="L23" i="12" a="1"/>
  <c r="L8" i="12" a="1"/>
  <c r="E16" i="12" a="1"/>
  <c r="F6" i="12" a="1"/>
  <c r="F22" i="39" a="1"/>
  <c r="K5" i="28" a="1"/>
  <c r="H13" i="28" a="1"/>
  <c r="E23" i="28" a="1"/>
  <c r="E6" i="12" a="1"/>
  <c r="C23" i="55" a="1"/>
  <c r="C14" i="43" a="1"/>
  <c r="T2" i="46" a="1"/>
  <c r="H12" i="28" a="1"/>
  <c r="L23" i="1" a="1"/>
  <c r="J20" i="1" a="1"/>
  <c r="F14" i="1" a="1"/>
  <c r="J4" i="1" a="1"/>
  <c r="L12" i="28" a="1"/>
  <c r="D9" i="28" a="1"/>
  <c r="J4" i="9" a="1"/>
  <c r="V7" i="56" a="1"/>
  <c r="N4" i="12" a="1"/>
  <c r="G14" i="12" a="1"/>
  <c r="G5" i="12" a="1"/>
  <c r="F19" i="39" a="1"/>
  <c r="M21" i="28" a="1"/>
  <c r="K4" i="28" a="1"/>
  <c r="H17" i="1" a="1"/>
  <c r="L3" i="28" a="1"/>
  <c r="I4" i="9" a="1"/>
  <c r="F17" i="42" a="1"/>
  <c r="H3" i="42" a="1"/>
  <c r="J2" i="5" a="1"/>
  <c r="I9" i="52" a="1"/>
  <c r="V16" i="56" a="1"/>
  <c r="S8" i="56" a="1"/>
  <c r="H20" i="56" a="1"/>
  <c r="I11" i="56" a="1"/>
  <c r="K23" i="12" a="1"/>
  <c r="E15" i="12" a="1"/>
  <c r="J5" i="39" a="1"/>
  <c r="M12" i="28" a="1"/>
  <c r="M4" i="28" a="1"/>
  <c r="E9" i="28" a="1"/>
  <c r="F27" i="1" a="1"/>
  <c r="O3" i="12" a="1"/>
  <c r="G22" i="1" a="1"/>
  <c r="G20" i="28" a="1"/>
  <c r="G4" i="9" a="1"/>
  <c r="E17" i="42" a="1"/>
  <c r="G3" i="42" a="1"/>
  <c r="I2" i="5" a="1"/>
  <c r="H9" i="52" a="1"/>
  <c r="Q22" i="12" a="1"/>
  <c r="R18" i="12" a="1"/>
  <c r="S14" i="12" a="1"/>
  <c r="K11" i="12" a="1"/>
  <c r="M4" i="12" a="1"/>
  <c r="F23" i="12" a="1"/>
  <c r="F14" i="12" a="1"/>
  <c r="F5" i="12" a="1"/>
  <c r="J4" i="39" a="1"/>
  <c r="F4" i="9" a="1"/>
  <c r="G9" i="42" a="1"/>
  <c r="N3" i="18" a="1"/>
  <c r="R2" i="46" a="1"/>
  <c r="T16" i="56" a="1"/>
  <c r="U7" i="56" a="1"/>
  <c r="J19" i="56" a="1"/>
  <c r="G11" i="56" a="1"/>
  <c r="N7" i="12" a="1"/>
  <c r="L4" i="12" a="1"/>
  <c r="M34" i="12" a="1"/>
  <c r="J2" i="39" a="1"/>
  <c r="F18" i="39" a="1"/>
  <c r="G12" i="28" a="1"/>
  <c r="K23" i="1" a="1"/>
  <c r="I20" i="1" a="1"/>
  <c r="F17" i="1" a="1"/>
  <c r="K13" i="1" a="1"/>
  <c r="K7" i="1" a="1"/>
  <c r="I4" i="1" a="1"/>
  <c r="I10" i="56" a="1"/>
  <c r="O22" i="12" a="1"/>
  <c r="P18" i="12" a="1"/>
  <c r="Q14" i="12" a="1"/>
  <c r="R10" i="12" a="1"/>
  <c r="P3" i="12" a="1"/>
  <c r="F17" i="39" a="1"/>
  <c r="K20" i="28" a="1"/>
  <c r="G7" i="1" a="1"/>
  <c r="C13" i="55" a="1"/>
  <c r="I9" i="1" a="1"/>
  <c r="H9" i="1" a="1"/>
  <c r="G3" i="1" a="1"/>
  <c r="E4" i="9" a="1"/>
  <c r="F9" i="42" a="1"/>
  <c r="H2" i="5" a="1"/>
  <c r="Q2" i="46" a="1"/>
  <c r="G9" i="52" a="1"/>
  <c r="D3" i="52" a="1"/>
  <c r="S16" i="56" a="1"/>
  <c r="T7" i="56" a="1"/>
  <c r="I19" i="56" a="1"/>
  <c r="J10" i="56" a="1"/>
  <c r="E5" i="12" a="1"/>
  <c r="K12" i="28" a="1"/>
  <c r="H23" i="28" a="1"/>
  <c r="D20" i="28" a="1"/>
  <c r="E8" i="28" a="1"/>
  <c r="K10" i="1" a="1"/>
  <c r="H4" i="1" a="1"/>
  <c r="C20" i="55" a="1"/>
  <c r="C17" i="42" a="1"/>
  <c r="M3" i="18" a="1"/>
  <c r="C9" i="52" a="1"/>
  <c r="G22" i="12" a="1"/>
  <c r="H11" i="28" a="1"/>
  <c r="G4" i="12" a="1"/>
  <c r="E19" i="28" a="1"/>
  <c r="L33" i="12" a="1"/>
  <c r="F16" i="39" a="1"/>
  <c r="I10" i="1" a="1"/>
  <c r="L6" i="1" a="1"/>
  <c r="F12" i="39" a="1"/>
  <c r="C14" i="55" a="1"/>
  <c r="E16" i="28" a="1"/>
  <c r="H18" i="28" a="1"/>
  <c r="D15" i="28" a="1"/>
  <c r="F23" i="42" a="1"/>
  <c r="K34" i="12" a="1"/>
  <c r="E13" i="12" a="1"/>
  <c r="J13" i="1" a="1"/>
  <c r="M11" i="28" a="1"/>
  <c r="G20" i="1" a="1"/>
  <c r="Q10" i="12" a="1"/>
  <c r="D16" i="28" a="1"/>
  <c r="D4" i="9" a="1"/>
  <c r="E9" i="42" a="1"/>
  <c r="G2" i="5" a="1"/>
  <c r="N2" i="46" a="1"/>
  <c r="V15" i="56" a="1"/>
  <c r="S7" i="56" a="1"/>
  <c r="H19" i="56" a="1"/>
  <c r="H10" i="56" a="1"/>
  <c r="H20" i="39" a="1"/>
  <c r="D8" i="28" a="1"/>
  <c r="F22" i="12" a="1"/>
  <c r="I13" i="1" a="1"/>
  <c r="T5" i="56" a="1"/>
  <c r="R13" i="12" a="1"/>
  <c r="F15" i="42" a="1"/>
  <c r="K3" i="18" a="1"/>
  <c r="P2" i="7" a="1"/>
  <c r="C8" i="52" a="1"/>
  <c r="T25" i="56" a="1"/>
  <c r="G10" i="56" a="1"/>
  <c r="N22" i="12" a="1"/>
  <c r="O18" i="12" a="1"/>
  <c r="G10" i="1" a="1"/>
  <c r="P6" i="12" a="1"/>
  <c r="H20" i="28" a="1"/>
  <c r="D17" i="28" a="1"/>
  <c r="I22" i="1" a="1"/>
  <c r="C4" i="9" a="1"/>
  <c r="J3" i="18" a="1"/>
  <c r="L2" i="46" a="1"/>
  <c r="S25" i="56" a="1"/>
  <c r="U15" i="56" a="1"/>
  <c r="V6" i="56" a="1"/>
  <c r="G19" i="56" a="1"/>
  <c r="S6" i="12" a="1"/>
  <c r="N3" i="12" a="1"/>
  <c r="F12" i="12" a="1"/>
  <c r="E4" i="12" a="1"/>
  <c r="H19" i="39" a="1"/>
  <c r="K19" i="28" a="1"/>
  <c r="G10" i="28" a="1"/>
  <c r="D7" i="28" a="1"/>
  <c r="F20" i="1" a="1"/>
  <c r="J16" i="1" a="1"/>
  <c r="F7" i="1" a="1"/>
  <c r="C18" i="55" a="1"/>
  <c r="J22" i="42" a="1"/>
  <c r="E15" i="42" a="1"/>
  <c r="C9" i="42" a="1"/>
  <c r="O2" i="7" a="1"/>
  <c r="P10" i="12" a="1"/>
  <c r="R6" i="12" a="1"/>
  <c r="L3" i="12" a="1"/>
  <c r="M31" i="12" a="1"/>
  <c r="E22" i="12" a="1"/>
  <c r="F3" i="12" a="1"/>
  <c r="H18" i="39" a="1"/>
  <c r="M10" i="28" a="1"/>
  <c r="G22" i="28" a="1"/>
  <c r="E6" i="28" a="1"/>
  <c r="G23" i="1" a="1"/>
  <c r="K19" i="1" a="1"/>
  <c r="I16" i="1" a="1"/>
  <c r="H13" i="1" a="1"/>
  <c r="H10" i="1" a="1"/>
  <c r="L3" i="1" a="1"/>
  <c r="Q6" i="12" a="1"/>
  <c r="E3" i="12" a="1"/>
  <c r="I7" i="52" a="1"/>
  <c r="J9" i="56" a="1"/>
  <c r="M22" i="12" a="1"/>
  <c r="N18" i="12" a="1"/>
  <c r="O14" i="12" a="1"/>
  <c r="B4" i="9" a="1"/>
  <c r="C15" i="42" a="1"/>
  <c r="I3" i="18" a="1"/>
  <c r="K2" i="46" a="1"/>
  <c r="V24" i="56" a="1"/>
  <c r="T15" i="56" a="1"/>
  <c r="U6" i="56" a="1"/>
  <c r="J18" i="56" a="1"/>
  <c r="O10" i="12" a="1"/>
  <c r="F13" i="39" a="1"/>
  <c r="M18" i="28" a="1"/>
  <c r="H21" i="28" a="1"/>
  <c r="H9" i="28" a="1"/>
  <c r="D18" i="28" a="1"/>
  <c r="I22" i="42" a="1"/>
  <c r="F7" i="42" a="1"/>
  <c r="M2" i="7" a="1"/>
  <c r="G2" i="46" a="1"/>
  <c r="U5" i="56" a="1"/>
  <c r="I17" i="56" a="1"/>
  <c r="J8" i="56" a="1"/>
  <c r="R21" i="12" a="1"/>
  <c r="S17" i="12" a="1"/>
  <c r="S13" i="12" a="1"/>
  <c r="K3" i="12" a="1"/>
  <c r="K31" i="12" a="1"/>
  <c r="F21" i="12" a="1"/>
  <c r="G11" i="12" a="1"/>
  <c r="H17" i="39" a="1"/>
  <c r="L18" i="28" a="1"/>
  <c r="L10" i="28" a="1"/>
  <c r="G8" i="28" a="1"/>
  <c r="L22" i="1" a="1"/>
  <c r="I19" i="1" a="1"/>
  <c r="G16" i="1" a="1"/>
  <c r="G13" i="1" a="1"/>
  <c r="F10" i="1" a="1"/>
  <c r="K6" i="1" a="1"/>
  <c r="K3" i="1" a="1"/>
  <c r="C16" i="55" a="1"/>
  <c r="R34" i="12" a="1"/>
  <c r="J22" i="39" a="1"/>
  <c r="M9" i="28" a="1"/>
  <c r="E17" i="28" a="1"/>
  <c r="J9" i="1" a="1"/>
  <c r="G19" i="1" a="1"/>
  <c r="I3" i="1" a="1"/>
  <c r="F19" i="1" a="1"/>
  <c r="K28" i="1" a="1"/>
  <c r="H18" i="43" a="1"/>
  <c r="L2" i="7" a="1"/>
  <c r="B2" i="46" a="1"/>
  <c r="G7" i="52" a="1"/>
  <c r="U24" i="56" a="1"/>
  <c r="T14" i="56" a="1"/>
  <c r="H22" i="42" a="1"/>
  <c r="I14" i="42" a="1"/>
  <c r="E7" i="42" a="1"/>
  <c r="G3" i="18" a="1"/>
  <c r="U23" i="56" a="1"/>
  <c r="V12" i="56" a="1"/>
  <c r="G25" i="56" a="1"/>
  <c r="H16" i="56" a="1"/>
  <c r="I7" i="56" a="1"/>
  <c r="M21" i="12" a="1"/>
  <c r="M30" i="12" a="1"/>
  <c r="H15" i="39" a="1"/>
  <c r="F10" i="39" a="1"/>
  <c r="K18" i="28" a="1"/>
  <c r="K9" i="28" a="1"/>
  <c r="E4" i="28" a="1"/>
  <c r="H19" i="1" a="1"/>
  <c r="F16" i="1" a="1"/>
  <c r="K9" i="1" a="1"/>
  <c r="J6" i="1" a="1"/>
  <c r="L15" i="1" a="1"/>
  <c r="D3" i="28" a="1"/>
  <c r="K12" i="1" a="1"/>
  <c r="K15" i="1" a="1"/>
  <c r="C11" i="55" a="1"/>
  <c r="L21" i="1" a="1"/>
  <c r="C7" i="42" a="1"/>
  <c r="K2" i="7" a="1"/>
  <c r="A2" i="46" a="1"/>
  <c r="F7" i="52" a="1"/>
  <c r="L21" i="12" a="1"/>
  <c r="L17" i="12" a="1"/>
  <c r="M13" i="12" a="1"/>
  <c r="S9" i="12" a="1"/>
  <c r="O6" i="12" a="1"/>
  <c r="Q34" i="12" a="1"/>
  <c r="L30" i="12" a="1"/>
  <c r="G20" i="12" a="1"/>
  <c r="E11" i="12" a="1"/>
  <c r="H14" i="42" a="1"/>
  <c r="P2" i="15" a="1"/>
  <c r="T22" i="56" a="1"/>
  <c r="U12" i="56" a="1"/>
  <c r="J24" i="56" a="1"/>
  <c r="G16" i="56" a="1"/>
  <c r="H7" i="56" a="1"/>
  <c r="K21" i="12" a="1"/>
  <c r="F20" i="12" a="1"/>
  <c r="J18" i="39" a="1"/>
  <c r="M17" i="28" a="1"/>
  <c r="L8" i="28" a="1"/>
  <c r="L28" i="1" a="1"/>
  <c r="I20" i="42" a="1"/>
  <c r="J2" i="7" a="1"/>
  <c r="F12" i="52" a="1"/>
  <c r="E7" i="52" a="1"/>
  <c r="S20" i="12" a="1"/>
  <c r="K17" i="12" a="1"/>
  <c r="L13" i="12" a="1"/>
  <c r="N9" i="12" a="1"/>
  <c r="P34" i="12" a="1"/>
  <c r="K30" i="12" a="1"/>
  <c r="G10" i="12" a="1"/>
  <c r="J17" i="39" a="1"/>
  <c r="H13" i="39" a="1"/>
  <c r="H6" i="1" a="1"/>
  <c r="J12" i="1" a="1"/>
  <c r="H13" i="43" a="1"/>
  <c r="G14" i="42" a="1"/>
  <c r="I6" i="42" a="1"/>
  <c r="O2" i="15" a="1"/>
  <c r="E12" i="52" a="1"/>
  <c r="S22" i="56" a="1"/>
  <c r="R20" i="12" a="1"/>
  <c r="S16" i="12" a="1"/>
  <c r="K13" i="12" a="1"/>
  <c r="G34" i="12" a="1"/>
  <c r="L17" i="28" a="1"/>
  <c r="K8" i="28" a="1"/>
  <c r="H5" i="28" a="1"/>
  <c r="G20" i="42" a="1"/>
  <c r="M2" i="15" a="1"/>
  <c r="I2" i="7" a="1"/>
  <c r="F6" i="52" a="1"/>
  <c r="T21" i="56" a="1"/>
  <c r="S12" i="56" a="1"/>
  <c r="H24" i="56" a="1"/>
  <c r="I15" i="56" a="1"/>
  <c r="J6" i="56" a="1"/>
  <c r="M9" i="12" a="1"/>
  <c r="K6" i="12" a="1"/>
  <c r="O34" i="12" a="1"/>
  <c r="F18" i="12" a="1"/>
  <c r="F10" i="12" a="1"/>
  <c r="J16" i="39" a="1"/>
  <c r="H12" i="39" a="1"/>
  <c r="F6" i="39" a="1"/>
  <c r="M7" i="28" a="1"/>
  <c r="J28" i="1" a="1"/>
  <c r="L18" i="1" a="1"/>
  <c r="I12" i="1" a="1"/>
  <c r="C10" i="55" a="1"/>
  <c r="H6" i="42" a="1"/>
  <c r="D12" i="52" a="1"/>
  <c r="I5" i="52" a="1"/>
  <c r="S21" i="56" a="1"/>
  <c r="I6" i="56" a="1"/>
  <c r="Q20" i="12" a="1"/>
  <c r="R16" i="12" a="1"/>
  <c r="S12" i="12" a="1"/>
  <c r="L9" i="12" a="1"/>
  <c r="L9" i="12" l="1"/>
  <c r="S12" i="12"/>
  <c r="R16" i="12"/>
  <c r="Q20" i="12"/>
  <c r="I6" i="56"/>
  <c r="S21" i="56"/>
  <c r="I5" i="52"/>
  <c r="D12" i="52"/>
  <c r="H6" i="42"/>
  <c r="C10" i="55"/>
  <c r="I12" i="1"/>
  <c r="L18" i="1"/>
  <c r="J28" i="1"/>
  <c r="M7" i="28"/>
  <c r="F6" i="39"/>
  <c r="H12" i="39"/>
  <c r="J16" i="39"/>
  <c r="F10" i="12"/>
  <c r="F18" i="12"/>
  <c r="O34" i="12"/>
  <c r="K6" i="12"/>
  <c r="M9" i="12"/>
  <c r="J6" i="56"/>
  <c r="I15" i="56"/>
  <c r="H24" i="56"/>
  <c r="S12" i="56"/>
  <c r="T21" i="56"/>
  <c r="F6" i="52"/>
  <c r="I2" i="7"/>
  <c r="M2" i="15"/>
  <c r="G20" i="42"/>
  <c r="H5" i="28"/>
  <c r="K8" i="28"/>
  <c r="L17" i="28"/>
  <c r="G34" i="12"/>
  <c r="K13" i="12"/>
  <c r="S16" i="12"/>
  <c r="R20" i="12"/>
  <c r="S22" i="56"/>
  <c r="E12" i="52"/>
  <c r="O2" i="15"/>
  <c r="I6" i="42"/>
  <c r="G14" i="42"/>
  <c r="H13" i="43"/>
  <c r="J12" i="1"/>
  <c r="H6" i="1"/>
  <c r="H13" i="39"/>
  <c r="J17" i="39"/>
  <c r="G10" i="12"/>
  <c r="K30" i="12"/>
  <c r="P34" i="12"/>
  <c r="N9" i="12"/>
  <c r="L13" i="12"/>
  <c r="K17" i="12"/>
  <c r="S20" i="12"/>
  <c r="E7" i="52"/>
  <c r="F12" i="52"/>
  <c r="J2" i="7"/>
  <c r="I20" i="42"/>
  <c r="L28" i="1"/>
  <c r="L8" i="28"/>
  <c r="M17" i="28"/>
  <c r="J18" i="39"/>
  <c r="F20" i="12"/>
  <c r="K21" i="12"/>
  <c r="H7" i="56"/>
  <c r="G16" i="56"/>
  <c r="J24" i="56"/>
  <c r="U12" i="56"/>
  <c r="T22" i="56"/>
  <c r="P2" i="15"/>
  <c r="H14" i="42"/>
  <c r="E11" i="12"/>
  <c r="G20" i="12"/>
  <c r="L30" i="12"/>
  <c r="Q34" i="12"/>
  <c r="O6" i="12"/>
  <c r="S9" i="12"/>
  <c r="M13" i="12"/>
  <c r="L17" i="12"/>
  <c r="L21" i="12"/>
  <c r="F7" i="52"/>
  <c r="A2" i="46"/>
  <c r="K2" i="7"/>
  <c r="C7" i="42"/>
  <c r="L21" i="1"/>
  <c r="C11" i="55"/>
  <c r="K15" i="1"/>
  <c r="K12" i="1"/>
  <c r="D3" i="28"/>
  <c r="L15" i="1"/>
  <c r="J6" i="1"/>
  <c r="K9" i="1"/>
  <c r="F16" i="1"/>
  <c r="H19" i="1"/>
  <c r="E4" i="28"/>
  <c r="K9" i="28"/>
  <c r="K18" i="28"/>
  <c r="F10" i="39"/>
  <c r="H15" i="39"/>
  <c r="M30" i="12"/>
  <c r="M21" i="12"/>
  <c r="I7" i="56"/>
  <c r="H16" i="56"/>
  <c r="G25" i="56"/>
  <c r="V12" i="56"/>
  <c r="U23" i="56"/>
  <c r="G3" i="18"/>
  <c r="E7" i="42"/>
  <c r="I14" i="42"/>
  <c r="H22" i="42"/>
  <c r="T14" i="56"/>
  <c r="U24" i="56"/>
  <c r="G7" i="52"/>
  <c r="B2" i="46"/>
  <c r="L2" i="7"/>
  <c r="H18" i="43"/>
  <c r="K28" i="1"/>
  <c r="F19" i="1"/>
  <c r="I3" i="1"/>
  <c r="G19" i="1"/>
  <c r="J9" i="1"/>
  <c r="E17" i="28"/>
  <c r="M9" i="28"/>
  <c r="J22" i="39"/>
  <c r="R34" i="12"/>
  <c r="C16" i="55"/>
  <c r="K3" i="1"/>
  <c r="K6" i="1"/>
  <c r="F10" i="1"/>
  <c r="G13" i="1"/>
  <c r="G16" i="1"/>
  <c r="I19" i="1"/>
  <c r="L22" i="1"/>
  <c r="G8" i="28"/>
  <c r="L10" i="28"/>
  <c r="L18" i="28"/>
  <c r="H17" i="39"/>
  <c r="G11" i="12"/>
  <c r="F21" i="12"/>
  <c r="K31" i="12"/>
  <c r="K3" i="12"/>
  <c r="S13" i="12"/>
  <c r="S17" i="12"/>
  <c r="R21" i="12"/>
  <c r="J8" i="56"/>
  <c r="I17" i="56"/>
  <c r="U5" i="56"/>
  <c r="G2" i="46"/>
  <c r="M2" i="7"/>
  <c r="F7" i="42"/>
  <c r="I22" i="42"/>
  <c r="D18" i="28"/>
  <c r="H9" i="28"/>
  <c r="H21" i="28"/>
  <c r="M18" i="28"/>
  <c r="F13" i="39"/>
  <c r="O10" i="12"/>
  <c r="J18" i="56"/>
  <c r="U6" i="56"/>
  <c r="T15" i="56"/>
  <c r="V24" i="56"/>
  <c r="K2" i="46"/>
  <c r="I3" i="18"/>
  <c r="C15" i="42"/>
  <c r="B4" i="9"/>
  <c r="O14" i="12"/>
  <c r="N18" i="12"/>
  <c r="M22" i="12"/>
  <c r="J9" i="56"/>
  <c r="I7" i="52"/>
  <c r="E3" i="12"/>
  <c r="Q6" i="12"/>
  <c r="L3" i="1"/>
  <c r="H10" i="1"/>
  <c r="H13" i="1"/>
  <c r="I16" i="1"/>
  <c r="K19" i="1"/>
  <c r="G23" i="1"/>
  <c r="E6" i="28"/>
  <c r="G22" i="28"/>
  <c r="M10" i="28"/>
  <c r="H18" i="39"/>
  <c r="F3" i="12"/>
  <c r="E22" i="12"/>
  <c r="M31" i="12"/>
  <c r="L3" i="12"/>
  <c r="R6" i="12"/>
  <c r="P10" i="12"/>
  <c r="O2" i="7"/>
  <c r="C9" i="42"/>
  <c r="E15" i="42"/>
  <c r="J22" i="42"/>
  <c r="C18" i="55"/>
  <c r="F7" i="1"/>
  <c r="J16" i="1"/>
  <c r="F20" i="1"/>
  <c r="D7" i="28"/>
  <c r="G10" i="28"/>
  <c r="K19" i="28"/>
  <c r="H19" i="39"/>
  <c r="E4" i="12"/>
  <c r="F12" i="12"/>
  <c r="N3" i="12"/>
  <c r="S6" i="12"/>
  <c r="G19" i="56"/>
  <c r="V6" i="56"/>
  <c r="U15" i="56"/>
  <c r="S25" i="56"/>
  <c r="L2" i="46"/>
  <c r="J3" i="18"/>
  <c r="C4" i="9"/>
  <c r="I22" i="1"/>
  <c r="D17" i="28"/>
  <c r="H20" i="28"/>
  <c r="P6" i="12"/>
  <c r="G10" i="1"/>
  <c r="O18" i="12"/>
  <c r="N22" i="12"/>
  <c r="G10" i="56"/>
  <c r="T25" i="56"/>
  <c r="C8" i="52"/>
  <c r="P2" i="7"/>
  <c r="K3" i="18"/>
  <c r="F15" i="42"/>
  <c r="R13" i="12"/>
  <c r="T5" i="56"/>
  <c r="I13" i="1"/>
  <c r="F22" i="12"/>
  <c r="D8" i="28"/>
  <c r="H20" i="39"/>
  <c r="H10" i="56"/>
  <c r="H19" i="56"/>
  <c r="S7" i="56"/>
  <c r="V15" i="56"/>
  <c r="N2" i="46"/>
  <c r="G2" i="5"/>
  <c r="E9" i="42"/>
  <c r="D4" i="9"/>
  <c r="D16" i="28"/>
  <c r="Q10" i="12"/>
  <c r="G20" i="1"/>
  <c r="M11" i="28"/>
  <c r="J13" i="1"/>
  <c r="E13" i="12"/>
  <c r="K34" i="12"/>
  <c r="F23" i="42"/>
  <c r="D15" i="28"/>
  <c r="H18" i="28"/>
  <c r="E16" i="28"/>
  <c r="C14" i="55"/>
  <c r="F12" i="39"/>
  <c r="L6" i="1"/>
  <c r="I10" i="1"/>
  <c r="F16" i="39"/>
  <c r="L33" i="12"/>
  <c r="E19" i="28"/>
  <c r="G4" i="12"/>
  <c r="H11" i="28"/>
  <c r="G22" i="12"/>
  <c r="C9" i="52"/>
  <c r="M3" i="18"/>
  <c r="C17" i="42"/>
  <c r="C20" i="55"/>
  <c r="H4" i="1"/>
  <c r="K10" i="1"/>
  <c r="E8" i="28"/>
  <c r="D20" i="28"/>
  <c r="H23" i="28"/>
  <c r="K12" i="28"/>
  <c r="E5" i="12"/>
  <c r="J10" i="56"/>
  <c r="I19" i="56"/>
  <c r="T7" i="56"/>
  <c r="S16" i="56"/>
  <c r="D3" i="52"/>
  <c r="G9" i="52"/>
  <c r="Q2" i="46"/>
  <c r="H2" i="5"/>
  <c r="F9" i="42"/>
  <c r="E4" i="9"/>
  <c r="G3" i="1"/>
  <c r="H9" i="1"/>
  <c r="I9" i="1"/>
  <c r="C13" i="55"/>
  <c r="G7" i="1"/>
  <c r="K20" i="28"/>
  <c r="F17" i="39"/>
  <c r="P3" i="12"/>
  <c r="R10" i="12"/>
  <c r="Q14" i="12"/>
  <c r="P18" i="12"/>
  <c r="O22" i="12"/>
  <c r="I10" i="56"/>
  <c r="I4" i="1"/>
  <c r="K7" i="1"/>
  <c r="K13" i="1"/>
  <c r="F17" i="1"/>
  <c r="I20" i="1"/>
  <c r="K23" i="1"/>
  <c r="G12" i="28"/>
  <c r="F18" i="39"/>
  <c r="J2" i="39"/>
  <c r="M34" i="12"/>
  <c r="L4" i="12"/>
  <c r="N7" i="12"/>
  <c r="G11" i="56"/>
  <c r="J19" i="56"/>
  <c r="U7" i="56"/>
  <c r="T16" i="56"/>
  <c r="R2" i="46"/>
  <c r="N3" i="18"/>
  <c r="G9" i="42"/>
  <c r="F4" i="9"/>
  <c r="J4" i="39"/>
  <c r="F5" i="12"/>
  <c r="F14" i="12"/>
  <c r="F23" i="12"/>
  <c r="M4" i="12"/>
  <c r="K11" i="12"/>
  <c r="S14" i="12"/>
  <c r="R18" i="12"/>
  <c r="Q22" i="12"/>
  <c r="H9" i="52"/>
  <c r="I2" i="5"/>
  <c r="G3" i="42"/>
  <c r="E17" i="42"/>
  <c r="G4" i="9"/>
  <c r="G20" i="28"/>
  <c r="G22" i="1"/>
  <c r="O3" i="12"/>
  <c r="F27" i="1"/>
  <c r="E9" i="28"/>
  <c r="M4" i="28"/>
  <c r="M12" i="28"/>
  <c r="J5" i="39"/>
  <c r="E15" i="12"/>
  <c r="K23" i="12"/>
  <c r="I11" i="56"/>
  <c r="H20" i="56"/>
  <c r="S8" i="56"/>
  <c r="V16" i="56"/>
  <c r="I9" i="52"/>
  <c r="J2" i="5"/>
  <c r="H3" i="42"/>
  <c r="F17" i="42"/>
  <c r="I4" i="9"/>
  <c r="L3" i="28"/>
  <c r="H17" i="1"/>
  <c r="K4" i="28"/>
  <c r="M21" i="28"/>
  <c r="F19" i="39"/>
  <c r="G5" i="12"/>
  <c r="G14" i="12"/>
  <c r="N4" i="12"/>
  <c r="V7" i="56"/>
  <c r="J4" i="9"/>
  <c r="D9" i="28"/>
  <c r="L12" i="28"/>
  <c r="J4" i="1"/>
  <c r="F14" i="1"/>
  <c r="J20" i="1"/>
  <c r="L23" i="1"/>
  <c r="H12" i="28"/>
  <c r="T2" i="46"/>
  <c r="C14" i="43"/>
  <c r="C23" i="55"/>
  <c r="E6" i="12"/>
  <c r="E23" i="28"/>
  <c r="H13" i="28"/>
  <c r="K5" i="28"/>
  <c r="F22" i="39"/>
  <c r="F6" i="12"/>
  <c r="E16" i="12"/>
  <c r="L8" i="12"/>
  <c r="L23" i="12"/>
  <c r="J11" i="56"/>
  <c r="I20" i="56"/>
  <c r="T8" i="56"/>
  <c r="S17" i="56"/>
  <c r="H4" i="52"/>
  <c r="J9" i="52"/>
  <c r="O2" i="5"/>
  <c r="I3" i="42"/>
  <c r="G11" i="42"/>
  <c r="Z4" i="9"/>
  <c r="J22" i="1"/>
  <c r="M8" i="28"/>
  <c r="H14" i="39"/>
  <c r="E5" i="28"/>
  <c r="C19" i="55"/>
  <c r="I14" i="1"/>
  <c r="E10" i="28"/>
  <c r="L13" i="28"/>
  <c r="H2" i="39"/>
  <c r="J8" i="39"/>
  <c r="F30" i="12"/>
  <c r="Q4" i="12"/>
  <c r="M8" i="12"/>
  <c r="N11" i="12"/>
  <c r="M15" i="12"/>
  <c r="L19" i="12"/>
  <c r="T17" i="56"/>
  <c r="C10" i="52"/>
  <c r="L2" i="47"/>
  <c r="I17" i="42"/>
  <c r="AG4" i="9"/>
  <c r="F7" i="39"/>
  <c r="I6" i="1"/>
  <c r="L12" i="1"/>
  <c r="J3" i="1"/>
  <c r="G21" i="28"/>
  <c r="D6" i="28"/>
  <c r="F4" i="1"/>
  <c r="I23" i="1"/>
  <c r="U2" i="46"/>
  <c r="G17" i="42"/>
  <c r="H11" i="1"/>
  <c r="M13" i="28"/>
  <c r="C5" i="52"/>
  <c r="Q2" i="5"/>
  <c r="J3" i="42"/>
  <c r="H11" i="42"/>
  <c r="G9" i="1"/>
  <c r="E7" i="28"/>
  <c r="F4" i="12"/>
  <c r="O30" i="12"/>
  <c r="H11" i="56"/>
  <c r="U16" i="56"/>
  <c r="J17" i="1"/>
  <c r="H14" i="1"/>
  <c r="F21" i="39"/>
  <c r="P30" i="12"/>
  <c r="M11" i="12"/>
  <c r="L20" i="1"/>
  <c r="C24" i="55"/>
  <c r="G5" i="1"/>
  <c r="H8" i="1"/>
  <c r="C25" i="55"/>
  <c r="F21" i="1"/>
  <c r="H27" i="1"/>
  <c r="D11" i="28"/>
  <c r="G30" i="12"/>
  <c r="Q23" i="12"/>
  <c r="I11" i="1"/>
  <c r="F18" i="1"/>
  <c r="G21" i="1"/>
  <c r="H3" i="39"/>
  <c r="R4" i="12"/>
  <c r="S11" i="12"/>
  <c r="E10" i="52"/>
  <c r="M2" i="47"/>
  <c r="J17" i="42"/>
  <c r="AH4" i="9"/>
  <c r="E21" i="12"/>
  <c r="F23" i="1"/>
  <c r="H23" i="1"/>
  <c r="D19" i="28"/>
  <c r="H22" i="28"/>
  <c r="G23" i="28"/>
  <c r="G12" i="12"/>
  <c r="L16" i="1"/>
  <c r="I11" i="42"/>
  <c r="G6" i="1"/>
  <c r="I9" i="42"/>
  <c r="D23" i="28"/>
  <c r="R30" i="12"/>
  <c r="I5" i="1"/>
  <c r="E26" i="28"/>
  <c r="K14" i="28"/>
  <c r="J9" i="39"/>
  <c r="F32" i="12"/>
  <c r="D5" i="52"/>
  <c r="J8" i="1"/>
  <c r="J11" i="1"/>
  <c r="L14" i="1"/>
  <c r="G18" i="1"/>
  <c r="G15" i="28"/>
  <c r="L6" i="28"/>
  <c r="L14" i="28"/>
  <c r="J11" i="39"/>
  <c r="G7" i="12"/>
  <c r="P31" i="12"/>
  <c r="K5" i="12"/>
  <c r="Q8" i="12"/>
  <c r="H14" i="56"/>
  <c r="H23" i="56"/>
  <c r="S11" i="56"/>
  <c r="F10" i="52"/>
  <c r="N2" i="47"/>
  <c r="I2" i="15"/>
  <c r="AI4" i="9"/>
  <c r="K13" i="28"/>
  <c r="E30" i="12"/>
  <c r="P4" i="12"/>
  <c r="K8" i="12"/>
  <c r="L15" i="12"/>
  <c r="K19" i="12"/>
  <c r="L4" i="1"/>
  <c r="K17" i="1"/>
  <c r="H5" i="1"/>
  <c r="G14" i="28"/>
  <c r="K23" i="28"/>
  <c r="S15" i="12"/>
  <c r="I8" i="1"/>
  <c r="K6" i="28"/>
  <c r="G16" i="12"/>
  <c r="M20" i="12"/>
  <c r="S20" i="56"/>
  <c r="I21" i="1"/>
  <c r="H3" i="28"/>
  <c r="M23" i="28"/>
  <c r="H6" i="39"/>
  <c r="J12" i="39"/>
  <c r="F8" i="12"/>
  <c r="E17" i="12"/>
  <c r="Q31" i="12"/>
  <c r="L5" i="12"/>
  <c r="R8" i="12"/>
  <c r="P12" i="12"/>
  <c r="O16" i="12"/>
  <c r="N20" i="12"/>
  <c r="I5" i="56"/>
  <c r="I14" i="56"/>
  <c r="T20" i="56"/>
  <c r="E5" i="52"/>
  <c r="F11" i="52"/>
  <c r="I4" i="42"/>
  <c r="J11" i="42"/>
  <c r="H19" i="42"/>
  <c r="G4" i="43"/>
  <c r="G6" i="28"/>
  <c r="H6" i="28"/>
  <c r="K16" i="1"/>
  <c r="P14" i="12"/>
  <c r="G4" i="1"/>
  <c r="L7" i="12"/>
  <c r="H7" i="1"/>
  <c r="L10" i="1"/>
  <c r="K21" i="28"/>
  <c r="R19" i="12"/>
  <c r="J21" i="56"/>
  <c r="J14" i="1"/>
  <c r="H14" i="28"/>
  <c r="S10" i="56"/>
  <c r="J27" i="1"/>
  <c r="E11" i="28"/>
  <c r="C27" i="55"/>
  <c r="K8" i="1"/>
  <c r="L11" i="1"/>
  <c r="H18" i="1"/>
  <c r="J21" i="1"/>
  <c r="F28" i="1"/>
  <c r="D13" i="28"/>
  <c r="M6" i="28"/>
  <c r="L15" i="28"/>
  <c r="H8" i="39"/>
  <c r="F17" i="12"/>
  <c r="G33" i="12"/>
  <c r="R31" i="12"/>
  <c r="M5" i="12"/>
  <c r="J14" i="56"/>
  <c r="I23" i="56"/>
  <c r="T11" i="56"/>
  <c r="F5" i="52"/>
  <c r="J11" i="52"/>
  <c r="J2" i="15"/>
  <c r="AK4" i="9"/>
  <c r="G5" i="28"/>
  <c r="F34" i="12"/>
  <c r="C15" i="55"/>
  <c r="R22" i="12"/>
  <c r="G20" i="56"/>
  <c r="F3" i="52"/>
  <c r="C22" i="55"/>
  <c r="F8" i="1"/>
  <c r="F11" i="1"/>
  <c r="K4" i="1"/>
  <c r="G6" i="12"/>
  <c r="O8" i="12"/>
  <c r="C26" i="55"/>
  <c r="H21" i="1"/>
  <c r="G3" i="28"/>
  <c r="J10" i="39"/>
  <c r="N16" i="12"/>
  <c r="G3" i="43"/>
  <c r="L27" i="1"/>
  <c r="G15" i="1"/>
  <c r="C29" i="55"/>
  <c r="L5" i="1"/>
  <c r="F12" i="1"/>
  <c r="H15" i="1"/>
  <c r="D14" i="28"/>
  <c r="G4" i="28"/>
  <c r="K16" i="28"/>
  <c r="F2" i="39"/>
  <c r="G8" i="12"/>
  <c r="O33" i="12"/>
  <c r="N5" i="12"/>
  <c r="S8" i="12"/>
  <c r="Q12" i="12"/>
  <c r="P16" i="12"/>
  <c r="O20" i="12"/>
  <c r="J5" i="56"/>
  <c r="U20" i="56"/>
  <c r="P2" i="47"/>
  <c r="G12" i="42"/>
  <c r="I19" i="42"/>
  <c r="G12" i="43"/>
  <c r="AM4" i="9"/>
  <c r="O7" i="12"/>
  <c r="K20" i="1"/>
  <c r="D10" i="28"/>
  <c r="G13" i="28"/>
  <c r="K22" i="28"/>
  <c r="J9" i="42"/>
  <c r="G11" i="1"/>
  <c r="G27" i="1"/>
  <c r="L23" i="28"/>
  <c r="P8" i="12"/>
  <c r="O12" i="12"/>
  <c r="H5" i="56"/>
  <c r="G14" i="56"/>
  <c r="G19" i="42"/>
  <c r="L8" i="1"/>
  <c r="K21" i="1"/>
  <c r="E14" i="28"/>
  <c r="G18" i="28"/>
  <c r="K7" i="28"/>
  <c r="F3" i="39"/>
  <c r="H9" i="39"/>
  <c r="J14" i="39"/>
  <c r="G17" i="12"/>
  <c r="E34" i="12"/>
  <c r="K9" i="12"/>
  <c r="G15" i="56"/>
  <c r="J23" i="56"/>
  <c r="U11" i="56"/>
  <c r="H5" i="52"/>
  <c r="C12" i="52"/>
  <c r="K2" i="15"/>
  <c r="G6" i="42"/>
  <c r="M19" i="28"/>
  <c r="M33" i="12"/>
  <c r="C21" i="55"/>
  <c r="L7" i="1"/>
  <c r="L13" i="1"/>
  <c r="F16" i="12"/>
  <c r="G13" i="56"/>
  <c r="G4" i="42"/>
  <c r="C9" i="55"/>
  <c r="I18" i="1"/>
  <c r="F3" i="1"/>
  <c r="F6" i="1"/>
  <c r="F9" i="1"/>
  <c r="G12" i="1"/>
  <c r="H28" i="1"/>
  <c r="H4" i="28"/>
  <c r="L7" i="28"/>
  <c r="L16" i="28"/>
  <c r="F4" i="39"/>
  <c r="F9" i="12"/>
  <c r="E18" i="12"/>
  <c r="O5" i="12"/>
  <c r="R12" i="12"/>
  <c r="Q16" i="12"/>
  <c r="P20" i="12"/>
  <c r="G6" i="56"/>
  <c r="R2" i="47"/>
  <c r="I12" i="42"/>
  <c r="J19" i="42"/>
  <c r="H12" i="43"/>
  <c r="AN4" i="9"/>
  <c r="H16" i="1"/>
  <c r="K18" i="1"/>
  <c r="F20" i="39"/>
  <c r="H16" i="39"/>
  <c r="J13" i="39"/>
  <c r="F11" i="12"/>
  <c r="E23" i="12"/>
  <c r="Q30" i="12"/>
  <c r="S4" i="12"/>
  <c r="K7" i="12"/>
  <c r="S10" i="12"/>
  <c r="R14" i="12"/>
  <c r="Q18" i="12"/>
  <c r="P22" i="12"/>
  <c r="H6" i="56"/>
  <c r="H15" i="56"/>
  <c r="G24" i="56"/>
  <c r="V11" i="56"/>
  <c r="V20" i="56"/>
  <c r="C3" i="52"/>
  <c r="H7" i="52"/>
  <c r="O2" i="47"/>
  <c r="L2" i="15"/>
  <c r="J6" i="42"/>
  <c r="J14" i="42"/>
  <c r="C23" i="42"/>
  <c r="C23" i="43"/>
  <c r="G14" i="43"/>
  <c r="AJ4" i="9"/>
  <c r="G5" i="52"/>
  <c r="D10" i="52"/>
  <c r="H12" i="52"/>
  <c r="S2" i="46"/>
  <c r="N2" i="7"/>
  <c r="L3" i="18"/>
  <c r="H9" i="42"/>
  <c r="H17" i="42"/>
  <c r="E23" i="42"/>
  <c r="K11" i="1"/>
  <c r="G14" i="1"/>
  <c r="L19" i="28"/>
  <c r="F5" i="39"/>
  <c r="J15" i="39"/>
  <c r="E12" i="12"/>
  <c r="G23" i="12"/>
  <c r="O31" i="12"/>
  <c r="M3" i="12"/>
  <c r="M7" i="12"/>
  <c r="L11" i="12"/>
  <c r="K15" i="12"/>
  <c r="S18" i="12"/>
  <c r="S22" i="12"/>
  <c r="G7" i="56"/>
  <c r="J15" i="56"/>
  <c r="I24" i="56"/>
  <c r="T12" i="56"/>
  <c r="E3" i="52"/>
  <c r="J7" i="52"/>
  <c r="Q2" i="47"/>
  <c r="P2" i="5"/>
  <c r="H4" i="42"/>
  <c r="H12" i="42"/>
  <c r="H20" i="42"/>
  <c r="H3" i="43"/>
  <c r="H4" i="9"/>
  <c r="AL4" i="9"/>
  <c r="G3" i="52"/>
  <c r="D8" i="52"/>
  <c r="S2" i="47"/>
  <c r="R2" i="5"/>
  <c r="J4" i="42"/>
  <c r="J12" i="42"/>
  <c r="J20" i="42"/>
  <c r="H4" i="43"/>
  <c r="G19" i="43"/>
  <c r="M4" i="9"/>
  <c r="E3" i="28"/>
  <c r="D12" i="28"/>
  <c r="E20" i="28"/>
  <c r="G7" i="28"/>
  <c r="H15" i="28"/>
  <c r="K3" i="28"/>
  <c r="M14" i="28"/>
  <c r="L20" i="28"/>
  <c r="F8" i="39"/>
  <c r="H4" i="39"/>
  <c r="H21" i="39"/>
  <c r="E7" i="12"/>
  <c r="G18" i="12"/>
  <c r="L31" i="12"/>
  <c r="O32" i="12"/>
  <c r="P5" i="12"/>
  <c r="O9" i="12"/>
  <c r="N13" i="12"/>
  <c r="M17" i="12"/>
  <c r="M19" i="12"/>
  <c r="M23" i="12"/>
  <c r="G12" i="56"/>
  <c r="J20" i="56"/>
  <c r="U8" i="56"/>
  <c r="U22" i="56"/>
  <c r="J5" i="52"/>
  <c r="H10" i="52"/>
  <c r="C2" i="46"/>
  <c r="V2" i="46"/>
  <c r="Q2" i="15"/>
  <c r="G7" i="42"/>
  <c r="G15" i="42"/>
  <c r="I23" i="42"/>
  <c r="Q4" i="9"/>
  <c r="A2" i="38"/>
  <c r="S13" i="56"/>
  <c r="S18" i="56"/>
  <c r="H3" i="52"/>
  <c r="E8" i="52"/>
  <c r="T2" i="47"/>
  <c r="U2" i="7"/>
  <c r="S2" i="5"/>
  <c r="S3" i="18"/>
  <c r="C5" i="42"/>
  <c r="G10" i="42"/>
  <c r="C13" i="42"/>
  <c r="G18" i="42"/>
  <c r="C21" i="42"/>
  <c r="J23" i="42"/>
  <c r="H19" i="43"/>
  <c r="I2" i="38"/>
  <c r="J7" i="56"/>
  <c r="I16" i="56"/>
  <c r="C28" i="55"/>
  <c r="I7" i="1"/>
  <c r="H12" i="1"/>
  <c r="K14" i="1"/>
  <c r="G17" i="1"/>
  <c r="F22" i="1"/>
  <c r="D4" i="28"/>
  <c r="E12" i="28"/>
  <c r="D21" i="28"/>
  <c r="H7" i="28"/>
  <c r="G16" i="28"/>
  <c r="L9" i="28"/>
  <c r="K15" i="28"/>
  <c r="M20" i="28"/>
  <c r="F9" i="39"/>
  <c r="H5" i="39"/>
  <c r="H22" i="39"/>
  <c r="F7" i="12"/>
  <c r="E19" i="12"/>
  <c r="K32" i="12"/>
  <c r="Q5" i="12"/>
  <c r="H12" i="56"/>
  <c r="G21" i="56"/>
  <c r="V8" i="56"/>
  <c r="T13" i="56"/>
  <c r="V22" i="56"/>
  <c r="C6" i="52"/>
  <c r="C11" i="52"/>
  <c r="D2" i="46"/>
  <c r="A2" i="47"/>
  <c r="R2" i="15"/>
  <c r="H7" i="42"/>
  <c r="H15" i="42"/>
  <c r="H5" i="43"/>
  <c r="R4" i="9"/>
  <c r="Q3" i="12"/>
  <c r="P7" i="12"/>
  <c r="O11" i="12"/>
  <c r="N15" i="12"/>
  <c r="N19" i="12"/>
  <c r="N21" i="12"/>
  <c r="H25" i="56"/>
  <c r="C12" i="55"/>
  <c r="L9" i="1"/>
  <c r="J19" i="1"/>
  <c r="I27" i="1"/>
  <c r="P32" i="12"/>
  <c r="P9" i="12"/>
  <c r="O13" i="12"/>
  <c r="N17" i="12"/>
  <c r="O19" i="12"/>
  <c r="N23" i="12"/>
  <c r="F5" i="1"/>
  <c r="H16" i="28"/>
  <c r="M3" i="28"/>
  <c r="J19" i="39"/>
  <c r="F13" i="12"/>
  <c r="E31" i="12"/>
  <c r="L32" i="12"/>
  <c r="R3" i="12"/>
  <c r="Q7" i="12"/>
  <c r="P11" i="12"/>
  <c r="O15" i="12"/>
  <c r="O17" i="12"/>
  <c r="O21" i="12"/>
  <c r="G8" i="56"/>
  <c r="J16" i="56"/>
  <c r="I25" i="56"/>
  <c r="U13" i="56"/>
  <c r="T18" i="56"/>
  <c r="I3" i="52"/>
  <c r="F8" i="52"/>
  <c r="U2" i="47"/>
  <c r="V2" i="7"/>
  <c r="T3" i="18"/>
  <c r="H10" i="42"/>
  <c r="H18" i="42"/>
  <c r="G20" i="43"/>
  <c r="J2" i="38"/>
  <c r="S23" i="56"/>
  <c r="D6" i="52"/>
  <c r="D11" i="52"/>
  <c r="E2" i="46"/>
  <c r="B2" i="47"/>
  <c r="U2" i="5"/>
  <c r="S2" i="15"/>
  <c r="E5" i="42"/>
  <c r="I7" i="42"/>
  <c r="E13" i="42"/>
  <c r="I15" i="42"/>
  <c r="E21" i="42"/>
  <c r="C7" i="43"/>
  <c r="G6" i="43"/>
  <c r="S4" i="9"/>
  <c r="K2" i="38"/>
  <c r="F19" i="12"/>
  <c r="F31" i="12"/>
  <c r="Q32" i="12"/>
  <c r="R5" i="12"/>
  <c r="Q9" i="12"/>
  <c r="P13" i="12"/>
  <c r="P17" i="12"/>
  <c r="P19" i="12"/>
  <c r="O23" i="12"/>
  <c r="I12" i="56"/>
  <c r="H21" i="56"/>
  <c r="S9" i="56"/>
  <c r="V13" i="56"/>
  <c r="H8" i="28"/>
  <c r="G17" i="28"/>
  <c r="J20" i="39"/>
  <c r="G13" i="12"/>
  <c r="G31" i="12"/>
  <c r="M32" i="12"/>
  <c r="S3" i="12"/>
  <c r="R7" i="12"/>
  <c r="Q11" i="12"/>
  <c r="P15" i="12"/>
  <c r="Q17" i="12"/>
  <c r="P21" i="12"/>
  <c r="H8" i="56"/>
  <c r="G17" i="56"/>
  <c r="J25" i="56"/>
  <c r="T9" i="56"/>
  <c r="U18" i="56"/>
  <c r="J3" i="52"/>
  <c r="G8" i="52"/>
  <c r="V2" i="47"/>
  <c r="A2" i="5"/>
  <c r="U3" i="18"/>
  <c r="I10" i="42"/>
  <c r="I18" i="42"/>
  <c r="H20" i="43"/>
  <c r="F15" i="1"/>
  <c r="I17" i="1"/>
  <c r="L19" i="1"/>
  <c r="H22" i="1"/>
  <c r="K27" i="1"/>
  <c r="D5" i="28"/>
  <c r="E13" i="28"/>
  <c r="D22" i="28"/>
  <c r="H17" i="28"/>
  <c r="L4" i="28"/>
  <c r="K10" i="28"/>
  <c r="M15" i="28"/>
  <c r="L21" i="28"/>
  <c r="F11" i="39"/>
  <c r="H7" i="39"/>
  <c r="J3" i="39"/>
  <c r="E8" i="12"/>
  <c r="G19" i="12"/>
  <c r="E32" i="12"/>
  <c r="R32" i="12"/>
  <c r="S5" i="12"/>
  <c r="Q13" i="12"/>
  <c r="Q15" i="12"/>
  <c r="P23" i="12"/>
  <c r="J12" i="56"/>
  <c r="I21" i="56"/>
  <c r="U9" i="56"/>
  <c r="S14" i="56"/>
  <c r="T23" i="56"/>
  <c r="E6" i="52"/>
  <c r="H8" i="52"/>
  <c r="E11" i="52"/>
  <c r="F2" i="46"/>
  <c r="C2" i="47"/>
  <c r="V2" i="5"/>
  <c r="T2" i="15"/>
  <c r="F5" i="42"/>
  <c r="J7" i="42"/>
  <c r="F13" i="42"/>
  <c r="J15" i="42"/>
  <c r="F21" i="42"/>
  <c r="C8" i="43"/>
  <c r="T4" i="9"/>
  <c r="L2" i="38"/>
  <c r="R9" i="12"/>
  <c r="Q19" i="12"/>
  <c r="E22" i="28"/>
  <c r="G9" i="28"/>
  <c r="J21" i="39"/>
  <c r="E14" i="12"/>
  <c r="E20" i="12"/>
  <c r="K33" i="12"/>
  <c r="K4" i="12"/>
  <c r="S7" i="12"/>
  <c r="R11" i="12"/>
  <c r="R15" i="12"/>
  <c r="R17" i="12"/>
  <c r="Q21" i="12"/>
  <c r="I8" i="56"/>
  <c r="H17" i="56"/>
  <c r="S5" i="56"/>
  <c r="V9" i="56"/>
  <c r="V18" i="56"/>
  <c r="C4" i="52"/>
  <c r="B2" i="5"/>
  <c r="V3" i="18"/>
  <c r="J10" i="42"/>
  <c r="J18" i="42"/>
  <c r="D2" i="47"/>
  <c r="E2" i="7"/>
  <c r="A2" i="15"/>
  <c r="G5" i="42"/>
  <c r="G13" i="42"/>
  <c r="C9" i="43"/>
  <c r="H21" i="43"/>
  <c r="U4" i="9"/>
  <c r="M2" i="38"/>
  <c r="S19" i="56"/>
  <c r="D4" i="52"/>
  <c r="C2" i="5"/>
  <c r="C3" i="18"/>
  <c r="C3" i="42"/>
  <c r="G8" i="42"/>
  <c r="C11" i="42"/>
  <c r="G16" i="42"/>
  <c r="C19" i="42"/>
  <c r="G32" i="12"/>
  <c r="P33" i="12"/>
  <c r="L6" i="12"/>
  <c r="K10" i="12"/>
  <c r="K14" i="12"/>
  <c r="K16" i="12"/>
  <c r="S19" i="12"/>
  <c r="R23" i="12"/>
  <c r="H13" i="56"/>
  <c r="G22" i="56"/>
  <c r="V5" i="56"/>
  <c r="U14" i="56"/>
  <c r="V23" i="56"/>
  <c r="G6" i="52"/>
  <c r="D9" i="52"/>
  <c r="G11" i="52"/>
  <c r="H2" i="46"/>
  <c r="E2" i="47"/>
  <c r="F2" i="7"/>
  <c r="B2" i="15"/>
  <c r="H5" i="42"/>
  <c r="H13" i="42"/>
  <c r="I21" i="42"/>
  <c r="C10" i="43"/>
  <c r="H10" i="43"/>
  <c r="G22" i="43"/>
  <c r="V4" i="9"/>
  <c r="N2" i="38"/>
  <c r="K12" i="12"/>
  <c r="L14" i="12"/>
  <c r="K18" i="12"/>
  <c r="S21" i="12"/>
  <c r="G9" i="56"/>
  <c r="J17" i="56"/>
  <c r="H22" i="56"/>
  <c r="T10" i="56"/>
  <c r="T19" i="56"/>
  <c r="E4" i="52"/>
  <c r="H6" i="52"/>
  <c r="D3" i="18"/>
  <c r="H8" i="42"/>
  <c r="H16" i="42"/>
  <c r="W4" i="9"/>
  <c r="O2" i="38"/>
  <c r="C17" i="55"/>
  <c r="H3" i="1"/>
  <c r="K5" i="1"/>
  <c r="G8" i="1"/>
  <c r="J10" i="1"/>
  <c r="F13" i="1"/>
  <c r="I15" i="1"/>
  <c r="L17" i="1"/>
  <c r="H20" i="1"/>
  <c r="K22" i="1"/>
  <c r="G28" i="1"/>
  <c r="E15" i="28"/>
  <c r="D26" i="28"/>
  <c r="H10" i="28"/>
  <c r="G19" i="28"/>
  <c r="L5" i="28"/>
  <c r="K11" i="28"/>
  <c r="M16" i="28"/>
  <c r="L22" i="28"/>
  <c r="F14" i="39"/>
  <c r="H10" i="39"/>
  <c r="J6" i="39"/>
  <c r="E9" i="12"/>
  <c r="F15" i="12"/>
  <c r="E33" i="12"/>
  <c r="Q33" i="12"/>
  <c r="M6" i="12"/>
  <c r="L10" i="12"/>
  <c r="L12" i="12"/>
  <c r="L16" i="12"/>
  <c r="K20" i="12"/>
  <c r="S23" i="12"/>
  <c r="I13" i="56"/>
  <c r="I22" i="56"/>
  <c r="S6" i="56"/>
  <c r="V14" i="56"/>
  <c r="S24" i="56"/>
  <c r="E9" i="52"/>
  <c r="H11" i="52"/>
  <c r="I2" i="46"/>
  <c r="F2" i="47"/>
  <c r="G2" i="7"/>
  <c r="E2" i="5"/>
  <c r="C2" i="15"/>
  <c r="E3" i="42"/>
  <c r="I5" i="42"/>
  <c r="E11" i="42"/>
  <c r="I13" i="42"/>
  <c r="E19" i="42"/>
  <c r="J21" i="42"/>
  <c r="C11" i="43"/>
  <c r="G11" i="43"/>
  <c r="M12" i="12"/>
  <c r="M14" i="12"/>
  <c r="L18" i="12"/>
  <c r="K22" i="12"/>
  <c r="H9" i="56"/>
  <c r="G18" i="56"/>
  <c r="J22" i="56"/>
  <c r="U10" i="56"/>
  <c r="U19" i="56"/>
  <c r="F4" i="52"/>
  <c r="C7" i="52"/>
  <c r="E3" i="18"/>
  <c r="I8" i="42"/>
  <c r="I16" i="42"/>
  <c r="X4" i="9"/>
  <c r="P2" i="38"/>
  <c r="G11" i="28"/>
  <c r="H19" i="28"/>
  <c r="M5" i="28"/>
  <c r="L11" i="28"/>
  <c r="K17" i="28"/>
  <c r="M22" i="28"/>
  <c r="F15" i="39"/>
  <c r="H11" i="39"/>
  <c r="J7" i="39"/>
  <c r="G9" i="12"/>
  <c r="G15" i="12"/>
  <c r="F33" i="12"/>
  <c r="R33" i="12"/>
  <c r="N6" i="12"/>
  <c r="M10" i="12"/>
  <c r="N12" i="12"/>
  <c r="M16" i="12"/>
  <c r="L20" i="12"/>
  <c r="G5" i="56"/>
  <c r="J13" i="56"/>
  <c r="H18" i="56"/>
  <c r="T6" i="56"/>
  <c r="S15" i="56"/>
  <c r="T24" i="56"/>
  <c r="F9" i="52"/>
  <c r="I11" i="52"/>
  <c r="J2" i="46"/>
  <c r="H2" i="7"/>
  <c r="F2" i="5"/>
  <c r="D2" i="15"/>
  <c r="F3" i="42"/>
  <c r="J5" i="42"/>
  <c r="F11" i="42"/>
  <c r="J13" i="42"/>
  <c r="F19" i="42"/>
  <c r="H11" i="43"/>
  <c r="I28" i="1"/>
  <c r="G3" i="12"/>
  <c r="E10" i="12"/>
  <c r="G21" i="12"/>
  <c r="L34" i="12"/>
  <c r="O4" i="12"/>
  <c r="N8" i="12"/>
  <c r="N10" i="12"/>
  <c r="N14" i="12"/>
  <c r="M18" i="12"/>
  <c r="L22" i="12"/>
  <c r="I9" i="56"/>
  <c r="I18" i="56"/>
  <c r="G23" i="56"/>
  <c r="V10" i="56"/>
  <c r="V19" i="56"/>
  <c r="G4" i="52"/>
  <c r="D7" i="52"/>
  <c r="K2" i="47"/>
  <c r="F3" i="18"/>
  <c r="J8" i="42"/>
  <c r="J16" i="42"/>
  <c r="G22" i="42"/>
  <c r="C13" i="43"/>
  <c r="Y4" i="9"/>
  <c r="Q2" i="38"/>
  <c r="D2" i="5"/>
  <c r="T2" i="5"/>
  <c r="N2" i="15"/>
  <c r="H3" i="18"/>
  <c r="D3" i="42"/>
  <c r="D5" i="42"/>
  <c r="D7" i="42"/>
  <c r="D9" i="42"/>
  <c r="D11" i="42"/>
  <c r="D13" i="42"/>
  <c r="D15" i="42"/>
  <c r="D17" i="42"/>
  <c r="D19" i="42"/>
  <c r="D21" i="42"/>
  <c r="D23" i="42"/>
  <c r="C12" i="43"/>
  <c r="G5" i="43"/>
  <c r="G13" i="43"/>
  <c r="G21" i="43"/>
  <c r="G21" i="42"/>
  <c r="G23" i="42"/>
  <c r="C15" i="43"/>
  <c r="H6" i="43"/>
  <c r="H14" i="43"/>
  <c r="H22" i="43"/>
  <c r="B2" i="38"/>
  <c r="R2" i="38"/>
  <c r="H21" i="42"/>
  <c r="H23" i="42"/>
  <c r="C16" i="43"/>
  <c r="G7" i="43"/>
  <c r="G15" i="43"/>
  <c r="G23" i="43"/>
  <c r="K4" i="9"/>
  <c r="AA4" i="9"/>
  <c r="C2" i="38"/>
  <c r="S2" i="38"/>
  <c r="C17" i="43"/>
  <c r="H7" i="43"/>
  <c r="H15" i="43"/>
  <c r="H23" i="43"/>
  <c r="L4" i="9"/>
  <c r="AB4" i="9"/>
  <c r="D2" i="38"/>
  <c r="T2" i="38"/>
  <c r="C18" i="43"/>
  <c r="G8" i="43"/>
  <c r="G16" i="43"/>
  <c r="A11" i="9"/>
  <c r="A10" i="9"/>
  <c r="A9" i="9"/>
  <c r="A8" i="9"/>
  <c r="A7" i="9"/>
  <c r="A6" i="9"/>
  <c r="A5" i="9"/>
  <c r="A13" i="9"/>
  <c r="A12" i="9"/>
  <c r="A4" i="9"/>
  <c r="AC4" i="9"/>
  <c r="E2" i="38"/>
  <c r="U2" i="38"/>
  <c r="G10" i="52"/>
  <c r="G12" i="52"/>
  <c r="M2" i="46"/>
  <c r="G2" i="47"/>
  <c r="A2" i="7"/>
  <c r="Q2" i="7"/>
  <c r="K2" i="5"/>
  <c r="E2" i="15"/>
  <c r="U2" i="15"/>
  <c r="O3" i="18"/>
  <c r="C4" i="42"/>
  <c r="C6" i="42"/>
  <c r="C8" i="42"/>
  <c r="C10" i="42"/>
  <c r="C12" i="42"/>
  <c r="C14" i="42"/>
  <c r="C16" i="42"/>
  <c r="C18" i="42"/>
  <c r="C20" i="42"/>
  <c r="C22" i="42"/>
  <c r="C3" i="43"/>
  <c r="C19" i="43"/>
  <c r="H8" i="43"/>
  <c r="H16" i="43"/>
  <c r="N4" i="9"/>
  <c r="AD4" i="9"/>
  <c r="F2" i="38"/>
  <c r="V2" i="38"/>
  <c r="H2" i="47"/>
  <c r="B2" i="7"/>
  <c r="R2" i="7"/>
  <c r="L2" i="5"/>
  <c r="F2" i="15"/>
  <c r="V2" i="15"/>
  <c r="P3" i="18"/>
  <c r="D4" i="42"/>
  <c r="D6" i="42"/>
  <c r="D8" i="42"/>
  <c r="D10" i="42"/>
  <c r="D12" i="42"/>
  <c r="D14" i="42"/>
  <c r="D16" i="42"/>
  <c r="D18" i="42"/>
  <c r="D20" i="42"/>
  <c r="D22" i="42"/>
  <c r="C4" i="43"/>
  <c r="C20" i="43"/>
  <c r="G9" i="43"/>
  <c r="G17" i="43"/>
  <c r="O4" i="9"/>
  <c r="AE4" i="9"/>
  <c r="G2" i="38"/>
  <c r="J27" i="48"/>
  <c r="U17" i="56"/>
  <c r="U21" i="56"/>
  <c r="U25" i="56"/>
  <c r="I4" i="52"/>
  <c r="I6" i="52"/>
  <c r="I8" i="52"/>
  <c r="I10" i="52"/>
  <c r="I12" i="52"/>
  <c r="O2" i="46"/>
  <c r="I2" i="47"/>
  <c r="C2" i="7"/>
  <c r="S2" i="7"/>
  <c r="M2" i="5"/>
  <c r="G2" i="15"/>
  <c r="A3" i="18"/>
  <c r="Q3" i="18"/>
  <c r="E4" i="42"/>
  <c r="E6" i="42"/>
  <c r="E8" i="42"/>
  <c r="E10" i="42"/>
  <c r="E12" i="42"/>
  <c r="E14" i="42"/>
  <c r="E16" i="42"/>
  <c r="E18" i="42"/>
  <c r="E20" i="42"/>
  <c r="E22" i="42"/>
  <c r="C5" i="43"/>
  <c r="C21" i="43"/>
  <c r="H9" i="43"/>
  <c r="H17" i="43"/>
  <c r="P4" i="9"/>
  <c r="AF4" i="9"/>
  <c r="H2" i="38"/>
  <c r="J28" i="48"/>
  <c r="V17" i="56"/>
  <c r="V21" i="56"/>
  <c r="V25" i="56"/>
  <c r="J4" i="52"/>
  <c r="J6" i="52"/>
  <c r="J8" i="52"/>
  <c r="J10" i="52"/>
  <c r="J12" i="52"/>
  <c r="P2" i="46"/>
  <c r="J2" i="47"/>
  <c r="D2" i="7"/>
  <c r="T2" i="7"/>
  <c r="N2" i="5"/>
  <c r="H2" i="15"/>
  <c r="B3" i="18"/>
  <c r="R3" i="18"/>
  <c r="F4" i="42"/>
  <c r="F6" i="42"/>
  <c r="F8" i="42"/>
  <c r="F10" i="42"/>
  <c r="F12" i="42"/>
  <c r="F14" i="42"/>
  <c r="F16" i="42"/>
  <c r="F18" i="42"/>
  <c r="F20" i="42"/>
  <c r="F22" i="42"/>
  <c r="C6" i="43"/>
  <c r="C22" i="43"/>
  <c r="G10" i="43"/>
  <c r="G18" i="43"/>
  <c r="AG2" i="12"/>
  <c r="AF2" i="12"/>
  <c r="J7" i="1" a="1"/>
  <c r="J18" i="1" a="1"/>
  <c r="M9" i="48" a="1"/>
  <c r="M22" i="48" a="1"/>
  <c r="M5" i="48" a="1"/>
  <c r="M20" i="48" a="1"/>
  <c r="M7" i="48" a="1"/>
  <c r="J23" i="1" a="1"/>
  <c r="J15" i="1" a="1"/>
  <c r="J5" i="1" a="1"/>
  <c r="E18" i="28" a="1"/>
  <c r="E21" i="28" a="1"/>
  <c r="E21" i="28" l="1"/>
  <c r="E18" i="28"/>
  <c r="J5" i="1"/>
  <c r="J15" i="1"/>
  <c r="J23" i="1"/>
  <c r="M7" i="48"/>
  <c r="M20" i="48"/>
  <c r="M5" i="48"/>
  <c r="M22" i="48"/>
  <c r="M9" i="48"/>
  <c r="J18" i="1"/>
  <c r="J7" i="1"/>
  <c r="Y3" i="12" a="1"/>
  <c r="Y3" i="12" s="1"/>
  <c r="Y12" i="12" a="1"/>
  <c r="Y12" i="12" s="1"/>
  <c r="Y15" i="12" a="1"/>
  <c r="Y15" i="12" s="1"/>
  <c r="Y16" i="12" a="1"/>
  <c r="Y16" i="12" s="1"/>
  <c r="Y17" i="12" a="1"/>
  <c r="Y17" i="12" s="1"/>
  <c r="Y18" i="12" a="1"/>
  <c r="Y18" i="12" s="1"/>
  <c r="Y19" i="12" a="1"/>
  <c r="Y19" i="12" s="1"/>
  <c r="Y4" i="12" a="1"/>
  <c r="Y4" i="12" s="1"/>
  <c r="Y20" i="12" a="1"/>
  <c r="Y20" i="12" s="1"/>
  <c r="Y5" i="12" a="1"/>
  <c r="Y5" i="12" s="1"/>
  <c r="Y21" i="12" a="1"/>
  <c r="Y21" i="12" s="1"/>
  <c r="Y6" i="12" a="1"/>
  <c r="Y6" i="12" s="1"/>
  <c r="Y22" i="12" a="1"/>
  <c r="Y22" i="12" s="1"/>
  <c r="Y7" i="12" a="1"/>
  <c r="Y7" i="12" s="1"/>
  <c r="Y23" i="12" a="1"/>
  <c r="Y23" i="12" s="1"/>
  <c r="Y8" i="12" a="1"/>
  <c r="Y8" i="12" s="1"/>
  <c r="Y9" i="12" a="1"/>
  <c r="Y9" i="12" s="1"/>
  <c r="Y10" i="12" a="1"/>
  <c r="Y10" i="12" s="1"/>
  <c r="Y11" i="12" a="1"/>
  <c r="Y11" i="12" s="1"/>
  <c r="Y13" i="12" a="1"/>
  <c r="Y13" i="12" s="1"/>
  <c r="Y14" i="12" a="1"/>
  <c r="Y14" i="12" s="1"/>
  <c r="AE2" i="12" l="1"/>
  <c r="E31" i="8"/>
  <c r="F28" i="8"/>
  <c r="E28" i="8"/>
  <c r="F24" i="8"/>
  <c r="E20" i="8"/>
  <c r="E24" i="8"/>
  <c r="L2" i="48" l="1"/>
  <c r="L1" i="48"/>
  <c r="L26" i="48" a="1"/>
  <c r="O3" i="48" a="1"/>
  <c r="K26" i="48" a="1"/>
  <c r="N3" i="48" a="1"/>
  <c r="N3" i="48" l="1"/>
  <c r="K26" i="48"/>
  <c r="O3" i="48"/>
  <c r="L26" i="48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7" i="48" a="1"/>
  <c r="O18" i="48" a="1"/>
  <c r="O19" i="48" a="1"/>
  <c r="O20" i="48" a="1"/>
  <c r="O21" i="48" a="1"/>
  <c r="O22" i="48" a="1"/>
  <c r="O23" i="48" a="1"/>
  <c r="O24" i="48" a="1"/>
  <c r="L27" i="48" a="1"/>
  <c r="L28" i="48" a="1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K27" i="48" a="1"/>
  <c r="K28" i="48" a="1"/>
  <c r="K28" i="48" l="1"/>
  <c r="K27" i="48"/>
  <c r="N24" i="48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L28" i="48"/>
  <c r="L27" i="48"/>
  <c r="O24" i="48"/>
  <c r="O23" i="48"/>
  <c r="O22" i="48"/>
  <c r="O21" i="48"/>
  <c r="O20" i="48"/>
  <c r="O19" i="48"/>
  <c r="O18" i="48"/>
  <c r="O17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AE3" i="12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L8" i="56" l="1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P24" i="56" l="1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Q4" i="48" a="1"/>
  <c r="Q4" i="48" s="1"/>
  <c r="AF3" i="12" s="1"/>
  <c r="Q8" i="48" a="1"/>
  <c r="Q8" i="48" s="1"/>
  <c r="AF7" i="12" s="1"/>
  <c r="Q11" i="48" a="1"/>
  <c r="Q11" i="48" s="1"/>
  <c r="AF10" i="12" s="1"/>
  <c r="Q14" i="48" a="1"/>
  <c r="Q14" i="48" s="1"/>
  <c r="AF13" i="12" s="1"/>
  <c r="Q17" i="48" a="1"/>
  <c r="Q17" i="48" s="1"/>
  <c r="AF16" i="12" s="1"/>
  <c r="Q24" i="48" a="1"/>
  <c r="Q24" i="48" s="1"/>
  <c r="AF23" i="12" s="1"/>
  <c r="Q5" i="48" a="1"/>
  <c r="Q5" i="48" s="1"/>
  <c r="AF4" i="12" s="1"/>
  <c r="Q12" i="48" a="1"/>
  <c r="Q12" i="48" s="1"/>
  <c r="AF11" i="12" s="1"/>
  <c r="Q15" i="48" a="1"/>
  <c r="Q15" i="48" s="1"/>
  <c r="AF14" i="12" s="1"/>
  <c r="Q18" i="48" a="1"/>
  <c r="Q18" i="48" s="1"/>
  <c r="AF17" i="12" s="1"/>
  <c r="Q21" i="48" a="1"/>
  <c r="Q21" i="48" s="1"/>
  <c r="AF20" i="12" s="1"/>
  <c r="Q6" i="48" a="1"/>
  <c r="Q6" i="48" s="1"/>
  <c r="AF5" i="12" s="1"/>
  <c r="Q9" i="48" a="1"/>
  <c r="Q9" i="48" s="1"/>
  <c r="AF8" i="12" s="1"/>
  <c r="Q16" i="48" a="1"/>
  <c r="Q16" i="48" s="1"/>
  <c r="AF15" i="12" s="1"/>
  <c r="Q19" i="48" a="1"/>
  <c r="Q19" i="48" s="1"/>
  <c r="AF18" i="12" s="1"/>
  <c r="Q22" i="48" a="1"/>
  <c r="Q22" i="48" s="1"/>
  <c r="AF21" i="12" s="1"/>
  <c r="Q7" i="48" a="1"/>
  <c r="Q7" i="48" s="1"/>
  <c r="AF6" i="12" s="1"/>
  <c r="Q10" i="48" a="1"/>
  <c r="Q10" i="48" s="1"/>
  <c r="AF9" i="12" s="1"/>
  <c r="Q13" i="48" a="1"/>
  <c r="Q13" i="48" s="1"/>
  <c r="AF12" i="12" s="1"/>
  <c r="Q20" i="48" a="1"/>
  <c r="Q20" i="48" s="1"/>
  <c r="AF19" i="12" s="1"/>
  <c r="Q23" i="48" a="1"/>
  <c r="Q23" i="48" s="1"/>
  <c r="AF22" i="12" s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N30" i="56" l="1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2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40" i="8"/>
  <c r="I31" i="12" l="1"/>
  <c r="H31" i="12"/>
  <c r="J31" i="12" l="1"/>
  <c r="M28" i="48" l="1"/>
  <c r="M27" i="48"/>
  <c r="P14" i="48" l="1"/>
  <c r="P23" i="48"/>
  <c r="P10" i="48"/>
  <c r="P15" i="48"/>
  <c r="P6" i="48"/>
  <c r="P5" i="48"/>
  <c r="P16" i="48"/>
  <c r="P12" i="48"/>
  <c r="P20" i="48"/>
  <c r="P24" i="48"/>
  <c r="P18" i="48"/>
  <c r="P17" i="48"/>
  <c r="P7" i="48"/>
  <c r="P21" i="48"/>
  <c r="P13" i="48"/>
  <c r="P11" i="48"/>
  <c r="P9" i="48"/>
  <c r="P19" i="48"/>
  <c r="P4" i="48"/>
  <c r="P8" i="48"/>
  <c r="P22" i="48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R20" i="48" a="1"/>
  <c r="R20" i="48" s="1"/>
  <c r="R19" i="48" a="1"/>
  <c r="R19" i="48" s="1"/>
  <c r="R18" i="48" a="1"/>
  <c r="R18" i="48" s="1"/>
  <c r="R23" i="48" a="1"/>
  <c r="R23" i="48" s="1"/>
  <c r="R11" i="48" a="1"/>
  <c r="R11" i="48" s="1"/>
  <c r="R5" i="48" a="1"/>
  <c r="R5" i="48" s="1"/>
  <c r="R12" i="48" a="1"/>
  <c r="R12" i="48" s="1"/>
  <c r="R16" i="48" a="1"/>
  <c r="R16" i="48" s="1"/>
  <c r="R6" i="48" a="1"/>
  <c r="R6" i="48" s="1"/>
  <c r="R13" i="48" a="1"/>
  <c r="R13" i="48" s="1"/>
  <c r="R9" i="48" a="1"/>
  <c r="R9" i="48" s="1"/>
  <c r="R4" i="48" a="1"/>
  <c r="R4" i="48" s="1"/>
  <c r="R15" i="48" a="1"/>
  <c r="R15" i="48" s="1"/>
  <c r="R10" i="48" a="1"/>
  <c r="R10" i="48" s="1"/>
  <c r="R14" i="48" a="1"/>
  <c r="R14" i="48" s="1"/>
  <c r="R24" i="48" a="1"/>
  <c r="R24" i="48" s="1"/>
  <c r="R7" i="48" a="1"/>
  <c r="R7" i="48" s="1"/>
  <c r="R21" i="48" a="1"/>
  <c r="R21" i="48" s="1"/>
  <c r="R17" i="48" a="1"/>
  <c r="R17" i="48" s="1"/>
  <c r="R22" i="48" a="1"/>
  <c r="R22" i="48" s="1"/>
  <c r="R8" i="48" a="1"/>
  <c r="R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S6" i="48" l="1"/>
  <c r="AG5" i="12"/>
  <c r="S11" i="48"/>
  <c r="AG10" i="12"/>
  <c r="S19" i="48"/>
  <c r="AG18" i="12"/>
  <c r="S22" i="48"/>
  <c r="AG21" i="12"/>
  <c r="S17" i="48"/>
  <c r="AG16" i="12"/>
  <c r="S21" i="48"/>
  <c r="AG20" i="12"/>
  <c r="S7" i="48"/>
  <c r="AG6" i="12"/>
  <c r="S24" i="48"/>
  <c r="AG23" i="12"/>
  <c r="S14" i="48"/>
  <c r="AG13" i="12"/>
  <c r="S9" i="48"/>
  <c r="AG8" i="12"/>
  <c r="S5" i="48"/>
  <c r="AG4" i="12"/>
  <c r="S18" i="48"/>
  <c r="AG17" i="12"/>
  <c r="S8" i="48"/>
  <c r="AG7" i="12"/>
  <c r="S10" i="48"/>
  <c r="AG9" i="12"/>
  <c r="S13" i="48"/>
  <c r="AG12" i="12"/>
  <c r="S12" i="48"/>
  <c r="AG11" i="12"/>
  <c r="S20" i="48"/>
  <c r="AG19" i="12"/>
  <c r="S15" i="48"/>
  <c r="AG14" i="12"/>
  <c r="S16" i="48"/>
  <c r="AG15" i="12"/>
  <c r="S23" i="48"/>
  <c r="AG22" i="12"/>
  <c r="S4" i="48"/>
  <c r="AG3" i="12"/>
  <c r="R124" i="47" a="1"/>
  <c r="R124" i="47" s="1"/>
  <c r="R125" i="47" a="1"/>
  <c r="R125" i="47" s="1"/>
  <c r="R127" i="47" a="1"/>
  <c r="R127" i="47" s="1"/>
  <c r="T15" i="48" l="1" a="1"/>
  <c r="T15" i="48" s="1"/>
  <c r="T9" i="48" a="1"/>
  <c r="T9" i="48" s="1"/>
  <c r="T13" i="48" a="1"/>
  <c r="T13" i="48" s="1"/>
  <c r="T20" i="48" a="1"/>
  <c r="T20" i="48" s="1"/>
  <c r="T24" i="48" a="1"/>
  <c r="T24" i="48" s="1"/>
  <c r="T4" i="48" a="1"/>
  <c r="T4" i="48" s="1"/>
  <c r="T23" i="48" a="1"/>
  <c r="T23" i="48" s="1"/>
  <c r="T21" i="48" a="1"/>
  <c r="T21" i="48" s="1"/>
  <c r="T10" i="48" a="1"/>
  <c r="T10" i="48" s="1"/>
  <c r="T8" i="48" a="1"/>
  <c r="T8" i="48" s="1"/>
  <c r="T7" i="48" a="1"/>
  <c r="T7" i="48" s="1"/>
  <c r="T18" i="48" a="1"/>
  <c r="T18" i="48" s="1"/>
  <c r="T5" i="48" a="1"/>
  <c r="T5" i="48" s="1"/>
  <c r="T6" i="48" a="1"/>
  <c r="T6" i="48" s="1"/>
  <c r="T19" i="48" a="1"/>
  <c r="T19" i="48" s="1"/>
  <c r="T17" i="48" a="1"/>
  <c r="T17" i="48" s="1"/>
  <c r="T11" i="48" a="1"/>
  <c r="T11" i="48" s="1"/>
  <c r="T16" i="48" a="1"/>
  <c r="T16" i="48" s="1"/>
  <c r="T14" i="48" a="1"/>
  <c r="T14" i="48" s="1"/>
  <c r="T22" i="48" a="1"/>
  <c r="T22" i="48" s="1"/>
  <c r="T12" i="48" a="1"/>
  <c r="T12" i="48" s="1"/>
  <c r="B127" i="46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U2" i="12" l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6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7" i="40" l="1"/>
  <c r="D20" i="40"/>
  <c r="D15" i="40"/>
  <c r="E13" i="49" s="1"/>
  <c r="D14" i="40"/>
  <c r="D13" i="40"/>
  <c r="D19" i="40"/>
  <c r="D22" i="40"/>
  <c r="E24" i="49" s="1"/>
  <c r="D21" i="40"/>
  <c r="E7" i="49" s="1"/>
  <c r="E21" i="49"/>
  <c r="D7" i="40"/>
  <c r="E18" i="49" s="1"/>
  <c r="D9" i="40"/>
  <c r="D11" i="40"/>
  <c r="D10" i="40"/>
  <c r="E4" i="49" s="1"/>
  <c r="D18" i="40"/>
  <c r="D8" i="40"/>
  <c r="E10" i="49" s="1"/>
  <c r="D17" i="40"/>
  <c r="E20" i="49" s="1"/>
  <c r="D12" i="40"/>
  <c r="E23" i="49" s="1"/>
  <c r="D24" i="40"/>
  <c r="D25" i="40"/>
  <c r="D23" i="40"/>
  <c r="D16" i="40"/>
  <c r="E19" i="49" l="1"/>
  <c r="E14" i="49"/>
  <c r="E8" i="49"/>
  <c r="E9" i="49"/>
  <c r="E16" i="49"/>
  <c r="E11" i="49"/>
  <c r="E12" i="49"/>
  <c r="E5" i="49"/>
  <c r="E22" i="49"/>
  <c r="E6" i="49"/>
  <c r="E15" i="49"/>
  <c r="E17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7" i="40" s="1"/>
  <c r="U10" i="42" a="1"/>
  <c r="U10" i="42" s="1"/>
  <c r="L10" i="40" s="1"/>
  <c r="U13" i="42" a="1"/>
  <c r="U13" i="42" s="1"/>
  <c r="L7" i="40" s="1"/>
  <c r="U18" i="42" a="1"/>
  <c r="U18" i="42" s="1"/>
  <c r="L26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4" i="49" l="1"/>
  <c r="I23" i="55"/>
  <c r="I14" i="55"/>
  <c r="K19" i="49"/>
  <c r="K21" i="49"/>
  <c r="I24" i="55"/>
  <c r="P24" i="55" s="1"/>
  <c r="I29" i="55"/>
  <c r="K6" i="49"/>
  <c r="K18" i="49"/>
  <c r="I19" i="55"/>
  <c r="K22" i="49"/>
  <c r="I12" i="55"/>
  <c r="I22" i="55"/>
  <c r="K15" i="49"/>
  <c r="K12" i="49"/>
  <c r="I18" i="55"/>
  <c r="K4" i="49"/>
  <c r="I16" i="55"/>
  <c r="K8" i="49"/>
  <c r="I17" i="55"/>
  <c r="I27" i="55"/>
  <c r="K23" i="49"/>
  <c r="K9" i="49"/>
  <c r="I11" i="55"/>
  <c r="L24" i="40"/>
  <c r="L25" i="40"/>
  <c r="L23" i="40"/>
  <c r="L22" i="40"/>
  <c r="L15" i="40"/>
  <c r="L14" i="40"/>
  <c r="L17" i="40"/>
  <c r="L8" i="40"/>
  <c r="L21" i="40"/>
  <c r="K17" i="49" l="1"/>
  <c r="I26" i="55"/>
  <c r="K24" i="49"/>
  <c r="I20" i="55"/>
  <c r="K20" i="49"/>
  <c r="I15" i="55"/>
  <c r="K5" i="49"/>
  <c r="I28" i="55"/>
  <c r="I13" i="55"/>
  <c r="K11" i="49"/>
  <c r="I9" i="55"/>
  <c r="K10" i="49"/>
  <c r="K16" i="49"/>
  <c r="I10" i="55"/>
  <c r="I25" i="55"/>
  <c r="K7" i="49"/>
  <c r="I21" i="55"/>
  <c r="K13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X13" i="28" s="1"/>
  <c r="I7" i="40" s="1"/>
  <c r="N3" i="28"/>
  <c r="I18" i="49" l="1"/>
  <c r="H19" i="55"/>
  <c r="X4" i="28"/>
  <c r="I25" i="40" s="1"/>
  <c r="X18" i="28"/>
  <c r="I26" i="40" s="1"/>
  <c r="X6" i="28"/>
  <c r="I16" i="40" s="1"/>
  <c r="X23" i="28"/>
  <c r="I18" i="40" s="1"/>
  <c r="X5" i="28"/>
  <c r="I27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I21" i="40" s="1"/>
  <c r="X11" i="28"/>
  <c r="X14" i="28"/>
  <c r="I7" i="49" l="1"/>
  <c r="H25" i="55"/>
  <c r="I20" i="49"/>
  <c r="H15" i="55"/>
  <c r="I19" i="49"/>
  <c r="H14" i="55"/>
  <c r="H24" i="55"/>
  <c r="I21" i="49"/>
  <c r="I23" i="49"/>
  <c r="H27" i="55"/>
  <c r="I14" i="49"/>
  <c r="H23" i="55"/>
  <c r="I9" i="49"/>
  <c r="H11" i="55"/>
  <c r="I16" i="49"/>
  <c r="H10" i="55"/>
  <c r="I11" i="49"/>
  <c r="H13" i="55"/>
  <c r="H29" i="55"/>
  <c r="I6" i="49"/>
  <c r="H12" i="55"/>
  <c r="I22" i="49"/>
  <c r="I11" i="40"/>
  <c r="I15" i="40"/>
  <c r="I24" i="40"/>
  <c r="I22" i="40"/>
  <c r="I19" i="40"/>
  <c r="I14" i="40"/>
  <c r="I23" i="40"/>
  <c r="I9" i="40"/>
  <c r="I10" i="40"/>
  <c r="H16" i="55" l="1"/>
  <c r="I4" i="49"/>
  <c r="H28" i="55"/>
  <c r="I5" i="49"/>
  <c r="H9" i="55"/>
  <c r="I10" i="49"/>
  <c r="H21" i="55"/>
  <c r="I13" i="49"/>
  <c r="I15" i="49"/>
  <c r="H22" i="55"/>
  <c r="I12" i="49"/>
  <c r="H18" i="55"/>
  <c r="H20" i="55"/>
  <c r="I24" i="49"/>
  <c r="I8" i="49"/>
  <c r="H17" i="55"/>
  <c r="I17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G26" i="18" s="1" a="1"/>
  <c r="G26" i="18" s="1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5" i="40" s="1"/>
  <c r="F16" i="49" s="1"/>
  <c r="S6" i="39" a="1"/>
  <c r="S6" i="39" s="1"/>
  <c r="E8" i="40" s="1"/>
  <c r="S11" i="39" a="1"/>
  <c r="S11" i="39" s="1"/>
  <c r="E9" i="40" s="1"/>
  <c r="S14" i="39" a="1"/>
  <c r="S14" i="39" s="1"/>
  <c r="E15" i="40" s="1"/>
  <c r="S19" i="39" a="1"/>
  <c r="S19" i="39" s="1"/>
  <c r="E24" i="40" s="1"/>
  <c r="S22" i="39" a="1"/>
  <c r="S22" i="39" s="1"/>
  <c r="E18" i="40" s="1"/>
  <c r="S4" i="39" a="1"/>
  <c r="S4" i="39" s="1"/>
  <c r="E27" i="40" s="1"/>
  <c r="F9" i="49" s="1"/>
  <c r="S9" i="39" a="1"/>
  <c r="S9" i="39" s="1"/>
  <c r="E10" i="40" s="1"/>
  <c r="S12" i="39" a="1"/>
  <c r="S12" i="39" s="1"/>
  <c r="E7" i="40" s="1"/>
  <c r="S17" i="39" a="1"/>
  <c r="S17" i="39" s="1"/>
  <c r="E26" i="40" s="1"/>
  <c r="S20" i="39" a="1"/>
  <c r="S20" i="39" s="1"/>
  <c r="E12" i="40" s="1"/>
  <c r="S7" i="39" a="1"/>
  <c r="S7" i="39" s="1"/>
  <c r="E20" i="40" s="1"/>
  <c r="S10" i="39" a="1"/>
  <c r="S10" i="39" s="1"/>
  <c r="E19" i="40" s="1"/>
  <c r="F8" i="49" s="1"/>
  <c r="S15" i="39" a="1"/>
  <c r="S15" i="39" s="1"/>
  <c r="E11" i="40" s="1"/>
  <c r="S18" i="39" a="1"/>
  <c r="S18" i="39" s="1"/>
  <c r="E21" i="40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2" i="40" s="1"/>
  <c r="S16" i="39" a="1"/>
  <c r="S16" i="39" s="1"/>
  <c r="E13" i="40" s="1"/>
  <c r="F14" i="49" s="1"/>
  <c r="S21" i="39" a="1"/>
  <c r="S21" i="39" s="1"/>
  <c r="E23" i="40" s="1"/>
  <c r="F12" i="49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8" i="49" l="1"/>
  <c r="F5" i="49"/>
  <c r="F15" i="49"/>
  <c r="F22" i="49"/>
  <c r="F17" i="49"/>
  <c r="F4" i="49"/>
  <c r="F20" i="49"/>
  <c r="F13" i="49"/>
  <c r="F11" i="49"/>
  <c r="F6" i="49"/>
  <c r="F24" i="49"/>
  <c r="F21" i="49"/>
  <c r="F10" i="49"/>
  <c r="F7" i="49"/>
  <c r="F19" i="49"/>
  <c r="F23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Z2" i="12" l="1"/>
  <c r="H16" i="8"/>
  <c r="AB2" i="12" s="1"/>
  <c r="G16" i="8"/>
  <c r="AA2" i="12" s="1"/>
  <c r="F12" i="8"/>
  <c r="W2" i="12" s="1"/>
  <c r="G12" i="8"/>
  <c r="X2" i="12" s="1"/>
  <c r="E12" i="8"/>
  <c r="V2" i="12" s="1"/>
  <c r="AH2" i="12" l="1"/>
  <c r="L13" i="13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R5" i="13" l="1" a="1"/>
  <c r="R5" i="13" s="1"/>
  <c r="F25" i="40" s="1"/>
  <c r="G25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4" i="40" s="1"/>
  <c r="G24" i="40" s="1"/>
  <c r="R24" i="13" a="1"/>
  <c r="R24" i="13" s="1"/>
  <c r="F18" i="40" s="1"/>
  <c r="G18" i="40" s="1"/>
  <c r="R6" i="13" a="1"/>
  <c r="R6" i="13" s="1"/>
  <c r="F27" i="40" s="1"/>
  <c r="G27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6" i="40" s="1"/>
  <c r="G26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F21" i="40" s="1"/>
  <c r="G21" i="40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2" i="40" s="1"/>
  <c r="G22" i="40" s="1"/>
  <c r="R18" i="13" a="1"/>
  <c r="R18" i="13" s="1"/>
  <c r="F13" i="40" s="1"/>
  <c r="G13" i="40" s="1"/>
  <c r="R23" i="13" a="1"/>
  <c r="R23" i="13" s="1"/>
  <c r="F23" i="40" s="1"/>
  <c r="G23" i="40" s="1"/>
  <c r="R4" i="13" a="1"/>
  <c r="R4" i="13" s="1"/>
  <c r="F14" i="40" s="1"/>
  <c r="G14" i="40" s="1"/>
  <c r="G11" i="49"/>
  <c r="I21" i="12"/>
  <c r="I13" i="12"/>
  <c r="H5" i="12"/>
  <c r="K27" i="40" s="1"/>
  <c r="I5" i="12"/>
  <c r="I23" i="12"/>
  <c r="I3" i="12"/>
  <c r="H10" i="12"/>
  <c r="K10" i="40" s="1"/>
  <c r="G23" i="49" l="1"/>
  <c r="G9" i="49"/>
  <c r="H23" i="40" a="1"/>
  <c r="H23" i="40" s="1"/>
  <c r="H19" i="40" a="1"/>
  <c r="H19" i="40" s="1"/>
  <c r="H15" i="40" a="1"/>
  <c r="H15" i="40" s="1"/>
  <c r="H25" i="40" a="1"/>
  <c r="H25" i="40" s="1"/>
  <c r="H26" i="40" a="1"/>
  <c r="H26" i="40" s="1"/>
  <c r="H22" i="40" a="1"/>
  <c r="H22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7" i="40" a="1"/>
  <c r="H27" i="40" s="1"/>
  <c r="H9" i="40" a="1"/>
  <c r="H9" i="40" s="1"/>
  <c r="H24" i="40" a="1"/>
  <c r="H24" i="40" s="1"/>
  <c r="H17" i="40" a="1"/>
  <c r="H17" i="40" s="1"/>
  <c r="H10" i="40" a="1"/>
  <c r="H10" i="40" s="1"/>
  <c r="H21" i="40" a="1"/>
  <c r="H21" i="40" s="1"/>
  <c r="H14" i="40" a="1"/>
  <c r="H14" i="40" s="1"/>
  <c r="H11" i="40" a="1"/>
  <c r="H11" i="40" s="1"/>
  <c r="H7" i="40" a="1"/>
  <c r="H7" i="40" s="1"/>
  <c r="H12" i="40" a="1"/>
  <c r="H12" i="40" s="1"/>
  <c r="G18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7" i="49"/>
  <c r="G15" i="49"/>
  <c r="G16" i="49"/>
  <c r="G6" i="49"/>
  <c r="G22" i="49"/>
  <c r="G13" i="49"/>
  <c r="G7" i="49"/>
  <c r="G4" i="49"/>
  <c r="G8" i="49"/>
  <c r="G19" i="49"/>
  <c r="G21" i="49"/>
  <c r="G20" i="49"/>
  <c r="G24" i="49"/>
  <c r="G5" i="49"/>
  <c r="G14" i="49"/>
  <c r="G12" i="49"/>
  <c r="G10" i="49"/>
  <c r="J5" i="12"/>
  <c r="H3" i="12"/>
  <c r="K14" i="40" s="1"/>
  <c r="H21" i="12"/>
  <c r="K12" i="40" s="1"/>
  <c r="I16" i="12"/>
  <c r="H19" i="12"/>
  <c r="K21" i="40" s="1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6" i="40" s="1"/>
  <c r="I4" i="12"/>
  <c r="I7" i="12"/>
  <c r="I12" i="12"/>
  <c r="I11" i="12"/>
  <c r="H4" i="12"/>
  <c r="K25" i="40" s="1"/>
  <c r="I14" i="12"/>
  <c r="H14" i="12"/>
  <c r="K22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4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3" i="40" s="1"/>
  <c r="H15" i="12"/>
  <c r="K15" i="40" s="1"/>
  <c r="H18" i="49" l="1"/>
  <c r="G19" i="55"/>
  <c r="L19" i="55" s="1"/>
  <c r="G16" i="55"/>
  <c r="L16" i="55" s="1"/>
  <c r="H4" i="49"/>
  <c r="G11" i="55"/>
  <c r="L11" i="55" s="1"/>
  <c r="H9" i="49"/>
  <c r="H11" i="49"/>
  <c r="G13" i="55"/>
  <c r="L13" i="55" s="1"/>
  <c r="H16" i="49"/>
  <c r="G10" i="55"/>
  <c r="L10" i="55" s="1"/>
  <c r="H15" i="49"/>
  <c r="G22" i="55"/>
  <c r="L22" i="55" s="1"/>
  <c r="G15" i="55"/>
  <c r="L15" i="55" s="1"/>
  <c r="H20" i="49"/>
  <c r="H22" i="49"/>
  <c r="G12" i="55"/>
  <c r="L12" i="55" s="1"/>
  <c r="H6" i="49"/>
  <c r="G29" i="55"/>
  <c r="L29" i="55" s="1"/>
  <c r="G21" i="55"/>
  <c r="L21" i="55" s="1"/>
  <c r="H13" i="49"/>
  <c r="H10" i="49"/>
  <c r="G9" i="55"/>
  <c r="L9" i="55" s="1"/>
  <c r="H17" i="49"/>
  <c r="G26" i="55"/>
  <c r="L26" i="55" s="1"/>
  <c r="H19" i="49"/>
  <c r="G14" i="55"/>
  <c r="L14" i="55" s="1"/>
  <c r="G20" i="55"/>
  <c r="L20" i="55" s="1"/>
  <c r="H24" i="49"/>
  <c r="H8" i="49"/>
  <c r="G17" i="55"/>
  <c r="L17" i="55" s="1"/>
  <c r="G27" i="55"/>
  <c r="L27" i="55" s="1"/>
  <c r="H23" i="49"/>
  <c r="H7" i="49"/>
  <c r="G25" i="55"/>
  <c r="L25" i="55" s="1"/>
  <c r="H12" i="49"/>
  <c r="G18" i="55"/>
  <c r="L18" i="55" s="1"/>
  <c r="H14" i="49"/>
  <c r="G23" i="55"/>
  <c r="L23" i="55" s="1"/>
  <c r="G24" i="55"/>
  <c r="L24" i="55" s="1"/>
  <c r="H21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H6" i="12" s="1"/>
  <c r="AB9" i="12" a="1"/>
  <c r="AB9" i="12" s="1"/>
  <c r="AH9" i="12" s="1"/>
  <c r="AB14" i="12" a="1"/>
  <c r="AB14" i="12" s="1"/>
  <c r="AH14" i="12" s="1"/>
  <c r="AB17" i="12" a="1"/>
  <c r="AB17" i="12" s="1"/>
  <c r="AH17" i="12" s="1"/>
  <c r="AB22" i="12" a="1"/>
  <c r="AB22" i="12" s="1"/>
  <c r="AH22" i="12" s="1"/>
  <c r="AB3" i="12" a="1"/>
  <c r="AB3" i="12" s="1"/>
  <c r="AH3" i="12" s="1"/>
  <c r="AB4" i="12" a="1"/>
  <c r="AB4" i="12" s="1"/>
  <c r="AH4" i="12" s="1"/>
  <c r="AB7" i="12" a="1"/>
  <c r="AB7" i="12" s="1"/>
  <c r="AH7" i="12" s="1"/>
  <c r="AB12" i="12" a="1"/>
  <c r="AB12" i="12" s="1"/>
  <c r="AH12" i="12" s="1"/>
  <c r="AB15" i="12" a="1"/>
  <c r="AB15" i="12" s="1"/>
  <c r="AH15" i="12" s="1"/>
  <c r="AB20" i="12" a="1"/>
  <c r="AB20" i="12" s="1"/>
  <c r="AH20" i="12" s="1"/>
  <c r="AB23" i="12" a="1"/>
  <c r="AB23" i="12" s="1"/>
  <c r="AH23" i="12" s="1"/>
  <c r="AB5" i="12" a="1"/>
  <c r="AB5" i="12" s="1"/>
  <c r="AH5" i="12" s="1"/>
  <c r="AB10" i="12" a="1"/>
  <c r="AB10" i="12" s="1"/>
  <c r="AH10" i="12" s="1"/>
  <c r="AB13" i="12" a="1"/>
  <c r="AB13" i="12" s="1"/>
  <c r="AH13" i="12" s="1"/>
  <c r="AB18" i="12" a="1"/>
  <c r="AB18" i="12" s="1"/>
  <c r="AH18" i="12" s="1"/>
  <c r="AB21" i="12" a="1"/>
  <c r="AB21" i="12" s="1"/>
  <c r="AH21" i="12" s="1"/>
  <c r="AB8" i="12" a="1"/>
  <c r="AB8" i="12" s="1"/>
  <c r="AK8" i="12" s="1"/>
  <c r="AB11" i="12" a="1"/>
  <c r="AB11" i="12" s="1"/>
  <c r="AH11" i="12" s="1"/>
  <c r="AB16" i="12" a="1"/>
  <c r="AB16" i="12" s="1"/>
  <c r="AH16" i="12" s="1"/>
  <c r="AB19" i="12" a="1"/>
  <c r="AB19" i="12" s="1"/>
  <c r="AH19" i="12" s="1"/>
  <c r="AH8" i="12" l="1"/>
  <c r="M25" i="55"/>
  <c r="M12" i="55"/>
  <c r="M14" i="55"/>
  <c r="M27" i="55"/>
  <c r="M19" i="55"/>
  <c r="M26" i="55"/>
  <c r="M17" i="55"/>
  <c r="M20" i="55"/>
  <c r="M28" i="55"/>
  <c r="M13" i="55"/>
  <c r="M21" i="55"/>
  <c r="M16" i="55"/>
  <c r="M15" i="55"/>
  <c r="M29" i="55"/>
  <c r="M24" i="55"/>
  <c r="M22" i="55"/>
  <c r="M9" i="55"/>
  <c r="M23" i="55"/>
  <c r="M10" i="55"/>
  <c r="M18" i="55"/>
  <c r="AK17" i="12"/>
  <c r="AK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K14" i="12"/>
  <c r="AK21" i="12"/>
  <c r="AK23" i="12"/>
  <c r="AK20" i="12"/>
  <c r="AK7" i="12"/>
  <c r="AK22" i="12"/>
  <c r="AK3" i="12"/>
  <c r="AK19" i="12"/>
  <c r="AK5" i="12"/>
  <c r="AK12" i="12"/>
  <c r="AK11" i="12"/>
  <c r="AK6" i="12"/>
  <c r="AK15" i="12"/>
  <c r="AK16" i="12"/>
  <c r="AK9" i="12"/>
  <c r="AK13" i="12"/>
  <c r="AK4" i="12"/>
  <c r="AK10" i="12"/>
  <c r="AJ4" i="12" l="1" a="1"/>
  <c r="AJ4" i="12" s="1"/>
  <c r="J25" i="40" s="1"/>
  <c r="AJ8" i="12" a="1"/>
  <c r="AJ8" i="12" s="1"/>
  <c r="J20" i="40" s="1"/>
  <c r="AJ15" i="12" a="1"/>
  <c r="AJ15" i="12" s="1"/>
  <c r="J15" i="40" s="1"/>
  <c r="AJ22" i="12" a="1"/>
  <c r="AJ22" i="12" s="1"/>
  <c r="J23" i="40" s="1"/>
  <c r="AJ6" i="12" a="1"/>
  <c r="AJ6" i="12" s="1"/>
  <c r="J16" i="40" s="1"/>
  <c r="AJ19" i="12" a="1"/>
  <c r="AJ19" i="12" s="1"/>
  <c r="J21" i="40" s="1"/>
  <c r="AJ13" i="12" a="1"/>
  <c r="AJ13" i="12" s="1"/>
  <c r="J7" i="40" s="1"/>
  <c r="AJ12" i="12" a="1"/>
  <c r="AJ12" i="12" s="1"/>
  <c r="J9" i="40" s="1"/>
  <c r="AJ9" i="12" a="1"/>
  <c r="AJ9" i="12" s="1"/>
  <c r="J17" i="40" s="1"/>
  <c r="AJ18" i="12" a="1"/>
  <c r="AJ18" i="12" s="1"/>
  <c r="J26" i="40" s="1"/>
  <c r="AJ3" i="12" a="1"/>
  <c r="AJ3" i="12" s="1"/>
  <c r="J14" i="40" s="1"/>
  <c r="AJ17" i="12" a="1"/>
  <c r="AJ17" i="12" s="1"/>
  <c r="J13" i="40" s="1"/>
  <c r="AJ16" i="12" a="1"/>
  <c r="AJ16" i="12" s="1"/>
  <c r="J11" i="40" s="1"/>
  <c r="AJ10" i="12" a="1"/>
  <c r="AJ10" i="12" s="1"/>
  <c r="J10" i="40" s="1"/>
  <c r="AJ23" i="12" a="1"/>
  <c r="AJ23" i="12" s="1"/>
  <c r="J18" i="40" s="1"/>
  <c r="AJ7" i="12" a="1"/>
  <c r="AJ7" i="12" s="1"/>
  <c r="J8" i="40" s="1"/>
  <c r="AJ14" i="12" a="1"/>
  <c r="AJ14" i="12" s="1"/>
  <c r="J22" i="40" s="1"/>
  <c r="AJ11" i="12" a="1"/>
  <c r="AJ11" i="12" s="1"/>
  <c r="J19" i="40" s="1"/>
  <c r="AJ21" i="12" a="1"/>
  <c r="AJ21" i="12" s="1"/>
  <c r="J12" i="40" s="1"/>
  <c r="AJ5" i="12" a="1"/>
  <c r="AJ5" i="12" s="1"/>
  <c r="J27" i="40" s="1"/>
  <c r="AJ20" i="12" a="1"/>
  <c r="AJ20" i="12" s="1"/>
  <c r="J24" i="40" s="1"/>
  <c r="M16" i="40" l="1"/>
  <c r="M25" i="40"/>
  <c r="J11" i="49"/>
  <c r="F13" i="55"/>
  <c r="J13" i="55" s="1"/>
  <c r="F18" i="55"/>
  <c r="J18" i="55" s="1"/>
  <c r="J12" i="49"/>
  <c r="J23" i="49"/>
  <c r="F27" i="55"/>
  <c r="J27" i="55" s="1"/>
  <c r="F29" i="55"/>
  <c r="J29" i="55" s="1"/>
  <c r="J6" i="49"/>
  <c r="F19" i="55"/>
  <c r="J19" i="55" s="1"/>
  <c r="J18" i="49"/>
  <c r="M15" i="40"/>
  <c r="F21" i="55"/>
  <c r="J21" i="55" s="1"/>
  <c r="J13" i="49"/>
  <c r="F11" i="55"/>
  <c r="J11" i="55" s="1"/>
  <c r="J9" i="49"/>
  <c r="M13" i="40"/>
  <c r="F23" i="55"/>
  <c r="J23" i="55" s="1"/>
  <c r="J14" i="49"/>
  <c r="F28" i="55"/>
  <c r="J28" i="55" s="1"/>
  <c r="J5" i="49"/>
  <c r="F17" i="55"/>
  <c r="J17" i="55" s="1"/>
  <c r="J8" i="49"/>
  <c r="J21" i="49"/>
  <c r="F24" i="55"/>
  <c r="J24" i="55" s="1"/>
  <c r="M26" i="40"/>
  <c r="F26" i="55"/>
  <c r="J26" i="55" s="1"/>
  <c r="J17" i="49"/>
  <c r="J24" i="49"/>
  <c r="F20" i="55"/>
  <c r="J20" i="55" s="1"/>
  <c r="J15" i="49"/>
  <c r="F22" i="55"/>
  <c r="J22" i="55" s="1"/>
  <c r="M18" i="40"/>
  <c r="M9" i="40"/>
  <c r="M12" i="40"/>
  <c r="M19" i="40"/>
  <c r="M22" i="40"/>
  <c r="M8" i="40"/>
  <c r="M7" i="40"/>
  <c r="M24" i="40"/>
  <c r="M11" i="40"/>
  <c r="M23" i="40"/>
  <c r="M27" i="40"/>
  <c r="J22" i="49" l="1"/>
  <c r="F10" i="55"/>
  <c r="J10" i="55" s="1"/>
  <c r="J16" i="49"/>
  <c r="F12" i="55"/>
  <c r="J12" i="55" s="1"/>
  <c r="M20" i="40"/>
  <c r="J19" i="49"/>
  <c r="F14" i="55"/>
  <c r="J14" i="55" s="1"/>
  <c r="M21" i="40"/>
  <c r="J7" i="49"/>
  <c r="F25" i="55"/>
  <c r="J25" i="55" s="1"/>
  <c r="M17" i="40"/>
  <c r="J20" i="49"/>
  <c r="F15" i="55"/>
  <c r="J15" i="55" s="1"/>
  <c r="M10" i="40"/>
  <c r="F16" i="55"/>
  <c r="J16" i="55" s="1"/>
  <c r="J4" i="49"/>
  <c r="M14" i="40"/>
  <c r="F9" i="55"/>
  <c r="J9" i="55" s="1"/>
  <c r="J10" i="49"/>
  <c r="N19" i="40" l="1" a="1"/>
  <c r="N19" i="40" s="1"/>
  <c r="L8" i="49" s="1"/>
  <c r="N14" i="40" a="1"/>
  <c r="N14" i="40" s="1"/>
  <c r="L10" i="49" s="1"/>
  <c r="N21" i="40" a="1"/>
  <c r="N21" i="40" s="1"/>
  <c r="L7" i="49" s="1"/>
  <c r="N9" i="40" a="1"/>
  <c r="N9" i="40" s="1"/>
  <c r="L12" i="49" s="1"/>
  <c r="N17" i="40" a="1"/>
  <c r="N17" i="40" s="1"/>
  <c r="L20" i="49" s="1"/>
  <c r="N7" i="40" a="1"/>
  <c r="N7" i="40" s="1"/>
  <c r="L18" i="49" s="1"/>
  <c r="N13" i="40" a="1"/>
  <c r="N13" i="40" s="1"/>
  <c r="L14" i="49" s="1"/>
  <c r="N26" i="40" a="1"/>
  <c r="N26" i="40" s="1"/>
  <c r="L21" i="49" s="1"/>
  <c r="N27" i="40" a="1"/>
  <c r="N27" i="40" s="1"/>
  <c r="L9" i="49" s="1"/>
  <c r="N24" i="40" a="1"/>
  <c r="N24" i="40" s="1"/>
  <c r="L17" i="49" s="1"/>
  <c r="N20" i="40" a="1"/>
  <c r="N20" i="40" s="1"/>
  <c r="L19" i="49" s="1"/>
  <c r="N10" i="40" a="1"/>
  <c r="N10" i="40" s="1"/>
  <c r="L4" i="49" s="1"/>
  <c r="N15" i="40" a="1"/>
  <c r="N15" i="40" s="1"/>
  <c r="L13" i="49" s="1"/>
  <c r="N22" i="40" a="1"/>
  <c r="N22" i="40" s="1"/>
  <c r="L24" i="49" s="1"/>
  <c r="N8" i="40" a="1"/>
  <c r="N8" i="40" s="1"/>
  <c r="L11" i="49" s="1"/>
  <c r="N12" i="40" a="1"/>
  <c r="N12" i="40" s="1"/>
  <c r="L23" i="49" s="1"/>
  <c r="N18" i="40" a="1"/>
  <c r="N18" i="40" s="1"/>
  <c r="L6" i="49" s="1"/>
  <c r="N16" i="40" a="1"/>
  <c r="N16" i="40" s="1"/>
  <c r="L22" i="49" s="1"/>
  <c r="N25" i="40" a="1"/>
  <c r="N25" i="40" s="1"/>
  <c r="L16" i="49" s="1"/>
  <c r="N23" i="40" a="1"/>
  <c r="N23" i="40" s="1"/>
  <c r="L5" i="49" s="1"/>
  <c r="N11" i="40" a="1"/>
  <c r="N11" i="40" s="1"/>
  <c r="L15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K15" i="55"/>
  <c r="R15" i="55" s="1"/>
  <c r="K19" i="55"/>
  <c r="R19" i="55" s="1"/>
  <c r="K22" i="55"/>
  <c r="R22" i="55" s="1"/>
  <c r="S11" i="55" l="1"/>
  <c r="S24" i="55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1766A727-77C5-4ACA-AD4B-09BD5281765C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Timestamp="1713513000"&gt;&lt;FQL&gt;&lt;Q&gt;FC0000ZA^FG_MCAP_IDX(0,,,USD)&lt;/Q&gt;&lt;R&gt;1&lt;/R&gt;&lt;C&gt;1&lt;/C&gt;&lt;D xsi:type="xsd:double"&gt;286270.5&lt;/D&gt;&lt;/FQL&gt;&lt;FQL&gt;&lt;Q&gt;FC0000CN^FMA_MCAP(0,,,USD,"PORTAGG")&lt;/Q&gt;&lt;R&gt;1&lt;/R&gt;&lt;C&gt;1&lt;/C&gt;&lt;D xsi:type="xsd:double"&gt;7490056&lt;/D&gt;&lt;/FQL&gt;&lt;FQL&gt;&lt;Q&gt;NQG00809^FMA_MCAP(0,,,USD,"PORTAGG")&lt;/Q&gt;&lt;R&gt;0&lt;/R&gt;&lt;C&gt;0&lt;/C&gt;&lt;/FQL&gt;&lt;FQL&gt;&lt;Q&gt;MCHI^FREF_MARKET_VALUE_COMPANY(0,,,USD,,0,,"LEGACY")&lt;/Q&gt;&lt;R&gt;1&lt;/R&gt;&lt;C&gt;1&lt;/C&gt;&lt;D xsi:type="xsd:double"&gt;4713.168&lt;/D&gt;&lt;/FQL&gt;&lt;FQL&gt;&lt;Q&gt;FC0000US^FMA_MCAP(0,,,USD,"PORTAGG")&lt;/Q&gt;&lt;R&gt;1&lt;/R&gt;&lt;C&gt;1&lt;/C&gt;&lt;D xsi:type="xsd:double"&gt;52196920&lt;/D&gt;&lt;/FQL&gt;&lt;FQL&gt;&lt;Q&gt;FC0000IN^FMA_MCAP(0,,,USD,"PORTAGG")&lt;/Q&gt;&lt;R&gt;1&lt;/R&gt;&lt;C&gt;1&lt;/C&gt;&lt;D xsi:type="xsd:double"&gt;4632098&lt;/D&gt;&lt;/FQL&gt;&lt;FQL&gt;&lt;Q&gt;SPY^FREF_MARKET_VALUE_COMPANY(0,,,USD,,0,,"LEGACY")&lt;/Q&gt;&lt;R&gt;1&lt;/R&gt;&lt;C&gt;1&lt;/C&gt;&lt;D xsi:type="xsd:double"&gt;498412.114592&lt;/D&gt;&lt;/FQL&gt;&lt;FQL&gt;&lt;Q&gt;INDA^FREF_MARKET_VALUE_COMPANY(0,,,USD,,0,,"LEGACY")&lt;/Q&gt;&lt;R&gt;1&lt;/R&gt;&lt;C&gt;1&lt;/C&gt;&lt;D xsi:type="xsd:double"&gt;9391.773&lt;/D&gt;&lt;/FQL&gt;&lt;FQL&gt;&lt;Q&gt;FC0000GR^FMA_MCAP(0,,,USD,"PORTAGG")&lt;/Q&gt;&lt;R&gt;1&lt;/R&gt;&lt;C&gt;1&lt;/C&gt;&lt;D xsi:type="xsd:double"&gt;78912.94&lt;/D&gt;&lt;/FQL&gt;&lt;FQL&gt;&lt;Q&gt;QQQ^FREF_MARKET_VALUE_COMPANY(0,,,USD,,0,,"LEGACY")&lt;/Q&gt;&lt;R&gt;1&lt;/R&gt;&lt;C&gt;1&lt;/C&gt;&lt;D xsi:type="xsd:double"&gt;245895.3575&lt;/D&gt;&lt;/FQL&gt;&lt;FQL&gt;&lt;Q&gt;GREK^FREF_MARKET_VALUE_COMPANY(0,,,USD,,0,,"LEGACY")&lt;/Q&gt;&lt;R&gt;1&lt;/R&gt;&lt;C&gt;1&lt;/C&gt;&lt;D xsi:type="xsd:double"&gt;186.886936377&lt;/D&gt;&lt;/FQL&gt;&lt;FQL&gt;&lt;Q&gt;FC0000GB^FMA_MCAP(0,,,USD,"PORTAGG")&lt;/Q&gt;&lt;R&gt;1&lt;/R&gt;&lt;C&gt;1&lt;/C&gt;&lt;D xsi:type="xsd:double"&gt;3055768.5&lt;/D&gt;&lt;/FQL&gt;&lt;FQL&gt;&lt;Q&gt;FC0000ZA^FMA_MCAP(0,,,USD,"PORTAGG")&lt;/Q&gt;&lt;R&gt;1&lt;/R&gt;&lt;C&gt;1&lt;/C&gt;&lt;D xsi:type="xsd:double"&gt;286270.5&lt;/D&gt;&lt;/FQL&gt;&lt;FQL&gt;&lt;Q&gt;EWU^FREF_MARKET_VALUE_COMPANY(0,,,USD,,0,,"LEGACY")&lt;/Q&gt;&lt;R&gt;1&lt;/R&gt;&lt;C&gt;1&lt;/C&gt;&lt;D xsi:type="xsd:double"&gt;2599.74&lt;/D&gt;&lt;/FQL&gt;&lt;FQL&gt;&lt;Q&gt;EZA^FREF_MARKET_VALUE_COMPANY(0,,,USD,,0,,"LEGACY")&lt;/Q&gt;&lt;R&gt;1&lt;/R&gt;&lt;C&gt;1&lt;/C&gt;&lt;D xsi:type="xsd:double"&gt;252.516&lt;/D&gt;&lt;/FQL&gt;&lt;FQL&gt;&lt;Q&gt;FC0000CH^FMA_MCAP(0,,,USD,"PORTAGG")&lt;/Q&gt;&lt;R&gt;1&lt;/R&gt;&lt;C&gt;1&lt;/C&gt;&lt;D xsi:type="xsd:double"&gt;2026340.1&lt;/D&gt;&lt;/FQL&gt;&lt;FQL&gt;&lt;Q&gt;FC0000BR^FMA_MCAP(0,,,USD,"PORTAGG")&lt;/Q&gt;&lt;R&gt;1&lt;/R&gt;&lt;C&gt;1&lt;/C&gt;&lt;D xsi:type="xsd:double"&gt;712846.5&lt;/D&gt;&lt;/FQL&gt;&lt;FQL&gt;&lt;Q&gt;EWL^FREF_MARKET_VALUE_COMPANY(0,,,USD,,0,,"LEGACY")&lt;/Q&gt;&lt;R&gt;1&lt;/R&gt;&lt;C&gt;1&lt;/C&gt;&lt;D xsi:type="xsd:double"&gt;999.6075&lt;/D&gt;&lt;/FQL&gt;&lt;FQL&gt;&lt;Q&gt;EWZ^FREF_MARKET_VALUE_COMPANY(0,,,USD,,0,,"LEGACY")&lt;/Q&gt;&lt;R&gt;1&lt;/R&gt;&lt;C&gt;1&lt;/C&gt;&lt;D xsi:type="xsd:double"&gt;4728.7755&lt;/D&gt;&lt;/FQL&gt;&lt;FQL&gt;&lt;Q&gt;FC0000JP^FMA_MCAP(0,,,USD,"PORTAGG")&lt;/Q&gt;&lt;R&gt;1&lt;/R&gt;&lt;C&gt;1&lt;/C&gt;&lt;D xsi:type="xsd:double"&gt;6367850.5&lt;/D&gt;&lt;/FQL&gt;&lt;FQL&gt;&lt;Q&gt;FC0000KR^FMA_MCAP(0,,,USD,"PORTAGG")&lt;/Q&gt;&lt;R&gt;1&lt;/R&gt;&lt;C&gt;1&lt;/C&gt;&lt;D xsi:type="xsd:double"&gt;1825360.8&lt;/D&gt;&lt;/FQL&gt;&lt;FQL&gt;&lt;Q&gt;EWJ^FREF_MARKET_VALUE_COMPANY(0,,,USD,,0,,"LEGACY")&lt;/Q&gt;&lt;R&gt;1&lt;/R&gt;&lt;C&gt;1&lt;/C&gt;&lt;D xsi:type="xsd:double"&gt;16364.6385&lt;/D&gt;&lt;/FQL&gt;&lt;FQL&gt;&lt;Q&gt;EWY^FREF_MARKET_VALUE_COMPANY(0,,,USD,,0,,"LEGACY")&lt;/Q&gt;&lt;R&gt;1&lt;/R&gt;&lt;C&gt;1&lt;/C&gt;&lt;D xsi:type="xsd:double"&gt;4906.92&lt;/D&gt;&lt;/FQL&gt;&lt;FQL&gt;&lt;Q&gt;FC0000DE^FMA_MCAP(0,,,USD,"PORTAGG")&lt;/Q&gt;&lt;R&gt;1&lt;/R&gt;&lt;C&gt;1&lt;/C&gt;&lt;D xsi:type="xsd:double"&gt;2223028&lt;/D&gt;&lt;/FQL&gt;&lt;FQL&gt;&lt;Q&gt;FC0000MX^FMA_MCAP(0,,,USD,"PORTAGG")&lt;/Q&gt;&lt;R&gt;1&lt;/R&gt;&lt;C&gt;1&lt;/C&gt;&lt;D xsi:type="xsd:double"&gt;513856.34&lt;/D&gt;&lt;/FQL&gt;&lt;FQL&gt;&lt;Q&gt;EWG^FREF_MARKET_VALUE_COMPANY(0,,,USD,,0,,"LEGACY")&lt;/Q&gt;&lt;R&gt;1&lt;/R&gt;&lt;C&gt;1&lt;/C&gt;&lt;D xsi:type="xsd:double"&gt;973.296&lt;/D&gt;&lt;/FQL&gt;&lt;FQL&gt;&lt;Q&gt;EWW^FREF_MARKET_VALUE_COMPANY(0,,,USD,,0,,"LEGACY")&lt;/Q&gt;&lt;R&gt;1&lt;/R&gt;&lt;C&gt;1&lt;/C&gt;&lt;D xsi:type="xsd:double"&gt;2019.012&lt;/D&gt;&lt;/FQL&gt;&lt;FQL&gt;&lt;Q&gt;FC0000CA^FMA_MCAP(0,,,USD,"PORTAGG")&lt;/Q&gt;&lt;R&gt;1&lt;/R&gt;&lt;C&gt;1&lt;/C&gt;&lt;D xsi:type="xsd:double"&gt;2658612.5&lt;/D&gt;&lt;/FQL&gt;&lt;FQL&gt;&lt;Q&gt;FC0000TW^FMA_MCAP(0,,,USD,"PORTAGG")&lt;/Q&gt;&lt;R&gt;1&lt;/R&gt;&lt;C&gt;1&lt;/C&gt;&lt;D xsi:type="xsd:double"&gt;2173821.8&lt;/D&gt;&lt;/FQL&gt;&lt;FQL&gt;&lt;Q&gt;EWT^FREF_MARKET_VALUE_COMPANY(0,,,USD,,0,,"LEGACY")&lt;/Q&gt;&lt;R&gt;1&lt;/R&gt;&lt;C&gt;1&lt;/C&gt;&lt;D xsi:type="xsd:double"&gt;4020.009&lt;/D&gt;&lt;/FQL&gt;&lt;FQL&gt;&lt;Q&gt;FC0000AU^FMA_MCAP(0,,,USD,"PORTAGG")&lt;/Q&gt;&lt;R&gt;1&lt;/R&gt;&lt;C&gt;1&lt;/C&gt;&lt;D xsi:type="xsd:double"&gt;1612711.9&lt;/D&gt;&lt;/FQL&gt;&lt;FQL&gt;&lt;Q&gt;FC0000MY^FMA_MCAP(0,,,USD,"PORTAGG")&lt;/Q&gt;&lt;R&gt;1&lt;/R&gt;&lt;C&gt;1&lt;/C&gt;&lt;D xsi:type="xsd:double"&gt;366440.2&lt;/D&gt;&lt;/FQL&gt;&lt;FQL&gt;&lt;Q&gt;EWA^FREF_MARKET_VALUE_COMPANY(0,,,USD,,0,,"LEGACY")&lt;/Q&gt;&lt;R&gt;1&lt;/R&gt;&lt;C&gt;1&lt;/C&gt;&lt;D xsi:type="xsd:double"&gt;1696.24&lt;/D&gt;&lt;/FQL&gt;&lt;FQL&gt;&lt;Q&gt;EWM^FREF_MARKET_VALUE_COMPANY(0,,,USD,,0,,"LEGACY")&lt;/Q&gt;&lt;R&gt;1&lt;/R&gt;&lt;C&gt;1&lt;/C&gt;&lt;D xsi:type="xsd:double"&gt;249.942&lt;/D&gt;&lt;/FQL&gt;&lt;FQL&gt;&lt;Q&gt;FC0000NZ^FMA_MCAP(0,,,USD,"PORTAGG")&lt;/Q&gt;&lt;R&gt;1&lt;/R&gt;&lt;C&gt;1&lt;/C&gt;&lt;D xsi:type="xsd:double"&gt;88983.984&lt;/D&gt;&lt;/FQL&gt;&lt;FQL&gt;&lt;Q&gt;FC0000PE^FMA_MCAP(0,,,USD,"PORTAGG")&lt;/Q&gt;&lt;R&gt;1&lt;/R&gt;&lt;C&gt;1&lt;/C&gt;&lt;D xsi:type="xsd:double"&gt;34614.86&lt;/D&gt;&lt;/FQL&gt;&lt;FQL&gt;&lt;Q&gt;ENZL^FREF_MARKET_VALUE_COMPANY(0,,,USD,,0,,"LEGACY")&lt;/Q&gt;&lt;R&gt;1&lt;/R&gt;&lt;C&gt;1&lt;/C&gt;&lt;D xsi:type="xsd:double"&gt;85.8&lt;/D&gt;&lt;/FQL&gt;&lt;FQL&gt;&lt;Q&gt;FC0000SA^FMA_MCAP(0,,,USD,"PORTAGG")&lt;/Q&gt;&lt;R&gt;1&lt;/R&gt;&lt;C&gt;1&lt;/C&gt;&lt;D xsi:type="xsd:double"&gt;2884927.3&lt;/D&gt;&lt;/FQL&gt;&lt;FQL&gt;&lt;Q&gt;KSA^FREF_MARKET_VALUE_COMPANY(0,,,USD,,0,,"LEGACY")&lt;/Q&gt;&lt;R&gt;1&lt;/R&gt;&lt;C&gt;1&lt;/C&gt;&lt;D xsi:type="xsd:double"&gt;812.141&lt;/D&gt;&lt;/FQL&gt;&lt;FQL&gt;&lt;Q&gt;FTSEWIVNXXXX^FMA_MCAP(0,,,USD,"PORTAGG")&lt;/Q&gt;&lt;R&gt;1&lt;/R&gt;&lt;C&gt;1&lt;/C&gt;&lt;D xsi:type="xsd:double"&gt;22962.360186&lt;/D&gt;&lt;/FQL&gt;&lt;FQL&gt;&lt;Q&gt;VNM^FREF_MARKET_VALUE_COMPANY(0,,,USD,,0,,"LEGACY")&lt;/Q&gt;&lt;R&gt;1&lt;/R&gt;&lt;C&gt;1&lt;/C&gt;&lt;D xsi:type="xsd:double"&gt;494.098&lt;/D&gt;&lt;/FQL&gt;&lt;FQL&gt;&lt;Q&gt;EPHE^FREF_MARKET_VALUE_COMPANY(0,,,USD,,0,,"LEGACY")&lt;/Q&gt;&lt;R&gt;1&lt;/R&gt;&lt;C&gt;1&lt;/C&gt;&lt;D xsi:type="xsd:double"&gt;116.5755&lt;/D&gt;&lt;/FQL&gt;&lt;FQL&gt;&lt;Q&gt;FC0000AE^FMA_MCAP(0,,,USD,"PORTAGG")&lt;/Q&gt;&lt;R&gt;1&lt;/R&gt;&lt;C&gt;1&lt;/C&gt;&lt;D xsi:type="xsd:double"&gt;878029.9&lt;/D&gt;&lt;/FQL&gt;&lt;FQL&gt;&lt;Q&gt;UAE^FREF_MARKET_VALUE_COMPANY(0,,,USD,,0,,"LEGACY")&lt;/Q&gt;&lt;R&gt;1&lt;/R&gt;&lt;C&gt;1&lt;/C&gt;&lt;D xsi:type="xsd:double"&gt;39.366&lt;/D&gt;&lt;/FQL&gt;&lt;FQL&gt;&lt;Q&gt;FC0000TR^FMA_MCAP(0,,,USD,"PORTAGG")&lt;/Q&gt;&lt;R&gt;1&lt;/R&gt;&lt;C&gt;1&lt;/C&gt;&lt;D xsi:type="xsd:double"&gt;376849.1&lt;/D&gt;&lt;/FQL&gt;&lt;FQL&gt;&lt;Q&gt;TUR^FREF_MARKET_VALUE_COMPANY(0,,,USD,,0,,"LEGACY")&lt;/Q&gt;&lt;R&gt;1&lt;/R&gt;&lt;C&gt;1&lt;/C&gt;&lt;D xsi:type="xsd:double"&gt;224.315&lt;/D&gt;&lt;/FQL&gt;&lt;FQL&gt;&lt;Q&gt;ECH^FREF_MARKET_VALUE_COMPANY(0,,,USD,,0,,"LEGACY")&lt;/Q&gt;&lt;R&gt;1&lt;/R&gt;&lt;C&gt;1&lt;/C&gt;&lt;D xsi:type="xsd:double"&gt;572.686&lt;/D&gt;&lt;/FQL&gt;&lt;FQL&gt;&lt;Q&gt;SET-BKK^FMA_MCAP(0,,,USD,"PORTAGG")&lt;/Q&gt;&lt;R&gt;1&lt;/R&gt;&lt;C&gt;1&lt;/C&gt;&lt;D xsi:type="xsd:double"&gt;457112.30603836&lt;/D&gt;&lt;/FQL&gt;&lt;FQL&gt;&lt;Q&gt;SET-BKK^FG_MCAP_IDX(0,,,USD)&lt;/Q&gt;&lt;R&gt;1&lt;/R&gt;&lt;C&gt;1&lt;/C&gt;&lt;D xsi:type="xsd:double"&gt;457112.30603836&lt;/D&gt;&lt;/FQL&gt;&lt;FQL&gt;&lt;Q&gt;EWC^FREF_MARKET_VALUE_COMPANY(0,,,USD,,0,,"LEGACY")&lt;/Q&gt;&lt;R&gt;1&lt;/R&gt;&lt;C&gt;1&lt;/C&gt;&lt;D xsi:type="xsd:double"&gt;2741.64&lt;/D&gt;&lt;/FQL&gt;&lt;FQL&gt;&lt;Q&gt;EPU^FREF_MARKET_VALUE_COMPANY(0,,,USD,,0,,"LEGACY")&lt;/Q&gt;&lt;R&gt;1&lt;/R&gt;&lt;C&gt;1&lt;/C&gt;&lt;D xsi:type="xsd:double"&gt;111.664&lt;/D&gt;&lt;/FQL&gt;&lt;FQL&gt;&lt;Q&gt;FC0000PL^FMA_MCAP(0,,,USD,"PORTAGG")&lt;/Q&gt;&lt;R&gt;1&lt;/R&gt;&lt;C&gt;1&lt;/C&gt;&lt;D xsi:type="xsd:double"&gt;200453.1&lt;/D&gt;&lt;/FQL&gt;&lt;FQL&gt;&lt;Q&gt;EPOL^FREF_MARKET_VALUE_COMPANY(0,,,USD,,0,,"LEGACY")&lt;/Q&gt;&lt;R&gt;1&lt;/R&gt;&lt;C&gt;1&lt;/C&gt;&lt;D xsi:type="xsd:double"&gt;308.294&lt;/D&gt;&lt;/FQL&gt;&lt;FQL&gt;&lt;Q&gt;FC0000PH^FMA_MCAP(0,,,USD,"PORTAGG")&lt;/Q&gt;&lt;R&gt;1&lt;/R&gt;&lt;C&gt;1&lt;/C&gt;&lt;D xsi:type="xsd:double"&gt;204580.81&lt;/D&gt;&lt;/FQL&gt;&lt;FQL&gt;&lt;Q&gt;FC0000ID^FMA_MCAP(0,,,USD,"PORTAGG")&lt;/Q&gt;&lt;R&gt;1&lt;/R&gt;&lt;C&gt;1&lt;/C&gt;&lt;D xsi:type="xsd:double"&gt;637538.8&lt;/D&gt;&lt;/FQL&gt;&lt;FQL&gt;&lt;Q&gt;EIDO^FREF_MARKET_VALUE_COMPANY(0,,,USD,,0,,"LEGACY")&lt;/Q&gt;&lt;R&gt;1&lt;/R&gt;&lt;C&gt;1&lt;/C&gt;&lt;D xsi:type="xsd:double"&gt;463.758&lt;/D&gt;&lt;/FQL&gt;&lt;FQL&gt;&lt;Q&gt;FC0000CL^FMA_MCAP(0,,,USD,"PORTAGG")&lt;/Q&gt;&lt;R&gt;1&lt;/R&gt;&lt;C&gt;1&lt;/C&gt;&lt;D xsi:type="xsd:double"&gt;140955&lt;/D&gt;&lt;/FQL&gt;&lt;FQL&gt;&lt;Q&gt;CNYA^FREF_MARKET_VALUE_COMPANY(0,,,USD,,0,,"LEGACY")&lt;/Q&gt;&lt;R&gt;1&lt;/R&gt;&lt;C&gt;1&lt;/C&gt;&lt;D xsi:type="xsd:double"&gt;326.74&lt;/D&gt;&lt;/FQL&gt;&lt;FQL&gt;&lt;Q&gt;CC_ZA^FG_COMPANY_NAME&lt;/Q&gt;&lt;R&gt;1&lt;/R&gt;&lt;C&gt;1&lt;/C&gt;&lt;D xsi:type="xsd:string"&gt;South Africa&lt;/D&gt;&lt;/FQL&gt;&lt;FQL&gt;&lt;Q&gt;FC0000QA^FMA_MCAP(0,,,USD,"PORTAGG")&lt;/Q&gt;&lt;R&gt;1&lt;/R&gt;&lt;C&gt;1&lt;/C&gt;&lt;D xsi:type="xsd:double"&gt;156094.84&lt;/D&gt;&lt;/FQL&gt;&lt;FQL&gt;&lt;Q&gt;QAT^FREF_MARKET_VALUE_COMPANY(0,,,USD,,0,,"LEGACY")&lt;/Q&gt;&lt;R&gt;1&lt;/R&gt;&lt;C&gt;1&lt;/C&gt;&lt;D xsi:type="xsd:double"&gt;78.7605&lt;/D&gt;&lt;/FQL&gt;&lt;FQL&gt;&lt;Q&gt;NQG00809^FG_COMPANY_NAME&lt;/Q&gt;&lt;R&gt;1&lt;/R&gt;&lt;C&gt;1&lt;/C&gt;&lt;D xsi:type="xsd:string"&gt;Nasdaq South Africa&lt;/D&gt;&lt;/FQL&gt;&lt;FQL&gt;&lt;Q&gt;DUMMY^ECON_EXPR_DATA('FDS_ECON[NTCPMIMFGSA@PL]',,,M)&lt;/Q&gt;&lt;R&gt;1&lt;/R&gt;&lt;C&gt;1&lt;/C&gt;&lt;D xsi:type="xsd:double"&gt;47.991665&lt;/D&gt;&lt;/FQL&gt;&lt;FQL&gt;&lt;Q&gt;DUMMY^ECON_EXPR_DATA('FDS_ECON[NTCPMIMFGSA@TR]',,,M)&lt;/Q&gt;&lt;R&gt;1&lt;/R&gt;&lt;C&gt;1&lt;/C&gt;&lt;D xsi:type="xsd:double"&gt;49.97893&lt;/D&gt;&lt;/FQL&gt;&lt;FQL&gt;&lt;Q&gt;DUMMY^ECON_EXPR_DATA('FDS_ECON[NTCPMIINDEXSA@SA]',,,M)&lt;/Q&gt;&lt;R&gt;1&lt;/R&gt;&lt;C&gt;1&lt;/C&gt;&lt;D xsi:type="xsd:double"&gt;57.04606&lt;/D&gt;&lt;/FQL&gt;&lt;FQL&gt;&lt;Q&gt;DUMMY^ECON_EXPR_DATA('FDS_ECON[NTCPMIPHMANHE]',,,M)&lt;/Q&gt;&lt;R&gt;0&lt;/R&gt;&lt;C&gt;0&lt;/C&gt;&lt;/FQL&gt;&lt;FQL&gt;&lt;Q&gt;DUMMY^ECON_EXPR_DATA('FDS_ECON[NTCPMITHMANHE]',,,M)&lt;/Q&gt;&lt;R&gt;0&lt;/R&gt;&lt;C&gt;0&lt;/C&gt;&lt;/FQL&gt;&lt;FQL&gt;&lt;Q&gt;DUMMY^ECON_EXPR_DATA('FDS_ECON[NTCPMIMFGSA@VN]',,,M)&lt;/Q&gt;&lt;R&gt;1&lt;/R&gt;&lt;C&gt;1&lt;/C&gt;&lt;D xsi:type="xsd:double"&gt;49.86291&lt;/D&gt;&lt;/FQL&gt;&lt;FQL&gt;&lt;Q&gt;DUMMY^ECON_EXPR_DATA('FDS_ECON[NTCPMIMFGSA@CN]',,,M)&lt;/Q&gt;&lt;R&gt;1&lt;/R&gt;&lt;C&gt;1&lt;/C&gt;&lt;D xsi:type="xsd:double"&gt;51.12935&lt;/D&gt;&lt;/FQL&gt;&lt;FQL&gt;&lt;Q&gt;DUMMY^ECON_EXPR_DATA('FDS_ECON[NTCPMIMFGSA@ID]',,,M)&lt;/Q&gt;&lt;R&gt;1&lt;/R&gt;&lt;C&gt;1&lt;/C&gt;&lt;D xsi:type="xsd:double"&gt;54.182526&lt;/D&gt;&lt;/FQL&gt;&lt;FQL&gt;&lt;Q&gt;DUMMY^ECON_EXPR_DATA('FDS_ECON[NTCPMIMFGSA@CL]',,,M)&lt;/Q&gt;&lt;R&gt;0&lt;/R&gt;&lt;C&gt;0&lt;/C&gt;&lt;/FQL&gt;&lt;FQL&gt;&lt;Q&gt;DUMMY^ECON_EXPR_DATA('FDS_ECON[NTCPMIMFGSA@AE]',,,M)&lt;/Q&gt;&lt;R&gt;0&lt;/R&gt;&lt;C&gt;0&lt;/C&gt;&lt;/FQL&gt;&lt;FQL&gt;&lt;Q&gt;DUMMY^ECON_EXPR_DATA('FDS_ECON[NTCPMIMFGSA@GR]',,,M)&lt;/Q&gt;&lt;R&gt;1&lt;/R&gt;&lt;C&gt;1&lt;/C&gt;&lt;D xsi:type="xsd:double"&gt;56.855103&lt;/D&gt;&lt;/FQL&gt;&lt;FQL&gt;&lt;Q&gt;DUMMY^ECON_EXPR_DATA('FDS_ECON[PMIQAWHEHE]',,,M)&lt;/Q&gt;&lt;R&gt;1&lt;/R&gt;&lt;C&gt;1&lt;/C&gt;&lt;D xsi:type="xsd:double"&gt;50.577515&lt;/D&gt;&lt;/FQL&gt;&lt;FQL&gt;&lt;Q&gt;DUMMY^ECON_EXPR_DATA('FDS_ECON[NTCPMIMFGSA@IN]',,,M)&lt;/Q&gt;&lt;R&gt;1&lt;/R&gt;&lt;C&gt;1&lt;/C&gt;&lt;D xsi:type="xsd:double"&gt;59.1367&lt;/D&gt;&lt;/FQL&gt;&lt;FQL&gt;&lt;Q&gt;DUMMY^ECON_EXPR_DATA('FDS_ECON[PMIMFGSA@ZA]',,,M)&lt;/Q&gt;&lt;R&gt;1&lt;/R&gt;&lt;C&gt;1&lt;/C&gt;&lt;D xsi:type="xsd:double"&gt;48.38684&lt;/D&gt;&lt;/FQL&gt;&lt;FQL&gt;&lt;Q&gt;DUMMY^ECON_EXPR_DATA('FDS_ECON[NTCPMIMFGSA@BR]',,,M)&lt;/Q&gt;&lt;R&gt;1&lt;/R&gt;&lt;C&gt;1&lt;/C&gt;&lt;D xsi:type="xsd:double"&gt;53.629944&lt;/D&gt;&lt;/FQL&gt;&lt;FQL&gt;&lt;Q&gt;DUMMY^ECON_EXPR_DATA('FDS_ECON[PMIMYMANHE]',,,M)&lt;/Q&gt;&lt;R&gt;1&lt;/R&gt;&lt;C&gt;1&lt;/C&gt;&lt;D xsi:type="xsd:double"&gt;48.399647&lt;/D&gt;&lt;/FQL&gt;&lt;FQL&gt;&lt;Q&gt;DUMMY^ECON_EXPR_DATA('FDS_ECON[NTCPMIMFGSA@KR]',,,M)&lt;/Q&gt;&lt;R&gt;1&lt;/R&gt;&lt;C&gt;1&lt;/C&gt;&lt;D xsi:type="xsd:double"&gt;49.82558&lt;/D&gt;&lt;/FQL&gt;&lt;FQL&gt;&lt;Q&gt;DUMMY^ECON_EXPR_DATA('FDS_ECON[NTCPMIMFGSA@MX]',,,M)&lt;/Q&gt;&lt;R&gt;1&lt;/R&gt;&lt;C&gt;1&lt;/C&gt;&lt;D xsi:type="xsd:double"&gt;52.23004&lt;/D&gt;&lt;/FQL&gt;&lt;FQL&gt;&lt;Q&gt;DUMMY^ECON_EXPR_DATA('FDS_ECON[NTCPMIMFGSA@TW]',,,M)&lt;/Q&gt;&lt;R&gt;1&lt;/R&gt;&lt;C&gt;1&lt;/C&gt;&lt;D xsi:type="xsd:double"&gt;49.3&lt;/D&gt;&lt;/FQL&gt;&lt;FQL&gt;&lt;Q&gt;DUMMY^ECON_EXPR_DATA('FDS_ECON[NTCPMIMFGSA@PE]',,,M)&lt;/Q&gt;&lt;R&gt;0&lt;/R&gt;&lt;C&gt;0&lt;/C&gt;&lt;/FQL&gt;&lt;FQL&gt;&lt;Q&gt;CAGDPY@QA^EE_ACTUAL_ANNUAL(MED,0)&lt;/Q&gt;&lt;R&gt;1&lt;/R&gt;&lt;C&gt;1&lt;/C&gt;&lt;D xsi:type="xsd:double"&gt;16.2&lt;/D&gt;&lt;/FQL&gt;&lt;FQL&gt;&lt;Q&gt;CAGDPY@TW^EE_ACTUAL_ANNUAL(MED,0)&lt;/Q&gt;&lt;R&gt;1&lt;/R&gt;&lt;C&gt;1&lt;/C&gt;&lt;D xsi:type="xsd:double"&gt;13.7260418671641&lt;/D&gt;&lt;/FQL&gt;&lt;FQL&gt;&lt;Q&gt;CC_VN^FG_COMPANY_NAME&lt;/Q&gt;&lt;R&gt;1&lt;/R&gt;&lt;C&gt;1&lt;/C&gt;&lt;D xsi:type="xsd:string"&gt;Vietnam&lt;/D&gt;&lt;/FQL&gt;&lt;FQL&gt;&lt;Q&gt;CC_PH^FG_COMPANY_NAME&lt;/Q&gt;&lt;R&gt;1&lt;/R&gt;&lt;C&gt;1&lt;/C&gt;&lt;D xsi:type="xsd:string"&gt;Philippines&lt;/D&gt;&lt;/FQL&gt;&lt;FQL&gt;&lt;Q&gt;USDVND^FG_PRICE_CHANGE(0,-1AM)&lt;/Q&gt;&lt;R&gt;1&lt;/R&gt;&lt;C&gt;1&lt;/C&gt;&lt;D xsi:type="xsd:double"&gt;2.7057648&lt;/D&gt;&lt;/FQL&gt;&lt;FQL&gt;&lt;Q&gt;USDTRY^FG_PRICE_CHANGE(0,-1AM)&lt;/Q&gt;&lt;R&gt;1&lt;/R&gt;&lt;C&gt;1&lt;/C&gt;&lt;D xsi:type="xsd:double"&gt;0.62315464&lt;/D&gt;&lt;/FQL&gt;&lt;FQL&gt;&lt;Q&gt;USDQAR^FG_PRICE_CHANGE(0,-1AM)&lt;/Q&gt;&lt;R&gt;1&lt;/R&gt;&lt;C&gt;1&lt;/C&gt;&lt;D xsi:type="xsd:double"&gt;0&lt;/D&gt;&lt;/FQL&gt;&lt;FQL&gt;&lt;Q&gt;USDINR^FG_PRICE_CHANGE(0,-1AM)&lt;/Q&gt;&lt;R&gt;1&lt;/R&gt;&lt;C&gt;1&lt;/C&gt;&lt;D xsi:type="xsd:double"&gt;0.7628441&lt;/D&gt;&lt;/FQL&gt;&lt;FQL&gt;&lt;Q&gt;USDZAR^FG_PRICE_CHANGE(0,-1AM)&lt;/Q&gt;&lt;R&gt;1&lt;/R&gt;&lt;C&gt;1&lt;/C&gt;&lt;D xsi:type="xsd:double"&gt;0.95558167&lt;/D&gt;&lt;/FQL&gt;&lt;FQL&gt;&lt;Q&gt;USDKRW^FG_PRICE_CHANGE(0,-1AM)&lt;/Q&gt;&lt;R&gt;1&lt;/R&gt;&lt;C&gt;1&lt;/C&gt;&lt;D xsi:type="xsd:double"&gt;2.9429436&lt;/D&gt;&lt;/FQL&gt;&lt;FQL&gt;&lt;Q&gt;USDTWD^FG_PRICE_CHANGE(0,-1AM)&lt;/Q&gt;&lt;R&gt;1&lt;/R&gt;&lt;C&gt;1&lt;/C&gt;&lt;D xsi:type="xsd:double"&gt;2.136159&lt;/D&gt;&lt;/FQL&gt;&lt;FQL&gt;&lt;Q&gt;USDPEN^FG_PRICE_CHANGE(0,-1AM)&lt;/Q&gt;&lt;R&gt;1&lt;/R&gt;&lt;C&gt;1&lt;/C&gt;&lt;D xsi:type="xsd:double"&gt;1.3417125&lt;/D&gt;&lt;/FQL&gt;&lt;FQL&gt;&lt;Q&gt;USDPHP^FG_PRICE_CHANGE(0,-1AM)&lt;/Q&gt;&lt;R&gt;1&lt;/R&gt;&lt;C&gt;1&lt;/C&gt;&lt;D xsi:type="xsd:double"&gt;2.8777838&lt;/D&gt;&lt;/FQL&gt;&lt;FQL&gt;&lt;Q&gt;USDCLP^FG_PRICE_CHANGE(0,-1AM)&lt;/Q&gt;&lt;R&gt;1&lt;/R&gt;&lt;C&gt;1&lt;/C&gt;&lt;D xsi:type="xsd:double"&gt;2.0074964&lt;/D&gt;&lt;/FQL&gt;&lt;FQL&gt;&lt;Q&gt;FC0000TH^FMA_EPS(NTMA,-20AY,0,CY,,"PORTAGG","MEANR")&lt;/Q&gt;&lt;R&gt;20&lt;/R&gt;&lt;C&gt;1&lt;/C&gt;&lt;D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xsi:type="xsd:double"&gt;48.1240323779405&lt;/D&gt;&lt;D xsi:type="xsd:double"&gt;34.7106307439575&lt;/D&gt;&lt;D xsi:type="xsd:double"&gt;40.2723415308456&lt;/D&gt;&lt;D xsi:type="xsd:double"&gt;42.4815782672563&lt;/D&gt;&lt;D xsi:type="xsd:double"&gt;40.1815851407061&lt;/D&gt;&lt;/FQL&gt;&lt;FQL&gt;&lt;Q&gt;FC0000CN^FMA_EPS(NTMA,-20AY,0,CY,,"PORTAGG","MEANR")&lt;/Q&gt;&lt;R&gt;20&lt;/R&gt;&lt;C&gt;1&lt;/C&gt;&lt;D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xsi:type="xsd:double"&gt;17.6373597179819&lt;/D&gt;&lt;D xsi:type="xsd:double"&gt;17.4947707049036&lt;/D&gt;&lt;D xsi:type="xsd:double"&gt;21.2762448555046&lt;/D&gt;&lt;D xsi:type="xsd:double"&gt;20.3723993153625&lt;/D&gt;&lt;D xsi:type="xsd:double"&gt;19.1122217445557&lt;/D&gt;&lt;/FQL&gt;&lt;FQL&gt;&lt;Q&gt;EWM^P_PRICE_RETURNS_PR('52W',2,-10AY,0,AM)&lt;/Q&gt;&lt;R&gt;121&lt;/R&gt;&lt;C&gt;1&lt;/C&gt;&lt;D xsi:type="xsd:double"&gt;4.89192&lt;/D&gt;&lt;D xsi:type="xsd:double"&gt;0.9737015&lt;/D&gt;&lt;D xsi:type="xsd:double"&gt;5.208814&lt;/D&gt;&lt;D xsi:type="xsd:double"&gt;5.4963827&lt;/D&gt;&lt;D xsi:type="xsd:double"&gt;10.937918&lt;/D&gt;&lt;D xsi:type="xsd:double"&gt;0.62537193&lt;/D&gt;&lt;D xsi:type="xsd:double"&gt;-4.4519067&lt;/D&gt;&lt;D xsi:type="xsd:double"&gt;-3.387767&lt;/D&gt;&lt;D xsi:type="xsd:double"&gt;-12.415213&lt;/D&gt;&lt;D xsi:type="xsd:double"&gt;-8.580345&lt;/D&gt;&lt;D xsi:type="xsd:double"&gt;-7.853836&lt;/D&gt;&lt;D xsi:type="xsd:double"&gt;-10.101646&lt;/D&gt;&lt;D xsi:type="xsd:double"&gt;-10.06056&lt;/D&gt;&lt;D xsi:type="xsd:double"&gt;-11.816877&lt;/D&gt;&lt;D xsi:type="xsd:double"&gt;-19.443327&lt;/D&gt;&lt;D xsi:type="xsd:double"&gt;-21.117079&lt;/D&gt;&lt;D xsi:type="xsd:double"&gt;-34.768383&lt;/D&gt;&lt;D xsi:type="xsd:double"&gt;-30.033695&lt;/D&gt;&lt;D xsi:type="xsd:double"&gt;-21.689636&lt;/D&gt;&lt;D xsi:type="xsd:double"&gt;-28.1296&lt;/D&gt;&lt;D xsi:type="xsd:double"&gt;-21.476316&lt;/D&gt;&lt;D xsi:type="xsd:double"&gt;-23.69045&lt;/D&gt;&lt;D xsi:type="xsd:double"&gt;-17.450565&lt;/D&gt;&lt;D xsi:type="xsd:double"&gt;-11.727959&lt;/D&gt;&lt;D xsi:type="xsd:double"&gt;-10.783201&lt;/D&gt;&lt;D xsi:type="xsd:double"&gt;-19.034546&lt;/D&gt;&lt;D xsi:type="xsd:double"&gt;-12.016577&lt;/D&gt;&lt;D xsi:type="xsd:double"&gt;-4.7603664&lt;/D&gt;&lt;D xsi:type="xsd:double"&gt;15.507925&lt;/D&gt;&lt;D xsi:type="xsd:double"&gt;5.081761&lt;/D&gt;&lt;D xsi:type="xsd:double"&gt;-0.09455681&lt;/D&gt;&lt;D xsi:type="xsd:double"&gt;-0.9109199&lt;/D&gt;&lt;D xsi:type="xsd:double"&gt;-2.178061&lt;/D&gt;&lt;D xsi:type="xsd:double"&gt;6.0293674&lt;/D&gt;&lt;D xsi:type="xsd:double"&gt;-2.3272634&lt;/D&gt;&lt;D xsi:type="xsd:double"&gt;-4.577148&lt;/D&gt;&lt;D xsi:type="xsd:double"&gt;-8.253622&lt;/D&gt;&lt;D xsi:type="xsd:double"&gt;4.5615315&lt;/D&gt;&lt;D xsi:type="xsd:double"&gt;8.966005&lt;/D&gt;&lt;D xsi:type="xsd:double"&gt;-0.37267804&lt;/D&gt;&lt;D xsi:type="xsd:double"&gt;-1.0868788&lt;/D&gt;&lt;D xsi:type="xsd:double"&gt;8.004665&lt;/D&gt;&lt;D xsi:type="xsd:double"&gt;6.2981844&lt;/D&gt;&lt;D xsi:type="xsd:double"&gt;14.442897&lt;/D&gt;&lt;D xsi:type="xsd:double"&gt;20.551289&lt;/D&gt;&lt;D xsi:type="xsd:double"&gt;27.325798&lt;/D&gt;&lt;D xsi:type="xsd:double"&gt;27.360308&lt;/D&gt;&lt;D xsi:type="xsd:double"&gt;21.729492&lt;/D&gt;&lt;D xsi:type="xsd:double"&gt;25.455475&lt;/D&gt;&lt;D xsi:type="xsd:double"&gt;14.4697075&lt;/D&gt;&lt;D xsi:type="xsd:double"&gt;5.260694&lt;/D&gt;&lt;D xsi:type="xsd:double"&gt;8.607138&lt;/D&gt;&lt;D xsi:type="xsd:double"&gt;9.457374&lt;/D&gt;&lt;D xsi:type="xsd:double"&gt;5.258763&lt;/D&gt;&lt;D xsi:type="xsd:double"&gt;1.1614561&lt;/D&gt;&lt;D xsi:type="xsd:double"&gt;1.7191172&lt;/D&gt;&lt;D xsi:type="xsd:double"&gt;-7.035935&lt;/D&gt;&lt;D xsi:type="xsd:double"&gt;-8.46135&lt;/D&gt;&lt;D xsi:type="xsd:double"&gt;-10.546589&lt;/D&gt;&lt;D xsi:type="xsd:double"&gt;-8.589375&lt;/D&gt;&lt;D xsi:type="xsd:double"&gt;-16.623926&lt;/D&gt;&lt;D xsi:type="xsd:double"&gt;-14.828324&lt;/D&gt;&lt;D xsi:type="xsd:double"&gt;-5.239618&lt;/D&gt;&lt;D xsi:type="xsd:double"&gt;-4.4165254&lt;/D&gt;&lt;D xsi:type="xsd:double"&gt;-10.020608&lt;/D&gt;&lt;D xsi:type="xsd:double"&gt;-10.435402&lt;/D&gt;&lt;D xsi:type="xsd:double"&gt;-5.75313&lt;/D&gt;&lt;D xsi:type="xsd:double"&gt;-3.754586&lt;/D&gt;&lt;D xsi:type="xsd:double"&gt;0.8604646&lt;/D&gt;&lt;D xsi:type="xsd:double"&gt;-2.4717987&lt;/D&gt;&lt;D xsi:type="xsd:double"&gt;-9.227383&lt;/D&gt;&lt;D xsi:type="xsd:double"&gt;-33.438282&lt;/D&gt;&lt;D xsi:type="xsd:double"&gt;-17.12035&lt;/D&gt;&lt;D xsi:type="xsd:double"&gt;-12.158155&lt;/D&gt;&lt;D xsi:type="xsd:double"&gt;-10.09695&lt;/D&gt;&lt;D xsi:type="xsd:double"&gt;-4.596007&lt;/D&gt;&lt;D xsi:type="xsd:double"&gt;1.1325002&lt;/D&gt;&lt;D xsi:type="xsd:double"&gt;-3.7273765&lt;/D&gt;&lt;D xsi:type="xsd:double"&gt;-2.0272434&lt;/D&gt;&lt;D xsi:type="xsd:double"&gt;0.5616307&lt;/D&gt;&lt;D xsi:type="xsd:double"&gt;5.7956934&lt;/D&gt;&lt;D xsi:type="xsd:double"&gt;1.8403649&lt;/D&gt;&lt;D xsi:type="xsd:double"&gt;4.59255&lt;/D&gt;&lt;D xsi:type="xsd:double"&gt;42.55942&lt;/D&gt;&lt;D xsi:type="xsd:double"&gt;23.091484&lt;/D&gt;&lt;D xsi:type="xsd:double"&gt;15.303922&lt;/D&gt;&lt;D xsi:type="xsd:double"&gt;6.631267&lt;/D&gt;&lt;D xsi:type="xsd:double"&gt;-3.660196&lt;/D&gt;&lt;D xsi:type="xsd:double"&gt;-6.46047&lt;/D&gt;&lt;D xsi:type="xsd:double"&gt;0.86716413&lt;/D&gt;&lt;D xsi:type="xsd:double"&gt;4.75049&lt;/D&gt;&lt;D xsi:type="xsd:double"&gt;-6.352341&lt;/D&gt;&lt;D xsi:type="xsd:double"&gt;-14.406657&lt;/D&gt;&lt;D xsi:type="xsd:double"&gt;-6.9791555&lt;/D&gt;&lt;D xsi:type="xsd:double"&gt;-0.8766353&lt;/D&gt;&lt;D xsi:type="xsd:double"&gt;-2.01661&lt;/D&gt;&lt;D xsi:type="xsd:double"&gt;-2.818811&lt;/D&gt;&lt;D xsi:type="xsd:double"&gt;-7.6573553&lt;/D&gt;&lt;D xsi:type="xsd:double"&gt;-12.307877&lt;/D&gt;&lt;D xsi:type="xsd:double"&gt;-9.83857&lt;/D&gt;&lt;D xsi:type="xsd:double"&gt;-3.6887646&lt;/D&gt;&lt;D xsi:type="xsd:double"&gt;-12.357283&lt;/D&gt;&lt;D xsi:type="xsd:double"&gt;-21.235716&lt;/D&gt;&lt;D xsi:type="xsd:double"&gt;-9.556717&lt;/D&gt;&lt;D xsi:type="xsd:double"&gt;-2.6457965&lt;/D&gt;&lt;D xsi:type="xsd:double"&gt;-2.416557&lt;/D&gt;&lt;D xsi:type="xsd:double"&gt;-9.349108&lt;/D&gt;&lt;D xsi:type="xsd:double"&gt;-14.499849&lt;/D&gt;&lt;D xsi:type="xsd:double"&gt;-10.130077&lt;/D&gt;&lt;D xsi:type="xsd:double"&gt;-6.5155983&lt;/D&gt;&lt;D xsi:type="xsd:double"&gt;-5.6441784&lt;/D&gt;&lt;D xsi:type="xsd:double"&gt;0.39502382&lt;/D&gt;&lt;D xsi:type="xsd:double"&gt;-5.1371517&lt;/D&gt;&lt;D xsi:type="xsd:double"&gt;1.0312438&lt;/D&gt;&lt;D xsi:type="xsd:double"&gt;6.075752&lt;/D&gt;&lt;D xsi:type="xsd:double"&gt;1.7932773&lt;/D&gt;&lt;D xsi:type="xsd:double"&gt;-3.222531&lt;/D&gt;&lt;D xsi:type="xsd:double"&gt;-7.5649977&lt;/D&gt;&lt;D xsi:type="xsd:double"&gt;-2.539742&lt;/D&gt;&lt;D xsi:type="xsd:double"&gt;7.052362&lt;/D&gt;&lt;D xsi:type="xsd:double"&gt;1.0404229&lt;/D&gt;&lt;/FQL&gt;&lt;FQL&gt;&lt;Q&gt;GREK^FG_TOTAL_RETURNC(-10AY,0,AM)&lt;/Q&gt;&lt;R&gt;121&lt;/R&gt;&lt;C&gt;1&lt;/C&gt;&lt;D xsi:type="xsd:double"&gt;-8.761681&lt;/D&gt;&lt;D xsi:type="xsd:double"&gt;-14.084506&lt;/D&gt;&lt;D xsi:type="xsd:double"&gt;19.523108&lt;/D&gt;&lt;D xsi:type="xsd:double"&gt;-9.476304&lt;/D&gt;&lt;D xsi:type="xsd:double"&gt;-6.8870544&lt;/D&gt;&lt;D xsi:type="xsd:double"&gt;-3.550297&lt;/D&gt;&lt;D xsi:type="xsd:double"&gt;-14.979553&lt;/D&gt;&lt;D xsi:type="xsd:double"&gt;-3.2471359&lt;/D&gt;&lt;D xsi:type="xsd:double"&gt;-8.390302&lt;/D&gt;&lt;D xsi:type="xsd:double"&gt;-12.889957&lt;/D&gt;&lt;D xsi:type="xsd:double"&gt;0.94338655&lt;/D&gt;&lt;D xsi:type="xsd:double"&gt;-17.834885&lt;/D&gt;&lt;D xsi:type="xsd:double"&gt;-0.7583082&lt;/D&gt;&lt;D xsi:type="xsd:double"&gt;19.102203&lt;/D&gt;&lt;D xsi:type="xsd:double"&gt;-15.156383&lt;/D&gt;&lt;D xsi:type="xsd:double"&gt;-2.2684216&lt;/D&gt;&lt;D xsi:type="xsd:double"&gt;-2.8046489&lt;/D&gt;&lt;D xsi:type="xsd:double"&gt;5.0746202&lt;/D&gt;&lt;D xsi:type="xsd:double"&gt;-0.8522749&lt;/D&gt;&lt;D xsi:type="xsd:double"&gt;-9.646606&lt;/D&gt;&lt;D xsi:type="xsd:double"&gt;-11.945027&lt;/D&gt;&lt;D xsi:type="xsd:double"&gt;-13.49749&lt;/D&gt;&lt;D xsi:type="xsd:double"&gt;-9.999996&lt;/D&gt;&lt;D xsi:type="xsd:double"&gt;13.7715225&lt;/D&gt;&lt;D xsi:type="xsd:double"&gt;4.6767473&lt;/D&gt;&lt;D xsi:type="xsd:double"&gt;11.300921&lt;/D&gt;&lt;D xsi:type="xsd:double"&gt;-10.625732&lt;/D&gt;&lt;D xsi:type="xsd:double"&gt;-4.0951195&lt;/D&gt;&lt;D xsi:type="xsd:double"&gt;2.0661116&lt;/D&gt;&lt;D xsi:type="xsd:double"&gt;-5.533057&lt;/D&gt;&lt;D xsi:type="xsd:double"&gt;6.5699935&lt;/D&gt;&lt;D xsi:type="xsd:double"&gt;2.2801876&lt;/D&gt;&lt;D xsi:type="xsd:double"&gt;2.2280574&lt;/D&gt;&lt;D xsi:type="xsd:double"&gt;4.195893&lt;/D&gt;&lt;D xsi:type="xsd:double"&gt;-3.136766&lt;/D&gt;&lt;D xsi:type="xsd:double"&gt;1.943016&lt;/D&gt;&lt;D xsi:type="xsd:double"&gt;1.397717&lt;/D&gt;&lt;D xsi:type="xsd:double"&gt;19.674183&lt;/D&gt;&lt;D xsi:type="xsd:double"&gt;3.6649108&lt;/D&gt;&lt;D xsi:type="xsd:double"&gt;7.979822&lt;/D&gt;&lt;D xsi:type="xsd:double"&gt;-3.461182&lt;/D&gt;&lt;D xsi:type="xsd:double"&gt;-8.720928&lt;/D&gt;&lt;D xsi:type="xsd:double"&gt;0.53077936&lt;/D&gt;&lt;D xsi:type="xsd:double"&gt;-7.814157&lt;/D&gt;&lt;D xsi:type="xsd:double"&gt;15.120292&lt;/D&gt;&lt;D xsi:type="xsd:double"&gt;9.964752&lt;/D&gt;&lt;D xsi:type="xsd:double"&gt;0.36967993&lt;/D&gt;&lt;D xsi:type="xsd:double"&gt;-7.090229&lt;/D&gt;&lt;D xsi:type="xsd:double"&gt;6.3429&lt;/D&gt;&lt;D xsi:type="xsd:double"&gt;-12.488341&lt;/D&gt;&lt;D xsi:type="xsd:double"&gt;-1.384449&lt;/D&gt;&lt;D xsi:type="xsd:double"&gt;1.1878967&lt;/D&gt;&lt;D xsi:type="xsd:double"&gt;-9.178215&lt;/D&gt;&lt;D xsi:type="xsd:double"&gt;-2.5852025&lt;/D&gt;&lt;D xsi:type="xsd:double"&gt;-9.288305&lt;/D&gt;&lt;D xsi:type="xsd:double"&gt;0.5319238&lt;/D&gt;&lt;D xsi:type="xsd:double"&gt;-3.7037075&lt;/D&gt;&lt;D xsi:type="xsd:double"&gt;-0.7859945&lt;/D&gt;&lt;D xsi:type="xsd:double"&gt;5.2482247&lt;/D&gt;&lt;D xsi:type="xsd:double"&gt;10.377348&lt;/D&gt;&lt;D xsi:type="xsd:double"&gt;5.250311&lt;/D&gt;&lt;D xsi:type="xsd:double"&gt;-8.816708&lt;/D&gt;&lt;D xsi:type="xsd:double"&gt;18.193388&lt;/D&gt;&lt;D xsi:type="xsd:double"&gt;4.1212797&lt;/D&gt;&lt;D xsi:type="xsd:double"&gt;-12.357217&lt;/D&gt;&lt;D xsi:type="xsd:double"&gt;12.322271&lt;/D&gt;&lt;D xsi:type="xsd:double"&gt;2.004218&lt;/D&gt;&lt;D xsi:type="xsd:double"&gt;2.4819136&lt;/D&gt;&lt;D xsi:type="xsd:double"&gt;1.4127135&lt;/D&gt;&lt;D xsi:type="xsd:double"&gt;1.5478611&lt;/D&gt;&lt;D xsi:type="xsd:double"&gt;-8.582842&lt;/D&gt;&lt;D xsi:type="xsd:double"&gt;-48.580784&lt;/D&gt;&lt;D xsi:type="xsd:double"&gt;29.299366&lt;/D&gt;&lt;D xsi:type="xsd:double"&gt;0.49271584&lt;/D&gt;&lt;D xsi:type="xsd:double"&gt;9.803915&lt;/D&gt;&lt;D xsi:type="xsd:double"&gt;0.6242156&lt;/D&gt;&lt;D xsi:type="xsd:double"&gt;3.7717104&lt;/D&gt;&lt;D xsi:type="xsd:double"&gt;1.7216682&lt;/D&gt;&lt;D xsi:type="xsd:double"&gt;-8.039498&lt;/D&gt;&lt;D xsi:type="xsd:double"&gt;13.036812&lt;/D&gt;&lt;D xsi:type="xsd:double"&gt;17.503393&lt;/D&gt;&lt;D xsi:type="xsd:double"&gt;-2.561748&lt;/D&gt;&lt;D xsi:type="xsd:double"&gt;-2.2580624&lt;/D&gt;&lt;D xsi:type="xsd:double"&gt;7.9207897&lt;/D&gt;&lt;D xsi:type="xsd:double"&gt;8.142209&lt;/D&gt;&lt;D xsi:type="xsd:double"&gt;2.2622824&lt;/D&gt;&lt;D xsi:type="xsd:double"&gt;-1.6937435&lt;/D&gt;&lt;D xsi:type="xsd:double"&gt;-5.590719&lt;/D&gt;&lt;D xsi:type="xsd:double"&gt;3.4264445&lt;/D&gt;&lt;D xsi:type="xsd:double"&gt;2.3406506&lt;/D&gt;&lt;D xsi:type="xsd:double"&gt;-1.1963427&lt;/D&gt;&lt;D xsi:type="xsd:double"&gt;-0.21367073&lt;/D&gt;&lt;D xsi:type="xsd:double"&gt;-5.638832&lt;/D&gt;&lt;D xsi:type="xsd:double"&gt;9.451103&lt;/D&gt;&lt;D xsi:type="xsd:double"&gt;2.6836157&lt;/D&gt;&lt;D xsi:type="xsd:double"&gt;-9.456671&lt;/D&gt;&lt;D xsi:type="xsd:double"&gt;3.190279&lt;/D&gt;&lt;D xsi:type="xsd:double"&gt;-9.422153&lt;/D&gt;&lt;D xsi:type="xsd:double"&gt;-3.2913506&lt;/D&gt;&lt;D xsi:type="xsd:double"&gt;-6.990093&lt;/D&gt;&lt;D xsi:type="xsd:double"&gt;13.269925&lt;/D&gt;&lt;D xsi:type="xsd:double"&gt;-6.4774094&lt;/D&gt;&lt;D xsi:type="xsd:double"&gt;-1.1115849&lt;/D&gt;&lt;D xsi:type="xsd:double"&gt;10.376143&lt;/D&gt;&lt;D xsi:type="xsd:double"&gt;5.0137043&lt;/D&gt;&lt;D xsi:type="xsd:double"&gt;9.869218&lt;/D&gt;&lt;D xsi:type="xsd:double"&gt;11.877394&lt;/D&gt;&lt;D xsi:type="xsd:double"&gt;-10.242838&lt;/D&gt;&lt;D xsi:type="xsd:double"&gt;12.001395&lt;/D&gt;&lt;D xsi:type="xsd:double"&gt;-0.8671522&lt;/D&gt;&lt;D xsi:type="xsd:double"&gt;15.245235&lt;/D&gt;&lt;D xsi:type="xsd:double"&gt;7.2131515&lt;/D&gt;&lt;D xsi:type="xsd:double"&gt;-6.4598203&lt;/D&gt;&lt;D xsi:type="xsd:double"&gt;-4.5948863&lt;/D&gt;&lt;D xsi:type="xsd:double"&gt;-6.298089&lt;/D&gt;&lt;D xsi:type="xsd:double"&gt;12.104618&lt;/D&gt;&lt;D xsi:type="xsd:double"&gt;1.8990755&lt;/D&gt;&lt;D xsi:type="xsd:double"&gt;4.47098&lt;/D&gt;&lt;D xsi:type="xsd:double"&gt;3.8481474&lt;/D&gt;&lt;D xsi:type="xsd:double"&gt;0.50075054&lt;/D&gt;&lt;D xsi:type="xsd:double"&gt;-4.1106043&lt;/D&gt;&lt;/FQL&gt;&lt;FQL&gt;&lt;Q&gt;UAE^FMA_DIV_YLD(NTMA,-10AY,0,AM,"PORTAGG","MEANR")&lt;/Q&gt;&lt;R&gt;121&lt;/R&gt;&lt;C&gt;1&lt;/C&gt;&lt;D xsi:type="xsd:string"&gt;@NA&lt;/D&gt;&lt;D xsi:type="xsd:string"&gt;@NA&lt;/D&gt;&lt;D xsi:type="xsd:double"&gt;2.61440412809053&lt;/D&gt;&lt;D xsi:type="xsd:double"&gt;2.56502050028042&lt;/D&gt;&lt;D xsi:type="xsd:double"&gt;2.6094514559544&lt;/D&gt;&lt;D xsi:type="xsd:double"&gt;2.45325623499691&lt;/D&gt;&lt;D xsi:type="xsd:double"&gt;2.92186116735587&lt;/D&gt;&lt;D xsi:type="xsd:double"&gt;2.87162057123255&lt;/D&gt;&lt;D xsi:type="xsd:double"&gt;3.59458977678775&lt;/D&gt;&lt;D xsi:type="xsd:double"&gt;3.39246152583865&lt;/D&gt;&lt;D xsi:type="xsd:double"&gt;3.39932380118285&lt;/D&gt;&lt;D xsi:type="xsd:double"&gt;3.8247280190017&lt;/D&gt;&lt;D xsi:type="xsd:double"&gt;3.1271381853021&lt;/D&gt;&lt;D xsi:type="xsd:double"&gt;3.21810869973292&lt;/D&gt;&lt;D xsi:type="xsd:double"&gt;3.4775952111534&lt;/D&gt;&lt;D xsi:type="xsd:double"&gt;3.51118904742777&lt;/D&gt;&lt;D xsi:type="xsd:double"&gt;3.82862005309106&lt;/D&gt;&lt;D xsi:type="xsd:double"&gt;4.05562895941445&lt;/D&gt;&lt;D xsi:type="xsd:double"&gt;3.83487083396826&lt;/D&gt;&lt;D xsi:type="xsd:double"&gt;4.45333786768155&lt;/D&gt;&lt;D xsi:type="xsd:double"&gt;4.16208142534443&lt;/D&gt;&lt;D xsi:type="xsd:double"&gt;4.71150537795765&lt;/D&gt;&lt;D xsi:type="xsd:double"&gt;4.49163768702451&lt;/D&gt;&lt;D xsi:type="xsd:double"&gt;3.94391044461094&lt;/D&gt;&lt;D xsi:type="xsd:double"&gt;3.87446608235902&lt;/D&gt;&lt;D xsi:type="xsd:double"&gt;4.20547324100808&lt;/D&gt;&lt;D xsi:type="xsd:double"&gt;4.05353905418245&lt;/D&gt;&lt;D xsi:type="xsd:double"&gt;3.81023675250991&lt;/D&gt;&lt;D xsi:type="xsd:double"&gt;3.72809452711017&lt;/D&gt;&lt;D xsi:type="xsd:double"&gt;3.68677146082804&lt;/D&gt;&lt;D xsi:type="xsd:double"&gt;3.75136215509281&lt;/D&gt;&lt;D xsi:type="xsd:double"&gt;3.98608827887741&lt;/D&gt;&lt;D xsi:type="xsd:double"&gt;4.13693598745923&lt;/D&gt;&lt;D xsi:type="xsd:double"&gt;3.97718055570973&lt;/D&gt;&lt;D xsi:type="xsd:double"&gt;4.04865474565817&lt;/D&gt;&lt;D xsi:type="xsd:double"&gt;4.18467822732636&lt;/D&gt;&lt;D xsi:type="xsd:double"&gt;4.02302705838573&lt;/D&gt;&lt;D xsi:type="xsd:double"&gt;3.97163133783468&lt;/D&gt;&lt;D xsi:type="xsd:double"&gt;4.06973766864607&lt;/D&gt;&lt;D xsi:type="xsd:double"&gt;3.92772489742954&lt;/D&gt;&lt;D xsi:type="xsd:double"&gt;4.05376768743668&lt;/D&gt;&lt;D xsi:type="xsd:double"&gt;4.08778926771594&lt;/D&gt;&lt;D xsi:type="xsd:double"&gt;4.19076501800225&lt;/D&gt;&lt;D xsi:type="xsd:double"&gt;4.45282703616931&lt;/D&gt;&lt;D xsi:type="xsd:double"&gt;4.4870598829031&lt;/D&gt;&lt;D xsi:type="xsd:double"&gt;4.18232555692948&lt;/D&gt;&lt;D xsi:type="xsd:double"&gt;4.35583310368955&lt;/D&gt;&lt;D xsi:type="xsd:double"&gt;4.49489392048855&lt;/D&gt;&lt;D xsi:type="xsd:double"&gt;4.76203255929903&lt;/D&gt;&lt;D xsi:type="xsd:double"&gt;4.96714054339463&lt;/D&gt;&lt;D xsi:type="xsd:double"&gt;4.87929229701467&lt;/D&gt;&lt;D xsi:type="xsd:double"&gt;4.73849606315897&lt;/D&gt;&lt;D xsi:type="xsd:double"&gt;4.75565763467389&lt;/D&gt;&lt;D xsi:type="xsd:double"&gt;4.83828995361056&lt;/D&gt;&lt;D xsi:type="xsd:double"&gt;4.92548903668997&lt;/D&gt;&lt;D xsi:type="xsd:double"&gt;4.84273454606677&lt;/D&gt;&lt;D xsi:type="xsd:double"&gt;5.17500773445543&lt;/D&gt;&lt;D xsi:type="xsd:double"&gt;5.20991153649931&lt;/D&gt;&lt;D xsi:type="xsd:double"&gt;5.34265815409048&lt;/D&gt;&lt;D xsi:type="xsd:double"&gt;5.1885726449852&lt;/D&gt;&lt;D xsi:type="xsd:double"&gt;4.80098049636646&lt;/D&gt;&lt;D xsi:type="xsd:double"&gt;5.38612590036747&lt;/D&gt;&lt;D xsi:type="xsd:double"&gt;5.27921720002804&lt;/D&gt;&lt;D xsi:type="xsd:double"&gt;5.02912770614222&lt;/D&gt;&lt;D xsi:type="xsd:double"&gt;5.09532831471233&lt;/D&gt;&lt;D xsi:type="xsd:double"&gt;4.7129207408773&lt;/D&gt;&lt;D xsi:type="xsd:double"&gt;4.71677864554659&lt;/D&gt;&lt;D xsi:type="xsd:double"&gt;4.77062530575146&lt;/D&gt;&lt;D xsi:type="xsd:double"&gt;5.04045382234459&lt;/D&gt;&lt;D xsi:type="xsd:double"&gt;5.09364099054554&lt;/D&gt;&lt;D xsi:type="xsd:double"&gt;5.24643605533984&lt;/D&gt;&lt;D xsi:type="xsd:double"&gt;7.85879600346156&lt;/D&gt;&lt;D xsi:type="xsd:double"&gt;5.37608495629722&lt;/D&gt;&lt;D xsi:type="xsd:double"&gt;4.64947063955933&lt;/D&gt;&lt;D xsi:type="xsd:double"&gt;4.39654429725729&lt;/D&gt;&lt;D xsi:type="xsd:double"&gt;4.66360091666041&lt;/D&gt;&lt;D xsi:type="xsd:double"&gt;4.54942742427569&lt;/D&gt;&lt;D xsi:type="xsd:double"&gt;4.25649675311806&lt;/D&gt;&lt;D xsi:type="xsd:double"&gt;4.31604891981993&lt;/D&gt;&lt;D xsi:type="xsd:double"&gt;4.56803756014918&lt;/D&gt;&lt;D xsi:type="xsd:double"&gt;4.38171433141868&lt;/D&gt;&lt;D xsi:type="xsd:double"&gt;4.28450780178034&lt;/D&gt;&lt;D xsi:type="xsd:double"&gt;4.36495034397186&lt;/D&gt;&lt;D xsi:type="xsd:double"&gt;4.45155322464284&lt;/D&gt;&lt;D xsi:type="xsd:double"&gt;4.40395241360439&lt;/D&gt;&lt;D xsi:type="xsd:double"&gt;4.34381931340497&lt;/D&gt;&lt;D xsi:type="xsd:double"&gt;4.38223385903122&lt;/D&gt;&lt;D xsi:type="xsd:double"&gt;4.69580000275208&lt;/D&gt;&lt;D xsi:type="xsd:double"&gt;4.47004188180349&lt;/D&gt;&lt;D xsi:type="xsd:double"&gt;4.16967768739786&lt;/D&gt;&lt;D xsi:type="xsd:double"&gt;4.08289519733003&lt;/D&gt;&lt;D xsi:type="xsd:double"&gt;3.73463938647986&lt;/D&gt;&lt;D xsi:type="xsd:double"&gt;4.11106584482601&lt;/D&gt;&lt;D xsi:type="xsd:double"&gt;4.36481916587062&lt;/D&gt;&lt;D xsi:type="xsd:double"&gt;3.93592280921402&lt;/D&gt;&lt;D xsi:type="xsd:double"&gt;3.69681295598752&lt;/D&gt;&lt;D xsi:type="xsd:double"&gt;3.47376964012611&lt;/D&gt;&lt;D xsi:type="xsd:double"&gt;3.88995040024314&lt;/D&gt;&lt;D xsi:type="xsd:double"&gt;4.32336529384936&lt;/D&gt;&lt;D xsi:type="xsd:double"&gt;4.36321246166793&lt;/D&gt;&lt;D xsi:type="xsd:double"&gt;4.03381917603684&lt;/D&gt;&lt;D xsi:type="xsd:double"&gt;4.10245260670117&lt;/D&gt;&lt;D xsi:type="xsd:double"&gt;4.40243574890055&lt;/D&gt;&lt;D xsi:type="xsd:double"&gt;4.37181240027413&lt;/D&gt;&lt;D xsi:type="xsd:double"&gt;4.69998207585596&lt;/D&gt;&lt;D xsi:type="xsd:double"&gt;4.71806264228307&lt;/D&gt;&lt;D xsi:type="xsd:double"&gt;4.6073122871&lt;/D&gt;&lt;D xsi:type="xsd:double"&gt;4.94929623610938&lt;/D&gt;&lt;D xsi:type="xsd:double"&gt;4.43662192474245&lt;/D&gt;&lt;D xsi:type="xsd:double"&gt;4.51075060557399&lt;/D&gt;&lt;D xsi:type="xsd:double"&gt;4.50559759370909&lt;/D&gt;&lt;D xsi:type="xsd:double"&gt;4.25249947418842&lt;/D&gt;&lt;D xsi:type="xsd:double"&gt;4.22248970212872&lt;/D&gt;&lt;D xsi:type="xsd:double"&gt;4.37849355300305&lt;/D&gt;&lt;D xsi:type="xsd:double"&gt;4.58513679070945&lt;/D&gt;&lt;D xsi:type="xsd:double"&gt;4.66261294606874&lt;/D&gt;&lt;D xsi:type="xsd:double"&gt;4.71120703657706&lt;/D&gt;&lt;D xsi:type="xsd:double"&gt;4.54504467347999&lt;/D&gt;&lt;D xsi:type="xsd:double"&gt;4.86654415452102&lt;/D&gt;&lt;D xsi:type="xsd:double"&gt;5.05312629220729&lt;/D&gt;&lt;D xsi:type="xsd:double"&gt;5.45100351896745&lt;/D&gt;&lt;/FQL&gt;&lt;FQL&gt;&lt;Q&gt;EIDO^FMA_DIV_YLD(NTMA,-10AY,0,AM,"PORTAGG","MEANR")&lt;/Q&gt;&lt;R&gt;121&lt;/R&gt;&lt;C&gt;1&lt;/C&gt;&lt;D xsi:type="xsd:double"&gt;2.49949614502139&lt;/D&gt;&lt;D xsi:type="xsd:double"&gt;2.45442941698756&lt;/D&gt;&lt;D xsi:type="xsd:double"&gt;2.60086645741297&lt;/D&gt;&lt;D xsi:type="xsd:double"&gt;2.52984351128715&lt;/D&gt;&lt;D xsi:type="xsd:double"&gt;2.50523300210258&lt;/D&gt;&lt;D xsi:type="xsd:double"&gt;2.50547728601321&lt;/D&gt;&lt;D xsi:type="xsd:double"&gt;2.60702712127026&lt;/D&gt;&lt;D xsi:type="xsd:double"&gt;2.52512477831379&lt;/D&gt;&lt;D xsi:type="xsd:double"&gt;2.51396368124025&lt;/D&gt;&lt;D xsi:type="xsd:double"&gt;2.52471965957757&lt;/D&gt;&lt;D xsi:type="xsd:double"&gt;2.33145033493299&lt;/D&gt;&lt;D xsi:type="xsd:double"&gt;2.32283391420698&lt;/D&gt;&lt;D xsi:type="xsd:double"&gt;2.31595526015455&lt;/D&gt;&lt;D xsi:type="xsd:double"&gt;2.35971838966558&lt;/D&gt;&lt;D xsi:type="xsd:double"&gt;2.47679875942807&lt;/D&gt;&lt;D xsi:type="xsd:double"&gt;2.47296445936021&lt;/D&gt;&lt;D xsi:type="xsd:double"&gt;2.68849197689614&lt;/D&gt;&lt;D xsi:type="xsd:double"&gt;2.73966442100773&lt;/D&gt;&lt;D xsi:type="xsd:double"&gt;2.61112668905421&lt;/D&gt;&lt;D xsi:type="xsd:double"&gt;2.5686310289233&lt;/D&gt;&lt;D xsi:type="xsd:double"&gt;2.56170499814849&lt;/D&gt;&lt;D xsi:type="xsd:double"&gt;2.53165152325379&lt;/D&gt;&lt;D xsi:type="xsd:double"&gt;2.37739703899985&lt;/D&gt;&lt;D xsi:type="xsd:double"&gt;2.33483537730775&lt;/D&gt;&lt;D xsi:type="xsd:double"&gt;2.38113812129247&lt;/D&gt;&lt;D xsi:type="xsd:double"&gt;2.47574833115816&lt;/D&gt;&lt;D xsi:type="xsd:double"&gt;2.37660102830331&lt;/D&gt;&lt;D xsi:type="xsd:double"&gt;2.21462180312742&lt;/D&gt;&lt;D xsi:type="xsd:double"&gt;2.1265679305963&lt;/D&gt;&lt;D xsi:type="xsd:double"&gt;2.26312832200795&lt;/D&gt;&lt;D xsi:type="xsd:double"&gt;2.23351944954254&lt;/D&gt;&lt;D xsi:type="xsd:double"&gt;2.43638272830356&lt;/D&gt;&lt;D xsi:type="xsd:double"&gt;2.48591769990633&lt;/D&gt;&lt;D xsi:type="xsd:double"&gt;2.43651554174965&lt;/D&gt;&lt;D xsi:type="xsd:double"&gt;2.43035077752489&lt;/D&gt;&lt;D xsi:type="xsd:double"&gt;2.42568855277109&lt;/D&gt;&lt;D xsi:type="xsd:double"&gt;2.45477993484301&lt;/D&gt;&lt;D xsi:type="xsd:double"&gt;2.53424999551493&lt;/D&gt;&lt;D xsi:type="xsd:double"&gt;2.55278821942153&lt;/D&gt;&lt;D xsi:type="xsd:double"&gt;2.54273369628415&lt;/D&gt;&lt;D xsi:type="xsd:double"&gt;2.54437918408576&lt;/D&gt;&lt;D xsi:type="xsd:double"&gt;2.58319928564927&lt;/D&gt;&lt;D xsi:type="xsd:double"&gt;2.53751676931571&lt;/D&gt;&lt;D xsi:type="xsd:double"&gt;2.59136320183699&lt;/D&gt;&lt;D xsi:type="xsd:double"&gt;2.60863329048389&lt;/D&gt;&lt;D xsi:type="xsd:double"&gt;2.46243498924671&lt;/D&gt;&lt;D xsi:type="xsd:double"&gt;2.47696994894585&lt;/D&gt;&lt;D xsi:type="xsd:double"&gt;2.64394388212266&lt;/D&gt;&lt;D xsi:type="xsd:double"&gt;2.67296463961525&lt;/D&gt;&lt;D xsi:type="xsd:double"&gt;3.11965982683843&lt;/D&gt;&lt;D xsi:type="xsd:double"&gt;3.00725710910276&lt;/D&gt;&lt;D xsi:type="xsd:double"&gt;3.10191048653776&lt;/D&gt;&lt;D xsi:type="xsd:double"&gt;3.12525953144083&lt;/D&gt;&lt;D xsi:type="xsd:double"&gt;3.10056129822186&lt;/D&gt;&lt;D xsi:type="xsd:double"&gt;3.10706838047379&lt;/D&gt;&lt;D xsi:type="xsd:double"&gt;2.9109600442095&lt;/D&gt;&lt;D xsi:type="xsd:double"&gt;2.88140819582155&lt;/D&gt;&lt;D xsi:type="xsd:double"&gt;2.74317382951825&lt;/D&gt;&lt;D xsi:type="xsd:double"&gt;2.87942468723268&lt;/D&gt;&lt;D xsi:type="xsd:double"&gt;2.77948360109938&lt;/D&gt;&lt;D xsi:type="xsd:double"&gt;2.78736056382885&lt;/D&gt;&lt;D xsi:type="xsd:double"&gt;3.23175609470286&lt;/D&gt;&lt;D xsi:type="xsd:double"&gt;2.83059355243171&lt;/D&gt;&lt;D xsi:type="xsd:double"&gt;2.7014479134819&lt;/D&gt;&lt;D xsi:type="xsd:double"&gt;2.81085447518471&lt;/D&gt;&lt;D xsi:type="xsd:double"&gt;2.78919111635745&lt;/D&gt;&lt;D xsi:type="xsd:double"&gt;2.79239448448141&lt;/D&gt;&lt;D xsi:type="xsd:double"&gt;2.83487759698187&lt;/D&gt;&lt;D xsi:type="xsd:double"&gt;2.77868679576282&lt;/D&gt;&lt;D xsi:type="xsd:double"&gt;2.68929568885426&lt;/D&gt;&lt;D xsi:type="xsd:double"&gt;2.89059313695267&lt;/D&gt;&lt;D xsi:type="xsd:double"&gt;4.32486321095493&lt;/D&gt;&lt;D xsi:type="xsd:double"&gt;3.94461364407827&lt;/D&gt;&lt;D xsi:type="xsd:double"&gt;3.84584816279745&lt;/D&gt;&lt;D xsi:type="xsd:double"&gt;3.15220652882966&lt;/D&gt;&lt;D xsi:type="xsd:double"&gt;2.91214668293995&lt;/D&gt;&lt;D xsi:type="xsd:double"&gt;2.75404992317507&lt;/D&gt;&lt;D xsi:type="xsd:double"&gt;2.91968492523221&lt;/D&gt;&lt;D xsi:type="xsd:double"&gt;2.86217383476221&lt;/D&gt;&lt;D xsi:type="xsd:double"&gt;2.50184762742979&lt;/D&gt;&lt;D xsi:type="xsd:double"&gt;2.21743867743311&lt;/D&gt;&lt;D xsi:type="xsd:double"&gt;2.23827514491256&lt;/D&gt;&lt;D xsi:type="xsd:double"&gt;2.50255198777392&lt;/D&gt;&lt;D xsi:type="xsd:double"&gt;2.53344028941686&lt;/D&gt;&lt;D xsi:type="xsd:double"&gt;2.71393472585266&lt;/D&gt;&lt;D xsi:type="xsd:double"&gt;2.86851645620879&lt;/D&gt;&lt;D xsi:type="xsd:double"&gt;2.94422372257135&lt;/D&gt;&lt;D xsi:type="xsd:double"&gt;3.06104101515892&lt;/D&gt;&lt;D xsi:type="xsd:double"&gt;3.00758691556803&lt;/D&gt;&lt;D xsi:type="xsd:double"&gt;3.11029626269864&lt;/D&gt;&lt;D xsi:type="xsd:double"&gt;2.8575601284897&lt;/D&gt;&lt;D xsi:type="xsd:double"&gt;3.07705256496442&lt;/D&gt;&lt;D xsi:type="xsd:double"&gt;3.14134971020394&lt;/D&gt;&lt;D xsi:type="xsd:double"&gt;3.15792526273893&lt;/D&gt;&lt;D xsi:type="xsd:double"&gt;3.08950123707676&lt;/D&gt;&lt;D xsi:type="xsd:double"&gt;3.23238549719161&lt;/D&gt;&lt;D xsi:type="xsd:double"&gt;3.31753528117762&lt;/D&gt;&lt;D xsi:type="xsd:double"&gt;3.51830067117748&lt;/D&gt;&lt;D xsi:type="xsd:double"&gt;3.56537432502796&lt;/D&gt;&lt;D xsi:type="xsd:double"&gt;3.75819450231777&lt;/D&gt;&lt;D xsi:type="xsd:double"&gt;3.58697912805455&lt;/D&gt;&lt;D xsi:type="xsd:double"&gt;3.58481823279341&lt;/D&gt;&lt;D xsi:type="xsd:double"&gt;3.88954575266486&lt;/D&gt;&lt;D xsi:type="xsd:double"&gt;3.92202058597659&lt;/D&gt;&lt;D xsi:type="xsd:double"&gt;4.03152726036371&lt;/D&gt;&lt;D xsi:type="xsd:double"&gt;4.20474506232917&lt;/D&gt;&lt;D xsi:type="xsd:double"&gt;4.19304081979607&lt;/D&gt;&lt;D xsi:type="xsd:double"&gt;4.3567684372054&lt;/D&gt;&lt;D xsi:type="xsd:double"&gt;4.31485422435249&lt;/D&gt;&lt;D xsi:type="xsd:double"&gt;4.69680191388185&lt;/D&gt;&lt;D xsi:t</t>
        </r>
      </text>
    </comment>
    <comment ref="A2" authorId="0" shapeId="0" xr:uid="{8800A62F-7BBE-4344-B1D1-ABBA64D2F190}">
      <text>
        <r>
          <rPr>
            <b/>
            <sz val="9"/>
            <color indexed="81"/>
            <rFont val="Tahoma"/>
            <charset val="1"/>
          </rPr>
          <t>ype="xsd:double"&gt;4.29872573128918&lt;/D&gt;&lt;D xsi:type="xsd:double"&gt;4.18531608280448&lt;/D&gt;&lt;D xsi:type="xsd:double"&gt;4.15312754373404&lt;/D&gt;&lt;D xsi:type="xsd:double"&gt;4.16814235317872&lt;/D&gt;&lt;D xsi:type="xsd:double"&gt;4.25900084352714&lt;/D&gt;&lt;D xsi:type="xsd:double"&gt;4.18504342493013&lt;/D&gt;&lt;D xsi:type="xsd:double"&gt;4.18176149571087&lt;/D&gt;&lt;D xsi:type="xsd:double"&gt;4.07714328306665&lt;/D&gt;&lt;D xsi:type="xsd:double"&gt;4.04485427877032&lt;/D&gt;&lt;D xsi:type="xsd:double"&gt;4.07681810844108&lt;/D&gt;&lt;D xsi:type="xsd:double"&gt;4.1878914776844&lt;/D&gt;&lt;/FQL&gt;&lt;FQL&gt;&lt;Q&gt;EWW^FMA_PE(NTMA,-10AY,0,AM,"PORTAGG","MEANR")&lt;/Q&gt;&lt;R&gt;121&lt;/R&gt;&lt;C&gt;1&lt;/C&gt;&lt;D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xsi:type="xsd:double"&gt;16.2156675150474&lt;/D&gt;&lt;D xsi:type="xsd:double"&gt;17.5173828244804&lt;/D&gt;&lt;D xsi:type="xsd:double"&gt;18.4298696716768&lt;/D&gt;&lt;D xsi:type="xsd:double"&gt;19.2766920760609&lt;/D&gt;&lt;D xsi:type="xsd:double"&gt;19.429968443034&lt;/D&gt;&lt;D xsi:type="xsd:double"&gt;18.316955237272&lt;/D&gt;&lt;D xsi:type="xsd:double"&gt;18.5728501043651&lt;/D&gt;&lt;D xsi:type="xsd:double"&gt;18.8726771063658&lt;/D&gt;&lt;D xsi:type="xsd:double"&gt;17.3958530698151&lt;/D&gt;&lt;D xsi:type="xsd:double"&gt;18.1418369445656&lt;/D&gt;&lt;D xsi:type="xsd:double"&gt;16.4376048850848&lt;/D&gt;&lt;D xsi:type="xsd:double"&gt;16.2046735015886&lt;/D&gt;&lt;D xsi:type="xsd:double"&gt;16.1300654198871&lt;/D&gt;&lt;D xsi:type="xsd:double"&gt;16.3839314480041&lt;/D&gt;&lt;D xsi:type="xsd:double"&gt;16.9321673182168&lt;/D&gt;&lt;D xsi:type="xsd:double"&gt;16.833138976603&lt;/D&gt;&lt;D xsi:type="xsd:double"&gt;16.2812072087755&lt;/D&gt;&lt;D xsi:type="xsd:double"&gt;16.5833787565935&lt;/D&gt;&lt;D xsi:type="xsd:double"&gt;17.1873371201954&lt;/D&gt;&lt;D xsi:type="xsd:double"&gt;17.1128561450649&lt;/D&gt;&lt;D xsi:type="xsd:double"&gt;16.8316559525485&lt;/D&gt;&lt;D xsi:type="xsd:double"&gt;16.2708992948835&lt;/D&gt;&lt;D xsi:type="xsd:double"&gt;15.7124256432394&lt;/D&gt;&lt;D xsi:type="xsd:double"&gt;15.8904345173486&lt;/D&gt;&lt;D xsi:type="xsd:double"&gt;16.1094084590526&lt;/D&gt;&lt;D xsi:type="xsd:double"&gt;15.7355495642054&lt;/D&gt;&lt;D xsi:type="xsd:double"&gt;15.2698174308334&lt;/D&gt;&lt;D xsi:type="xsd:double"&gt;15.8707352684645&lt;/D&gt;&lt;D xsi:type="xsd:double"&gt;14.4524531575218&lt;/D&gt;&lt;D xsi:type="xsd:double"&gt;14.7479727184625&lt;/D&gt;&lt;D xsi:type="xsd:double"&gt;15.5609438654737&lt;/D&gt;&lt;D xsi:type="xsd:double"&gt;14.9109619486944&lt;/D&gt;&lt;D xsi:type="xsd:double"&gt;15.1913273090263&lt;/D&gt;&lt;D xsi:type="xsd:double"&gt;14.2042431930932&lt;/D&gt;&lt;D xsi:type="xsd:double"&gt;12.6782107168808&lt;/D&gt;&lt;D xsi:type="xsd:double"&gt;12.3021282494566&lt;/D&gt;&lt;D xsi:type="xsd:double"&gt;13.2860260255047&lt;/D&gt;&lt;D xsi:type="xsd:double"&gt;12.9284698506109&lt;/D&gt;&lt;D xsi:type="xsd:double"&gt;12.7188733089828&lt;/D&gt;&lt;D xsi:type="xsd:double"&gt;13.7279920295697&lt;/D&gt;&lt;D xsi:type="xsd:double"&gt;13.0551134392035&lt;/D&gt;&lt;D xsi:type="xsd:double"&gt;12.9346059741362&lt;/D&gt;&lt;D xsi:type="xsd:double"&gt;12.6609431051022&lt;/D&gt;&lt;D xsi:type="xsd:double"&gt;12.192904261638&lt;/D&gt;&lt;D xsi:type="xsd:double"&gt;13.4500739231877&lt;/D&gt;&lt;D xsi:type="xsd:double"&gt;13.6411627799819&lt;/D&gt;&lt;D xsi:type="xsd:double"&gt;13.6893469179576&lt;/D&gt;&lt;D xsi:type="xsd:double"&gt;14.3080965609243&lt;/D&gt;&lt;D xsi:type="xsd:double"&gt;14.5844558903935&lt;/D&gt;&lt;D xsi:type="xsd:double"&gt;14.3554305073615&lt;/D&gt;&lt;D xsi:type="xsd:double"&gt;10.8618477051292&lt;/D&gt;&lt;D xsi:type="xsd:double"&gt;11.6704633114022&lt;/D&gt;&lt;D xsi:type="xsd:double"&gt;14.9829353868049&lt;/D&gt;&lt;D xsi:type="xsd:double"&gt;16.6410888910944&lt;/D&gt;&lt;D xsi:type="xsd:double"&gt;16.4451298665117&lt;/D&gt;&lt;D xsi:type="xsd:double"&gt;17.6873477337074&lt;/D&gt;&lt;D xsi:type="xsd:double"&gt;15.1787519290358&lt;/D&gt;&lt;D xsi:type="xsd:double"&gt;14.9053397056832&lt;/D&gt;&lt;D xsi:type="xsd:double"&gt;15.6883699053485&lt;/D&gt;&lt;D xsi:type="xsd:double"&gt;15.325074877776&lt;/D&gt;&lt;D xsi:type="xsd:double"&gt;15.2624090147119&lt;/D&gt;&lt;D xsi:type="xsd:double"&gt;14.3768043458979&lt;/D&gt;&lt;D xsi:type="xsd:double"&gt;15.0722050493308&lt;/D&gt;&lt;D xsi:type="xsd:double"&gt;15.2772691536478&lt;/D&gt;&lt;D xsi:type="xsd:double"&gt;14.9253713868695&lt;/D&gt;&lt;D xsi:type="xsd:double"&gt;15.0939013027873&lt;/D&gt;&lt;D xsi:type="xsd:double"&gt;14.5646574741557&lt;/D&gt;&lt;D xsi:type="xsd:double"&gt;14.599074806459&lt;/D&gt;&lt;D xsi:type="xsd:double"&gt;13.9744879910178&lt;/D&gt;&lt;D xsi:type="xsd:double"&gt;14.1919813128574&lt;/D&gt;&lt;D xsi:type="xsd:double"&gt;13.3682779520986&lt;/D&gt;&lt;D xsi:type="xsd:double"&gt;13.657026218124&lt;/D&gt;&lt;D xsi:type="xsd:double"&gt;13.8089782916989&lt;/D&gt;&lt;D xsi:type="xsd:double"&gt;13.4403427058827&lt;/D&gt;&lt;D xsi:type="xsd:double"&gt;14.0954079630716&lt;/D&gt;&lt;D xsi:type="xsd:double"&gt;13.75460171534&lt;/D&gt;&lt;D xsi:type="xsd:double"&gt;12.4992218384034&lt;/D&gt;&lt;D xsi:type="xsd:double"&gt;11.5797363470021&lt;/D&gt;&lt;D xsi:type="xsd:double"&gt;11.4560218092101&lt;/D&gt;&lt;D xsi:type="xsd:double"&gt;11.9028443633681&lt;/D&gt;&lt;D xsi:type="xsd:double"&gt;11.3029183887808&lt;/D&gt;&lt;D xsi:type="xsd:double"&gt;11.5704363867156&lt;/D&gt;&lt;D xsi:type="xsd:double"&gt;12.6010927321099&lt;/D&gt;&lt;D xsi:type="xsd:double"&gt;11.9543407761114&lt;/D&gt;&lt;D xsi:type="xsd:double"&gt;12.746085613151&lt;/D&gt;&lt;D xsi:type="xsd:double"&gt;12.8358610190574&lt;/D&gt;&lt;D xsi:type="xsd:double"&gt;12.2692559633194&lt;/D&gt;&lt;D xsi:type="xsd:double"&gt;12.5899955328086&lt;/D&gt;&lt;D xsi:type="xsd:double"&gt;12.4335611712246&lt;/D&gt;&lt;D xsi:type="xsd:double"&gt;12.0537663321798&lt;/D&gt;&lt;D xsi:type="xsd:double"&gt;11.8769791380151&lt;/D&gt;&lt;D xsi:type="xsd:double"&gt;11.7311199168835&lt;/D&gt;&lt;D xsi:type="xsd:double"&gt;11.4961060117601&lt;/D&gt;&lt;D xsi:type="xsd:double"&gt;11.0233081178666&lt;/D&gt;&lt;D xsi:type="xsd:double"&gt;11.9324391263724&lt;/D&gt;&lt;D xsi:type="xsd:double"&gt;13.098134831097&lt;/D&gt;&lt;D xsi:type="xsd:double"&gt;12.2703079518214&lt;/D&gt;&lt;D xsi:type="xsd:double"&gt;12.8801077043412&lt;/D&gt;&lt;D xsi:type="xsd:double"&gt;12.5120108779761&lt;/D&gt;&lt;D xsi:type="xsd:double"&gt;12.4018039262755&lt;/D&gt;&lt;/FQL&gt;&lt;FQL&gt;&lt;Q&gt;MCHI^FMA_PE(LTMA,-10AY,0,AM,"PORTAGG","MEANR")&lt;/Q&gt;&lt;R&gt;121&lt;/R&gt;&lt;C&gt;1&lt;/C&gt;&lt;D xsi:type="xsd:double"&gt;9.2720335604977&lt;/D&gt;&lt;D xsi:type="xsd:double"&gt;9.21277202923802&lt;/D&gt;&lt;D xsi:type="xsd:double"&gt;9.3335662877497&lt;/D&gt;&lt;D xsi:type="xsd:double"&gt;9.46022818763465&lt;/D&gt;&lt;D xsi:type="xsd:double"&gt;9.75481592115508&lt;/D&gt;&lt;D xsi:type="xsd:double"&gt;9.57910198319719&lt;/D&gt;&lt;D xsi:type="xsd:double"&gt;9.17625037973829&lt;/D&gt;&lt;D xsi:type="xsd:double"&gt;9.41535311052383&lt;/D&gt;&lt;D xsi:type="xsd:double"&gt;9.74212719495031&lt;/D&gt;&lt;D xsi:type="xsd:double"&gt;10.4351891737562&lt;/D&gt;&lt;D xsi:type="xsd:double"&gt;10.7521612365363&lt;/D&gt;&lt;D xsi:type="xsd:double"&gt;10.8006275725654&lt;/D&gt;&lt;D xsi:type="xsd:double"&gt;11.4303913288356&lt;/D&gt;&lt;D xsi:type="xsd:double"&gt;11.4774232209829&lt;/D&gt;&lt;D xsi:type="xsd:double"&gt;11.2744703198801&lt;/D&gt;&lt;D xsi:type="xsd:double"&gt;10.7748449992067&lt;/D&gt;&lt;D xsi:type="xsd:double"&gt;10.3739361000999&lt;/D&gt;&lt;D xsi:type="xsd:double"&gt;9.97536323040676&lt;/D&gt;&lt;D xsi:type="xsd:double"&gt;10.3564479899975&lt;/D&gt;&lt;D xsi:type="xsd:double"&gt;10.0447906557991&lt;/D&gt;&lt;D xsi:type="xsd:double"&gt;9.80346947132303&lt;/D&gt;&lt;D xsi:type="xsd:double"&gt;9.47105169610595&lt;/D&gt;&lt;D xsi:type="xsd:double"&gt;9.51352776598056&lt;/D&gt;&lt;D xsi:type="xsd:double"&gt;9.48988967935135&lt;/D&gt;&lt;D xsi:type="xsd:double"&gt;9.70820007560567&lt;/D&gt;&lt;D xsi:type="xsd:double"&gt;9.57255719638556&lt;/D&gt;&lt;D xsi:type="xsd:double"&gt;10.1475767773986&lt;/D&gt;&lt;D xsi:type="xsd:double"&gt;10.9233898949948&lt;/D&gt;&lt;D xsi:type="xsd:double"&gt;11.7575174995424&lt;/D&gt;&lt;D xsi:type="xsd:double"&gt;12.3326781950592&lt;/D&gt;&lt;D xsi:type="xsd:double"&gt;12.8933357088878&lt;/D&gt;&lt;D xsi:type="xsd:double"&gt;12.8659446542223&lt;/D&gt;&lt;D xsi:type="xsd:double"&gt;12.9303936063388&lt;/D&gt;&lt;D xsi:type="xsd:double"&gt;13.5848569418879&lt;/D&gt;&lt;D xsi:type="xsd:double"&gt;14.2183509246564&lt;/D&gt;&lt;D xsi:type="xsd:double"&gt;14.0740118522163&lt;/D&gt;&lt;D xsi:type="xsd:double"&gt;13.883451993804&lt;/D&gt;&lt;D xsi:type="xsd:double"&gt;14.00906966114&lt;/D&gt;&lt;D xsi:type="xsd:double"&gt;14.0099149839059&lt;/D&gt;&lt;D xsi:type="xsd:double"&gt;14.326161383071&lt;/D&gt;&lt;D xsi:type="xsd:double"&gt;14.5279429603773&lt;/D&gt;&lt;D xsi:type="xsd:double"&gt;14.9119088807604&lt;/D&gt;&lt;D xsi:type="xsd:double"&gt;15.3090840186874&lt;/D&gt;&lt;D xsi:type="xsd:double"&gt;15.5431934900854&lt;/D&gt;&lt;D xsi:type="xsd:double"&gt;15.1316534341018&lt;/D&gt;&lt;D xsi:type="xsd:double"&gt;16.3164218320577&lt;/D&gt;&lt;D xsi:type="xsd:double"&gt;15.5831009622648&lt;/D&gt;&lt;D xsi:type="xsd:double"&gt;15.3671401819616&lt;/D&gt;&lt;D xsi:type="xsd:double"&gt;14.8731400023169&lt;/D&gt;&lt;D xsi:type="xsd:double"&gt;14.8331945830796&lt;/D&gt;&lt;D xsi:type="xsd:double"&gt;14.6402149789412&lt;/D&gt;&lt;D xsi:type="xsd:double"&gt;14.0934044308769&lt;/D&gt;&lt;D xsi:type="xsd:double"&gt;13.4716900753172&lt;/D&gt;&lt;D xsi:type="xsd:double"&gt;13.0226789852001&lt;/D&gt;&lt;D xsi:type="xsd:double"&gt;12.121466497323&lt;/D&gt;&lt;D xsi:type="xsd:double"&gt;12.2991776462069&lt;/D&gt;&lt;D xsi:type="xsd:double"&gt;11.7299282125814&lt;/D&gt;&lt;D xsi:type="xsd:double"&gt;12.1060163622242&lt;/D&gt;&lt;D xsi:type="xsd:double"&gt;12.5043172551517&lt;/D&gt;&lt;D xsi:type="xsd:double"&gt;12.8755313891571&lt;/D&gt;&lt;D xsi:type="xsd:double"&gt;12.9481365114158&lt;/D&gt;&lt;D xsi:type="xsd:double"&gt;12.5506068787236&lt;/D&gt;&lt;D xsi:type="xsd:double"&gt;12.500337305998&lt;/D&gt;&lt;D xsi:type="xsd:double"&gt;12.5988889677301&lt;/D&gt;&lt;D xsi:type="xsd:double"&gt;12.2230398532789&lt;/D&gt;&lt;D xsi:type="xsd:double"&gt;12.6362533395645&lt;/D&gt;&lt;D xsi:type="xsd:double"&gt;12.4174836169791&lt;/D&gt;&lt;D xsi:type="xsd:double"&gt;12.4482896141352&lt;/D&gt;&lt;D xsi:type="xsd:double"&gt;13.6075853623182&lt;/D&gt;&lt;D xsi:type="xsd:double"&gt;14.1386705011611&lt;/D&gt;&lt;D xsi:type="xsd:double"&gt;13.8235473994604&lt;/D&gt;&lt;D xsi:type="xsd:double"&gt;12.688013048705&lt;/D&gt;&lt;D xsi:type="xsd:double"&gt;13.134511646257&lt;/D&gt;&lt;D xsi:type="xsd:double"&gt;13.3670921521775&lt;/D&gt;&lt;D xsi:type="xsd:double"&gt;14.075993754378&lt;/D&gt;&lt;D xsi:type="xsd:double"&gt;14.8505445222856&lt;/D&gt;&lt;D xsi:type="xsd:double"&gt;15.4822520814364&lt;/D&gt;&lt;D xsi:type="xsd:double"&gt;15.8370504973663&lt;/D&gt;&lt;D xsi:type="xsd:double"&gt;16.7026366569194&lt;/D&gt;&lt;D xsi:type="xsd:double"&gt;16.8394900311553&lt;/D&gt;&lt;D xsi:type="xsd:double"&gt;18.0765021477405&lt;/D&gt;&lt;D xsi:type="xsd:double"&gt;19.8472394222571&lt;/D&gt;&lt;D xsi:type="xsd:double"&gt;21.7970150326467&lt;/D&gt;&lt;D xsi:type="xsd:double"&gt;19.6273594658608&lt;/D&gt;&lt;D xsi:type="xsd:double"&gt;19.2318232025145&lt;/D&gt;&lt;D xsi:type="xsd:double"&gt;18.7292205364637&lt;/D&gt;&lt;D xsi:type="xsd:double"&gt;18.7422062365024&lt;/D&gt;&lt;D xsi:type="xsd:double"&gt;18.2127945494873&lt;/D&gt;&lt;D xsi:type="xsd:double"&gt;16.7233321595299&lt;/D&gt;&lt;D xsi:type="xsd:double"&gt;16.3864020049031&lt;/D&gt;&lt;D xsi:type="xsd:double"&gt;16.224737629476&lt;/D&gt;&lt;D xsi:type="xsd:double"&gt;15.5501281449833&lt;/D&gt;&lt;D xsi:type="xsd:double"&gt;14.2408026486212&lt;/D&gt;&lt;D xsi:type="xsd:double"&gt;14.1402507047228&lt;/D&gt;&lt;D xsi:type="xsd:double"&gt;13.8381809811704&lt;/D&gt;&lt;D xsi:type="xsd:double"&gt;12.8283510508854&lt;/D&gt;&lt;D xsi:type="xsd:double"&gt;12.644070647565&lt;/D&gt;&lt;D xsi:type="xsd:double"&gt;12.5096824510215&lt;/D&gt;&lt;D xsi:type="xsd:double"&gt;12.8572710870076&lt;/D&gt;&lt;D xsi:type="xsd:double"&gt;12.7803088013598&lt;/D&gt;&lt;D xsi:type="xsd:double"&gt;12.3137917896754&lt;/D&gt;&lt;D xsi:type="xsd:double"&gt;12.0975387322796&lt;/D&gt;&lt;D xsi:type="xsd:double"&gt;11.1570974867842&lt;/D&gt;&lt;D xsi:type="xsd:double"&gt;11.6044486647623&lt;/D&gt;&lt;D xsi:type="xsd:double"&gt;12.2864603065719&lt;/D&gt;&lt;D xsi:type="xsd:double"&gt;13.5706224152372&lt;/D&gt;&lt;D xsi:type="xsd:double"&gt;12.9503391565767&lt;/D&gt;&lt;D xsi:type="xsd:double"&gt;12.2650844256166&lt;/D&gt;&lt;D xsi:type="xsd:double"&gt;12.3125042623067&lt;/D&gt;&lt;D xsi:type="xsd:double"&gt;12.0347964390462&lt;/D&gt;&lt;D xsi:type="xsd:double"&gt;12.1204896838668&lt;/D&gt;&lt;D xsi:type="xsd:double"&gt;11.7947707460143&lt;/D&gt;&lt;D xsi:type="xsd:double"&gt;11.541733763946&lt;/D&gt;&lt;D xsi:type="xsd:double"&gt;11.6477439263612&lt;/D&gt;&lt;D xsi:type="xsd:double"&gt;11.2767432004047&lt;/D&gt;&lt;D xsi:type="xsd:double"&gt;11.2290462496397&lt;/D&gt;&lt;D xsi:type="xsd:double"&gt;10.6772407213272&lt;/D&gt;&lt;D xsi:type="xsd:double"&gt;9.9841502855342&lt;/D&gt;&lt;D xsi:type="xsd:double"&gt;10.3987361731946&lt;/D&gt;&lt;D xsi:type="xsd:double"&gt;10.4767285935627&lt;/D&gt;&lt;D xsi:type="xsd:double"&gt;10.4008014803379&lt;/D&gt;&lt;/FQL&gt;&lt;FQL&gt;&lt;Q&gt;DDR3512M-FDS^MAX(FG_PRICE(0,-5AY))&lt;/Q&gt;&lt;R&gt;1&lt;/R&gt;&lt;C&gt;1&lt;/C&gt;&lt;D xsi:type="xsd:double"&gt;3.3053632&lt;/D&gt;&lt;/FQL&gt;&lt;FQL&gt;&lt;Q&gt;PASP-FDS^MAX(FG_PRICE(0,-5AY))&lt;/Q&gt;&lt;R&gt;1&lt;/R&gt;&lt;C&gt;1&lt;/C&gt;&lt;D xsi:type="xsd:double"&gt;3158.12&lt;/D&gt;&lt;/FQL&gt;&lt;FQL&gt;&lt;Q&gt;PLATI-FDS^MAX(FG_PRICE(0,-5AY))&lt;/Q&gt;&lt;R&gt;1&lt;/R&gt;&lt;C&gt;1&lt;/C&gt;&lt;D xsi:type="xsd:double"&gt;1272.59&lt;/D&gt;&lt;/FQL&gt;&lt;FQL&gt;&lt;Q&gt;W-FDS^MAX(FG_PRICE(0,-5AY))&lt;/Q&gt;&lt;R&gt;1&lt;/R&gt;&lt;C&gt;1&lt;/C&gt;&lt;D xsi:type="xsd:double"&gt;14.2525&lt;/D&gt;&lt;/FQL&gt;&lt;FQL&gt;&lt;Q&gt;COPP-FDS^MAX(FG_PRICE(0,-5AY))&lt;/Q&gt;&lt;R&gt;1&lt;/R&gt;&lt;C&gt;1&lt;/C&gt;&lt;D xsi:type="xsd:double"&gt;4.929&lt;/D&gt;&lt;/FQL&gt;&lt;FQL&gt;&lt;Q&gt;FC0000SA^FG_PRICE(0)&lt;/Q&gt;&lt;R&gt;1&lt;/R&gt;&lt;C&gt;1&lt;/C&gt;&lt;D xsi:type="xsd:double"&gt;51.36702&lt;/D&gt;&lt;/FQL&gt;&lt;FQL&gt;&lt;Q&gt;SET-BKK^FG_PRICE(0)&lt;/Q&gt;&lt;R&gt;1&lt;/R&gt;&lt;C&gt;1&lt;/C&gt;&lt;D xsi:type="xsd:double"&gt;1361.02&lt;/D&gt;&lt;/FQL&gt;&lt;FQL&gt;&lt;Q&gt;FC0000GR^FG_PRICE(0)&lt;/Q&gt;&lt;R&gt;1&lt;/R&gt;&lt;C&gt;1&lt;/C&gt;&lt;D xsi:type="xsd:double"&gt;9.245088&lt;/D&gt;&lt;/FQL&gt;&lt;FQL&gt;&lt;Q&gt;DUMMY^ECON_EXPR_DATA('FDS_ECON[NTCPMIMFGSA@EME]',,,M)&lt;/Q&gt;&lt;R&gt;1&lt;/R&gt;&lt;C&gt;1&lt;/C&gt;&lt;D xsi:type="xsd:double"&gt;51.96338&lt;/D&gt;&lt;/FQL&gt;&lt;FQL&gt;&lt;Q&gt;EWM^FMA_ROE(NTMA,-20AY,NOW,FY,"PORTAGG","MEANR")&lt;/Q&gt;&lt;R&gt;20&lt;/R&gt;&lt;C&gt;1&lt;/C&gt;&lt;D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xsi:type="xsd:double"&gt;9.33280715475934&lt;/D&gt;&lt;D xsi:type="xsd:double"&gt;10.6153952262209&lt;/D&gt;&lt;D xsi:type="xsd:double"&gt;9.47363114651143&lt;/D&gt;&lt;D xsi:type="xsd:double"&gt;10.1683466984571&lt;/D&gt;&lt;D xsi:type="xsd:double"&gt;9.55885733911212&lt;/D&gt;&lt;/FQL&gt;&lt;FQL&gt;&lt;Q&gt;TRYMX10Y-FDS^FG_YIELD(-10AY,0,Y,,"YTM")&lt;/Q&gt;&lt;R&gt;10&lt;/R&gt;&lt;C&gt;1&lt;/C&gt;&lt;D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xsi:type="xsd:double"&gt;6.6087&lt;/D&gt;&lt;/FQL&gt;&lt;FQL&gt;&lt;Q&gt;CAGDPY@CN^EE_ACTUAL_ANNUAL(MED,+1)&lt;/Q&gt;&lt;R&gt;1&lt;/R&gt;&lt;C&gt;1&lt;/C&gt;&lt;D xsi:type="xsd:double"&gt;1.3&lt;/D&gt;&lt;/FQL&gt;&lt;FQL&gt;&lt;Q&gt;CAGDPY@MY^EE_ACTUAL_ANNUAL(MED,+1)&lt;/Q&gt;&lt;R&gt;1&lt;/R&gt;&lt;C&gt;1&lt;/C&gt;&lt;D xsi:type="xsd:double"&gt;2.25&lt;/D&gt;&lt;/FQL&gt;&lt;FQL&gt;&lt;Q&gt;CC_AE^FG_COMPANY_NAME&lt;/Q&gt;&lt;R&gt;1&lt;/R&gt;&lt;C&gt;1&lt;/C&gt;&lt;D xsi:type="xsd:string"&gt;United Arab Emirates&lt;/D&gt;&lt;/FQL&gt;&lt;FQL&gt;&lt;Q&gt;CC_ID^FG_COMPANY_NAME&lt;/Q&gt;&lt;R&gt;1&lt;/R&gt;&lt;C&gt;1&lt;/C&gt;&lt;D xsi:type="xsd:string"&gt;Indonesia&lt;/D&gt;&lt;/FQL&gt;&lt;FQL&gt;&lt;Q&gt;USDVND^FG_PRICE_CHANGE(0,-1AY)&lt;/Q&gt;&lt;R&gt;1&lt;/R&gt;&lt;C&gt;1&lt;/C&gt;&lt;D xsi:type="xsd:double"&gt;8.020508&lt;/D&gt;&lt;/FQL&gt;&lt;FQL&gt;&lt;Q&gt;USDTRY^FG_PRICE_CHANGE(0,-1AY)&lt;/Q&gt;&lt;R&gt;1&lt;/R&gt;&lt;C&gt;1&lt;/C&gt;&lt;D xsi:type="xsd:double"&gt;67.51635&lt;/D&gt;&lt;/FQL&gt;&lt;FQL&gt;&lt;Q&gt;USDQAR^FG_PRICE_CHANGE(0,-1AY)&lt;/Q&gt;&lt;R&gt;1&lt;/R&gt;&lt;C&gt;1&lt;/C&gt;&lt;D xsi:type="xsd:double"&gt;0.02746582&lt;/D&gt;&lt;/FQL&gt;&lt;FQL&gt;&lt;Q&gt;USDINR^FG_PRICE_CHANGE(0,-1AY)&lt;/Q&gt;&lt;R&gt;1&lt;/R&gt;&lt;C&gt;1&lt;/C&gt;&lt;D xsi:type="xsd:double"&gt;1.8344402&lt;/D&gt;&lt;/FQL&gt;&lt;FQL&gt;&lt;Q&gt;USDZAR^FG_PRICE_CHANGE(0,-1AY)&lt;/Q&gt;&lt;R&gt;1&lt;/R&gt;&lt;C&gt;1&lt;/C&gt;&lt;D xsi:type="xsd:double"&gt;5.379379&lt;/D&gt;&lt;/FQL&gt;&lt;FQL&gt;&lt;Q&gt;USDKRW^FG_PRICE_CHANGE(0,-1AY)&lt;/Q&gt;&lt;R&gt;1&lt;/R&gt;&lt;C&gt;1&lt;/C&gt;&lt;D xsi:type="xsd:double"&gt;4.1178465&lt;/D&gt;&lt;/FQL&gt;&lt;FQL&gt;&lt;Q&gt;USDTWD^FG_PRICE_CHANGE(0,-1AY)&lt;/Q&gt;&lt;R&gt;1&lt;/R&gt;&lt;C&gt;1&lt;/C&gt;&lt;D xsi:type="xsd:double"&gt;5.9500813&lt;/D&gt;&lt;/FQL&gt;&lt;FQL&gt;&lt;Q&gt;USDPEN^FG_PRICE_CHANGE(0,-1AY)&lt;/Q&gt;&lt;R&gt;1&lt;/R&gt;&lt;C&gt;1&lt;/C&gt;&lt;D xsi:type="xsd:double"&gt;-0.9697676&lt;/D&gt;&lt;/FQL&gt;&lt;FQL&gt;&lt;Q&gt;USDPHP^FG_PRICE_CHANGE(0,-1AY)&lt;/Q&gt;&lt;R&gt;1&lt;/R&gt;&lt;C&gt;1&lt;/C&gt;&lt;D xsi:type="xsd:double"&gt;1.8534064&lt;/D&gt;&lt;/FQL&gt;&lt;FQL&gt;&lt;Q&gt;USDCLP^FG_PRICE_CHANGE(0,-1AY)&lt;/Q&gt;&lt;R&gt;1&lt;/R&gt;&lt;C&gt;1&lt;/C&gt;&lt;D xsi:type="xsd:double"&gt;21.76546&lt;/D&gt;&lt;/FQL&gt;&lt;FQL&gt;&lt;Q&gt;FC0000QA^FMA_EPS(NTMA,-20AY,0,CY,,"PORTAGG","MEANR")&lt;/Q&gt;&lt;R&gt;20&lt;/R&gt;&lt;C&gt;1&lt;/C&gt;&lt;D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xsi:type="xsd:long"&gt;45289&lt;/D&gt;&lt;/FQL&gt;&lt;FQL&gt;&lt;Q&gt;EPU^P_PRICE_RETURNS_PR('52W',2,-10AY,0,AM)&lt;/Q&gt;&lt;R&gt;121&lt;/R&gt;&lt;C&gt;1&lt;/C&gt;&lt;D xsi:type="xsd:double"&gt;-15.953266&lt;/D&gt;&lt;D xsi:type="xsd:double"&gt;-7.263553&lt;/D&gt;&lt;D xsi:type="xsd:double"&gt;-4.221308&lt;/D&gt;&lt;D xsi:type="xsd:double"&gt;11.855232&lt;/D&gt;&lt;D xsi:type="xsd:double"&gt;6.8852544&lt;/D&gt;&lt;D xsi:type="xsd:double"&gt;8.040201&lt;/D&gt;&lt;D xsi:type="xsd:double"&gt;-1.2054741&lt;/D&gt;&lt;D xsi:type="xsd:double"&gt;4.240322&lt;/D&gt;&lt;D xsi:type="xsd:double"&gt;-3.4296572&lt;/D&gt;&lt;D xsi:type="xsd:double"&gt;-8.437878&lt;/D&gt;&lt;D xsi:type="xsd:double"&gt;-8.083879&lt;/D&gt;&lt;D xsi:type="xsd:double"&gt;-8.132977&lt;/D&gt;&lt;D xsi:type="xsd:double"&gt;-9.978735&lt;/D&gt;&lt;D xsi:type="xsd:double"&gt;-9.476155&lt;/D&gt;&lt;D xsi:type="xsd:double"&gt;-12.968779&lt;/D&gt;&lt;D xsi:type="xsd:double"&gt;-21.296383&lt;/D&gt;&lt;D xsi:type="xsd:double"&gt;-35.290424&lt;/D&gt;&lt;D xsi:type="xsd:double"&gt;-36.026108&lt;/D&gt;&lt;D xsi:type="xsd:double"&gt;-27.780575&lt;/D&gt;&lt;D xsi:type="xsd:double"&gt;-32.56522&lt;/D&gt;&lt;D xsi:type="xsd:double"&gt;-36.079525&lt;/D&gt;&lt;D xsi:type="xsd:double"&gt;-38.49358&lt;/D&gt;&lt;D xsi:type="xsd:double"&gt;-29.398739&lt;/D&gt;&lt;D xsi:type="xsd:double"&gt;-7.194191&lt;/D&gt;&lt;D xsi:type="xsd:double"&gt;0.27110577&lt;/D&gt;&lt;D xsi:type="xsd:double"&gt;-1.7981112&lt;/D&gt;&lt;D xsi:type="xsd:double"&gt;1.8787861&lt;/D&gt;&lt;D xsi:type="xsd:double"&gt;19.432186&lt;/D&gt;&lt;D xsi:type="xsd:double"&gt;53.884552&lt;/D&gt;&lt;D xsi:type="xsd:double"&gt;43.105804&lt;/D&gt;&lt;D xsi:type="xsd:double"&gt;39.355133&lt;/D&gt;&lt;D xsi:type="xsd:double"&gt;47.148193&lt;/D&gt;&lt;D xsi:type="xsd:double"&gt;58.03225&lt;/D&gt;&lt;D xsi:type="xsd:double"&gt;88.74399&lt;/D&gt;&lt;D xsi:type="xsd:double"&gt;67.86465&lt;/D&gt;&lt;D xsi:type="xsd:double"&gt;31.531275&lt;/D&gt;&lt;D xsi:type="xsd:double"&gt;17.23491&lt;/D&gt;&lt;D xsi:type="xsd:double"&gt;15.245509&lt;/D&gt;&lt;D xsi:type="xsd:double"&gt;14.614761&lt;/D&gt;&lt;D xsi:type="xsd:double"&gt;7.9660177&lt;/D&gt;&lt;D xsi:type="xsd:double"&gt;4.030323&lt;/D&gt;&lt;D xsi:type="xsd:double"&gt;19.570255&lt;/D&gt;&lt;D xsi:type="xsd:double"&gt;29.885435&lt;/D&gt;&lt;D xsi:type="xsd:double"&gt;29.73993&lt;/D&gt;&lt;D xsi:type="xsd:double"&gt;22.40392&lt;/D&gt;&lt;D xsi:type="xsd:double"&gt;32.371235&lt;/D&gt;&lt;D xsi:type="xsd:double"&gt;21.048843&lt;/D&gt;&lt;D xsi:type="xsd:double"&gt;27.032364&lt;/D&gt;&lt;D xsi:type="xsd:double"&gt;36.81948&lt;/D&gt;&lt;D xsi:type="xsd:double"&gt;28.902996&lt;/D&gt;&lt;D xsi:type="xsd:double"&gt;26.663626&lt;/D&gt;&lt;D xsi:type="xsd:double"&gt;16.237663&lt;/D&gt;&lt;D xsi:type="xsd:double"&gt;6.046355&lt;/D&gt;&lt;D xsi:type="xsd:double"&gt;-3.7693918&lt;/D&gt;&lt;D xsi:type="xsd:double"&gt;-10.418534&lt;/D&gt;&lt;D xsi:type="xsd:double"&gt;-7.9673767&lt;/D&gt;&lt;D xsi:type="xsd:double"&gt;-6.009632&lt;/D&gt;&lt;D xsi:type="xsd:double"&gt;-14.603382&lt;/D&gt;&lt;D xsi:type="xsd:double"&gt;-9.127707&lt;/D&gt;&lt;D xsi:type="xsd:double"&gt;-3.3069193&lt;/D&gt;&lt;D xsi:type="xsd:double"&gt;-12.512684&lt;/D&gt;&lt;D xsi:type="xsd:double"&gt;-15.513581&lt;/D&gt;&lt;D xsi:type="xsd:double"&gt;-10.007864&lt;/D&gt;&lt;D xsi:type="xsd:double"&gt;-1.9905388&lt;/D&gt;&lt;D xsi:type="xsd:double"&gt;-7.748997&lt;/D&gt;&lt;D xsi:type="xsd:double"&gt;-0.995332&lt;/D&gt;&lt;D xsi:type="xsd:double"&gt;-1.820606&lt;/D&gt;&lt;D xsi:type="xsd:double"&gt;-1.0519266&lt;/D&gt;&lt;D xsi:type="xsd:double"&gt;2.385068&lt;/D&gt;&lt;D xsi:type="xsd:double"&gt;3.5504103&lt;/D&gt;&lt;D xsi:type="xsd:double"&gt;-7.1209908&lt;/D&gt;&lt;D xsi:type="xsd:double"&gt;-43.89448&lt;/D&gt;&lt;D xsi:type="xsd:double"&gt;-34.282368&lt;/D&gt;&lt;D xsi:type="xsd:double"&gt;-21.90795&lt;/D&gt;&lt;D xsi:type="xsd:double"&gt;-19.594461&lt;/D&gt;&lt;D xsi:type="xsd:double"&gt;-21.334957&lt;/D&gt;&lt;D xsi:type="xsd:double"&gt;-3.288561&lt;/D&gt;&lt;D xsi:type="xsd:double"&gt;-10.341292&lt;/D&gt;&lt;D xsi:type="xsd:double"&gt;-11.12898&lt;/D&gt;&lt;D xsi:type="xsd:double"&gt;-6.502861&lt;/D&gt;&lt;D xsi:type="xsd:double"&gt;1.0414481&lt;/D&gt;&lt;D xsi:type="xsd:double"&gt;-2.6489198&lt;/D&gt;&lt;D xsi:type="xsd:double"&gt;12.250244&lt;/D&gt;&lt;D xsi:type="xsd:double"&gt;69.957565&lt;/D&gt;&lt;D xsi:type="xsd:double"&gt;48.237312&lt;/D&gt;&lt;D xsi:type="xsd:double"&gt;30.452013&lt;/D&gt;&lt;D xsi:type="xsd:double"&gt;2.3492217&lt;/D&gt;&lt;D xsi:type="xsd:double"&gt;0.023269653&lt;/D&gt;&lt;D xsi:type="xsd:double"&gt;-18.8119&lt;/D&gt;&lt;D xsi:type="xsd:double"&gt;-10.078687&lt;/D&gt;&lt;D xsi:type="xsd:double"&gt;2.2736669&lt;/D&gt;&lt;D xsi:type="xsd:double"&gt;-5.499625&lt;/D&gt;&lt;D xsi:type="xsd:double"&gt;-16.65703&lt;/D&gt;&lt;D xsi:type="xsd:double"&gt;-0.8134186&lt;/D&gt;&lt;D xsi:type="xsd:double"&gt;-5.369699&lt;/D&gt;&lt;D xsi:type="xsd:double"&gt;6.1538815&lt;/D&gt;&lt;D xsi:type="xsd:double"&gt;0.29907227&lt;/D&gt;&lt;D xsi:type="xsd:double"&gt;-14.700174&lt;/D&gt;&lt;D xsi:type="xsd:double"&gt;2.224207&lt;/D&gt;&lt;D xsi:type="xsd:double"&gt;-8.756638&lt;/D&gt;&lt;D xsi:type="xsd:double"&gt;12.229538&lt;/D&gt;&lt;D xsi:type="xsd:double"&gt;0.79448223&lt;/D&gt;&lt;D xsi:type="xsd:double"&gt;-10.974085&lt;/D&gt;&lt;D xsi:type="xsd:double"&gt;3.4978747&lt;/D&gt;&lt;D xsi:type="xsd:double"&gt;5.855155&lt;/D&gt;&lt;D xsi:type="xsd:double"&gt;-1.5334904&lt;/D&gt;&lt;D xsi:type="xsd:double"&gt;-10.212779&lt;/D&gt;&lt;D xsi:type="xsd:double"&gt;-18.391598&lt;/D&gt;&lt;D xsi:type="xsd:double"&gt;-4.0650187&lt;/D&gt;&lt;D xsi:type="xsd:double"&gt;11.000538&lt;/D&gt;&lt;D xsi:type="xsd:double"&gt;16.195452&lt;/D&gt;&lt;D xsi:type="xsd:double"&gt;40.448105&lt;/D&gt;&lt;D xsi:type="xsd:double"&gt;21.737576&lt;/D&gt;&lt;D xsi:type="xsd:double"&gt;30.181812&lt;/D&gt;&lt;D xsi:type="xsd:double"&gt;19.056438&lt;/D&gt;&lt;D xsi:type="xsd:double"&gt;9.488546&lt;/D&gt;&lt;D xsi:type="xsd:double"&gt;25.022984&lt;/D&gt;&lt;D xsi:type="xsd:double"&gt;10.306096&lt;/D&gt;&lt;D xsi:type="xsd:double"&gt;23.350216&lt;/D&gt;&lt;D xsi:type="xsd:double"&gt;42.62067&lt;/D&gt;&lt;D xsi:type="xsd:double"&gt;31.710983&lt;/D&gt;&lt;/FQL&gt;&lt;FQL&gt;&lt;Q&gt;EZA^FG_TOTAL_RETURNC(-10AY,0,AM)&lt;/Q&gt;&lt;R&gt;121&lt;/R&gt;&lt;C&gt;1&lt;/C&gt;&lt;D xsi:type="xsd:double"&gt;4.5306206&lt;/D&gt;&lt;D xsi:type="xsd:double"&gt;3.2339692&lt;/D&gt;&lt;D xsi:type="xsd:double"&gt;0.47529936&lt;/D&gt;&lt;D xsi:type="xsd:double"&gt;1.10811&lt;/D&gt;&lt;D xsi:type="xsd:double"&gt;1.7596483&lt;/D&gt;&lt;D xsi:type="xsd:double"&gt;-3.697449&lt;/D&gt;&lt;D xsi:type="xsd:double"&gt;-6.42336&lt;/D&gt;&lt;D xsi:type="xsd:double"&gt;9.625578&lt;/D&gt;&lt;D xsi:type="xsd:double"&gt;-6.2482715&lt;/D&gt;&lt;D xsi:type="xsd:double"&gt;0.13840199&lt;/D&gt;&lt;D xsi:type="xsd:double"&gt;5.497539&lt;/D&gt;&lt;D xsi:type="xsd:double"&gt;-1.9941688&lt;/D&gt;&lt;D xsi:type="xsd:double"&gt;3.8912773&lt;/D&gt;&lt;D xsi:type="xsd:double"&gt;-0.6004274&lt;/D&gt;&lt;D xsi:type="xsd:double"&gt;-7.5506983&lt;/D&gt;&lt;D xsi:type="xsd:double"&gt;2.2204995&lt;/D&gt;&lt;D xsi:type="xsd:double"&gt;-9.669995&lt;/D&gt;&lt;D xsi:type="xsd:double"&gt;-4.451996&lt;/D&gt;&lt;D xsi:type="xsd:double"&gt;8.678638&lt;/D&gt;&lt;D xsi:type="xsd:double"&gt;-10.080183&lt;/D&gt;&lt;D xsi:type="xsd:double"&gt;-13.4121895&lt;/D&gt;&lt;D xsi:type="xsd:double"&gt;-16.383373&lt;/D&gt;&lt;D xsi:type="xsd:double"&gt;21.053982&lt;/D&gt;&lt;D xsi:type="xsd:double"&gt;9.91124&lt;/D&gt;&lt;D xsi:type="xsd:double"&gt;5.4797173&lt;/D&gt;&lt;D xsi:type="xsd:double"&gt;-12.996721&lt;/D&gt;&lt;D xsi:type="xsd:double"&gt;7.458627&lt;/D&gt;&lt;D xsi:type="xsd:double"&gt;12.095701&lt;/D&gt;&lt;D xsi:type="xsd:double"&gt;8.100355&lt;/D&gt;&lt;D xsi:type="xsd:double"&gt;-9.73143&lt;/D&gt;&lt;D xsi:type="xsd:double"&gt;-1.0835648&lt;/D&gt;&lt;D xsi:type="xsd:double"&gt;-6.962496&lt;/D&gt;&lt;D xsi:type="xsd:double"&gt;1.2572408&lt;/D&gt;&lt;D xsi:type="xsd:double"&gt;9.291363&lt;/D&gt;&lt;D xsi:type="xsd:double"&gt;2.7706861&lt;/D&gt;&lt;D xsi:type="xsd:double"&gt;5.0904512&lt;/D&gt;&lt;D xsi:type="xsd:double"&gt;-3.3417702&lt;/D&gt;&lt;D xsi:type="xsd:double"&gt;2.1477222&lt;/D&gt;&lt;D xsi:type="xsd:double"&gt;-1.0427356&lt;/D&gt;&lt;D xsi:type="xsd:double"&gt;4.0183067&lt;/D&gt;&lt;D xsi:type="xsd:double"&gt;1.9423962&lt;/D&gt;&lt;D xsi:type="xsd:double"&gt;-1.4290452&lt;/D&gt;&lt;D xsi:type="xsd:double"&gt;2.6828885&lt;/D&gt;&lt;D xsi:type="xsd:double"&gt;1.3145089&lt;/D&gt;&lt;D xsi:type="xsd:double"&gt;5.6062818&lt;/D&gt;&lt;D xsi:type="xsd:double"&gt;10.765039&lt;/D&gt;&lt;D xsi:type="xsd:double"&gt;2.626121&lt;/D&gt;&lt;D xsi:type="xsd:double"&gt;-5.17171&lt;/D&gt;&lt;D xsi:type="xsd:double"&gt;-0.7385373&lt;/D&gt;&lt;D xsi:type="xsd:double"&gt;-9.758192&lt;/D&gt;&lt;D xsi:type="xsd:double"&gt;-8.260661&lt;/D&gt;&lt;D xsi:type="xsd:double"&gt;3.630066&lt;/D&gt;&lt;D xsi:type="xsd:double"&gt;-9.991527&lt;/D&gt;&lt;D xsi:type="xsd:double"&gt;-2.9915333&lt;/D&gt;&lt;D xsi:type="xsd:double"&gt;-5.23662&lt;/D&gt;&lt;D xsi:type="xsd:double"&gt;8.984852&lt;/D&gt;&lt;D xsi:type="xsd:double"&gt;-5.2259865&lt;/D&gt;&lt;D xsi:type="xsd:double"&gt;10.910929&lt;/D&gt;&lt;D xsi:type="xsd:double"&gt;-3.869325&lt;/D&gt;&lt;D xsi:type="xsd:double"&gt;1.1391759&lt;/D&gt;&lt;D xsi:type="xsd:double"&gt;9.198416&lt;/D&gt;&lt;D xsi:type="xsd:double"&gt;-8.389198&lt;/D&gt;&lt;D xsi:type="xsd:double"&gt;3.5431623&lt;/D&gt;&lt;D xsi:type="xsd:double"&gt;3.121519&lt;/D&gt;&lt;D xsi:type="xsd:double"&gt;-16.180182&lt;/D&gt;&lt;D xsi:type="xsd:double"&gt;10.49012&lt;/D&gt;&lt;D xsi:type="xsd:double"&gt;-0.87548494&lt;/D&gt;&lt;D xsi:type="xsd:double"&gt;0.43178797&lt;/D&gt;&lt;D xsi:type="xsd:double"&gt;4.8179626&lt;/D&gt;&lt;D xsi:type="xsd:double"&gt;-0.49210787&lt;/D&gt;&lt;D xsi:type="xsd:double"&gt;-4.2447925&lt;/D&gt;&lt;D xsi:type="xsd:double"&gt;-43.189156&lt;/D&gt;&lt;D xsi:type="xsd:double"&gt;14.469695&lt;/D&gt;&lt;D xsi:type="xsd:double"&gt;8.802128&lt;/D&gt;&lt;D xsi:type="xsd:double"&gt;8.523071&lt;/D&gt;&lt;D xsi:type="xsd:double"&gt;10.445202&lt;/D&gt;&lt;D xsi:type="xsd:double"&gt;-3.074944&lt;/D&gt;&lt;D xsi:type="xsd:double"&gt;1.3329744&lt;/D&gt;&lt;D xsi:type="xsd:double"&gt;-0.15784502&lt;/D&gt;&lt;D xsi:type="xsd:double"&gt;11.67326&lt;/D&gt;&lt;D xsi:type="xsd:double"&gt;10.999453&lt;/D&gt;&lt;D xsi:type="xsd:double"&gt;-2.7236462&lt;/D&gt;&lt;D xsi:type="xsd:double"&gt;11.222399&lt;/D&gt;&lt;D xsi:type="xsd:double"&gt;-0.61399937&lt;/D&gt;&lt;D xsi:type="xsd:double"&gt;7.392919&lt;/D&gt;&lt;D xsi:type="xsd:double"&gt;-0.9587705&lt;/D&gt;&lt;D xsi:type="xsd:double"&gt;-5.0192413&lt;/D&gt;&lt;D xsi:type="xsd:double"&gt;-1.275456&lt;/D&gt;&lt;D xsi:type="xsd:double"&gt;-1.8545568&lt;/D&gt;&lt;D xsi:type="xsd:double"&gt;-2.0169795&lt;/D&gt;&lt;D xsi:type="xsd:double"&gt;6.717217&lt;/D&gt;&lt;D xsi:type="xsd:double"&gt;-4.2233524&lt;/D&gt;&lt;D xsi:type="xsd:double"&gt;-2.6300013&lt;/D&gt;&lt;D xsi:type="xsd:double"&gt;5.939293&lt;/D&gt;&lt;D xsi:type="xsd:double"&gt;8.53405&lt;/D&gt;&lt;D xsi:type="xsd:double"&gt;4.495883&lt;/D&gt;&lt;D xsi:type="xsd:double"&gt;-3.2954931&lt;/D&gt;&lt;D xsi:type="xsd:double"&gt;-14.767134&lt;/D&gt;&lt;D xsi:type="xsd:double"&gt;-4.0287075&lt;/D&gt;&lt;D xsi:type="xsd:double"&gt;-4.7562656&lt;/D&gt;&lt;D xsi:type="xsd:double"&gt;7.975149&lt;/D&gt;&lt;D xsi:type="xsd:double"&gt;-11.22871&lt;/D&gt;&lt;D xsi:type="xsd:double"&gt;-2.0736217&lt;/D&gt;&lt;D xsi:type="xsd:double"&gt;15.007949&lt;/D&gt;&lt;D xsi:type="xsd:double"&gt;-4.3838797&lt;/D&gt;&lt;D xsi:type="xsd:double"&gt;11.705769&lt;/D&gt;&lt;D xsi:type="xsd:double"&gt;-6.541234&lt;/D&gt;&lt;D xsi:type="xsd:double"&gt;-8.263117&lt;/D&gt;&lt;D xsi:type="xsd:double"&gt;10.589445&lt;/D&gt;&lt;D xsi:type="xsd:double"&gt;-10.544533&lt;/D&gt;&lt;D xsi:type="xsd:double"&gt;10.867012&lt;/D&gt;&lt;D xsi:type="xsd:double"&gt;1.7278075&lt;/D&gt;&lt;D xsi:type="xsd:double"&gt;-10.167515&lt;/D&gt;&lt;D xsi:type="xsd:double"&gt;-0.751102&lt;/D&gt;&lt;D xsi:type="xsd:double"&gt;-0.835073&lt;/D&gt;&lt;D xsi:type="xsd:double"&gt;6.157899&lt;/D&gt;&lt;D xsi:type="xsd:double"&gt;0.5949497&lt;/D&gt;&lt;D xsi:type="xsd:double"&gt;-5.5134177&lt;/D&gt;&lt;D xsi:type="xsd:double"&gt;2.086091&lt;/D&gt;&lt;D xsi:type="xsd:double"&gt;-2.897048&lt;/D&gt;&lt;D xsi:type="xsd:double"&gt;1.9179463&lt;/D&gt;&lt;/FQL&gt;&lt;FQL&gt;&lt;Q&gt;TUR^FMA_DIV_YLD(NTMA,-10AY,0,AM,"PORTAGG","MEANR")&lt;/Q&gt;&lt;R&gt;121&lt;/R&gt;&lt;C&gt;1&lt;/C&gt;&lt;D xsi:type="xsd:double"&gt;2.88550958991016&lt;/D&gt;&lt;D xsi:type="xsd:double"&gt;2.97216885341915&lt;/D&gt;&lt;D xsi:type="xsd:double"&gt;2.95839754592177&lt;/D&gt;&lt;D xsi:type="xsd:double"&gt;2.6956427860356&lt;/D&gt;&lt;D xsi:type="xsd:double"&gt;3.15166878553546&lt;/D&gt;&lt;D xsi:type="xsd:double"&gt;3.12130167393983&lt;/D&gt;&lt;D xsi:type="xsd:double"&gt;3.15422064001449&lt;/D&gt;&lt;D xsi:type="xsd:double"&gt;2.88408461470744&lt;/D&gt;&lt;D xsi:type="xsd:double"&gt;2.80836573653243&lt;/D&gt;&lt;D xsi:type="xsd:double"&gt;2.71527275766391&lt;/D&gt;&lt;D xsi:type="xsd:double"&gt;2.87463899089739&lt;/D&gt;&lt;D xsi:type="xsd:double"&gt;3.03370639379381&lt;/D&gt;&lt;D xsi:type="xsd:double"&gt;2.92990024433612&lt;/D&gt;&lt;D xsi:type="xsd:double"&gt;2.72063342599364&lt;/D&gt;&lt;D xsi:type="xsd:double"&gt;3.01838784120813&lt;/D&gt;&lt;D xsi:type="xsd:double"&gt;3.00745844263003&lt;/D&gt;&lt;D xsi:type="xsd:double"&gt;3.27242475376731&lt;/D&gt;&lt;D xsi:type="xsd:double"&gt;3.38292748832137&lt;/D&gt;&lt;D xsi:type="xsd:double"&gt;3.19988322910876&lt;/D&gt;&lt;D xsi:type="xsd:double"&gt;3.18300888321254&lt;/D&gt;&lt;D xsi:type="xsd:double"&gt;3.59017945498175&lt;/D&gt;&lt;D xsi:type="xsd:double"&gt;3.66665378374499&lt;/D&gt;&lt;D xsi:type="xsd:double"&gt;3.54535399876391&lt;/D&gt;&lt;D xsi:type="xsd:double"&gt;3.09951135672876&lt;/D&gt;&lt;D xsi:type="xsd:double"&gt;3.14671990831995&lt;/D&gt;&lt;D xsi:type="xsd:double"&gt;3.4809271948294&lt;/D&gt;&lt;D xsi:type="xsd:double"&gt;3.63977515425848&lt;/D&gt;&lt;D xsi:type="xsd:double"&gt;3.58322621945369&lt;/D&gt;&lt;D xsi:type="xsd:double"&gt;3.46261385583582&lt;/D&gt;&lt;D xsi:type="xsd:double"&gt;3.61373628484746&lt;/D&gt;&lt;D xsi:type="xsd:double"&gt;3.59514582220861&lt;/D&gt;&lt;D xsi:type="xsd:double"&gt;3.75846537058808&lt;/D&gt;&lt;D xsi:type="xsd:double"&gt;3.7909143740479&lt;/D&gt;&lt;D xsi:type="xsd:double"&gt;3.65269440837394&lt;/D&gt;&lt;D xsi:type="xsd:double"&gt;3.48926459041305&lt;/D&gt;&lt;D xsi:type="xsd:double"&gt;3.52671355372339&lt;/D&gt;&lt;D xsi:type="xsd:double"&gt;3.59981106936795&lt;/D&gt;&lt;D xsi:type="xsd:double"&gt;3.70250954238067&lt;/D&gt;&lt;D xsi:type="xsd:double"&gt;3.62889236304217&lt;/D&gt;&lt;D xsi:type="xsd:double"&gt;3.54975870030911&lt;/D&gt;&lt;D xsi:type="xsd:double"&gt;3.79357289311791&lt;/D&gt;&lt;D xsi:type="xsd:double"&gt;3.94515179209294&lt;/D&gt;&lt;D xsi:type="xsd:double"&gt;4.1446757957696&lt;/D&gt;&lt;D xsi:type="xsd:double"&gt;4.27844671176807&lt;/D&gt;&lt;D xsi:type="xsd:double"&gt;4.22175657329874&lt;/D&gt;&lt;D xsi:type="xsd:double"&gt;3.99021077868443&lt;/D&gt;&lt;D xsi:type="xsd:double"&gt;4.16404581837587&lt;/D&gt;&lt;D xsi:type="xsd:double"&gt;4.36144329985355&lt;/D&gt;&lt;D xsi:type="xsd:double"&gt;4.71483005690452&lt;/D&gt;&lt;D xsi:type="xsd:double"&gt;5.23310753197832&lt;/D&gt;&lt;D xsi:type="xsd:double"&gt;5.68301465899751&lt;/D&gt;&lt;D xsi:type="xsd:double"&gt;5.61777015418884&lt;/D&gt;&lt;D xsi:type="xsd:double"&gt;5.78131576347854&lt;/D&gt;&lt;D xsi:type="xsd:double"&gt;5.68099751492704&lt;/D&gt;&lt;D xsi:type="xsd:double"&gt;5.33699717902649&lt;/D&gt;&lt;D xsi:type="xsd:double"&gt;5.28884621284099&lt;/D&gt;&lt;D xsi:type="xsd:double"&gt;5.24511359005277&lt;/D&gt;&lt;D xsi:type="xsd:double"&gt;4.59055922637345&lt;/D&gt;&lt;D xsi:type="xsd:double"&gt;4.62612510982655&lt;/D&gt;&lt;D xsi:type="xsd:double"&gt;4.38908610425005&lt;/D&gt;&lt;D xsi:type="xsd:double"&gt;5.08178910149065&lt;/D&gt;&lt;D xsi:type="xsd:double"&gt;5.63081985452017&lt;/D&gt;&lt;D xsi:type="xsd:double"&gt;4.91733329145467&lt;/D&gt;&lt;D xsi:type="xsd:double"&gt;4.42832816103175&lt;/D&gt;&lt;D xsi:type="xsd:double"&gt;4.96710050195499&lt;/D&gt;&lt;D xsi:type="xsd:double"&gt;4.91917806352529&lt;/D&gt;&lt;D xsi:type="xsd:double"&gt;5.11766306750429&lt;/D&gt;&lt;D xsi:type="xsd:double"&gt;4.45698132074953&lt;/D&gt;&lt;D xsi:type="xsd:double"&gt;4.40140737003224&lt;/D&gt;&lt;D xsi:type="xsd:double"&gt;4.261206091408&lt;/D&gt;&lt;D xsi:type="xsd:double"&gt;4.41273306153331&lt;/D&gt;&lt;D xsi:type="xsd:double"&gt;5.9878259782273&lt;/D&gt;&lt;D xsi:type="xsd:double"&gt;4.82776211710077&lt;/D&gt;&lt;D xsi:type="xsd:double"&gt;3.96191130923315&lt;/D&gt;&lt;D xsi:type="xsd:double"&gt;3.25401857133577&lt;/D&gt;&lt;D xsi:type="xsd:double"&gt;3.31960882071936&lt;/D&gt;&lt;D xsi:type="xsd:double"&gt;4.0442485521881&lt;/D&gt;&lt;D xsi:type="xsd:double"&gt;4.5299846783014&lt;/D&gt;&lt;D xsi:type="xsd:double"&gt;4.21900439543968&lt;/D&gt;&lt;D xsi:type="xsd:double"&gt;3.97419613921151&lt;/D&gt;&lt;D xsi:type="xsd:double"&gt;3.86001374593634&lt;/D&gt;&lt;D xsi:type="xsd:double"&gt;3.87253494043396&lt;/D&gt;&lt;D xsi:type="xsd:double"&gt;4.56108163891013&lt;/D&gt;&lt;D xsi:type="xsd:double"&gt;4.48997523571457&lt;/D&gt;&lt;D xsi:type="xsd:double"&gt;5.33149907925044&lt;/D&gt;&lt;D xsi:type="xsd:double"&gt;5.35660125217981&lt;/D&gt;&lt;D xsi:type="xsd:double"&gt;5.59487389543976&lt;/D&gt;&lt;D xsi:type="xsd:double"&gt;5.99204236348335&lt;/D&gt;&lt;D xsi:type="xsd:double"&gt;5.95229518995762&lt;/D&gt;&lt;D xsi:type="xsd:double"&gt;6.06793690017868&lt;/D&gt;&lt;D xsi:type="xsd:double"&gt;6.17889709947467&lt;/D&gt;&lt;D xsi:type="xsd:double"&gt;5.08758364806883&lt;/D&gt;&lt;D xsi:type="xsd:double"&gt;4.70745243257924&lt;/D&gt;&lt;D xsi:type="xsd:double"&gt;5.45038515461453&lt;/D&gt;&lt;D xsi:type="xsd:double"&gt;5.82077225816085&lt;/D&gt;&lt;D xsi:type="xsd:double"&gt;5.98442676626081&lt;/D&gt;&lt;D xsi:type="xsd:double"&gt;5.28020912300323&lt;/D&gt;&lt;D xsi:type="xsd:double"&gt;5.63732753895338&lt;/D&gt;&lt;D xsi:type="xsd:double"&gt;5.38344756384583&lt;/D&gt;&lt;D xsi:type="xsd:double"&gt;6.19761522755491&lt;/D&gt;&lt;D xsi:type="xsd:double"&gt;5.02278730391485&lt;/D&gt;&lt;D xsi:type="xsd:double"&gt;4.82277151356306&lt;/D&gt;&lt;D xsi:type="xsd:double"&gt;5.04410196196599&lt;/D&gt;&lt;D xsi:type="xsd:double"&gt;5.04062821140223&lt;/D&gt;&lt;D xsi:type="xsd:double"&gt;4.63185876141215&lt;/D&gt;&lt;D xsi:type="xsd:double"&gt;4.78437634134312&lt;/D&gt;&lt;D xsi:type="xsd:double"&gt;5.27848298909083&lt;/D&gt;&lt;D xsi:type="xsd:double"&gt;4.83342692786243&lt;/D&gt;&lt;D xsi:type="xsd:double"&gt;5.10622986958063&lt;/D&gt;&lt;D xsi:type="xsd:double"&gt;5.64762578116771&lt;/D&gt;&lt;D xsi:type="xsd:double"&gt;4.73503741136041&lt;/D&gt;&lt;D xsi:type="xsd:double"&gt;4.16968870303241&lt;/D&gt;&lt;D xsi:type="xsd:double"&gt;3.77400810897163&lt;/D&gt;&lt;D xsi:type="xsd:double"&gt;3.93724598820957&lt;/D&gt;&lt;D xsi:type="xsd:double"&gt;4.14120974002507&lt;/D&gt;&lt;D xsi:type="xsd:double"&gt;4.45358377877457&lt;/D&gt;&lt;D xsi:type="xsd:double"&gt;4.6982324459285&lt;/D&gt;&lt;D xsi:type="xsd:double"&gt;4.40271859380846&lt;/D&gt;&lt;D xsi:type="xsd:double"&gt;4.06262522765113&lt;/D&gt;&lt;D xsi:type="xsd:double"&gt;4.34996518828372&lt;/D&gt;&lt;D xsi:type="xsd:double"&gt;4.01140494676556&lt;/D&gt;&lt;/FQL&gt;&lt;FQL&gt;&lt;Q&gt;ECH^FMA_DIV_YLD(NTMA,-10AY,0,AM,"PORTAGG","MEANR")&lt;/Q&gt;&lt;R&gt;121&lt;/R&gt;&lt;C&gt;1&lt;/C&gt;&lt;D xsi:type="xsd:double"&gt;3.03254114809939&lt;/D&gt;&lt;D xsi:type="xsd:double"&gt;3.0058752920972&lt;/D&gt;&lt;D xsi:type="xsd:double"&gt;3.07631568409747&lt;/D&gt;&lt;D xsi:type="xsd:double"&gt;3.10411753943853&lt;/D&gt;&lt;D xsi:type="xsd:double"&gt;3.05434586635633&lt;/D&gt;&lt;D xsi:type="xsd:double"&gt;3.02267362993319&lt;/D&gt;&lt;D xsi:type="xsd:double"&gt;3.28112539448991&lt;/D&gt;&lt;D xsi:type="xsd:double"&gt;2.96200452260912&lt;/D&gt;&lt;D xsi:type="xsd:double"&gt;3.16447703523275&lt;/D&gt;&lt;D xsi:type="xsd:double"&gt;3.30354097956142&lt;/D&gt;&lt;D xsi:type="xsd:double"&gt;3.12909545940427&lt;/D&gt;&lt;D xsi:type="xsd:double"&gt;3.3150474410616&lt;/D&gt;&lt;D xsi:type="xsd:double"&gt;3.14439795821398&lt;/D&gt;&lt;D xsi:type="xsd:double"&gt;3.14777621751395&lt;/D&gt;&lt;D xsi:type="xsd:double"&gt;3.41962376966683&lt;/D&gt;&lt;D xsi:type</t>
        </r>
      </text>
    </comment>
    <comment ref="A3" authorId="0" shapeId="0" xr:uid="{02F09318-7D09-4640-9CAD-B9FB1A237869}">
      <text>
        <r>
          <rPr>
            <b/>
            <sz val="9"/>
            <color indexed="81"/>
            <rFont val="Tahoma"/>
            <charset val="1"/>
          </rPr>
          <t>="xsd:double"&gt;3.5360453629785&lt;/D&gt;&lt;D xsi:type="xsd:double"&gt;3.63361490157568&lt;/D&gt;&lt;D xsi:type="xsd:double"&gt;3.60467620321051&lt;/D&gt;&lt;D xsi:type="xsd:double"&gt;3.71951872195287&lt;/D&gt;&lt;D xsi:type="xsd:double"&gt;3.70249746443699&lt;/D&gt;&lt;D xsi:type="xsd:double"&gt;3.77120795257409&lt;/D&gt;&lt;D xsi:type="xsd:double"&gt;4.06054414524871&lt;/D&gt;&lt;D xsi:type="xsd:double"&gt;3.66167457627992&lt;/D&gt;&lt;D xsi:type="xsd:double"&gt;3.38461677924066&lt;/D&gt;&lt;D xsi:type="xsd:double"&gt;3.45446384141211&lt;/D&gt;&lt;D xsi:type="xsd:double"&gt;3.30211433905855&lt;/D&gt;&lt;D xsi:type="xsd:double"&gt;3.25989540417901&lt;/D&gt;&lt;D xsi:type="xsd:double"&gt;2.89036370989326&lt;/D&gt;&lt;D xsi:type="xsd:double"&gt;2.86906811672753&lt;/D&gt;&lt;D xsi:type="xsd:double"&gt;3.1099542787694&lt;/D&gt;&lt;D xsi:type="xsd:double"&gt;2.71688780408493&lt;/D&gt;&lt;D xsi:type="xsd:double"&gt;2.85342232256786&lt;/D&gt;&lt;D xsi:type="xsd:double"&gt;2.88020662120788&lt;/D&gt;&lt;D xsi:type="xsd:double"&gt;2.92654732350702&lt;/D&gt;&lt;D xsi:type="xsd:double"&gt;2.76252150015522&lt;/D&gt;&lt;D xsi:type="xsd:double"&gt;2.64078642672673&lt;/D&gt;&lt;D xsi:type="xsd:double"&gt;2.4696696308387&lt;/D&gt;&lt;D xsi:type="xsd:double"&gt;2.47182697236&lt;/D&gt;&lt;D xsi:type="xsd:double"&gt;2.65921543903661&lt;/D&gt;&lt;D xsi:type="xsd:double"&gt;2.56824059414551&lt;/D&gt;&lt;D xsi:type="xsd:double"&gt;2.59048623174067&lt;/D&gt;&lt;D xsi:type="xsd:double"&gt;2.49138391541128&lt;/D&gt;&lt;D xsi:type="xsd:double"&gt;2.81087801156032&lt;/D&gt;&lt;D xsi:type="xsd:double"&gt;2.93376768473326&lt;/D&gt;&lt;D xsi:type="xsd:double"&gt;2.96127594660973&lt;/D&gt;&lt;D xsi:type="xsd:double"&gt;2.75316590340615&lt;/D&gt;&lt;D xsi:type="xsd:double"&gt;3.01602416284194&lt;/D&gt;&lt;D xsi:type="xsd:double"&gt;3.0768085670833&lt;/D&gt;&lt;D xsi:type="xsd:double"&gt;3.05483969545235&lt;/D&gt;&lt;D xsi:type="xsd:double"&gt;3.26901531215174&lt;/D&gt;&lt;D xsi:type="xsd:double"&gt;3.28157623544645&lt;/D&gt;&lt;D xsi:type="xsd:double"&gt;3.36825638414992&lt;/D&gt;&lt;D xsi:type="xsd:double"&gt;3.40945491635556&lt;/D&gt;&lt;D xsi:type="xsd:double"&gt;3.44814458161379&lt;/D&gt;&lt;D xsi:type="xsd:double"&gt;3.03088824095636&lt;/D&gt;&lt;D xsi:type="xsd:double"&gt;2.9829907836624&lt;/D&gt;&lt;D xsi:type="xsd:double"&gt;3.14070123152538&lt;/D&gt;&lt;D xsi:type="xsd:double"&gt;2.91049749318637&lt;/D&gt;&lt;D xsi:type="xsd:double"&gt;2.96107771600211&lt;/D&gt;&lt;D xsi:type="xsd:double"&gt;3.02284443169258&lt;/D&gt;&lt;D xsi:type="xsd:double"&gt;2.94020195379755&lt;/D&gt;&lt;D xsi:type="xsd:double"&gt;3.25695038658398&lt;/D&gt;&lt;D xsi:type="xsd:double"&gt;3.30030958652391&lt;/D&gt;&lt;D xsi:type="xsd:double"&gt;3.23813680470042&lt;/D&gt;&lt;D xsi:type="xsd:double"&gt;3.47387075478106&lt;/D&gt;&lt;D xsi:type="xsd:double"&gt;3.27079789170851&lt;/D&gt;&lt;D xsi:type="xsd:double"&gt;3.16525276112541&lt;/D&gt;&lt;D xsi:type="xsd:double"&gt;3.45592792790237&lt;/D&gt;&lt;D xsi:type="xsd:double"&gt;3.66088138013754&lt;/D&gt;&lt;D xsi:type="xsd:double"&gt;3.60902437307366&lt;/D&gt;&lt;D xsi:type="xsd:double"&gt;3.83605667603291&lt;/D&gt;&lt;D xsi:type="xsd:double"&gt;5.98089891125465&lt;/D&gt;&lt;D xsi:type="xsd:double"&gt;4.22761719190067&lt;/D&gt;&lt;D xsi:type="xsd:double"&gt;3.77978857825348&lt;/D&gt;&lt;D xsi:type="xsd:double"&gt;3.3504457335055&lt;/D&gt;&lt;D xsi:type="xsd:double"&gt;3.3261401318058&lt;/D&gt;&lt;D xsi:type="xsd:double"&gt;3.36239735047192&lt;/D&gt;&lt;D xsi:type="xsd:double"&gt;3.81398112896265&lt;/D&gt;&lt;D xsi:type="xsd:double"&gt;3.79806836045316&lt;/D&gt;&lt;D xsi:type="xsd:double"&gt;3.31281789590357&lt;/D&gt;&lt;D xsi:type="xsd:double"&gt;3.18675992431182&lt;/D&gt;&lt;D xsi:type="xsd:double"&gt;3.05206846278559&lt;/D&gt;&lt;D xsi:type="xsd:double"&gt;3.04320098974864&lt;/D&gt;&lt;D xsi:type="xsd:double"&gt;2.82897295825444&lt;/D&gt;&lt;D xsi:type="xsd:double"&gt;3.06052306042637&lt;/D&gt;&lt;D xsi:type="xsd:double"&gt;3.96281262415162&lt;/D&gt;&lt;D xsi:type="xsd:double"&gt;3.9295422303544&lt;/D&gt;&lt;D xsi:type="xsd:double"&gt;4.30604384552199&lt;/D&gt;&lt;D xsi:type="xsd:double"&gt;4.74159675671277&lt;/D&gt;&lt;D xsi:type="xsd:double"&gt;4.58808375899594&lt;/D&gt;&lt;D xsi:type="xsd:double"&gt;5.12771981414976&lt;/D&gt;&lt;D xsi:type="xsd:double"&gt;5.058206018187&lt;/D&gt;&lt;D xsi:type="xsd:double"&gt;5.26172017299749&lt;/D&gt;&lt;D xsi:type="xsd:double"&gt;4.73906462487838&lt;/D&gt;&lt;D xsi:type="xsd:double"&gt;4.74247701499229&lt;/D&gt;&lt;D xsi:type="xsd:double"&gt;4.63117955892639&lt;/D&gt;&lt;D xsi:type="xsd:double"&gt;4.86812975834885&lt;/D&gt;&lt;D xsi:type="xsd:double"&gt;5.18409381743683&lt;/D&gt;&lt;D xsi:type="xsd:double"&gt;6.92880293088726&lt;/D&gt;&lt;D xsi:type="xsd:double"&gt;7.52946819305782&lt;/D&gt;&lt;D xsi:type="xsd:double"&gt;7.34736291642776&lt;/D&gt;&lt;D xsi:type="xsd:double"&gt;6.60950778372447&lt;/D&gt;&lt;D xsi:type="xsd:double"&gt;7.07620493036564&lt;/D&gt;&lt;D xsi:type="xsd:double"&gt;9.02962461349359&lt;/D&gt;&lt;D xsi:type="xsd:double"&gt;8.84102232140052&lt;/D&gt;&lt;D xsi:type="xsd:double"&gt;7.83571829962984&lt;/D&gt;&lt;D xsi:type="xsd:double"&gt;7.89294757238587&lt;/D&gt;&lt;D xsi:type="xsd:double"&gt;8.89073187540771&lt;/D&gt;&lt;D xsi:type="xsd:double"&gt;7.93173094580012&lt;/D&gt;&lt;D xsi:type="xsd:double"&gt;7.27563297557807&lt;/D&gt;&lt;D xsi:type="xsd:double"&gt;6.9650864325846&lt;/D&gt;&lt;D xsi:type="xsd:double"&gt;6.19400078724585&lt;/D&gt;&lt;D xsi:type="xsd:double"&gt;6.14423149811426&lt;/D&gt;&lt;D xsi:type="xsd:double"&gt;6.60671202499388&lt;/D&gt;&lt;D xsi:type="xsd:double"&gt;6.65303946111426&lt;/D&gt;&lt;D xsi:type="xsd:double"&gt;6.6788538463092&lt;/D&gt;&lt;D xsi:type="xsd:double"&gt;6.73622813254117&lt;/D&gt;&lt;D xsi:type="xsd:double"&gt;7.17100291471221&lt;/D&gt;&lt;D xsi:type="xsd:double"&gt;6.58142361809905&lt;/D&gt;&lt;D xsi:type="xsd:double"&gt;7.06213657859593&lt;/D&gt;&lt;D xsi:type="xsd:double"&gt;6.89860091344576&lt;/D&gt;&lt;/FQL&gt;&lt;FQL&gt;&lt;Q&gt;EWT^FMA_PE(NTMA,-10AY,0,AM,"PORTAGG","MEANR")&lt;/Q&gt;&lt;R&gt;121&lt;/R&gt;&lt;C&gt;1&lt;/C&gt;&lt;D xsi:type="xsd:double"&gt;14.4197170612428&lt;/D&gt;&lt;D xsi:type="xsd:double"&gt;14.0234775633227&lt;/D&gt;&lt;D xsi:type="xsd:double"&gt;14.4123846908979&lt;/D&gt;&lt;D xsi:type="xsd:double"&gt;14.1473776493444&lt;/D&gt;&lt;D xsi:type="xsd:double"&gt;13.5289092907672&lt;/D&gt;&lt;D xsi:type="xsd:double"&gt;13.5358810008424&lt;/D&gt;&lt;D xsi:type="xsd:double"&gt;12.3494110844001&lt;/D&gt;&lt;D xsi:type="xsd:double"&gt;12.8678946333384&lt;/D&gt;&lt;D xsi:type="xsd:double"&gt;12.5513804675078&lt;/D&gt;&lt;D xsi:type="xsd:double"&gt;12.4181559017914&lt;/D&gt;&lt;D xsi:type="xsd:double"&gt;12.8119373568615&lt;/D&gt;&lt;D xsi:type="xsd:double"&gt;12.83365083502&lt;/D&gt;&lt;D xsi:type="xsd:double"&gt;12.5732470047976&lt;/D&gt;&lt;D xsi:type="xsd:double"&gt;12.7782032673238&lt;/D&gt;&lt;D xsi:type="xsd:double"&gt;12.4232484739949&lt;/D&gt;&lt;D xsi:type="xsd:double"&gt;12.2436583707326&lt;/D&gt;&lt;D xsi:type="xsd:double"&gt;11.3900894580534&lt;/D&gt;&lt;D xsi:type="xsd:double"&gt;11.949505909656&lt;/D&gt;&lt;D xsi:type="xsd:double"&gt;12.1406770818321&lt;/D&gt;&lt;D xsi:type="xsd:double"&gt;11.8773205504821&lt;/D&gt;&lt;D xsi:type="xsd:double"&gt;11.6785129964465&lt;/D&gt;&lt;D xsi:type="xsd:double"&gt;11.1120194237939&lt;/D&gt;&lt;D xsi:type="xsd:double"&gt;12.1717448643966&lt;/D&gt;&lt;D xsi:type="xsd:double"&gt;12.8889414181528&lt;/D&gt;&lt;D xsi:type="xsd:double"&gt;12.7030090147985&lt;/D&gt;&lt;D xsi:type="xsd:double"&gt;12.134630800472&lt;/D&gt;&lt;D xsi:type="xsd:double"&gt;12.9619669784579&lt;/D&gt;&lt;D xsi:type="xsd:double"&gt;13.589618660058&lt;/D&gt;&lt;D xsi:type="xsd:double"&gt;13.7357701439455&lt;/D&gt;&lt;D xsi:type="xsd:double"&gt;13.1988542166652&lt;/D&gt;&lt;D xsi:type="xsd:double"&gt;13.5922491155385&lt;/D&gt;&lt;D xsi:type="xsd:double"&gt;12.9112055379911&lt;/D&gt;&lt;D xsi:type="xsd:double"&gt;13.1080060729486&lt;/D&gt;&lt;D xsi:type="xsd:double"&gt;12.9536429430142&lt;/D&gt;&lt;D xsi:type="xsd:double"&gt;13.1436216730994&lt;/D&gt;&lt;D xsi:type="xsd:double"&gt;13.2705692654972&lt;/D&gt;&lt;D xsi:type="xsd:double"&gt;12.9910875332393&lt;/D&gt;&lt;D xsi:type="xsd:double"&gt;13.276812645287&lt;/D&gt;&lt;D xsi:type="xsd:double"&gt;13.5651308531688&lt;/D&gt;&lt;D xsi:type="xsd:double"&gt;14.0717158862387&lt;/D&gt;&lt;D xsi:type="xsd:double"&gt;13.8171545960909&lt;/D&gt;&lt;D xsi:type="xsd:double"&gt;13.9023752779305&lt;/D&gt;&lt;D xsi:type="xsd:double"&gt;13.7334746998616&lt;/D&gt;&lt;D xsi:type="xsd:double"&gt;13.7115955778349&lt;/D&gt;&lt;D xsi:type="xsd:double"&gt;13.1256555158315&lt;/D&gt;&lt;D xsi:type="xsd:double"&gt;13.7835155483865&lt;/D&gt;&lt;D xsi:type="xsd:double"&gt;12.9893898946064&lt;/D&gt;&lt;D xsi:type="xsd:double"&gt;13.7339392117963&lt;/D&gt;&lt;D xsi:type="xsd:double"&gt;13.3822664814161&lt;/D&gt;&lt;D xsi:type="xsd:double"&gt;13.4339822222204&lt;/D&gt;&lt;D xsi:type="xsd:double"&gt;13.648137109978&lt;/D&gt;&lt;D xsi:type="xsd:double"&gt;13.2433548878869&lt;/D&gt;&lt;D xsi:type="xsd:double"&gt;13.1480772616211&lt;/D&gt;&lt;D xsi:type="xsd:double"&gt;12.9700894850659&lt;/D&gt;&lt;D xsi:type="xsd:double"&gt;12.0968769460364&lt;/D&gt;&lt;D xsi:type="xsd:double"&gt;12.3712633829761&lt;/D&gt;&lt;D xsi:type="xsd:double"&gt;12.3492609151159&lt;/D&gt;&lt;D xsi:type="xsd:double"&gt;13.2040545526891&lt;/D&gt;&lt;D xsi:type="xsd:double"&gt;13.7862903264593&lt;/D&gt;&lt;D xsi:type="xsd:double"&gt;14.5717017234604&lt;/D&gt;&lt;D xsi:type="xsd:double"&gt;15.2193563899875&lt;/D&gt;&lt;D xsi:type="xsd:double"&gt;14.320059198635&lt;/D&gt;&lt;D xsi:type="xsd:double"&gt;14.6955235848859&lt;/D&gt;&lt;D xsi:type="xsd:double"&gt;14.9787726054271&lt;/D&gt;&lt;D xsi:type="xsd:double"&gt;14.4137134113431&lt;/D&gt;&lt;D xsi:type="xsd:double"&gt;15.2593103465578&lt;/D&gt;&lt;D xsi:type="xsd:double"&gt;15.2907020970135&lt;/D&gt;&lt;D xsi:type="xsd:double"&gt;15.7408632514396&lt;/D&gt;&lt;D xsi:type="xsd:double"&gt;16.0454390964124&lt;/D&gt;&lt;D xsi:type="xsd:double"&gt;15.5804924752384&lt;/D&gt;&lt;D xsi:type="xsd:double"&gt;14.9014506955477&lt;/D&gt;&lt;D xsi:type="xsd:double"&gt;12.1859402722028&lt;/D&gt;&lt;D xsi:type="xsd:double"&gt;14.8015033279329&lt;/D&gt;&lt;D xsi:type="xsd:double"&gt;15.1203028629984&lt;/D&gt;&lt;D xsi:type="xsd:double"&gt;16.2006475119643&lt;/D&gt;&lt;D xsi:type="xsd:double"&gt;16.707248204895&lt;/D&gt;&lt;D xsi:type="xsd:double"&gt;16.6575208590382&lt;/D&gt;&lt;D xsi:type="xsd:double"&gt;15.7119670381902&lt;/D&gt;&lt;D xsi:type="xsd:double"&gt;15.1067419502397&lt;/D&gt;&lt;D xsi:type="xsd:double"&gt;15.5531125756217&lt;/D&gt;&lt;D xsi:type="xsd:double"&gt;15.6074853835995&lt;/D&gt;&lt;D xsi:type="xsd:double"&gt;16.6332235964568&lt;/D&gt;&lt;D xsi:type="xsd:double"&gt;16.3160801466227&lt;/D&gt;&lt;D xsi:type="xsd:double"&gt;15.6058735433862&lt;/D&gt;&lt;D xsi:type="xsd:double"&gt;15.2993513790403&lt;/D&gt;&lt;D xsi:type="xsd:double"&gt;13.1720108792884&lt;/D&gt;&lt;D xsi:type="xsd:double"&gt;13.7980811756152&lt;/D&gt;&lt;D xsi:type="xsd:double"&gt;13.9450857115692&lt;/D&gt;&lt;D xsi:type="xsd:double"&gt;12.7784908658901&lt;/D&gt;&lt;D xsi:type="xsd:double"&gt;13.1245894612661&lt;/D&gt;&lt;D xsi:type="xsd:double"&gt;12.584915579513&lt;/D&gt;&lt;D xsi:type="xsd:double"&gt;13.4916212989154&lt;/D&gt;&lt;D xsi:type="xsd:double"&gt;13.4026451493806&lt;/D&gt;&lt;D xsi:type="xsd:double"&gt;13.3811843769424&lt;/D&gt;&lt;D xsi:type="xsd:double"&gt;12.873153854448&lt;/D&gt;&lt;D xsi:type="xsd:double"&gt;12.3289352019337&lt;/D&gt;&lt;D xsi:type="xsd:double"&gt;11.6192068100408&lt;/D&gt;&lt;D xsi:type="xsd:double"&gt;11.4701507870486&lt;/D&gt;&lt;D xsi:type="xsd:double"&gt;10.9266469774608&lt;/D&gt;&lt;D xsi:type="xsd:double"&gt;10.3122514164756&lt;/D&gt;&lt;D xsi:type="xsd:double"&gt;11.2403566032549&lt;/D&gt;&lt;D xsi:type="xsd:double"&gt;10.8155908889655&lt;/D&gt;&lt;D xsi:type="xsd:double"&gt;10.2939610923175&lt;/D&gt;&lt;D xsi:type="xsd:double"&gt;12.4610059184536&lt;/D&gt;&lt;D xsi:type="xsd:double"&gt;12.7887995532808&lt;/D&gt;&lt;D xsi:type="xsd:double"&gt;13.8255233314025&lt;/D&gt;&lt;D xsi:type="xsd:double"&gt;14.3073336881433&lt;/D&gt;&lt;D xsi:type="xsd:double"&gt;14.6095715695911&lt;/D&gt;&lt;D xsi:type="xsd:double"&gt;15.0205768013356&lt;/D&gt;&lt;D xsi:type="xsd:double"&gt;15.6981908601097&lt;/D&gt;&lt;D xsi:type="xsd:double"&gt;16.6111482723189&lt;/D&gt;&lt;D xsi:type="xsd:double"&gt;16.6909614632065&lt;/D&gt;&lt;D xsi:type="xsd:double"&gt;15.7474657777663&lt;/D&gt;&lt;D xsi:type="xsd:double"&gt;15.6842852884725&lt;/D&gt;&lt;D xsi:type="xsd:double"&gt;15.2533847240505&lt;/D&gt;&lt;D xsi:type="xsd:double"&gt;15.6426661760194&lt;/D&gt;&lt;D xsi:type="xsd:double"&gt;15.9791125490644&lt;/D&gt;&lt;D xsi:type="xsd:double"&gt;15.3471409986232&lt;/D&gt;&lt;D xsi:type="xsd:double"&gt;16.3409521425836&lt;/D&gt;&lt;D xsi:type="xsd:double"&gt;17.2735099599146&lt;/D&gt;&lt;D xsi:type="xsd:double"&gt;17.3002902418175&lt;/D&gt;&lt;/FQL&gt;&lt;FQL&gt;&lt;Q&gt;INDA^FMA_PE(LTMA,-10AY,0,AM,"PORTAGG","MEANR")&lt;/Q&gt;&lt;R&gt;121&lt;/R&gt;&lt;C&gt;1&lt;/C&gt;&lt;D xsi:type="xsd:double"&gt;16.4091163694723&lt;/D&gt;&lt;D xsi:type="xsd:double"&gt;16.6533600367692&lt;/D&gt;&lt;D xsi:type="xsd:double"&gt;17.0692292917224&lt;/D&gt;&lt;D xsi:type="xsd:double"&gt;17.2273349734471&lt;/D&gt;&lt;D xsi:type="xsd:double"&gt;17.5897023737061&lt;/D&gt;&lt;D xsi:type="xsd:double"&gt;18.0500260261453&lt;/D&gt;&lt;D xsi:type="xsd:double"&gt;17.6018228981549&lt;/D&gt;&lt;D xsi:type="xsd:double"&gt;19.2428568057129&lt;/D&gt;&lt;D xsi:type="xsd:double"&gt;18.8409958817944&lt;/D&gt;&lt;D xsi:type="xsd:double"&gt;19.8716776123964&lt;/D&gt;&lt;D xsi:type="xsd:double"&gt;21.0890659593268&lt;/D&gt;&lt;D xsi:type="xsd:double"&gt;20.8886370812009&lt;/D&gt;&lt;D xsi:type="xsd:double"&gt;20.6955042195641&lt;/D&gt;&lt;D xsi:type="xsd:double"&gt;20.3869626485305&lt;/D&gt;&lt;D xsi:type="xsd:double"&gt;20.1542412392641&lt;/D&gt;&lt;D xsi:type="xsd:double"&gt;21.0230279546586&lt;/D&gt;&lt;D xsi:type="xsd:double"&gt;21.2432967651183&lt;/D&gt;&lt;D xsi:type="xsd:double"&gt;20.4500108632887&lt;/D&gt;&lt;D xsi:type="xsd:double"&gt;20.7266747160464&lt;/D&gt;&lt;D xsi:type="xsd:double"&gt;19.8749038669588&lt;/D&gt;&lt;D xsi:type="xsd:double"&gt;20.195498583959&lt;/D&gt;&lt;D xsi:type="xsd:double"&gt;19.3719867041447&lt;/D&gt;&lt;D xsi:type="xsd:double"&gt;19.3339433684256&lt;/D&gt;&lt;D xsi:type="xsd:double"&gt;18.9428546479608&lt;/D&gt;&lt;D xsi:type="xsd:double"&gt;19.0106712346832&lt;/D&gt;&lt;D xsi:type="xsd:double"&gt;18.9360317343493&lt;/D&gt;&lt;D xsi:type="xsd:double"&gt;19.054380605764&lt;/D&gt;&lt;D xsi:type="xsd:double"&gt;19.4496407188176&lt;/D&gt;&lt;D xsi:type="xsd:double"&gt;19.7180509700095&lt;/D&gt;&lt;D xsi:type="xsd:double"&gt;19.7766676256144&lt;/D&gt;&lt;D xsi:type="xsd:double"&gt;19.8031394311719&lt;/D&gt;&lt;D xsi:type="xsd:double"&gt;18.6101432778257&lt;/D&gt;&lt;D xsi:type="xsd:double"&gt;18.9604812019634&lt;/D&gt;&lt;D xsi:type="xsd:double"&gt;19.3568993843187&lt;/D&gt;&lt;D xsi:type="xsd:double"&gt;20.4333526678025&lt;/D&gt;&lt;D xsi:type="xsd:double"&gt;20.5095130501864&lt;/D&gt;&lt;D xsi:type="xsd:double"&gt;20.3210801006836&lt;/D&gt;&lt;D xsi:type="xsd:double"&gt;20.3617553254984&lt;/D&gt;&lt;D xsi:type="xsd:double"&gt;20.3243000010053&lt;/D&gt;&lt;D xsi:type="xsd:double"&gt;20.6241333946682&lt;/D&gt;&lt;D xsi:type="xsd:double"&gt;20.7588411089339&lt;/D&gt;&lt;D xsi:type="xsd:double"&gt;21.3200822738946&lt;/D&gt;&lt;D xsi:type="xsd:double"&gt;21.4010445760034&lt;/D&gt;&lt;D xsi:type="xsd:double"&gt;21.6969936294441&lt;/D&gt;&lt;D xsi:type="xsd:double"&gt;22.156996048981&lt;/D&gt;&lt;D xsi:type="xsd:double"&gt;23.0388013033867&lt;/D&gt;&lt;D xsi:type="xsd:double"&gt;21.7379853082338&lt;/D&gt;&lt;D xsi:type="xsd:double"&gt;21.5281926924535&lt;/D&gt;&lt;D xsi:type="xsd:double"&gt;21.3942993464908&lt;/D&gt;&lt;D xsi:type="xsd:double"&gt;21.0742105123916&lt;/D&gt;&lt;D xsi:type="xsd:double"&gt;21.3165904033731&lt;/D&gt;&lt;D xsi:type="xsd:double"&gt;21.2366350521392&lt;/D&gt;&lt;D xsi:type="xsd:double"&gt;22.1263316730634&lt;/D&gt;&lt;D xsi:type="xsd:double"&gt;22.0153539688062&lt;/D&gt;&lt;D xsi:type="xsd:double"&gt;20.5814546877459&lt;/D&gt;&lt;D xsi:type="xsd:double"&gt;21.3870322819392&lt;/D&gt;&lt;D xsi:type="xsd:double"&gt;21.7921317303028&lt;/D&gt;&lt;D xsi:type="xsd:double"&gt;21.5603648860277&lt;/D&gt;&lt;D xsi:type="xsd:double"&gt;21.3833351994898&lt;/D&gt;&lt;D xsi:type="xsd:double"&gt;21.7234929385146&lt;/D&gt;&lt;D xsi:type="xsd:double"&gt;21.572625805931&lt;/D&gt;&lt;D xsi:type="xsd:double"&gt;21.307190913606&lt;/D&gt;&lt;D xsi:type="xsd:double"&gt;21.3875670860052&lt;/D&gt;&lt;D xsi:type="xsd:double"&gt;21.3002702889365&lt;/D&gt;&lt;D xsi:type="xsd:double"&gt;21.0406655572059&lt;/D&gt;&lt;D xsi:type="xsd:double"&gt;20.9300753147198&lt;/D&gt;&lt;D xsi:type="xsd:double"&gt;21.8307190086099&lt;/D&gt;&lt;D xsi:type="xsd:double"&gt;22.8429278620096&lt;/D&gt;&lt;D xsi:type="xsd:double"&gt;23.3227185447294&lt;/D&gt;&lt;D xsi:type="xsd:double"&gt;23.8106257280257&lt;/D&gt;&lt;D xsi:type="xsd:double"&gt;23.0593396884249&lt;/D&gt;&lt;D xsi:type="xsd:double"&gt;20.2352796690929&lt;/D&gt;&lt;D xsi:type="xsd:double"&gt;20.6017636593915&lt;/D&gt;&lt;D xsi:type="xsd:double"&gt;20.9062869229617&lt;/D&gt;&lt;D xsi:type="xsd:double"&gt;22.847444483079&lt;/D&gt;&lt;D xsi:type="xsd:double"&gt;24.4380671094617&lt;/D&gt;&lt;D xsi:type="xsd:double"&gt;25.6490474910033&lt;/D&gt;&lt;D xsi:type="xsd:double"&gt;26.1105731251701&lt;/D&gt;&lt;D xsi:type="xsd:double"&gt;26.5672547346082&lt;/D&gt;&lt;D xsi:type="xsd:double"&gt;27.4752417340986&lt;/D&gt;&lt;D xsi:type="xsd:double"&gt;32.8076964961284&lt;/D&gt;&lt;D xsi:type="xsd:double"&gt;33.9564406756956&lt;/D&gt;&lt;D xsi:type="xsd:double"&gt;32.6391438825876&lt;/D&gt;&lt;D xsi:type="xsd:double"&gt;30.6511240340108&lt;/D&gt;&lt;D xsi:type="xsd:double"&gt;29.9548237399432&lt;/D&gt;&lt;D xsi:type="xsd:double"&gt;29.465713080781&lt;/D&gt;&lt;D xsi:type="xsd:double"&gt;29.1707321952048&lt;/D&gt;&lt;D xsi:type="xsd:double"&gt;28.7942908096657&lt;/D&gt;&lt;D xsi:type="xsd:double"&gt;28.9523175378393&lt;/D&gt;&lt;D xsi:type="xsd:double"&gt;29.5916172459906&lt;/D&gt;&lt;D xsi:type="xsd:double"&gt;29.9562483141639&lt;/D&gt;&lt;D xsi:type="xsd:double"&gt;28.8972515225581&lt;/D&gt;&lt;D xsi:type="xsd:double"&gt;28.079795065904&lt;/D&gt;&lt;D xsi:type="xsd:double"&gt;29.3048654351675&lt;/D&gt;&lt;D xsi:type="xsd:double"&gt;27.2726883552951&lt;/D&gt;&lt;D xsi:type="xsd:double"&gt;26.3331988756713&lt;/D&gt;&lt;D xsi:type="xsd:double"&gt;25.9915266101983&lt;/D&gt;&lt;D xsi:type="xsd:double"&gt;25.1246387019506&lt;/D&gt;&lt;D xsi:type="xsd:double"&gt;24.2286242247432&lt;/D&gt;&lt;D xsi:type="xsd:double"&gt;24.5548726136046&lt;/D&gt;&lt;D xsi:type="xsd:double"&gt;26.0690054372149&lt;/D&gt;&lt;D xsi:type="xsd:double"&gt;25.5679466668471&lt;/D&gt;&lt;D xsi:type="xsd:double"&gt;25.2316664328433&lt;/D&gt;&lt;D xsi:type="xsd:double"&gt;26.1933006525476&lt;/D&gt;&lt;D xsi:type="xsd:double"&gt;26.3912542365573&lt;/D&gt;&lt;D xsi:type="xsd:double"&gt;25.9175913446856&lt;/D&gt;&lt;D xsi:type="xsd:double"&gt;25.1294668114032&lt;/D&gt;&lt;D xsi:type="xsd:double"&gt;23.9208114697886&lt;/D&gt;&lt;D xsi:type="xsd:double"&gt;23.7433803958907&lt;/D&gt;&lt;D xsi:type="xsd:double"&gt;23.7627532616065&lt;/D&gt;&lt;D xsi:type="xsd:double"&gt;24.1146103856997&lt;/D&gt;&lt;D xsi:type="xsd:double"&gt;24.2484650087041&lt;/D&gt;&lt;D xsi:type="xsd:double"&gt;23.5776983574862&lt;/D&gt;&lt;D xsi:type="xsd:double"&gt;23.9446340558491&lt;/D&gt;&lt;D xsi:type="xsd:double"&gt;23.5724006918218&lt;/D&gt;&lt;D xsi:type="xsd:double"&gt;23.5424499497249&lt;/D&gt;&lt;D xsi:type="xsd:double"&gt;25.4163175800939&lt;/D&gt;&lt;D xsi:type="xsd:double"&gt;25.5997469863387&lt;/D&gt;&lt;D xsi:type="xsd:double"&gt;26.3900544038346&lt;/D&gt;&lt;D xsi:type="xsd:double"&gt;25.9432805370322&lt;/D&gt;&lt;D xsi:type="xsd:double"&gt;25.7778795411798&lt;/D&gt;&lt;/FQL&gt;&lt;FQL&gt;&lt;Q&gt;DDR3512M-FDS^FG_PRICE(0)/MAX(FG_PRICE(0,-1AY))&lt;/Q&gt;&lt;R&gt;1&lt;/R&gt;&lt;C&gt;1&lt;/C&gt;&lt;D xsi:type="xsd:double"&gt;0.881563963636363&lt;/D&gt;&lt;/FQL&gt;&lt;FQL&gt;&lt;Q&gt;PASP-FDS^FG_PRICE(0)/MAX(FG_PRICE(0,-1AY))&lt;/Q&gt;&lt;R&gt;1&lt;/R&gt;&lt;C&gt;1&lt;/C&gt;&lt;D xsi:type="xsd:double"&gt;0.646341463414634&lt;/D&gt;&lt;/FQL&gt;&lt;FQL&gt;&lt;Q&gt;PLATI-FDS^FG_PRICE(0)/MAX(FG_PRICE(0,-1AY))&lt;/Q&gt;&lt;R&gt;1&lt;/R&gt;&lt;C&gt;1&lt;/C&gt;&lt;D xsi:type="xsd:double"&gt;0.832599118942731&lt;/D&gt;&lt;/FQL&gt;&lt;FQL&gt;&lt;Q&gt;W-FDS^FG_PRICE(0)/MAX(FG_PRICE(0,-1AY))&lt;/Q&gt;&lt;R&gt;1&lt;/R&gt;&lt;C&gt;1&lt;/C&gt;&lt;D xsi:type="xsd:double"&gt;0.706017757316672&lt;/D&gt;&lt;/FQL&gt;&lt;FQL&gt;&lt;Q&gt;COPP-FDS^FG_PRICE(0)/MAX(FG_PRICE(0,-1AY))&lt;/Q&gt;&lt;R&gt;1&lt;/R&gt;&lt;C&gt;1&lt;/C&gt;&lt;D xsi:type="xsd:double"&gt;1&lt;/D&gt;&lt;/FQL&gt;&lt;FQL&gt;&lt;Q&gt;DUMMY^ECON_EXPR_DATA('FDS_ECON[PMIDMMANHE]',,,M)&lt;/Q&gt;&lt;R&gt;1&lt;/R&gt;&lt;C&gt;1&lt;/C&gt;&lt;D xsi:type="xsd:double"&gt;49.28643&lt;/D&gt;&lt;/FQL&gt;&lt;FQL&gt;&lt;Q&gt;EPU^FMA_ROE(NTMA,-20AY,NOW,FY,"PORTAGG","MEANR")&lt;/Q&gt;&lt;R&gt;20&lt;/R&gt;&lt;C&gt;1&lt;/C&gt;&lt;D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xsi:type="xsd:double"&gt;11.9146021102361&lt;/D&gt;&lt;D xsi:type="xsd:double"&gt;12.086026376397&lt;/D&gt;&lt;D xsi:type="xsd:double"&gt;15.0555655388878&lt;/D&gt;&lt;D xsi:type="xsd:double"&gt;13.6225814185959&lt;/D&gt;&lt;D xsi:type="xsd:double"&gt;12.9324473673683&lt;/D&gt;&lt;/FQL&gt;&lt;FQL&gt;&lt;Q&gt;TRYIN10Y-FDS^FG_YIELD(-10AY,0,Y,,"YTM")&lt;/Q&gt;&lt;R&gt;10&lt;/R&gt;&lt;C&gt;1&lt;/C&gt;&lt;D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xsi:type="xsd:double"&gt;3.099&lt;/D&gt;&lt;/FQL&gt;&lt;FQL&gt;&lt;Q&gt;CAGDPY@CN^EE_ACTUAL_ANNUAL(MED,0)&lt;/Q&gt;&lt;R&gt;1&lt;/R&gt;&lt;C&gt;1&lt;/C&gt;&lt;D xsi:type="xsd:double"&gt;1.41410583295463&lt;/D&gt;&lt;/FQL&gt;&lt;FQL&gt;&lt;Q&gt;CAGDPY@MY^EE_ACTUAL_ANNUAL(MED,0)&lt;/Q&gt;&lt;R&gt;1&lt;/R&gt;&lt;C&gt;1&lt;/C&gt;&lt;D xsi:type="xsd:double"&gt;1.24988666555076&lt;/D&gt;&lt;/FQL&gt;&lt;FQL&gt;&lt;Q&gt;CC_TR^FG_COMPANY_NAME&lt;/Q&gt;&lt;R&gt;1&lt;/R&gt;&lt;C&gt;1&lt;/C&gt;&lt;D xsi:type="xsd:string"&gt;Turkey&lt;/D&gt;&lt;/FQL&gt;&lt;FQL&gt;&lt;Q&gt;CC_CL^FG_COMPANY_NAME&lt;/Q&gt;&lt;R&gt;1&lt;/R&gt;&lt;C&gt;1&lt;/C&gt;&lt;D xsi:type="xsd:string"&gt;Chile&lt;/D&gt;&lt;/FQL&gt;&lt;FQL&gt;&lt;Q&gt;USDVND^FG_PRICE(0)&lt;/Q&gt;&lt;R&gt;1&lt;/R&gt;&lt;C&gt;1&lt;/C&gt;&lt;D xsi:type="xsd:double"&gt;25394&lt;/D&gt;&lt;/FQL&gt;&lt;FQL&gt;&lt;Q&gt;USDTRY^FG_PRICE(0)&lt;/Q&gt;&lt;R&gt;1&lt;/R&gt;&lt;C&gt;1&lt;/C&gt;&lt;D xsi:type="xsd:double"&gt;32.4965&lt;/D&gt;&lt;/FQL&gt;&lt;FQL&gt;&lt;Q&gt;USDQAR^FG_PRICE(0)&lt;/Q&gt;&lt;R&gt;1&lt;/R&gt;&lt;C&gt;1&lt;/C&gt;&lt;D xsi:type="xsd:double"&gt;3.641&lt;/D&gt;&lt;/FQL&gt;&lt;FQL&gt;&lt;Q&gt;USDINR^FG_PRICE(0)&lt;/Q&gt;&lt;R&gt;1&lt;/R&gt;&lt;C&gt;1&lt;/C&gt;&lt;D xsi:type="xsd:double"&gt;83.54625&lt;/D&gt;&lt;/FQL&gt;&lt;FQL&gt;&lt;Q&gt;USDZAR^FG_PRICE(0)&lt;/Q&gt;&lt;R&gt;1&lt;/R&gt;&lt;C&gt;1&lt;/C&gt;&lt;D xsi:type="xsd:double"&gt;19.14875&lt;/D&gt;&lt;/FQL&gt;&lt;FQL&gt;&lt;Q&gt;USDKRW^FG_PRICE(0)&lt;/Q&gt;&lt;R&gt;1&lt;/R&gt;&lt;C&gt;1&lt;/C&gt;&lt;D xsi:type="xsd:double"&gt;1372.95&lt;/D&gt;&lt;/FQL&gt;&lt;FQL&gt;&lt;Q&gt;USDTWD^FG_PRICE(0)&lt;/Q&gt;&lt;R&gt;1&lt;/R&gt;&lt;C&gt;1&lt;/C&gt;&lt;D xsi:type="xsd:double"&gt;32.3455&lt;/D&gt;&lt;/FQL&gt;&lt;FQL&gt;&lt;Q&gt;USDPEN^FG_PRICE(0)&lt;/Q&gt;&lt;R&gt;1&lt;/R&gt;&lt;C&gt;1&lt;/C&gt;&lt;D xsi:type="xsd:double"&gt;3.7426&lt;/D&gt;&lt;/FQL&gt;&lt;FQL&gt;&lt;Q&gt;USDPHP^FG_PRICE(0)&lt;/Q&gt;&lt;R&gt;1&lt;/R&gt;&lt;C&gt;1&lt;/C&gt;&lt;D xsi:type="xsd:double"&gt;57.1805&lt;/D&gt;&lt;/FQL&gt;&lt;FQL&gt;&lt;Q&gt;USDCLP^FG_PRICE(0)&lt;/Q&gt;&lt;R&gt;1&lt;/R&gt;&lt;C&gt;1&lt;/C&gt;&lt;D xsi:type="xsd:double"&gt;966.215&lt;/D&gt;&lt;/FQL&gt;&lt;FQL&gt;&lt;Q&gt;KSA^P_PRICE_RETURNS_PR('52W',2,-10AY,0,AM)&lt;/Q&gt;&lt;R&gt;121&lt;/R&gt;&lt;C&gt;1&lt;/C&gt;&lt;D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xsi:type="xsd:double"&gt;-22.305&lt;/D&gt;&lt;D xsi:type="xsd:double"&gt;-1.2884438&lt;/D&gt;&lt;D xsi:type="xsd:double"&gt;7.595384&lt;/D&gt;&lt;D xsi:type="xsd:double"&gt;22.481298&lt;/D&gt;&lt;D xsi:type="xsd:double"&gt;24.610138&lt;/D&gt;&lt;D xsi:type="xsd:double"&gt;11.421943&lt;/D&gt;&lt;D xsi:type="xsd:double"&gt;13.440096&lt;/D&gt;&lt;D xsi:type="xsd:double"&gt;5.5527806&lt;/D&gt;&lt;D xsi:type="xsd:double"&gt;7.451439&lt;/D&gt;&lt;D xsi:type="xsd:double"&gt;13.774109&lt;/D&gt;&lt;D xsi:type="xsd:double"&gt;18.32571&lt;/D&gt;&lt;D xsi:type="xsd:double"&gt;24.853277&lt;/D&gt;&lt;D xsi:type="xsd:double"&gt;26.669348&lt;/D&gt;&lt;D xsi:type="xsd:double"&gt;9.321475&lt;/D&gt;&lt;D xsi:type="xsd:double"&gt;3.3033133&lt;/D&gt;&lt;D xsi:type="xsd:double"&gt;16.3818&lt;/D&gt;&lt;D xsi:type="xsd:double"&gt;11.734295&lt;/D&gt;&lt;D xsi:type="xsd:double"&gt;18.874681&lt;/D&gt;&lt;D xsi:type="xsd:double"&gt;26.23005&lt;/D&gt;&lt;D xsi:type="xsd:double"&gt;23.27707&lt;/D&gt;&lt;D xsi:type="xsd:double"&gt;27.26673&lt;/D&gt;&lt;D xsi:type="xsd:double"&gt;22.335756&lt;/D&gt;&lt;D xsi:type="xsd:double"&gt;18.415403&lt;/D&gt;&lt;D xsi:type="xsd:double"&gt;9.910297&lt;/D&gt;&lt;D xsi:type="xsd:double"&gt;15.272558&lt;/D&gt;&lt;D xsi:type="xsd:double"&gt;16.106033&lt;/D&gt;&lt;D xsi:type="xsd:double"&gt;17.540073&lt;/D&gt;&lt;D xsi:type="xsd:double"&gt;19.892609&lt;/D&gt;&lt;D xsi:type="xsd:double"&gt;20.693075&lt;/D&gt;&lt;D xsi:type="xsd:double"&gt;16.229736&lt;/D&gt;&lt;D xsi:type="xsd:double"&gt;15.72398&lt;/D&gt;&lt;D xsi:type="xsd:double"&gt;10.970486&lt;/D&gt;&lt;D xsi:type="xsd:double"&gt;15.405809&lt;/D&gt;&lt;D xsi:type="xsd:double"&gt;11.087381&lt;/D&gt;&lt;D xsi:type="xsd:double"&gt;12.871242&lt;/D&gt;&lt;D xsi:type="xsd:double"&gt;6.022668&lt;/D&gt;&lt;D xsi:type="xsd:double"&gt;4.2744517&lt;/D&gt;&lt;D xsi:type="xsd:double"&gt;8.100903&lt;/D&gt;&lt;D xsi:type="xsd:double"&gt;6.60218&lt;/D&gt;&lt;D xsi:type="xsd:double"&gt;1.0899901&lt;/D&gt;&lt;D xsi:type="xsd:double"&gt;-9.392685&lt;/D&gt;&lt;D xsi:type="xsd:double"&gt;-31.2971&lt;/D&gt;&lt;D xsi:type="xsd:double"&gt;-28.765308&lt;/D&gt;&lt;D xsi:type="xsd:double"&gt;-18.928505&lt;/D&gt;&lt;D xsi:type="xsd:double"&gt;-19.25637&lt;/D&gt;&lt;D xsi:type="xsd:double"&gt;-17.413246&lt;/D&gt;&lt;D xsi:type="xsd:double"&gt;-8.866662&lt;/D&gt;&lt;D xsi:type="xsd:double"&gt;4.4763565&lt;/D&gt;&lt;D xsi:type="xsd:double"&gt;12.069809&lt;/D&gt;&lt;D xsi:type="xsd:double"&gt;4.5361996&lt;/D&gt;&lt;D xsi:type="xsd:double"&gt;4.915607&lt;/D&gt;&lt;D xsi:type="xsd:double"&gt;5.193901&lt;/D&gt;&lt;D xsi:type="xsd:double"&gt;15.072144&lt;/D&gt;&lt;D xsi:type="xsd:double"&gt;59.780014&lt;/D&gt;&lt;D xsi:type="xsd:double"&gt;52.794647&lt;/D&gt;&lt;D xsi:type="xsd:double"&gt;50.717354&lt;/D&gt;&lt;D xsi:type="xsd:double"&gt;46.54058&lt;/D&gt;&lt;D xsi:type="xsd:double"&gt;44.88281&lt;/D&gt;&lt;D xsi:type="xsd:double"&gt;45.85264&lt;/D&gt;&lt;D xsi:type="xsd:double"&gt;41.36486&lt;/D&gt;&lt;D xsi:type="xsd:double"&gt;42.14592&lt;/D&gt;&lt;D xsi:type="xsd:double"&gt;42.054653&lt;/D&gt;&lt;D xsi:type="xsd:double"&gt;32.130768&lt;/D&gt;&lt;D xsi:type="xsd:double"&gt;41.599262&lt;/D&gt;&lt;D xsi:type="xsd:double"&gt;43.234207&lt;/D&gt;&lt;D xsi:type="xsd:double"&gt;40.838326&lt;/D&gt;&lt;D xsi:type="xsd:double"&gt;41.674507&lt;/D&gt;&lt;D xsi:type="xsd:double"&gt;20.748066&lt;/D&gt;&lt;D xsi:type="xsd:double"&gt;10.196257&lt;/D&gt;&lt;D xsi:type="xsd:double"&gt;7.844603&lt;/D&gt;&lt;D xsi:type="xsd:double"&gt;13.195717&lt;/D&gt;&lt;D xsi:type="xsd:double"&gt;3.7873626&lt;/D&gt;&lt;D xsi:type="xsd:double"&gt;1.1249423&lt;/D&gt;&lt;D xsi:type="xsd:double"&gt;-4.3842673&lt;/D&gt;&lt;D xsi:type="xsd:double"&gt;-8.216518&lt;/D&gt;&lt;D xsi:type="xsd:double"&gt;-12.174463&lt;/D&gt;&lt;D xsi:type="xsd:double"&gt;-15.503293&lt;/D&gt;&lt;D xsi:type="xsd:double"&gt;-22.194248&lt;/D&gt;&lt;D xsi:type="xsd:double"&gt;-19.015705&lt;/D&gt;&lt;D xsi:type="xsd:double"&gt;-6.9460573&lt;/D&gt;&lt;D xsi:type="xsd:double"&gt;0.73581934&lt;/D&gt;&lt;D xsi:type="xsd:double"&gt;4.31875&lt;/D&gt;&lt;D xsi:type="xsd:double"&gt;-9.295964&lt;/D&gt;&lt;D xsi:type="xsd:double"&gt;-5.9914947&lt;/D&gt;&lt;D xsi:type="xsd:double"&gt;-10.611307&lt;/D&gt;&lt;D xsi:type="xsd:double"&gt;-0.45921803&lt;/D&gt;&lt;D xsi:type="xsd:double"&gt;14.768707&lt;/D&gt;&lt;D xsi:type="xsd:double"&gt;12.460685&lt;/D&gt;&lt;D xsi:type="xsd:double"&gt;20.104195&lt;/D&gt;&lt;D xsi:type="xsd:double"&gt;27.373577&lt;/D&gt;&lt;D xsi:type="xsd:double"&gt;9.731507&lt;/D&gt;&lt;/FQL&gt;&lt;FQL&gt;&lt;Q&gt;EPOL^P_PRICE_RETURNS_PR('52W',2,-10AY,0,AM)&lt;/Q&gt;&lt;R&gt;121&lt;/R&gt;&lt;C&gt;1&lt;/C&gt;&lt;D xsi:type="xsd:double"&gt;20.880163&lt;/D&gt;&lt;D xsi:type="xsd:double"&gt;16.2436&lt;/D&gt;&lt;D xsi:type="xsd:double"&gt;14.30353&lt;/D&gt;&lt;D xsi:type="xsd:double"&gt;16.050863&lt;/D&gt;&lt;D xsi:type="xsd:double"&gt;7.0333123&lt;/D&gt;&lt;D xsi:type="xsd:double"&gt;0.95614195&lt;/D&gt;&lt;D xsi:type="xsd:double"&gt;-9.925175&lt;/D&gt;&lt;D xsi:type="xsd:double"&gt;-11.726809&lt;/D&gt;&lt;D xsi:type="xsd:double"&gt;-12.151217&lt;/D&gt;&lt;D xsi:type="xsd:double"&gt;-20.318491&lt;/D&gt;&lt;D xsi:type="xsd:double"&gt;-19.114613&lt;/D&gt;&lt;D xsi:type="xsd:double"&gt;-17.90334&lt;/D&gt;&lt;D xsi:type="xsd:double"&gt;-14.472026&lt;/D&gt;&lt;D xsi:type="xsd:double"&gt;-8.293772&lt;/D&gt;&lt;D xsi:type="xsd:double"&gt;-20.23732&lt;/D&gt;&lt;D xsi:type="xsd:double"&gt;-18.68239&lt;/D&gt;&lt;D xsi:type="xsd:double"&gt;-22.898394&lt;/D&gt;&lt;D xsi:type="xsd:double"&gt;-22.472841&lt;/D&gt;&lt;D xsi:type="xsd:double"&gt;-15.693784&lt;/D&gt;&lt;D xsi:type="xsd:double"&gt;-25.586569&lt;/D&gt;&lt;D xsi:type="xsd:double"&gt;-26.448286&lt;/D&gt;&lt;D xsi:type="xsd:double"&gt;-26.338047&lt;/D&gt;&lt;D xsi:type="xsd:double"&gt;-22.979868&lt;/D&gt;&lt;D xsi:type="xsd:double"&gt;-13.927078&lt;/D&gt;&lt;D xsi:type="xsd:double"&gt;-20.110453&lt;/D&gt;&lt;D xsi:type="xsd:double"&gt;-30.53242&lt;/D&gt;&lt;D xsi:type="xsd:double"&gt;-26.886797&lt;/D&gt;&lt;D xsi:type="xsd:double"&gt;-21.729929&lt;/D&gt;&lt;D xsi:type="xsd:double"&gt;-12.155932&lt;/D&gt;&lt;D xsi:type="xsd:double"&gt;-17.210669&lt;/D&gt;&lt;D xsi:type="xsd:double"&gt;-18.196117&lt;/D&gt;&lt;D xsi:type="xsd:double"&gt;-14.254928&lt;/D&gt;&lt;D xsi:type="xsd:double"&gt;2.021706&lt;/D&gt;&lt;D xsi:type="xsd:double"&gt;20.388721&lt;/D&gt;&lt;D xsi:type="xsd:double"&gt;19.470156&lt;/D&gt;&lt;D xsi:type="xsd:double"&gt;16.894627&lt;/D&gt;&lt;D xsi:type="xsd:double"&gt;16.074348&lt;/D&gt;&lt;D xsi:type="xsd:double"&gt;35.38834&lt;/D&gt;&lt;D xsi:type="xsd:double"&gt;45.50177&lt;/D&gt;&lt;D xsi:type="xsd:double"&gt;49.22832&lt;/D&gt;&lt;D xsi:type="xsd:double"&gt;38.021614&lt;/D&gt;&lt;D xsi:type="xsd:double"&gt;52.39569&lt;/D&gt;&lt;D xsi:type="xsd:double"&gt;56.464016&lt;/D&gt;&lt;D xsi:type="xsd:double"&gt;63.095116&lt;/D&gt;&lt;D xsi:type="xsd:double"&gt;52.353584&lt;/D&gt;&lt;D xsi:type="xsd:double"&gt;56.34836&lt;/D&gt;&lt;D xsi:type="xsd:double"&gt;31.762087&lt;/D&gt;&lt;D xsi:type="xsd:double"&gt;16.816282&lt;/D&gt;&lt;D xsi:type="xsd:double"&gt;22.705496&lt;/D&gt;&lt;D xsi:type="xsd:double"&gt;1.9570708&lt;/D&gt;&lt;D xsi:type="xsd:double"&gt;-5.075926&lt;/D&gt;&lt;D xsi:type="xsd:double"&gt;-10.429394&lt;/D&gt;&lt;D xsi:type="xsd:double"&gt;-7.015461&lt;/D&gt;&lt;D xsi:type="xsd:double"&gt;-12.040001&lt;/D&gt;&lt;D xsi:type="xsd:double"&gt;-16.675537&lt;/D&gt;&lt;D xsi:type="xsd:double"&gt;-13.818693&lt;/D&gt;&lt;D xsi:type="xsd:double"&gt;-10.406256&lt;/D&gt;&lt;D xsi:type="xsd:double"&gt;-16.983635&lt;/D&gt;&lt;D xsi:type="xsd:double"&gt;-17.099672&lt;/D&gt;&lt;D xsi:type="xsd:double"&gt;-5.805999&lt;/D&gt;&lt;D xsi:type="xsd:double"&gt;-9.599155&lt;/D&gt;&lt;D xsi:type="xsd:double"&gt;-8.838898&lt;/D&gt;&lt;D xsi:type="xsd:double"&gt;6.2049985&lt;/D&gt;&lt;D xsi:type="xsd:double"&gt;6.5329194&lt;/D&gt;&lt;D xsi:type="xsd:double"&gt;-9.454012&lt;/D&gt;&lt;D xsi:type="xsd:double"&gt;-6.8034706&lt;/D&gt;&lt;D xsi:type="xsd:double"&gt;-1.8586457&lt;/D&gt;&lt;D xsi:type="xsd:double"&gt;0.18963814&lt;/D&gt;&lt;D xsi:type="xsd:double"&gt;-9.275209&lt;/D&gt;&lt;D xsi:type="xsd:double"&gt;-7.8453064&lt;/D&gt;&lt;D xsi:type="xsd:double"&gt;-11.3084135&lt;/D&gt;&lt;D xsi:type="xsd:double"&gt;-44.60262&lt;/D&gt;&lt;D xsi:type="xsd:double"&gt;-35.62659&lt;/D&gt;&lt;D xsi:type="xsd:double"&gt;-28.033585&lt;/D&gt;&lt;D xsi:type="xsd:double"&gt;-24.526764&lt;/D&gt;&lt;D xsi:type="xsd:double"&gt;-23.153358&lt;/D&gt;&lt;D xsi:type="xsd:double"&gt;-5.258065&lt;/D&gt;&lt;D xsi:type="xsd:double"&gt;-17.36483&lt;/D&gt;&lt;D xsi:type="xsd:double"&gt;-23.784328&lt;/D&gt;&lt;D xsi:type="xsd:double"&gt;-17.947245&lt;/D&gt;&lt;D xsi:type="xsd:double"&gt;-6.3808737&lt;/D&gt;&lt;D xsi:type="xsd:double"&gt;-9.181899&lt;/D&gt;&lt;D xsi:type="xsd:double"&gt;-0.07107258&lt;/D&gt;&lt;D xsi:type="xsd:double"&gt;45.2829&lt;/D&gt;&lt;D xsi:type="xsd:double"&gt;39.54128&lt;/D&gt;&lt;D xsi:type="xsd:double"&gt;44.497704&lt;/D&gt;&lt;D xsi:type="xsd:double"&gt;26.71684&lt;/D&gt;&lt;D xsi:type="xsd:double"&gt;27.484535&lt;/D&gt;&lt;D xsi:type="xsd:double"&gt;17.410923&lt;/D&gt;&lt;D xsi:type="xsd:double"&gt;31.43637&lt;/D&gt;&lt;D xsi:type="xsd:double"&gt;52.08576&lt;/D&gt;&lt;D xsi:type="xsd:double"&gt;22.74624&lt;/D&gt;&lt;D xsi:type="xsd:double"&gt;3.9955497&lt;/D&gt;&lt;D xsi:type="xsd:double"&gt;15.969122&lt;/D&gt;&lt;D xsi:type="xsd:double"&gt;4.3375373&lt;/D&gt;&lt;D xsi:type="xsd:double"&gt;2.894926&lt;/D&gt;&lt;D xsi:type="xsd:double"&gt;-5.7554603&lt;/D&gt;&lt;D xsi:type="xsd:double"&gt;-27.343739&lt;/D&gt;&lt;D xsi:type="xsd:double"&gt;-30.69936&lt;/D&gt;&lt;D xsi:type="xsd:double"&gt;-36.36022&lt;/D&gt;&lt;D xsi:type="xsd:double"&gt;-34.331905&lt;/D&gt;&lt;D xsi:type="xsd:double"&gt;-45.326378&lt;/D&gt;&lt;D xsi:type="xsd:double"&gt;-51.066895&lt;/D&gt;&lt;D xsi:type="xsd:double"&gt;-30.399483&lt;/D&gt;&lt;D xsi:type="xsd:double"&gt;-24.842178&lt;/D&gt;&lt;D xsi:type="xsd:double"&gt;-23.49211&lt;/D&gt;&lt;D xsi:type="xsd:double"&gt;-20.569874&lt;/D&gt;&lt;D xsi:type="xsd:double"&gt;-21.893597&lt;/D&gt;&lt;D xsi:type="xsd:double"&gt;-4.2172966&lt;/D&gt;&lt;D xsi:type="xsd:double"&gt;17.877377&lt;/D&gt;&lt;D xsi:type="xsd:double"&gt;39.695526&lt;/D&gt;&lt;D xsi:type="xsd:double"&gt;59.066998&lt;/D&gt;&lt;D xsi:type="xsd:double"&gt;39.957737&lt;/D&gt;&lt;D xsi:type="xsd:double"&gt;44.576763&lt;/D&gt;&lt;D xsi:type="xsd:double"&gt;72.83945&lt;/D&gt;&lt;D xsi:type="xsd:double"&gt;51.02204&lt;/D&gt;&lt;D xsi:type="xsd:double"&gt;55.39906&lt;/D&gt;&lt;D xsi:type="xsd:double"&gt;30.77594&lt;/D&gt;&lt;D xsi:type="xsd:double"&gt;47.042393&lt;/D&gt;&lt;D xsi:type="xsd:double"&gt;63.1935&lt;/D&gt;&lt;D xsi:type="xsd:double"&gt;39.681458&lt;/D&gt;&lt;/FQL&gt;&lt;FQL&gt;&lt;Q&gt;EWZ^FG_TOTAL_RETURNC(-10AY,0,AM)&lt;/Q&gt;&lt;R&gt;121&lt;/R&gt;&lt;C&gt;1&lt;/C&gt;&lt;D xsi:type="xsd:double"&gt;17.66163&lt;/D&gt;&lt;D xsi:type="xsd:double"&gt;3.7471533&lt;/D&gt;&lt;D xsi:type="xsd:double"&gt;1.4206648&lt;/D&gt;&lt;D xsi:type="xsd:double"&gt;2.6508331&lt;/D&gt;&lt;D xsi:type="xsd:double"&gt;-0.39741993&lt;/D&gt;&lt;D xsi:type="xsd:double"&gt;-3.4530938&lt;/D&gt;&lt;D xsi:type="xsd:double"&gt;-6.80173&lt;/D&gt;&lt;D xsi:type="xsd:double"&gt;-11.801249&lt;/D&gt;&lt;D xsi:type="xsd:double"&gt;-9.265953&lt;/D&gt;&lt;D xsi:type="xsd:double"&gt;3.0014038&lt;/D&gt;&lt;D xsi:type="xsd:double"&gt;-3.6220074&lt;/D&gt;&lt;D xsi:type="xsd:double"&gt;-11.443907&lt;/D&gt;&lt;D xsi:type="xsd:double"&gt;10.194635&lt;/D&gt;&lt;D xsi:type="xsd:double"&gt;4.6185017&lt;/D&gt;&lt;D xsi:type="xsd:double"&gt;-4.428458&lt;/D&gt;&lt;D xsi:type="xsd:double"&gt;-7.005924&lt;/D&gt;&lt;D xsi:type="xsd:double"&gt;-16.37056&lt;/D&gt;&lt;D xsi:type="xsd:double"&gt;-13.770866&lt;/D&gt;&lt;D xsi:type="xsd:double"&gt;4.3994665&lt;/D&gt;&lt;D xsi:type="xsd:double"&gt;3.6873102&lt;/D&gt;&lt;D xsi:type="xsd:double"&gt;-13.757366&lt;/D&gt;&lt;D xsi:type="xsd:double"&gt;-12.626386&lt;/D&gt;&lt;D xsi:type="xsd:double"&gt;7.390249&lt;/D&gt;&lt;D xsi:type="xsd:double"&gt;36.1097&lt;/D&gt;&lt;D xsi:type="xsd:double"&gt;3.4701467&lt;/D&gt;&lt;D xsi:type="xsd:double"&gt;-3.4980118&lt;/D&gt;&lt;D xsi:type="xsd:double"&gt;2.541113&lt;/D&gt;&lt;D xsi:type="xsd:double"&gt;19.690586&lt;/D&gt;&lt;D xsi:type="xsd:double"&gt;5.276072&lt;/D&gt;&lt;D xsi:type="xsd:double"&gt;-4.8076987&lt;/D&gt;&lt;D xsi:type="xsd:double"&gt;14.355683&lt;/D&gt;&lt;D xsi:type="xsd:double"&gt;-12.767667&lt;/D&gt;&lt;D xsi:type="xsd:double"&gt;-3.25253&lt;/D&gt;&lt;D xsi:type="xsd:double"&gt;14.52744&lt;/D&gt;&lt;D xsi:type="xsd:double"&gt;10.03927&lt;/D&gt;&lt;D xsi:type="xsd:double"&gt;-5.122328&lt;/D&gt;&lt;D xsi:type="xsd:double"&gt;0.13430119&lt;/D&gt;&lt;D xsi:type="xsd:double"&gt;-12.151283&lt;/D&gt;&lt;D xsi:type="xsd:double"&gt;4.244268&lt;/D&gt;&lt;D xsi:type="xsd:double"&gt;9.645521&lt;/D&gt;&lt;D xsi:type="xsd:double"&gt;5.1454782&lt;/D&gt;&lt;D xsi:type="xsd:double"&gt;10.504746&lt;/D&gt;&lt;D xsi:type="xsd:double"&gt;-0.996989&lt;/D&gt;&lt;D xsi:type="xsd:double"&gt;-6.7213116&lt;/D&gt;&lt;D xsi:type="xsd:double"&gt;-1.5315115&lt;/D&gt;&lt;D xsi:type="xsd:double"&gt;13.282787&lt;/D&gt;&lt;D xsi:type="xsd:double"&gt;3.594184&lt;/D&gt;&lt;D xsi:type="xsd:double"&gt;-2.0421624&lt;/D&gt;&lt;D xsi:type="xsd:double"&gt;-1.726073&lt;/D&gt;&lt;D xsi:type="xsd:double"&gt;-12.636864&lt;/D&gt;&lt;D xsi:type="xsd:double"&gt;-14.960837&lt;/D&gt;&lt;D xsi:type="xsd:double"&gt;7.3013067&lt;/D&gt;&lt;D xsi:type="xsd:double"&gt;-3.227687&lt;/D&gt;&lt;D xsi:type="xsd:double"&gt;-2.253604&lt;/D&gt;&lt;D xsi:type="xsd:double"&gt;18.628967&lt;/D&gt;&lt;D xsi:type="xsd:double"&gt;4.897642&lt;/D&gt;&lt;D xsi:type="xsd:double"&gt;-5.5473804&lt;/D&gt;&lt;D xsi:type="xsd:double"&gt;14.710569&lt;/D&gt;&lt;D xsi:type="xsd:double"&gt;2.8935194&lt;/D&gt;&lt;D xsi:type="xsd:double"&gt;-0.112485886&lt;/D&gt;&lt;D xsi:type="xsd:double"&gt;-8.87388&lt;/D&gt;&lt;D xsi:type="xsd:double"&gt;-8.576364&lt;/D&gt;&lt;D xsi:type="xsd:double"&gt;17.207802&lt;/D&gt;&lt;D xsi:type="xsd:double"&gt;9.016573&lt;/D&gt;&lt;D xsi:type="xsd:double"&gt;-10.756368&lt;/D&gt;&lt;D xsi:type="xsd:double"&gt;2.3049235&lt;/D&gt;&lt;D xsi:type="xsd:double"&gt;-0.4459083&lt;/D&gt;&lt;D xsi:type="xsd:double"&gt;-0.49504638&lt;/D&gt;&lt;D xsi:type="xsd:double"&gt;10.815895&lt;/D&gt;&lt;D xsi:type="xsd:double"&gt;1.442635&lt;/D&gt;&lt;D xsi:type="xsd:double"&gt;-7.356715&lt;/D&gt;&lt;D xsi:type="xsd:double"&gt;-50.623272&lt;/D&gt;&lt;D xsi:type="xsd:double"&gt;17.95231&lt;/D&gt;&lt;D xsi:type="xsd:double"&gt;-6.024575&lt;/D&gt;&lt;D xsi:type="xsd:double"&gt;25.456322&lt;/D&gt;&lt;D xsi:type="xsd:double"&gt;6.634915&lt;/D&gt;&lt;D xsi:type="xsd:double"&gt;-2.0421147&lt;/D&gt;&lt;D xsi:type="xsd:double"&gt;-2.9316008&lt;/D&gt;&lt;D xsi:type="xsd:double"&gt;-3.8255036&lt;/D&gt;&lt;D xsi:type="xsd:double"&gt;12.944865&lt;/D&gt;&lt;D xsi:type="xsd:double"&gt;17.353952&lt;/D&gt;&lt;D xsi:type="xsd:double"&gt;-2.1485448&lt;/D&gt;&lt;D xsi:type="xsd:double"&gt;-3.5510898&lt;/D&gt;&lt;D xsi:type="xsd:double"&gt;-6.0427246&lt;/D&gt;&lt;D xsi:type="xsd:double"&gt;4.8758626&lt;/D&gt;&lt;D xsi:type="xsd:double"&gt;8.385622&lt;/D&gt;&lt;D xsi:type="xsd:double"&gt;7.2221875&lt;/D&gt;&lt;D xsi:type="xsd:double"&gt;-2.093196&lt;/D&gt;&lt;D xsi:type="xsd:double"&gt;-11.300593&lt;/D&gt;&lt;D xsi:type="xsd:double"&gt;-4.447633&lt;/D&gt;&lt;D xsi:type="xsd:double"&gt;-1.3213158&lt;/D&gt;&lt;D xsi:type="xsd:double"&gt;-11.290323&lt;/D&gt;&lt;D xsi:type="xsd:double"&gt;3.8283348&lt;/D&gt;&lt;D xsi:type="xsd:double"&gt;2.7087212&lt;/D&gt;&lt;D xsi:type="xsd:double"&gt;13.949453&lt;/D&gt;&lt;D xsi:type="xsd:double"&gt;5.2551746&lt;/D&gt;&lt;D xsi:type="xsd:double"&gt;8.196247&lt;/D&gt;&lt;D xsi:type="xsd:double"&gt;-14.270478&lt;/D&gt;&lt;D xsi:type="xsd:double"&gt;-8.993191&lt;/D&gt;&lt;D xsi:type="xsd:double"&gt;-7.0200624&lt;/D&gt;&lt;D xsi:type="xsd:double"&gt;22.727276&lt;/D&gt;&lt;D xsi:type="xsd:double"&gt;-5.8380423&lt;/D&gt;&lt;D xsi:type="xsd:double"&gt;6.9999933&lt;/D&gt;&lt;D xsi:type="xsd:double"&gt;-8.193141&lt;/D&gt;&lt;D xsi:type="xsd:double"&gt;-4.2769074&lt;/D&gt;&lt;D</t>
        </r>
      </text>
    </comment>
    <comment ref="A4" authorId="0" shapeId="0" xr:uid="{86DF2678-26C2-4FD5-9C05-A08F95E2038B}">
      <text>
        <r>
          <rPr>
            <b/>
            <sz val="9"/>
            <color indexed="81"/>
            <rFont val="Tahoma"/>
            <charset val="1"/>
          </rPr>
          <t xml:space="preserve"> xsi:type="xsd:double"&gt;12.05647&lt;/D&gt;&lt;D xsi:type="xsd:double"&gt;-2.3152888&lt;/D&gt;&lt;D xsi:type="xsd:double"&gt;-8.051592&lt;/D&gt;&lt;D xsi:type="xsd:double"&gt;9.969675&lt;/D&gt;&lt;D xsi:type="xsd:double"&gt;3.1713247&lt;/D&gt;&lt;D xsi:type="xsd:double"&gt;10.635757&lt;/D&gt;&lt;D xsi:type="xsd:double"&gt;-0.34034848&lt;/D&gt;&lt;D xsi:type="xsd:double"&gt;-5.184722&lt;/D&gt;&lt;D xsi:type="xsd:double"&gt;5.6319475&lt;/D&gt;&lt;D xsi:type="xsd:double"&gt;-6.664592&lt;/D&gt;&lt;D xsi:type="xsd:double"&gt;11.22551&lt;/D&gt;&lt;D xsi:type="xsd:double"&gt;5.076134&lt;/D&gt;&lt;D xsi:type="xsd:double"&gt;-3.0988216&lt;/D&gt;&lt;D xsi:type="xsd:double"&gt;0.60771704&lt;/D&gt;&lt;D xsi:type="xsd:double"&gt;-3.382665&lt;/D&gt;&lt;D xsi:type="xsd:double"&gt;-5.876833&lt;/D&gt;&lt;/FQL&gt;&lt;FQL&gt;&lt;Q&gt;SET-BKK^FMA_DIV_YLD(NTMA,-10AY,0,AM,"PORTAGG","MEANR")&lt;/Q&gt;&lt;R&gt;121&lt;/R&gt;&lt;C&gt;1&lt;/C&gt;&lt;D xsi:type="xsd:double"&gt;3.7602425335103&lt;/D&gt;&lt;D xsi:type="xsd:double"&gt;3.76680415396888&lt;/D&gt;&lt;D xsi:type="xsd:double"&gt;5.52162921981367&lt;/D&gt;&lt;D xsi:type="xsd:double"&gt;5.5387451472003&lt;/D&gt;&lt;D xsi:type="xsd:double"&gt;3.44105083209486&lt;/D&gt;&lt;D xsi:type="xsd:double"&gt;3.34417548838862&lt;/D&gt;&lt;D xsi:type="xsd:double"&gt;3.49028728665879&lt;/D&gt;&lt;D xsi:type="xsd:double"&gt;3.33803190347192&lt;/D&gt;&lt;D xsi:type="xsd:double"&gt;3.46486257193558&lt;/D&gt;&lt;D xsi:type="xsd:double"&gt;3.40912550266784&lt;/D&gt;&lt;D xsi:type="xsd:double"&gt;3.14789005605039&lt;/D&gt;&lt;D xsi:type="xsd:double"&gt;3.39282609330278&lt;/D&gt;&lt;D xsi:type="xsd:double"&gt;3.31575780908509&lt;/D&gt;&lt;D xsi:type="xsd:double"&gt;3.40924598711555&lt;/D&gt;&lt;D xsi:type="xsd:double"&gt;3.42973937437471&lt;/D&gt;&lt;D xsi:type="xsd:double"&gt;3.47149437183762&lt;/D&gt;&lt;D xsi:type="xsd:double"&gt;3.68857678002678&lt;/D&gt;&lt;D xsi:type="xsd:double"&gt;3.61478363768203&lt;/D&gt;&lt;D xsi:type="xsd:double"&gt;3.56729914013885&lt;/D&gt;&lt;D xsi:type="xsd:double"&gt;3.67415697379705&lt;/D&gt;&lt;D xsi:type="xsd:double"&gt;3.91418723570796&lt;/D&gt;&lt;D xsi:type="xsd:double"&gt;3.90130795039376&lt;/D&gt;&lt;D xsi:type="xsd:double"&gt;3.66227229184383&lt;/D&gt;&lt;D xsi:type="xsd:double"&gt;3.40912907846106&lt;/D&gt;&lt;D xsi:type="xsd:double"&gt;3.39093765125919&lt;/D&gt;&lt;D xsi:type="xsd:double"&gt;3.40935871811318&lt;/D&gt;&lt;D xsi:type="xsd:double"&gt;3.34611483029138&lt;/D&gt;&lt;D xsi:type="xsd:double"&gt;3.20252443472164&lt;/D&gt;&lt;D xsi:type="xsd:double"&gt;3.10853248149866&lt;/D&gt;&lt;D xsi:type="xsd:double"&gt;3.29859901468591&lt;/D&gt;&lt;D xsi:type="xsd:double"&gt;3.33428329280166&lt;/D&gt;&lt;D xsi:type="xsd:double"&gt;3.3337405048907&lt;/D&gt;&lt;D xsi:type="xsd:double"&gt;3.25368575910069&lt;/D&gt;&lt;D xsi:type="xsd:double"&gt;3.19341958373059&lt;/D&gt;&lt;D xsi:type="xsd:double"&gt;3.10435202903641&lt;/D&gt;&lt;D xsi:type="xsd:double"&gt;3.15671424709883&lt;/D&gt;&lt;D xsi:type="xsd:double"&gt;3.13856485185033&lt;/D&gt;&lt;D xsi:type="xsd:double"&gt;3.21895550738233&lt;/D&gt;&lt;D xsi:type="xsd:double"&gt;3.19653587851637&lt;/D&gt;&lt;D xsi:type="xsd:double"&gt;3.26710159573275&lt;/D&gt;&lt;D xsi:type="xsd:double"&gt;3.23790576546037&lt;/D&gt;&lt;D xsi:type="xsd:double"&gt;3.008210651955&lt;/D&gt;&lt;D xsi:type="xsd:double"&gt;2.98513584414195&lt;/D&gt;&lt;D xsi:type="xsd:double"&gt;3.01072859050351&lt;/D&gt;&lt;D xsi:type="xsd:double"&gt;3.03907772745882&lt;/D&gt;&lt;D xsi:type="xsd:double"&gt;2.88177164529787&lt;/D&gt;&lt;D xsi:type="xsd:double"&gt;2.96267517416121&lt;/D&gt;&lt;D xsi:type="xsd:double"&gt;2.98715753501607&lt;/D&gt;&lt;D xsi:type="xsd:double"&gt;3.06452073374858&lt;/D&gt;&lt;D xsi:type="xsd:double"&gt;3.10613123938633&lt;/D&gt;&lt;D xsi:type="xsd:double"&gt;3.28932935662776&lt;/D&gt;&lt;D xsi:type="xsd:double"&gt;3.3897964258388&lt;/D&gt;&lt;D xsi:type="xsd:double"&gt;3.27312770003526&lt;/D&gt;&lt;D xsi:type="xsd:double"&gt;3.21306364332494&lt;/D&gt;&lt;D xsi:type="xsd:double"&gt;3.33747058489344&lt;/D&gt;&lt;D xsi:type="xsd:double"&gt;3.43704884781973&lt;/D&gt;&lt;D xsi:type="xsd:double"&gt;3.55787200983632&lt;/D&gt;&lt;D xsi:type="xsd:double"&gt;3.48437586122467&lt;/D&gt;&lt;D xsi:type="xsd:double"&gt;3.308039122034&lt;/D&gt;&lt;D xsi:type="xsd:double"&gt;3.35066431336095&lt;/D&gt;&lt;D xsi:type="xsd:double"&gt;3.24590252567722&lt;/D&gt;&lt;D xsi:type="xsd:double"&gt;3.376655736063&lt;/D&gt;&lt;D xsi:type="xsd:double"&gt;3.19952821804713&lt;/D&gt;&lt;D xsi:type="xsd:double"&gt;3.1303357414175&lt;/D&gt;&lt;D xsi:type="xsd:double"&gt;3.30229849814874&lt;/D&gt;&lt;D xsi:type="xsd:double"&gt;3.23353632936814&lt;/D&gt;&lt;D xsi:type="xsd:double"&gt;3.2541257428846&lt;/D&gt;&lt;D xsi:type="xsd:double"&gt;3.2036273866904&lt;/D&gt;&lt;D xsi:type="xsd:double"&gt;3.26995590952088&lt;/D&gt;&lt;D xsi:type="xsd:double"&gt;3.19754511541837&lt;/D&gt;&lt;D xsi:type="xsd:double"&gt;3.36826329223753&lt;/D&gt;&lt;D xsi:type="xsd:double"&gt;4.58232280796835&lt;/D&gt;&lt;D xsi:type="xsd:double"&gt;3.56333426611043&lt;/D&gt;&lt;D xsi:type="xsd:double"&gt;3.249945312426&lt;/D&gt;&lt;D xsi:type="xsd:double"&gt;3.01300790095234&lt;/D&gt;&lt;D xsi:type="xsd:double"&gt;3.02282790513119&lt;/D&gt;&lt;D xsi:type="xsd:double"&gt;3.0737148670227&lt;/D&gt;&lt;D xsi:type="xsd:double"&gt;3.13230879698181&lt;/D&gt;&lt;D xsi:type="xsd:double"&gt;3.20347481090915&lt;/D&gt;&lt;D xsi:type="xsd:double"&gt;2.85493875061082&lt;/D&gt;&lt;D xsi:type="xsd:double"&gt;2.74445538428789&lt;/D&gt;&lt;D xsi:type="xsd:double"&gt;2.73133868878594&lt;/D&gt;&lt;D xsi:type="xsd:double"&gt;2.8004672488246&lt;/D&gt;&lt;D xsi:type="xsd:double"&gt;2.75414620039239&lt;/D&gt;&lt;D xsi:type="xsd:double"&gt;2.86081650120866&lt;/D&gt;&lt;D xsi:type="xsd:double"&gt;2.91078359079855&lt;/D&gt;&lt;D xsi:type="xsd:double"&gt;2.83024759322282&lt;/D&gt;&lt;D xsi:type="xsd:double"&gt;2.9436188971933&lt;/D&gt;&lt;D xsi:type="xsd:double"&gt;2.96176372043943&lt;/D&gt;&lt;D xsi:type="xsd:double"&gt;2.84895313175749&lt;/D&gt;&lt;D xsi:type="xsd:double"&gt;2.81990740802951&lt;/D&gt;&lt;D xsi:type="xsd:double"&gt;2.79371867807035&lt;/D&gt;&lt;D xsi:type="xsd:double"&gt;2.88106146854574&lt;/D&gt;&lt;D xsi:type="xsd:double"&gt;2.8494820322968&lt;/D&gt;&lt;D xsi:type="xsd:double"&gt;2.82043923029848&lt;/D&gt;&lt;D xsi:type="xsd:double"&gt;2.91301254593595&lt;/D&gt;&lt;D xsi:type="xsd:double"&gt;2.99399688510607&lt;/D&gt;&lt;D xsi:type="xsd:double"&gt;3.04741161410276&lt;/D&gt;&lt;D xsi:type="xsd:double"&gt;3.17602517269399&lt;/D&gt;&lt;D xsi:type="xsd:double"&gt;3.20232955205851&lt;/D&gt;&lt;D xsi:type="xsd:double"&gt;3.09053503029613&lt;/D&gt;&lt;D xsi:type="xsd:double"&gt;3.10206181076174&lt;/D&gt;&lt;D xsi:type="xsd:double"&gt;3.16847882940071&lt;/D&gt;&lt;D xsi:type="xsd:double"&gt;3.05946407237165&lt;/D&gt;&lt;D xsi:type="xsd:double"&gt;3.04448885383862&lt;/D&gt;&lt;D xsi:type="xsd:double"&gt;2.95329128885071&lt;/D&gt;&lt;D xsi:type="xsd:double"&gt;3.01878966170098&lt;/D&gt;&lt;D xsi:type="xsd:double"&gt;3.19481629114587&lt;/D&gt;&lt;D xsi:type="xsd:double"&gt;3.10376591152979&lt;/D&gt;&lt;D xsi:type="xsd:double"&gt;3.18655572580203&lt;/D&gt;&lt;D xsi:type="xsd:double"&gt;3.09489293661926&lt;/D&gt;&lt;D xsi:type="xsd:double"&gt;3.10708995749682&lt;/D&gt;&lt;D xsi:type="xsd:double"&gt;3.13820851575776&lt;/D&gt;&lt;D xsi:type="xsd:double"&gt;3.14008148072944&lt;/D&gt;&lt;D xsi:type="xsd:double"&gt;3.34614518344506&lt;/D&gt;&lt;D xsi:type="xsd:double"&gt;3.34949444249697&lt;/D&gt;&lt;D xsi:type="xsd:double"&gt;3.41130772833814&lt;/D&gt;&lt;D xsi:type="xsd:double"&gt;3.50989469534556&lt;/D&gt;&lt;D xsi:type="xsd:double"&gt;3.45739343580131&lt;/D&gt;&lt;D xsi:type="xsd:double"&gt;3.48062667808914&lt;/D&gt;&lt;D xsi:type="xsd:double"&gt;3.54815414134635&lt;/D&gt;&lt;/FQL&gt;&lt;FQL&gt;&lt;Q&gt;CNYA^FMA_DIV_YLD(NTMA,-10AY,0,AM,"PORTAGG","MEANR")&lt;/Q&gt;&lt;R&gt;121&lt;/R&gt;&lt;C&gt;1&lt;/C&gt;&lt;D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xsi:type="xsd:double"&gt;2.19744162320999&lt;/D&gt;&lt;D xsi:type="xsd:double"&gt;2.17591545556345&lt;/D&gt;&lt;D xsi:type="xsd:double"&gt;2.26119919990756&lt;/D&gt;&lt;D xsi:type="xsd:double"&gt;2.27292640970022&lt;/D&gt;&lt;D xsi:type="xsd:double"&gt;2.216869648679&lt;/D&gt;&lt;D xsi:type="xsd:double"&gt;2.27898221131575&lt;/D&gt;&lt;D xsi:type="xsd:double"&gt;2.29527647751416&lt;/D&gt;&lt;D xsi:type="xsd:double"&gt;2.33066799162175&lt;/D&gt;&lt;D xsi:type="xsd:double"&gt;2.30674325090769&lt;/D&gt;&lt;D xsi:type="xsd:double"&gt;2.27359196151441&lt;/D&gt;&lt;D xsi:type="xsd:double"&gt;2.25065061902377&lt;/D&gt;&lt;D xsi:type="xsd:double"&gt;2.16067184672988&lt;/D&gt;&lt;D xsi:type="xsd:double"&gt;2.16033189745611&lt;/D&gt;&lt;D xsi:type="xsd:double"&gt;2.19250538034169&lt;/D&gt;&lt;D xsi:type="xsd:double"&gt;2.14310126667997&lt;/D&gt;&lt;D xsi:type="xsd:double"&gt;2.13644201998724&lt;/D&gt;&lt;D xsi:type="xsd:double"&gt;2.08229737011069&lt;/D&gt;&lt;D xsi:type="xsd:double"&gt;2.22756839404461&lt;/D&gt;&lt;D xsi:type="xsd:double"&gt;2.11234559306225&lt;/D&gt;&lt;D xsi:type="xsd:double"&gt;2.3249727774028&lt;/D&gt;&lt;D xsi:type="xsd:double"&gt;2.30276028751934&lt;/D&gt;&lt;D xsi:type="xsd:double"&gt;2.53793738141375&lt;/D&gt;&lt;D xsi:type="xsd:double"&gt;2.66772673044315&lt;/D&gt;&lt;D xsi:type="xsd:double"&gt;2.750389868766&lt;/D&gt;&lt;D xsi:type="xsd:double"&gt;3.07545344691241&lt;/D&gt;&lt;D xsi:type="xsd:double"&gt;3.31511575369193&lt;/D&gt;&lt;D xsi:type="xsd:double"&gt;3.2164369154671&lt;/D&gt;&lt;D xsi:type="xsd:double"&gt;3.49740167766027&lt;/D&gt;&lt;D xsi:type="xsd:double"&gt;3.23043630192266&lt;/D&gt;&lt;D xsi:type="xsd:double"&gt;3.2531041833178&lt;/D&gt;&lt;D xsi:type="xsd:double"&gt;3.21565450679857&lt;/D&gt;&lt;D xsi:type="xsd:double"&gt;3.05900812114227&lt;/D&gt;&lt;D xsi:type="xsd:double"&gt;2.74110288931645&lt;/D&gt;&lt;D xsi:type="xsd:double"&gt;2.60134924518308&lt;/D&gt;&lt;D xsi:type="xsd:double"&gt;2.88578435997909&lt;/D&gt;&lt;D xsi:type="xsd:double"&gt;2.78557177030786&lt;/D&gt;&lt;D xsi:type="xsd:double"&gt;2.74977167698575&lt;/D&gt;&lt;D xsi:type="xsd:double"&gt;2.80359616505012&lt;/D&gt;&lt;D xsi:type="xsd:double"&gt;2.65884955927005&lt;/D&gt;&lt;D xsi:type="xsd:double"&gt;2.72287601583667&lt;/D&gt;&lt;D xsi:type="xsd:double"&gt;2.77386144422163&lt;/D&gt;&lt;D xsi:type="xsd:double"&gt;2.48476480097628&lt;/D&gt;&lt;D xsi:type="xsd:double"&gt;2.4243037468446&lt;/D&gt;&lt;D xsi:type="xsd:double"&gt;2.44445354677754&lt;/D&gt;&lt;D xsi:type="xsd:double"&gt;2.6907122349305&lt;/D&gt;&lt;D xsi:type="xsd:double"&gt;2.46801405045669&lt;/D&gt;&lt;D xsi:type="xsd:double"&gt;2.32797343717685&lt;/D&gt;&lt;D xsi:type="xsd:double"&gt;2.19937886251051&lt;/D&gt;&lt;D xsi:type="xsd:double"&gt;1.97974374103945&lt;/D&gt;&lt;D xsi:type="xsd:double"&gt;1.91477483770669&lt;/D&gt;&lt;D xsi:type="xsd:double"&gt;1.92107985745018&lt;/D&gt;&lt;D xsi:type="xsd:double"&gt;1.93820883694491&lt;/D&gt;&lt;D xsi:type="xsd:double"&gt;1.94540574267323&lt;/D&gt;&lt;D xsi:type="xsd:double"&gt;1.84110712461176&lt;/D&gt;&lt;D xsi:type="xsd:double"&gt;1.69553867791929&lt;/D&gt;&lt;D xsi:type="xsd:double"&gt;1.60695213173286&lt;/D&gt;&lt;D xsi:type="xsd:double"&gt;1.85199411954813&lt;/D&gt;&lt;D xsi:type="xsd:double"&gt;1.95777684139504&lt;/D&gt;&lt;D xsi:type="xsd:double"&gt;1.8671291146534&lt;/D&gt;&lt;D xsi:type="xsd:double"&gt;1.86989339626507&lt;/D&gt;&lt;D xsi:type="xsd:double"&gt;1.86061480088445&lt;/D&gt;&lt;D xsi:type="xsd:double"&gt;1.99289314685383&lt;/D&gt;&lt;D xsi:type="xsd:double"&gt;1.98345718970716&lt;/D&gt;&lt;D xsi:type="xsd:double"&gt;2.00532235957565&lt;/D&gt;&lt;D xsi:type="xsd:double"&gt;2.01667676772877&lt;/D&gt;&lt;D xsi:type="xsd:double"&gt;1.96338610707325&lt;/D&gt;&lt;D xsi:type="xsd:double"&gt;2.06478615888238&lt;/D&gt;&lt;D xsi:type="xsd:double"&gt;2.18312505806736&lt;/D&gt;&lt;D xsi:type="xsd:double"&gt;2.36122511879459&lt;/D&gt;&lt;D xsi:type="xsd:double"&gt;2.43758131358465&lt;/D&gt;&lt;D xsi:type="xsd:double"&gt;2.48724537605462&lt;/D&gt;&lt;D xsi:type="xsd:double"&gt;2.31096993696729&lt;/D&gt;&lt;D xsi:type="xsd:double"&gt;2.35626599742926&lt;/D&gt;&lt;D xsi:type="xsd:double"&gt;2.38792818953846&lt;/D&gt;&lt;D xsi:type="xsd:double"&gt;2.58686891727099&lt;/D&gt;&lt;D xsi:type="xsd:double"&gt;2.65362424560106&lt;/D&gt;&lt;D xsi:type="xsd:double"&gt;2.60883653694981&lt;/D&gt;&lt;D xsi:type="xsd:double"&gt;2.50524708781751&lt;/D&gt;&lt;D xsi:type="xsd:double"&gt;2.40824515319109&lt;/D&gt;&lt;D xsi:type="xsd:double"&gt;2.44992141600244&lt;/D&gt;&lt;D xsi:type="xsd:double"&gt;2.54215885676088&lt;/D&gt;&lt;D xsi:type="xsd:double"&gt;2.42203037688676&lt;/D&gt;&lt;D xsi:type="xsd:double"&gt;2.5435191902911&lt;/D&gt;&lt;D xsi:type="xsd:double"&gt;2.5080634475944&lt;/D&gt;&lt;D xsi:type="xsd:double"&gt;2.59789048133924&lt;/D&gt;&lt;D xsi:type="xsd:double"&gt;2.62908488964412&lt;/D&gt;&lt;D xsi:type="xsd:double"&gt;2.61847158813796&lt;/D&gt;&lt;D xsi:type="xsd:double"&gt;2.72306642390454&lt;/D&gt;&lt;D xsi:type="xsd:double"&gt;2.70045713103252&lt;/D&gt;&lt;D xsi:type="xsd:double"&gt;2.84246408438053&lt;/D&gt;&lt;D xsi:type="xsd:double"&gt;2.90427929769102&lt;/D&gt;&lt;D xsi:type="xsd:double"&gt;2.83925838002594&lt;/D&gt;&lt;D xsi:type="xsd:double"&gt;2.71710545575581&lt;/D&gt;&lt;D xsi:type="xsd:double"&gt;2.8074249700359&lt;/D&gt;&lt;/FQL&gt;&lt;FQL&gt;&lt;Q&gt;EWM^FMA_PE(NTMA,-10AY,0,AM,"PORTAGG","MEANR")&lt;/Q&gt;&lt;R&gt;121&lt;/R&gt;&lt;C&gt;1&lt;/C&gt;&lt;D xsi:type="xsd:double"&gt;15.5807994584008&lt;/D&gt;&lt;D xsi:type="xsd:double"&gt;15.7512457059877&lt;/D&gt;&lt;D xsi:type="xsd:double"&gt;15.7691809867215&lt;/D&gt;&lt;D xsi:type="xsd:double"&gt;15.6509814794757&lt;/D&gt;&lt;D xsi:type="xsd:double"&gt;15.6186664707964&lt;/D&gt;&lt;D xsi:type="xsd:double"&gt;15.6739077113115&lt;/D&gt;&lt;D xsi:type="xsd:double"&gt;15.1251227752614&lt;/D&gt;&lt;D xsi:type="xsd:double"&gt;15.374173758841&lt;/D&gt;&lt;D xsi:type="xsd:double"&gt;14.628184769017&lt;/D&gt;&lt;D xsi:type="xsd:double"&gt;14.9988883445248&lt;/D&gt;&lt;D xsi:type="xsd:double"&gt;15.5572324798347&lt;/D&gt;&lt;D xsi:type="xsd:double"&gt;15.6321162582892&lt;/D&gt;&lt;D xsi:type="xsd:double"&gt;16.0710990613469&lt;/D&gt;&lt;D xsi:type="xsd:double"&gt;15.9001980097143&lt;/D&gt;&lt;D xsi:type="xsd:double"&gt;15.2593818667855&lt;/D&gt;&lt;D xsi:type="xsd:double"&gt;15.3194632032196&lt;/D&gt;&lt;D xsi:type="xsd:double"&gt;13.8801840995034&lt;/D&gt;&lt;D xsi:type="xsd:double"&gt;15.158311674625&lt;/D&gt;&lt;D xsi:type="xsd:double"&gt;15.5891162205449&lt;/D&gt;&lt;D xsi:type="xsd:double"&gt;15.0223184251631&lt;/D&gt;&lt;D xsi:type="xsd:double"&gt;15.2173379244722&lt;/D&gt;&lt;D xsi:type="xsd:double"&gt;14.9632357431995&lt;/D&gt;&lt;D xsi:type="xsd:double"&gt;15.5659482828895&lt;/D&gt;&lt;D xsi:type="xsd:double"&gt;16.1341724109893&lt;/D&gt;&lt;D xsi:type="xsd:double"&gt;16.1649579694245&lt;/D&gt;&lt;D xsi:type="xsd:double"&gt;15.4643628500125&lt;/D&gt;&lt;D xsi:type="xsd:double"&gt;15.9554411028554&lt;/D&gt;&lt;D xsi:type="xsd:double"&gt;16.4986704556128&lt;/D&gt;&lt;D xsi:type="xsd:double"&gt;16.7704667164502&lt;/D&gt;&lt;D xsi:type="xsd:double"&gt;16.6240862341626&lt;/D&gt;&lt;D xsi:type="xsd:double"&gt;16.7926461499332&lt;/D&gt;&lt;D xsi:type="xsd:double"&gt;16.2427690873619&lt;/D&gt;&lt;D xsi:type="xsd:double"&gt;16.419910240357&lt;/D&gt;&lt;D xsi:type="xsd:double"&gt;16.5385344124567&lt;/D&gt;&lt;D xsi:type="xsd:double"&gt;16.7500225494194&lt;/D&gt;&lt;D xsi:type="xsd:double"&gt;16.9690536941558&lt;/D&gt;&lt;D xsi:type="xsd:double"&gt;16.7995593372447&lt;/D&gt;&lt;D xsi:type="xsd:double"&gt;16.9539681092504&lt;/D&gt;&lt;D xsi:type="xsd:double"&gt;16.7197025077014&lt;/D&gt;&lt;D xsi:type="xsd:double"&gt;16.2836728711881&lt;/D&gt;&lt;D xsi:type="xsd:double"&gt;16.3767616332861&lt;/D&gt;&lt;D xsi:type="xsd:double"&gt;16.487816695972&lt;/D&gt;&lt;D xsi:type="xsd:double"&gt;16.0502456135635&lt;/D&gt;&lt;D xsi:type="xsd:double"&gt;15.587678558459&lt;/D&gt;&lt;D xsi:type="xsd:double"&gt;16.0512421334545&lt;/D&gt;&lt;D xsi:type="xsd:double"&gt;16.627800881162&lt;/D&gt;&lt;D xsi:type="xsd:double"&gt;16.6663377362033&lt;/D&gt;&lt;D xsi:type="xsd:double"&gt;16.3625887128953&lt;/D&gt;&lt;D xsi:type="xsd:double"&gt;16.5583146663316&lt;/D&gt;&lt;D xsi:type="xsd:double"&gt;16.3050777116957&lt;/D&gt;&lt;D xsi:type="xsd:double"&gt;15.926554225452&lt;/D&gt;&lt;D xsi:type="xsd:double"&gt;15.968412392238&lt;/D&gt;&lt;D xsi:type="xsd:double"&gt;16.3186510963851&lt;/D&gt;&lt;D xsi:type="xsd:double"&gt;16.3885227353483&lt;/D&gt;&lt;D xsi:type="xsd:double"&gt;15.8061026989263&lt;/D&gt;&lt;D xsi:type="xsd:double"&gt;15.7490352525789&lt;/D&gt;&lt;D xsi:type="xsd:double"&gt;15.4835719440943&lt;/D&gt;&lt;D xsi:type="xsd:double"&gt;16.2338462165978&lt;/D&gt;&lt;D xsi:type="xsd:double"&gt;16.293314114497&lt;/D&gt;&lt;D xsi:type="xsd:double"&gt;16.509965677392&lt;/D&gt;&lt;D xsi:type="xsd:double"&gt;15.8861282881789&lt;/D&gt;&lt;D xsi:type="xsd:double"&gt;15.6532630204864&lt;/D&gt;&lt;D xsi:type="xsd:double"&gt;16.5540450277668&lt;/D&gt;&lt;D xsi:type="xsd:double"&gt;16.4398766853019&lt;/D&gt;&lt;D xsi:type="xsd:double"&gt;15.9913060269472&lt;/D&gt;&lt;D xsi:type="xsd:double"&gt;16.1058576460943&lt;/D&gt;&lt;D xsi:type="xsd:double"&gt;15.7819143971986&lt;/D&gt;&lt;D xsi:type="xsd:double"&gt;16.1166557744385&lt;/D&gt;&lt;D xsi:type="xsd:double"&gt;16.1922401235614&lt;/D&gt;&lt;D xsi:type="xsd:double"&gt;16.0163110753749&lt;/D&gt;&lt;D xsi:type="xsd:double"&gt;15.5048042305238&lt;/D&gt;&lt;D xsi:type="xsd:double"&gt;13.143568273224&lt;/D&gt;&lt;D xsi:type="xsd:double"&gt;15.897267989474&lt;/D&gt;&lt;D xsi:type="xsd:double"&gt;16.4034972941055&lt;/D&gt;&lt;D xsi:type="xsd:double"&gt;18.9620236206779&lt;/D&gt;&lt;D xsi:type="xsd:double"&gt;19.679463158299&lt;/D&gt;&lt;D xsi:type="xsd:double"&gt;18.8527241571193&lt;/D&gt;&lt;D xsi:type="xsd:double"&gt;17.508566428689&lt;/D&gt;&lt;D xsi:type="xsd:double"&gt;17.3128085966129&lt;/D&gt;&lt;D xsi:type="xsd:double"&gt;16.5141703679463&lt;/D&gt;&lt;D xsi:type="xsd:double"&gt;15.3470234092752&lt;/D&gt;&lt;D xsi:type="xsd:double"&gt;14.7756016665756&lt;/D&gt;&lt;D xsi:type="xsd:double"&gt;13.9935740070825&lt;/D&gt;&lt;D xsi:type="xsd:double"&gt;14.4886259582399&lt;/D&gt;&lt;D xsi:type="xsd:double"&gt;14.319598589123&lt;/D&gt;&lt;D xsi:type="xsd:double"&gt;14.0331415904813&lt;/D&gt;&lt;D xsi:type="xsd:double"&gt;14.0609051754094&lt;/D&gt;&lt;D xsi:type="xsd:double"&gt;13.5450536334717&lt;/D&gt;&lt;D xsi:type="xsd:double"&gt;13.5673338678311&lt;/D&gt;&lt;D xsi:type="xsd:double"&gt;14.1269643628759&lt;/D&gt;&lt;D xsi:type="xsd:double"&gt;14.7358658889685&lt;/D&gt;&lt;D xsi:type="xsd:double"&gt;14.2839964007467&lt;/D&gt;&lt;D xsi:type="xsd:double"&gt;15.0721590594282&lt;/D&gt;&lt;D xsi:type="xsd:double"&gt;15.4704575394827&lt;/D&gt;&lt;D xsi:type="xsd:double"&gt;15.6406716713714&lt;/D&gt;&lt;D xsi:type="xsd:double"&gt;15.3289679734756&lt;/D&gt;&lt;D xsi:type="xsd:double"&gt;14.9953333647597&lt;/D&gt;&lt;D xsi:type="xsd:double"&gt;14.5118700748867&lt;/D&gt;&lt;D xsi:type="xsd:double"&gt;13.5801820582178&lt;/D&gt;&lt;D xsi:type="xsd:double"&gt;13.3297102577212&lt;/D&gt;&lt;D xsi:type="xsd:double"&gt;14.0520613609657&lt;/D&gt;&lt;D xsi:type="xsd:double"&gt;13.5097501647192&lt;/D&gt;&lt;D xsi:type="xsd:double"&gt;12.7500700192085&lt;/D&gt;&lt;D xsi:type="xsd:double"&gt;13.105139137013&lt;/D&gt;&lt;D xsi:type="xsd:double"&gt;13.4356409237027&lt;/D&gt;&lt;D xsi:type="xsd:double"&gt;13.577039868282&lt;/D&gt;&lt;D xsi:type="xsd:double"&gt;13.3365673159331&lt;/D&gt;&lt;D xsi:type="xsd:double"&gt;12.9302363982569&lt;/D&gt;&lt;D xsi:type="xsd:double"&gt;13.1656433410446&lt;/D&gt;&lt;D xsi:type="xsd:double"&gt;13.1729405671129&lt;/D&gt;&lt;D xsi:type="xsd:double"&gt;13.3232780386065&lt;/D&gt;&lt;D xsi:type="xsd:double"&gt;13.4621665125045&lt;/D&gt;&lt;D xsi:type="xsd:double"&gt;13.7100488445621&lt;/D&gt;&lt;D xsi:type="xsd:double"&gt;13.8607896048457&lt;/D&gt;&lt;D xsi:type="xsd:double"&gt;13.6572361768815&lt;/D&gt;&lt;D xsi:type="xsd:double"&gt;13.668504231905&lt;/D&gt;&lt;D xsi:type="xsd:double"&gt;13.7796164238572&lt;/D&gt;&lt;D xsi:type="xsd:double"&gt;13.6426515059696&lt;/D&gt;&lt;D xsi:type="xsd:double"&gt;14.0515029190416&lt;/D&gt;&lt;D xsi:type="xsd:double"&gt;14.0666296001364&lt;/D&gt;&lt;D xsi:type="xsd:double"&gt;13.8488484325196&lt;/D&gt;&lt;/FQL&gt;&lt;FQL&gt;&lt;Q&gt;KSA^FMA_ROE(NTMA,-20AY,NOW,FY,"PORTAGG","MEANR")&lt;/Q&gt;&lt;R&gt;20&lt;/R&gt;&lt;C&gt;1&lt;/C&gt;&lt;D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xsi:type="xsd:double"&gt;11.2305559814687&lt;/D&gt;&lt;D xsi:type="xsd:double"&gt;10.146987054615&lt;/D&gt;&lt;D xsi:type="xsd:double"&gt;12.7997878012912&lt;/D&gt;&lt;D xsi:type="xsd:double"&gt;13.7729696546777&lt;/D&gt;&lt;D xsi:type="xsd:double"&gt;11.7570018859186&lt;/D&gt;&lt;/FQL&gt;&lt;FQL&gt;&lt;Q&gt;EPOL^FMA_ROE(NTMA,-20AY,NOW,FY,"PORTAGG","MEANR")&lt;/Q&gt;&lt;R&gt;20&lt;/R&gt;&lt;C&gt;1&lt;/C&gt;&lt;D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xsi:type="xsd:double"&gt;7.20768650788902&lt;/D&gt;&lt;D xsi:type="xsd:double"&gt;10.1460102201106&lt;/D&gt;&lt;D xsi:type="xsd:double"&gt;10.9641857238333&lt;/D&gt;&lt;D xsi:type="xsd:double"&gt;12.3945793275799&lt;/D&gt;&lt;/FQL&gt;&lt;FQL&gt;&lt;Q&gt;TRYQA10Y-FDS^FG_YIELD(-10AY,0,Y,,"YTM")&lt;/Q&gt;&lt;R&gt;10&lt;/R&gt;&lt;C&gt;1&lt;/C&gt;&lt;D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xsi:type="xsd:double"&gt;0.703&lt;/D&gt;&lt;/FQL&gt;&lt;FQL&gt;&lt;Q&gt;CAGDPY@IN^EE_ACTUAL_ANNUAL(MED,+1)&lt;/Q&gt;&lt;R&gt;1&lt;/R&gt;&lt;C&gt;1&lt;/C&gt;&lt;D xsi:type="xsd:double"&gt;-1.25&lt;/D&gt;&lt;/FQL&gt;&lt;FQL&gt;&lt;Q&gt;CAGDPY@PE^EE_ACTUAL_ANNUAL(MED,+1)&lt;/Q&gt;&lt;R&gt;1&lt;/R&gt;&lt;C&gt;1&lt;/C&gt;&lt;D xsi:type="xsd:double"&gt;-0.65&lt;/D&gt;&lt;/FQL&gt;&lt;FQL&gt;&lt;Q&gt;CC_TH^FG_COMPANY_NAME&lt;/Q&gt;&lt;R&gt;1&lt;/R&gt;&lt;C&gt;1&lt;/C&gt;&lt;D xsi:type="xsd:string"&gt;Thailand&lt;/D&gt;&lt;/FQL&gt;&lt;FQL&gt;&lt;Q&gt;CC_CN^FG_COMPANY_NAME&lt;/Q&gt;&lt;R&gt;1&lt;/R&gt;&lt;C&gt;1&lt;/C&gt;&lt;D xsi:type="xsd:string"&gt;China&lt;/D&gt;&lt;/FQL&gt;&lt;FQL&gt;&lt;Q&gt;USDVND^FG_COMPANY_NAME&lt;/Q&gt;&lt;R&gt;1&lt;/R&gt;&lt;C&gt;1&lt;/C&gt;&lt;D xsi:type="xsd:string"&gt;Vietnam Dong per U.S. Dollar&lt;/D&gt;&lt;/FQL&gt;&lt;FQL&gt;&lt;Q&gt;USDTRY^FG_COMPANY_NAME&lt;/Q&gt;&lt;R&gt;1&lt;/R&gt;&lt;C&gt;1&lt;/C&gt;&lt;D xsi:type="xsd:string"&gt;Turkish New Lira per U.S. Dollar&lt;/D&gt;&lt;/FQL&gt;&lt;FQL&gt;&lt;Q&gt;USDQAR^FG_COMPANY_NAME&lt;/Q&gt;&lt;R&gt;1&lt;/R&gt;&lt;C&gt;1&lt;/C&gt;&lt;D xsi:type="xsd:string"&gt;Qatari Rial per U.S. Dollar&lt;/D&gt;&lt;/FQL&gt;&lt;FQL&gt;&lt;Q&gt;USDINR^FG_COMPANY_NAME&lt;/Q&gt;&lt;R&gt;1&lt;/R&gt;&lt;C&gt;1&lt;/C&gt;&lt;D xsi:type="xsd:string"&gt;Indian Rupee per U.S. Dollar&lt;/D&gt;&lt;/FQL&gt;&lt;FQL&gt;&lt;Q&gt;USDZAR^FG_COMPANY_NAME&lt;/Q&gt;&lt;R&gt;1&lt;/R&gt;&lt;C&gt;1&lt;/C&gt;&lt;D xsi:type="xsd:string"&gt;South African Rand per U.S. Dollar&lt;/D&gt;&lt;/FQL&gt;&lt;FQL&gt;&lt;Q&gt;USDKRW^FG_COMPANY_NAME&lt;/Q&gt;&lt;R&gt;1&lt;/R&gt;&lt;C&gt;1&lt;/C&gt;&lt;D xsi:type="xsd:string"&gt;South Korean Won per U.S. Dollar&lt;/D&gt;&lt;/FQL&gt;&lt;FQL&gt;&lt;Q&gt;USDTWD^FG_COMPANY_NAME&lt;/Q&gt;&lt;R&gt;1&lt;/R&gt;&lt;C&gt;1&lt;/C&gt;&lt;D xsi:type="xsd:string"&gt;Taiwan Dollar per U.S. Dollar&lt;/D&gt;&lt;/FQL&gt;&lt;FQL&gt;&lt;Q&gt;USDPEN^FG_COMPANY_NAME&lt;/Q&gt;&lt;R&gt;1&lt;/R&gt;&lt;C&gt;1&lt;/C&gt;&lt;D xsi:type="xsd:string"&gt;Peruvian New Sol per U.S. Dollar&lt;/D&gt;&lt;/FQL&gt;&lt;FQL&gt;&lt;Q&gt;USDPHP^FG_COMPANY_NAME&lt;/Q&gt;&lt;R&gt;1&lt;/R&gt;&lt;C&gt;1&lt;/C&gt;&lt;D xsi:type="xsd:string"&gt;Philippines Peso per U.S. Dollar&lt;/D&gt;&lt;/FQL&gt;&lt;FQL&gt;&lt;Q&gt;USDCLP^FG_COMPANY_NAME&lt;/Q&gt;&lt;R&gt;1&lt;/R&gt;&lt;C&gt;1&lt;/C&gt;&lt;D xsi:type="xsd:string"&gt;Chilean Peso per U.S. Dollar&lt;/D&gt;&lt;/FQL&gt;&lt;FQL&gt;&lt;Q&gt;FC0000IN^FMA_EPS(NTMA,-20AY,0,CY,,"PORTAGG","MEANR")&lt;/Q&gt;&lt;R&gt;20&lt;/R&gt;&lt;C&gt;1&lt;/C&gt;&lt;D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xsi:type="xsd:double"&gt;36.3147882970914&lt;/D&gt;&lt;D xsi:type="xsd:double"&gt;33.7058784911957&lt;/D&gt;&lt;D xsi:type="xsd:double"&gt;47.02001632811&lt;/D&gt;&lt;D xsi:type="xsd:double"&gt;46.0469770059164&lt;/D&gt;&lt;D xsi:type="xsd:double"&gt;54.6862433634991&lt;/D&gt;&lt;/FQL&gt;&lt;FQL&gt;&lt;Q&gt;VNM^P_PRICE_RETURNS_PR('52W',2,-10AY,0,AM)&lt;/Q&gt;&lt;R&gt;121&lt;/R&gt;&lt;C&gt;1&lt;/C&gt;&lt;D xsi:type="xsd:double"&gt;13.424349&lt;/D&gt;&lt;D xsi:type="xsd:double"&gt;-1.65416&lt;/D&gt;&lt;D xsi:type="xsd:double"&gt;8.584631&lt;/D&gt;&lt;D xsi:type="xsd:double"&gt;16.116535&lt;/D&gt;&lt;D xsi:type="xsd:double"&gt;23.61039&lt;/D&gt;&lt;D xsi:type="xsd:double"&gt;28.01975&lt;/D&gt;&lt;D xsi:type="xsd:double"&gt;12.045789&lt;/D&gt;&lt;D xsi:type="xsd:double"&gt;10.527635&lt;/D&gt;&lt;D xsi:type="xsd:double"&gt;3.2866716&lt;/D&gt;&lt;D xsi:type="xsd:double"&gt;-6.60277&lt;/D&gt;&lt;D xsi:type="xsd:double"&gt;-10.753364&lt;/D&gt;&lt;D xsi:type="xsd:double"&gt;-16.210133&lt;/D&gt;&lt;D xsi:type="xsd:double"&gt;-9.554201&lt;/D&gt;&lt;D xsi:type="xsd:double"&gt;-11.4440975&lt;/D&gt;&lt;D xsi:type="xsd:double"&gt;-10.733116&lt;/D&gt;&lt;D xsi:type="xsd:double"&gt;-8.336568&lt;/D&gt;&lt;D xsi:type="xsd:double"&gt;-20.41936&lt;/D&gt;&lt;D xsi:type="xsd:double"&gt;-28.74863&lt;/D&gt;&lt;D xsi:type="xsd:double"&gt;-12.9830065&lt;/D&gt;&lt;D xsi:type="xsd:double"&gt;-19.59015&lt;/D&gt;&lt;D xsi:type="xsd:double"&gt;-20.645958&lt;/D&gt;&lt;D xsi:type="xsd:double"&gt;-28.003883&lt;/D&gt;&lt;D xsi:type="xsd:double"&gt;-26.161558&lt;/D&gt;&lt;D xsi:type="xsd:double"&gt;-18.18375&lt;/D&gt;&lt;D xsi:type="xsd:double"&gt;-19.660313&lt;/D&gt;&lt;D xsi:type="xsd:double"&gt;-8.6554165&lt;/D&gt;&lt;D xsi:type="xsd:double"&gt;-17.25821&lt;/D&gt;&lt;D xsi:type="xsd:double"&gt;-15.951681&lt;/D&gt;&lt;D xsi:type="xsd:double"&gt;-6.87021&lt;/D&gt;&lt;D xsi:type="xsd:double"&gt;-7.450885&lt;/D&gt;&lt;D xsi:type="xsd:double"&gt;-12.34867&lt;/D&gt;&lt;D xsi:type="xsd:double"&gt;-13.571632&lt;/D&gt;&lt;D xsi:type="xsd:double"&gt;-9.714233&lt;/D&gt;&lt;D xsi:type="xsd:double"&gt;6.428504&lt;/D&gt;&lt;D xsi:type="xsd:double"&gt;2.8331041&lt;/D&gt;&lt;D xsi:type="xsd:double"&gt;-1.497066&lt;/D&gt;&lt;D xsi:type="xsd:double"&gt;0.50114393&lt;/D&gt;&lt;D xsi:type="xsd:double"&gt;-3.1320453&lt;/D&gt;&lt;D xsi:type="xsd:double"&gt;2.8837204&lt;/D&gt;&lt;D xsi:type="xsd:double"&gt;-3.874725&lt;/D&gt;&lt;D xsi:type="xsd:double"&gt;-5.2182016&lt;/D&gt;&lt;D xsi:type="xsd:double"&gt;8.77198&lt;/D&gt;&lt;D xsi:type="xsd:double"&gt;7.117462&lt;/D&gt;&lt;D xsi:type="xsd:double"&gt;23.917591&lt;/D&gt;&lt;D xsi:type="xsd:double"&gt;33.57817&lt;/D&gt;&lt;D xsi:type="xsd:double"&gt;41.02707&lt;/D&gt;&lt;D xsi:type="xsd:double"&gt;37.39288&lt;/D&gt;&lt;D xsi:type="xsd:double"&gt;41.895355&lt;/D&gt;&lt;D xsi:type="xsd:double"&gt;40.937733&lt;/D&gt;&lt;D xsi:type="xsd:double"&gt;27.820814&lt;/D&gt;&lt;D xsi:type="xsd:double"&gt;13.3665085&lt;/D&gt;&lt;D xsi:type="xsd:double"&gt;11.663675&lt;/D&gt;&lt;D xsi:type="xsd:double"&gt;17.444874&lt;/D&gt;&lt;D xsi:type="xsd:double"&gt;12.901581&lt;/D&gt;&lt;D xsi:type="xsd:double"&gt;1.5697837&lt;/D&gt;&lt;D xsi:type="xsd:double"&gt;-8.529079&lt;/D&gt;&lt;D xsi:type="xsd:double"&gt;-9.57334&lt;/D&gt;&lt;D xsi:type="xsd:double"&gt;-16.731209&lt;/D&gt;&lt;D xsi:type="xsd:double"&gt;-12.165016&lt;/D&gt;&lt;D xsi:type="xsd:double"&gt;-9.281415&lt;/D&gt;&lt;D xsi:type="xsd:double"&gt;-12.82469&lt;/D&gt;&lt;D xsi:type="xsd:double"&gt;-5.0258455&lt;/D&gt;&lt;D xsi:type="xsd:double"&gt;-1.2651443&lt;/D&gt;&lt;D xsi:type="xsd:double"&gt;2.0065427&lt;/D&gt;&lt;D xsi:type="xsd:double"&gt;-3.1618893&lt;/D&gt;&lt;D xsi:type="xsd:double"&gt;-3.7555575&lt;/D&gt;&lt;D xsi:type="xsd:double"&gt;4.978776&lt;/D&gt;&lt;D xsi:type="xsd:double"&gt;8.780443&lt;/D&gt;&lt;D xsi:type="xsd:double"&gt;4.7799826&lt;/D&gt;&lt;D xsi:type="xsd:double"&gt;5.0869107&lt;/D&gt;&lt;D xsi:type="xsd:double"&gt;-8.023185&lt;/D&gt;&lt;D xsi:type="xsd:double"&gt;-41.043915&lt;/D&gt;&lt;D xsi:type="xsd:double"&gt;-26.5688&lt;/D&gt;&lt;D xsi:type="xsd:double"&gt;-18.319738&lt;/D&gt;&lt;D xsi:type="xsd:double"&gt;-14.1024885&lt;/D&gt;&lt;D xsi:type="xsd:double"&gt;-10.471755&lt;/D&gt;&lt;D xsi:type="xsd:double"&gt;-6.9955587&lt;/D&gt;&lt;D xsi:type="xsd:double"&gt;-6.6658792&lt;/D&gt;&lt;D xsi:type="xsd:double"&gt;-5.865365&lt;/D&gt;&lt;D xsi:type="xsd:double"&gt;-4.890567&lt;/D&gt;&lt;D xsi:type="xsd:double"&gt;7.1190357&lt;/D&gt;&lt;D xsi:type="xsd:double"&gt;15.874207&lt;/D&gt;&lt;D xsi:type="xsd:double"&gt;21.272064&lt;/D&gt;&lt;D xsi:type="xsd:double"&gt;78.12824&lt;/D&gt;&lt;D xsi:type="xsd:double"&gt;60.084568&lt;/D&gt;&lt;D xsi:type="xsd:double"&gt;41.457428&lt;/D&gt;&lt;D xsi:type="xsd:double"&gt;46.132553&lt;/D&gt;&lt;D xsi:type="xsd:double"&gt;34.026207&lt;/D&gt;&lt;D xsi:type="xsd:double"&gt;35.47071&lt;/D&gt;&lt;D xsi:type="xsd:double"&gt;33.350204&lt;/D&gt;&lt;D xsi:type="xsd:double"&gt;29.767263&lt;/D&gt;&lt;D xsi:type="xsd:double"&gt;35.337555&lt;/D&gt;&lt;D xsi:type="xsd:double"&gt;23.556805&lt;/D&gt;&lt;D xsi:type="xsd:double"&gt;7.2586417&lt;/D&gt;&lt;D xsi:type="xsd:double"&gt;9.280479&lt;/D&gt;&lt;D xsi:type="xsd:double"&gt;6.369138&lt;/D&gt;&lt;D xsi:type="xsd:double"&gt;-6.220394&lt;/D&gt;&lt;D xsi:type="xsd:double"&gt;-17.348402&lt;/D&gt;&lt;D xsi:type="xsd:double"&gt;-25.751888&lt;/D&gt;&lt;D xsi:type="xsd:double"&gt;-25.998867&lt;/D&gt;&lt;D xsi:type="xsd:double"&gt;-18.977959&lt;/D&gt;&lt;D xsi:type="xsd:double"&gt;-26.609861&lt;/D&gt;&lt;D xsi:type="xsd:double"&gt;-36.464024&lt;/D&gt;&lt;D xsi:type="xsd:double"&gt;-45.1465&lt;/D&gt;&lt;D xsi:type="xsd:double"&gt;-39.292072&lt;/D&gt;&lt;D xsi:type="xsd:double"&gt;-34.810078&lt;/D&gt;&lt;D xsi:type="xsd:double"&gt;-39.4823&lt;/D&gt;&lt;D xsi:type="xsd:double"&gt;-36.953632&lt;/D&gt;&lt;D xsi:type="xsd:double"&gt;-31.978167&lt;/D&gt;&lt;D xsi:type="xsd:double"&gt;-18.829668&lt;/D&gt;&lt;D xsi:type="xsd:double"&gt;-10.991794&lt;/D&gt;&lt;D xsi:type="xsd:double"&gt;-0.26324987&lt;/D&gt;&lt;D xsi:type="xsd:double"&gt;-8.483476&lt;/D&gt;&lt;D xsi:type="xsd:double"&gt;3.0261993&lt;/D&gt;&lt;D xsi:type="xsd:double"&gt;3.9487123&lt;/D&gt;&lt;D xsi:type="xsd:double"&gt;15.271211&lt;/D&gt;&lt;D xsi:type="xsd:double"&gt;5.2576065&lt;/D&gt;&lt;D xsi:type="xsd:double"&gt;7.057762&lt;/D&gt;&lt;D xsi:type="xsd:double"&gt;15.720474&lt;/D&gt;&lt;D xsi:type="xsd:double"&gt;20.943308&lt;/D&gt;&lt;D xsi:type="xsd:double"&gt;5.5269957&lt;/D&gt;&lt;/FQL&gt;&lt;FQL&gt;&lt;Q&gt;EPHE^P_PRICE_RETURNS_PR('52W',2,-10AY,0,AM)&lt;/Q&gt;&lt;R&gt;121&lt;/R&gt;&lt;C&gt;1&lt;/C&gt;&lt;D xsi:type="xsd:double"&gt;-8.175331&lt;/D&gt;&lt;D xsi:type="xsd:double"&gt;-11.345929&lt;/D&gt;&lt;D xsi:type="xsd:double"&gt;1.8287063&lt;/D&gt;&lt;D xsi:type="xsd:double"&gt;2.6435852&lt;/D&gt;&lt;D xsi:type="xsd:double"&gt;11.044359&lt;/D&gt;&lt;D xsi:type="xsd:double"&gt;7.1543455&lt;/D&gt;&lt;D xsi:type="xsd:double"&gt;5.9109926&lt;/D&gt;&lt;D xsi:type="xsd:double"&gt;14.317417&lt;/D&gt;&lt;D xsi:type="xsd:double"&gt;19.467926&lt;/D&gt;&lt;D xsi:type="xsd:double"&gt;31.425262&lt;/D&gt;&lt;D xsi:type="xsd:double"&gt;30.607128&lt;/D&gt;&lt;D xsi:type="xsd:double"&gt;20.561182&lt;/D&gt;&lt;D xsi:type="xsd:double"&gt;17.319763&lt;/D&gt;&lt;D xsi:type="xsd:double"&gt;12.214554&lt;/D&gt;&lt;D xsi:type="xsd:double"&gt;10.292935&lt;/D&gt;&lt;D xsi:type="xsd:double"&gt;6.797397&lt;/D&gt;&lt;D xsi:type="xsd:double"&gt;-4.3714404&lt;/D&gt;&lt;D xsi:type="xsd:double"&gt;-8.188504&lt;/D&gt;&lt;D xsi:type="xsd:double"&gt;-1.0024667&lt;/D&gt;&lt;D xsi:type="xsd:double"&gt;-10.923677&lt;/D&gt;&lt;D xsi:type="xsd:double"&gt;-11.44771&lt;/D&gt;&lt;D xsi:type="xsd:double"&gt;-24.627335&lt;/D&gt;&lt;D xsi:type="xsd:double"&gt;-20.214945&lt;/D&gt;&lt;D xsi:type="xsd:double"&gt;-11.011809&lt;/D&gt;&lt;D xsi:type="xsd:double"&gt;-12.262333&lt;/D&gt;&lt;D xsi:type="xsd:double"&gt;-9.127969&lt;/D&gt;&lt;D xsi:type="xsd:double"&gt;-0.24580956&lt;/D&gt;&lt;D xsi:type="xsd:double"&gt;4.419327&lt;/D&gt;&lt;D xsi:type="xsd:double"&gt;11.191738&lt;/D&gt;&lt;D xsi:type="xsd:double"&gt;4.2649508&lt;/D&gt;&lt;D xsi:type="xsd:double"&gt;1.4426231&lt;/D&gt;&lt;D xsi:type="xsd:double"&gt;-1.5453458&lt;/D&gt;&lt;D xsi:type="xsd:double"&gt;-5.554265&lt;/D&gt;&lt;D xsi:type="xsd:double"&gt;12.18108&lt;/D&gt;&lt;D xsi:type="xsd:double"&gt;1.9787788&lt;/D&gt;&lt;D xsi:type="xsd:double"&gt;-4.274994&lt;/D&gt;&lt;D xsi:type="xsd:double"&gt;-0.9022057&lt;/D&gt;&lt;D xsi:type="xsd:double"&gt;-3.7071943&lt;/D&gt;&lt;D xsi:type="xsd:double"&gt;-3.77236&lt;/D&gt;&lt;D xsi:type="xsd:double"&gt;-9.532303&lt;/D&gt;&lt;D xsi:type="xsd:double"&gt;-10.525471&lt;/D&gt;&lt;D xsi:type="xsd:double"&gt;1.5625596&lt;/D&gt;&lt;D xsi:type="xsd:double"&gt;2.6384473&lt;/D&gt;&lt;D xsi:type="xsd:double"&gt;11.713612&lt;/D&gt;&lt;D xsi:type="xsd:double"&gt;20.41117&lt;/D&gt;&lt;D xsi:type="xsd:double"&gt;16.693233&lt;/D&gt;&lt;D xsi:type="xsd:double"&gt;10.028374&lt;/D&gt;&lt;D xsi:type="xsd:double"&gt;3.2700896&lt;/D&gt;&lt;D xsi:type="xsd:double"&gt;-4.708785&lt;/D&gt;&lt;D xsi:type="xsd:double"&gt;-7.820696&lt;/D&gt;&lt;D xsi:type="xsd:double"&gt;-16.286177&lt;/D&gt;&lt;D xsi:type="xsd:double"&gt;-13.393986&lt;/D&gt;&lt;D xsi:type="xsd:double"&gt;-9.556848&lt;/D&gt;&lt;D xsi:type="xsd:double"&gt;-17.632437&lt;/D&gt;&lt;D xsi:type="xsd:double"&gt;-21.236801&lt;/D&gt;&lt;D xsi:type="xsd:double"&gt;-16.738855&lt;/D&gt;&lt;D xsi:type="xsd:double"&gt;-16.558546&lt;/D&gt;&lt;D xsi:type="xsd:double"&gt;-10.201656&lt;/D&gt;&lt;D xsi:type="xsd:double"&gt;-7.5146856&lt;/D&gt;&lt;D xsi:type="xsd:double"&gt;-3.0795574&lt;/D&gt;&lt;D xsi:type="xsd:double"&gt;2.322173&lt;/D&gt;&lt;D xsi:type="xsd:double"&gt;-1.3896942&lt;/D&gt;&lt;D xsi:type="xsd:double"&gt;14.359867&lt;/D&gt;&lt;D xsi:type="xsd:double"&gt;18.74727&lt;/D&gt;&lt;D xsi:type="xsd:double"&gt;7.3684335&lt;/D&gt;&lt;D xsi:type="xsd:double"&gt;12.141037&lt;/D&gt;&lt;D xsi:type="xsd:double"&gt;19.059086&lt;/D&gt;&lt;D xsi:type="xsd:double"&gt;14.944828&lt;/D&gt;&lt;D xsi:type="xsd:double"&gt;8.480072&lt;/D&gt;&lt;D xsi:type="xsd:double"&gt;-0.8015454&lt;/D&gt;&lt;D xsi:type="xsd:double"&gt;-5.198449&lt;/D&gt;&lt;D xsi:type="xsd:double"&gt;-43.419647&lt;/D&gt;&lt;D xsi:type="xsd:double"&gt;-28.447025&lt;/D&gt;&lt;D xsi:type="xsd:double"&gt;-24.91657&lt;/D&gt;&lt;D xsi:type="xsd:double"&gt;-20.682585&lt;/D&gt;&lt;D xsi:type="xsd:double"&gt;-25.32677&lt;/D&gt;&lt;D xsi:type="xsd:double"&gt;-16.523123&lt;/D&gt;&lt;D xsi:type="xsd:double"&gt;-20.88018&lt;/D&gt;&lt;D xsi:type="xsd:double"&gt;-22.658098&lt;/D&gt;&lt;D xsi:type="xsd:double"&gt;-8.067041&lt;/D&gt;&lt;D xsi:type="xsd:double"&gt;-2.3444593&lt;/D&gt;&lt;D xsi:type="xsd:double"&gt;-1.218617&lt;/D&gt;&lt;D xsi:type="xsd:double"&gt;-3.7260592&lt;/D&gt;&lt;D xsi:type="xsd:double"&gt;54.640293&lt;/D&gt;&lt;D xsi:type="xsd:double"&gt;24.5425&lt;/D&gt;&lt;D xsi:type="xsd:double"&gt;20.364904&lt;/D&gt;&lt;D xsi:type="xsd:double"&gt;13.081348&lt;/D&gt;&lt;D xsi:type="xsd:double"&gt;7.6364994&lt;/D&gt;&lt;D xsi:type="xsd:double"&gt;4.573691&lt;/D&gt;&lt;D xsi:type="xsd:double"&gt;14.942169&lt;/D&gt;&lt;D xsi:type="xsd:double"&gt;22.673119&lt;/D&gt;&lt;D xsi:type="xsd:double"&gt;3.4692526&lt;/D&gt;&lt;D xsi:type="xsd:double"&gt;-0.14543533&lt;/D&gt;&lt;D xsi:type="xsd:double"&gt;-3.4844518&lt;/D&gt;&lt;D xsi:type="xsd:double"&gt;7.431674&lt;/D&gt;&lt;D xsi:type="xsd:double"&gt;3.2805443&lt;/D&gt;&lt;D xsi:type="xsd:double"&gt;2.6515126&lt;/D&gt;&lt;D xsi:type="xsd:double"&gt;-0.2093792&lt;/D&gt;&lt;D xsi:type="xsd:double"&gt;-14.616156&lt;/D&gt;&lt;D xsi:type="xsd:double"&gt;-13.396275&lt;/D&gt;&lt;D xsi:type="xsd:double"&gt;-2.5474608&lt;/D&gt;&lt;D xsi:type="xsd:double"&gt;-15.176779&lt;/D&gt;&lt;D xsi:type="xsd:double"&gt;-26.490974&lt;/D&gt;&lt;D xsi:type="xsd:double"&gt;-20.895714&lt;/D&gt;&lt;D xsi:type="xsd:double"&gt;-19.209105&lt;/D&gt;&lt;D xsi:type="xsd:double"&gt;-6.5804005&lt;/D&gt;&lt;D xsi:type="xsd:double"&gt;-13.951672&lt;/D&gt;&lt;D xsi:type="xsd:double"&gt;-13.218993&lt;/D&gt;&lt;D xsi:type="xsd:double"&gt;-12.892187&lt;/D&gt;&lt;D xsi:type="xsd:double"&gt;-4.5532703&lt;/D&gt;&lt;D xsi:type="xsd:double"&gt;-1.0934174&lt;/D&gt;&lt;D xsi:type="xsd:double"&gt;9.695137&lt;/D&gt;&lt;D xsi:type="xsd:double"&gt;-8.491987&lt;/D&gt;&lt;D xsi:type="xsd:double"&gt;-4.383075&lt;/D&gt;&lt;D xsi:type="xsd:double"&gt;6.5877438&lt;/D&gt;&lt;D xsi:type="xsd:double"&gt;0.79057217&lt;/D&gt;&lt;D xsi:type="xsd:double"&gt;2.1140933&lt;/D&gt;&lt;D xsi:type="xsd:double"&gt;-8.075762&lt;/D&gt;&lt;D xsi:type="xsd:double"&gt;0.9768367&lt;/D&gt;&lt;D xsi:type="xsd:double"&gt;7.659173&lt;/D&gt;&lt;D xsi:type="xsd:double"&gt;-0.9238422&lt;/D&gt;&lt;/FQL&gt;&lt;FQL&gt;&lt;Q&gt;EWY^FG_TOTAL_RETURNC(-10AY,0,AM)&lt;/Q&gt;&lt;R&gt;121&lt;/R&gt;&lt;C&gt;1&lt;/C&gt;&lt;D xsi:type="xsd:double"&gt;6.327212&lt;/D&gt;&lt;D xsi:type="xsd:double"&gt;2.0882368&lt;/D&gt;&lt;D xsi:type="xsd:double"&gt;-0.4306376&lt;/D&gt;&lt;D xsi:type="xsd:double"&gt;0.015449524&lt;/D&gt;&lt;D xsi:type="xsd:double"&gt;2.5482655&lt;/D&gt;&lt;D xsi:type="xsd:double"&gt;-4.2921724&lt;/D&gt;&lt;D xsi:type="xsd:double"&gt;-10.621559&lt;/D&gt;&lt;D xsi:type="xsd:double"&gt;0.31690598&lt;/D&gt;&lt;D xsi:type="xsd:double"&gt;-2.1028519&lt;/D&gt;&lt;D xsi:type="xsd:double"&gt;2.0137906&lt;/D&gt;&lt;D xsi:type="xsd:double"&gt;-0.44460297&lt;/D&gt;&lt;D xsi:type="xsd:double"&gt;3.5369754&lt;/D&gt;&lt;D xsi:type="xsd:double"&gt;5.2795053&lt;/D&gt;&lt;D xsi:type="xsd:double"&gt;-2.6057005&lt;/D&gt;&lt;D xsi:type="xsd:double"&gt;-6.1080275&lt;/D&gt;&lt;D xsi:type="xsd:double"&gt;-5.107522&lt;/D&gt;&lt;D xsi:type="xsd:double"&gt;-9.027391&lt;/D&gt;&lt;D xsi:type="xsd:double"&gt;3.7782907&lt;/D&gt;&lt;D xsi:type="xsd:double"&gt;8.641731&lt;/D&gt;&lt;D xsi:type="xsd:double"&gt;-4.1981277&lt;/D&gt;&lt;D xsi:type="xsd:double"&gt;-1.8066466&lt;/D&gt;&lt;D xsi:type="xsd:double"&gt;-8.848679&lt;/D&gt;&lt;D xsi:type="xsd:double"&gt;3.033626&lt;/D&gt;&lt;D xsi:type="xsd:double"&gt;11.243868&lt;/D&gt;&lt;D xsi:type="xsd:double"&gt;2.052164&lt;/D&gt;&lt;D xsi:type="xsd:double"&gt;-8.212739&lt;/D&gt;&lt;D xsi:type="xsd:double"&gt;3.5217047&lt;/D&gt;&lt;D xsi:type="xsd:double"&gt;7.911396&lt;/D&gt;&lt;D xsi:type="xsd:double"&gt;5.6634903&lt;/D&gt;&lt;D xsi:type="xsd:double"&gt;-4.2497873&lt;/D&gt;&lt;D xsi:type="xsd:double"&gt;2.5362253&lt;/D&gt;&lt;D xsi:type="xsd:double"&gt;-8.215547&lt;/D&gt;&lt;D xsi:type="xsd:double"&gt;4.388833&lt;/D&gt;&lt;D xsi:type="xsd:double"&gt;4.998338&lt;/D&gt;&lt;D xsi:type="xsd:double"&gt;3.0394673&lt;/D&gt;&lt;D xsi:type="xsd:double"&gt;5.7271004&lt;/D&gt;&lt;D xsi:type="xsd:double"&gt;-2.8226435&lt;/D&gt;&lt;</t>
        </r>
      </text>
    </comment>
    <comment ref="A5" authorId="0" shapeId="0" xr:uid="{6F7654A7-C8B7-4427-B691-2B6414B6E91D}">
      <text>
        <r>
          <rPr>
            <b/>
            <sz val="9"/>
            <color indexed="81"/>
            <rFont val="Tahoma"/>
            <charset val="1"/>
          </rPr>
          <t>D xsi:type="xsd:double"&gt;9.922767&lt;/D&gt;&lt;D xsi:type="xsd:double"&gt;2.7493477&lt;/D&gt;&lt;D xsi:type="xsd:double"&gt;4.742086&lt;/D&gt;&lt;D xsi:type="xsd:double"&gt;-4.2719307&lt;/D&gt;&lt;D xsi:type="xsd:double"&gt;3.543365&lt;/D&gt;&lt;D xsi:type="xsd:double"&gt;3.837347&lt;/D&gt;&lt;D xsi:type="xsd:double"&gt;5.1020503&lt;/D&gt;&lt;D xsi:type="xsd:double"&gt;-0.95775723&lt;/D&gt;&lt;D xsi:type="xsd:double"&gt;5.442941&lt;/D&gt;&lt;D xsi:type="xsd:double"&gt;-2.00544&lt;/D&gt;&lt;D xsi:type="xsd:double"&gt;0.7129669&lt;/D&gt;&lt;D xsi:type="xsd:double"&gt;-0.58992505&lt;/D&gt;&lt;D xsi:type="xsd:double"&gt;-3.745222&lt;/D&gt;&lt;D xsi:type="xsd:double"&gt;-4.9595776&lt;/D&gt;&lt;D xsi:type="xsd:double"&gt;-4.584116&lt;/D&gt;&lt;D xsi:type="xsd:double"&gt;-2.356857&lt;/D&gt;&lt;D xsi:type="xsd:double"&gt;2.9862285&lt;/D&gt;&lt;D xsi:type="xsd:double"&gt;-8.954329&lt;/D&gt;&lt;D xsi:type="xsd:double"&gt;0.3960371&lt;/D&gt;&lt;D xsi:type="xsd:double"&gt;-2.6957393&lt;/D&gt;&lt;D xsi:type="xsd:double"&gt;5.204594&lt;/D&gt;&lt;D xsi:type="xsd:double"&gt;3.1895876&lt;/D&gt;&lt;D xsi:type="xsd:double"&gt;-1.9239902&lt;/D&gt;&lt;D xsi:type="xsd:double"&gt;1.7687798&lt;/D&gt;&lt;D xsi:type="xsd:double"&gt;-12.671828&lt;/D&gt;&lt;D xsi:type="xsd:double"&gt;5.464089&lt;/D&gt;&lt;D xsi:type="xsd:double"&gt;-1.0121822&lt;/D&gt;&lt;D xsi:type="xsd:double"&gt;-9.532064&lt;/D&gt;&lt;D xsi:type="xsd:double"&gt;9.099615&lt;/D&gt;&lt;D xsi:type="xsd:double"&gt;1.123786&lt;/D&gt;&lt;D xsi:type="xsd:double"&gt;6.146908&lt;/D&gt;&lt;D xsi:type="xsd:double"&gt;2.5525808&lt;/D&gt;&lt;D xsi:type="xsd:double"&gt;4.3676615&lt;/D&gt;&lt;D xsi:type="xsd:double"&gt;-4.6221075&lt;/D&gt;&lt;D xsi:type="xsd:double"&gt;-33.4152&lt;/D&gt;&lt;D xsi:type="xsd:double"&gt;24.834038&lt;/D&gt;&lt;D xsi:type="xsd:double"&gt;2.2454143&lt;/D&gt;&lt;D xsi:type="xsd:double"&gt;10.267771&lt;/D&gt;&lt;D xsi:type="xsd:double"&gt;3.8434625&lt;/D&gt;&lt;D xsi:type="xsd:double"&gt;8.546436&lt;/D&gt;&lt;D xsi:type="xsd:double"&gt;2.3558617&lt;/D&gt;&lt;D xsi:type="xsd:double"&gt;0.7722616&lt;/D&gt;&lt;D xsi:type="xsd:double"&gt;12.456787&lt;/D&gt;&lt;D xsi:type="xsd:double"&gt;9.365665&lt;/D&gt;&lt;D xsi:type="xsd:double"&gt;13.555777&lt;/D&gt;&lt;D xsi:type="xsd:double"&gt;-0.6722331&lt;/D&gt;&lt;D xsi:type="xsd:double"&gt;-4.3445053&lt;/D&gt;&lt;D xsi:type="xsd:double"&gt;6.6301584&lt;/D&gt;&lt;D xsi:type="xsd:double"&gt;-3.2855332&lt;/D&gt;&lt;D xsi:type="xsd:double"&gt;0.807786&lt;/D&gt;&lt;D xsi:type="xsd:double"&gt;-0.42809844&lt;/D&gt;&lt;D xsi:type="xsd:double"&gt;-6.9782853&lt;/D&gt;&lt;D xsi:type="xsd:double"&gt;-1.540643&lt;/D&gt;&lt;D xsi:type="xsd:double"&gt;-4.1405916&lt;/D&gt;&lt;D xsi:type="xsd:double"&gt;-1.7704606&lt;/D&gt;&lt;D xsi:type="xsd:double"&gt;2.595079&lt;/D&gt;&lt;D xsi:type="xsd:double"&gt;-4.556447&lt;/D&gt;&lt;D xsi:type="xsd:double"&gt;-2.6803493&lt;/D&gt;&lt;D xsi:type="xsd:double"&gt;-2.0279586&lt;/D&gt;&lt;D xsi:type="xsd:double"&gt;-3.9440572&lt;/D&gt;&lt;D xsi:type="xsd:double"&gt;-6.479323&lt;/D&gt;&lt;D xsi:type="xsd:double"&gt;-7.052785&lt;/D&gt;&lt;D xsi:type="xsd:double"&gt;-4.0536046&lt;/D&gt;&lt;D xsi:type="xsd:double"&gt;4.8184395&lt;/D&gt;&lt;D xsi:type="xsd:double"&gt;-9.393734&lt;/D&gt;&lt;D xsi:type="xsd:double"&gt;-7.7205896&lt;/D&gt;&lt;D xsi:type="xsd:double"&gt;15.637445&lt;/D&gt;&lt;D xsi:type="xsd:double"&gt;-1.8360257&lt;/D&gt;&lt;D xsi:type="xsd:double"&gt;8.897173&lt;/D&gt;&lt;D xsi:type="xsd:double"&gt;-0.7012427&lt;/D&gt;&lt;D xsi:type="xsd:double"&gt;-4.204297&lt;/D&gt;&lt;D xsi:type="xsd:double"&gt;7.9547405&lt;/D&gt;&lt;D xsi:type="xsd:double"&gt;-2.8108656&lt;/D&gt;&lt;D xsi:type="xsd:double"&gt;8.627451&lt;/D&gt;&lt;D xsi:type="xsd:double"&gt;1.2936115&lt;/D&gt;&lt;D xsi:type="xsd:double"&gt;-9.904957&lt;/D&gt;&lt;D xsi:type="xsd:double"&gt;4.252517&lt;/D&gt;&lt;D xsi:type="xsd:double"&gt;-7.5573087&lt;/D&gt;&lt;D xsi:type="xsd:double"&gt;6.464851&lt;/D&gt;&lt;D xsi:type="xsd:double"&gt;3.1164646&lt;/D&gt;&lt;D xsi:type="xsd:double"&gt;-6.4325333&lt;/D&gt;&lt;D xsi:type="xsd:double"&gt;9.670258&lt;/D&gt;&lt;D xsi:type="xsd:double"&gt;2.4458647&lt;/D&gt;&lt;D xsi:type="xsd:double"&gt;-6.021905&lt;/D&gt;&lt;/FQL&gt;&lt;FQL&gt;&lt;Q&gt;QAT^FMA_DIV_YLD(NTMA,-10AY,0,AM,"PORTAGG","MEANR")&lt;/Q&gt;&lt;R&gt;121&lt;/R&gt;&lt;C&gt;1&lt;/C&gt;&lt;D xsi:type="xsd:string"&gt;@NA&lt;/D&gt;&lt;D xsi:type="xsd:string"&gt;@NA&lt;/D&gt;&lt;D xsi:type="xsd:double"&gt;4.06968524604346&lt;/D&gt;&lt;D xsi:type="xsd:double"&gt;3.94192610040388&lt;/D&gt;&lt;D xsi:type="xsd:double"&gt;3.93613643217993&lt;/D&gt;&lt;D xsi:type="xsd:double"&gt;3.86898543263165&lt;/D&gt;&lt;D xsi:type="xsd:double"&gt;4.25418508877838&lt;/D&gt;&lt;D xsi:type="xsd:double"&gt;4.01077343743427&lt;/D&gt;&lt;D xsi:type="xsd:double"&gt;4.85849873567116&lt;/D&gt;&lt;D xsi:type="xsd:double"&gt;4.70438429196102&lt;/D&gt;&lt;D xsi:type="xsd:double"&gt;4.1008784698484&lt;/D&gt;&lt;D xsi:type="xsd:double"&gt;4.53340053568074&lt;/D&gt;&lt;D xsi:type="xsd:double"&gt;4.53462125896666&lt;/D&gt;&lt;D xsi:type="xsd:double"&gt;4.4754696910624&lt;/D&gt;&lt;D xsi:type="xsd:double"&gt;4.67290203017395&lt;/D&gt;&lt;D xsi:type="xsd:double"&gt;4.6352944494029&lt;/D&gt;&lt;D xsi:type="xsd:double"&gt;4.86112993461621&lt;/D&gt;&lt;D xsi:type="xsd:double"&gt;4.96159219109809&lt;/D&gt;&lt;D xsi:type="xsd:double"&gt;4.82629569533722&lt;/D&gt;&lt;D xsi:type="xsd:double"&gt;5.22344249173331&lt;/D&gt;&lt;D xsi:type="xsd:double"&gt;5.68898531930651&lt;/D&gt;&lt;D xsi:type="xsd:double"&gt;6.08824992391575&lt;/D&gt;&lt;D xsi:type="xsd:double"&gt;5.23336952535561&lt;/D&gt;&lt;D xsi:type="xsd:double"&gt;4.19151459338304&lt;/D&gt;&lt;D xsi:type="xsd:double"&gt;4.23889333435495&lt;/D&gt;&lt;D xsi:type="xsd:double"&gt;4.26901358149406&lt;/D&gt;&lt;D xsi:type="xsd:double"&gt;4.27164876486514&lt;/D&gt;&lt;D xsi:type="xsd:double"&gt;4.00392375905316&lt;/D&gt;&lt;D xsi:type="xsd:double"&gt;3.63019925312924&lt;/D&gt;&lt;D xsi:type="xsd:double"&gt;3.91731088256744&lt;/D&gt;&lt;D xsi:type="xsd:double"&gt;3.90982840255853&lt;/D&gt;&lt;D xsi:type="xsd:double"&gt;4.19746647139295&lt;/D&gt;&lt;D xsi:type="xsd:double"&gt;3.96090281408718&lt;/D&gt;&lt;D xsi:type="xsd:double"&gt;3.58869779356044&lt;/D&gt;&lt;D xsi:type="xsd:double"&gt;3.72473641547624&lt;/D&gt;&lt;D xsi:type="xsd:double"&gt;3.85666512334892&lt;/D&gt;&lt;D xsi:type="xsd:double"&gt;3.83679611096087&lt;/D&gt;&lt;D xsi:type="xsd:double"&gt;3.8965623305929&lt;/D&gt;&lt;D xsi:type="xsd:double"&gt;4.32578754475882&lt;/D&gt;&lt;D xsi:type="xsd:double"&gt;4.2037679847336&lt;/D&gt;&lt;D xsi:type="xsd:double"&gt;4.25629788503364&lt;/D&gt;&lt;D xsi:type="xsd:double"&gt;4.89555277105828&lt;/D&gt;&lt;D xsi:type="xsd:double"&gt;4.55104045925938&lt;/D&gt;&lt;D xsi:type="xsd:double"&gt;4.65580235692523&lt;/D&gt;&lt;D xsi:type="xsd:double"&gt;4.46399610244983&lt;/D&gt;&lt;D xsi:type="xsd:double"&gt;4.04873746456657&lt;/D&gt;&lt;D xsi:type="xsd:double"&gt;4.55566108992938&lt;/D&gt;&lt;D xsi:type="xsd:double"&gt;4.84426773358456&lt;/D&gt;&lt;D xsi:type="xsd:double"&gt;4.73638971744648&lt;/D&gt;&lt;D xsi:type="xsd:double"&gt;4.85181258210376&lt;/D&gt;&lt;D xsi:type="xsd:double"&gt;4.82087982861078&lt;/D&gt;&lt;D xsi:type="xsd:double"&gt;4.65733117994483&lt;/D&gt;&lt;D xsi:type="xsd:double"&gt;4.57836209980034&lt;/D&gt;&lt;D xsi:type="xsd:double"&gt;4.35525178075794&lt;/D&gt;&lt;D xsi:type="xsd:double"&gt;4.27827396919319&lt;/D&gt;&lt;D xsi:type="xsd:double"&gt;4.34960863092659&lt;/D&gt;&lt;D xsi:type="xsd:double"&gt;4.49140913831796&lt;/D&gt;&lt;D xsi:type="xsd:double"&gt;4.36074409124219&lt;/D&gt;&lt;D xsi:type="xsd:double"&gt;4.67398507871439&lt;/D&gt;&lt;D xsi:type="xsd:double"&gt;4.62816490855546&lt;/D&gt;&lt;D xsi:type="xsd:double"&gt;4.3048182946762&lt;/D&gt;&lt;D xsi:type="xsd:double"&gt;4.47254344877878&lt;/D&gt;&lt;D xsi:type="xsd:double"&gt;4.14945149745969&lt;/D&gt;&lt;D xsi:type="xsd:double"&gt;4.15630724712884&lt;/D&gt;&lt;D xsi:type="xsd:double"&gt;4.50884814547615&lt;/D&gt;&lt;D xsi:type="xsd:double"&gt;4.11742681170226&lt;/D&gt;&lt;D xsi:type="xsd:double"&gt;4.09641318479571&lt;/D&gt;&lt;D xsi:type="xsd:double"&gt;4.11790091179803&lt;/D&gt;&lt;D xsi:type="xsd:double"&gt;4.06356256875332&lt;/D&gt;&lt;D xsi:type="xsd:double"&gt;3.8897041573634&lt;/D&gt;&lt;D xsi:type="xsd:double"&gt;4.36268273408067&lt;/D&gt;&lt;D xsi:type="xsd:double"&gt;4.63563206984175&lt;/D&gt;&lt;D xsi:type="xsd:double"&gt;4.46307294559949&lt;/D&gt;&lt;D xsi:type="xsd:double"&gt;4.22425109598139&lt;/D&gt;&lt;D xsi:type="xsd:double"&gt;3.89053937934243&lt;/D&gt;&lt;D xsi:type="xsd:double"&gt;3.79264676503694&lt;/D&gt;&lt;D xsi:type="xsd:double"&gt;3.5891320575379&lt;/D&gt;&lt;D xsi:type="xsd:double"&gt;3.49044157606435&lt;/D&gt;&lt;D xsi:type="xsd:double"&gt;3.51071893367124&lt;/D&gt;&lt;D xsi:type="xsd:double"&gt;3.64711483489431&lt;/D&gt;&lt;D xsi:type="xsd:double"&gt;3.7083386603628&lt;/D&gt;&lt;D xsi:type="xsd:double"&gt;3.73605704361118&lt;/D&gt;&lt;D xsi:type="xsd:double"&gt;3.83289827933846&lt;/D&gt;&lt;D xsi:type="xsd:double"&gt;3.88136887052177&lt;/D&gt;&lt;D xsi:type="xsd:double"&gt;3.68625037812171&lt;/D&gt;&lt;D xsi:type="xsd:double"&gt;3.79767088675642&lt;/D&gt;&lt;D xsi:type="xsd:double"&gt;3.83751110560509&lt;/D&gt;&lt;D xsi:type="xsd:double"&gt;3.90248707323582&lt;/D&gt;&lt;D xsi:type="xsd:double"&gt;3.87515860304974&lt;/D&gt;&lt;D xsi:type="xsd:double"&gt;4.09515172575273&lt;/D&gt;&lt;D xsi:type="xsd:double"&gt;3.83882657766735&lt;/D&gt;&lt;D xsi:type="xsd:double"&gt;3.83090748119158&lt;/D&gt;&lt;D xsi:type="xsd:double"&gt;3.99637489761264&lt;/D&gt;&lt;D xsi:type="xsd:double"&gt;3.85921427236556&lt;/D&gt;&lt;D xsi:type="xsd:double"&gt;3.97369479813035&lt;/D&gt;&lt;D xsi:type="xsd:double"&gt;3.71905937512898&lt;/D&gt;&lt;D xsi:type="xsd:double"&gt;3.70638458872192&lt;/D&gt;&lt;D xsi:type="xsd:double"&gt;4.04035203951201&lt;/D&gt;&lt;D xsi:type="xsd:double"&gt;4.43126991224355&lt;/D&gt;&lt;D xsi:type="xsd:double"&gt;4.30548036676518&lt;/D&gt;&lt;D xsi:type="xsd:double"&gt;3.65573569651007&lt;/D&gt;&lt;D xsi:type="xsd:double"&gt;3.84449856017661&lt;/D&gt;&lt;D xsi:type="xsd:double"&gt;3.99708076270131&lt;/D&gt;&lt;D xsi:type="xsd:double"&gt;4.1651048316706&lt;/D&gt;&lt;D xsi:type="xsd:double"&gt;4.69032573954362&lt;/D&gt;&lt;D xsi:type="xsd:double"&gt;4.77577674764391&lt;/D&gt;&lt;D xsi:type="xsd:double"&gt;4.69929151085292&lt;/D&gt;&lt;D xsi:type="xsd:double"&gt;5.04109386107177&lt;/D&gt;&lt;D xsi:type="xsd:double"&gt;5.05442388752772&lt;/D&gt;&lt;D xsi:type="xsd:double"&gt;4.61178223613813&lt;/D&gt;&lt;D xsi:type="xsd:double"&gt;4.66085418732496&lt;/D&gt;&lt;D xsi:type="xsd:double"&gt;4.71133536909956&lt;/D&gt;&lt;D xsi:type="xsd:double"&gt;4.52561702338423&lt;/D&gt;&lt;D xsi:type="xsd:double"&gt;4.72391100871627&lt;/D&gt;&lt;D xsi:type="xsd:double"&gt;4.84598494052561&lt;/D&gt;&lt;D xsi:type="xsd:double"&gt;4.82458300564202&lt;/D&gt;&lt;D xsi:type="xsd:double"&gt;5.01986375906956&lt;/D&gt;&lt;D xsi:type="xsd:double"&gt;4.79078874601661&lt;/D&gt;&lt;D xsi:type="xsd:double"&gt;4.81861668669296&lt;/D&gt;&lt;D xsi:type="xsd:double"&gt;4.82577955740762&lt;/D&gt;&lt;D xsi:type="xsd:double"&gt;5.6519181873475&lt;/D&gt;&lt;/FQL&gt;&lt;FQL&gt;&lt;Q&gt;ECH^JULIAN(FMA_DIV_YLD(NTMA,-10AY,0,AM,"PORTAGG","MEANR").DATES)&lt;/Q&gt;&lt;R&gt;121&lt;/R&gt;&lt;C&gt;1&lt;/C&gt;&lt;D xsi:type="xsd:long"&gt;41746&lt;/D&gt;&lt;D xsi:type="xsd:long"&gt;41775&lt;/D&gt;&lt;D xsi:type="xsd:long"&gt;41808&lt;/D&gt;&lt;D xsi:type="xsd:long"&gt;41838&lt;/D&gt;&lt;D xsi:type="xsd:long"&gt;41869&lt;/D&gt;&lt;D xsi:type="xsd:long"&gt;41900&lt;/D&gt;&lt;D xsi:type="xsd:long"&gt;41929&lt;/D&gt;&lt;D xsi:type="xsd:long"&gt;41961&lt;/D&gt;&lt;D xsi:type="xsd:long"&gt;41991&lt;/D&gt;&lt;D xsi:type="xsd:long"&gt;42020&lt;/D&gt;&lt;D xsi:type="xsd:long"&gt;42053&lt;/D&gt;&lt;D xsi:type="xsd:long"&gt;42081&lt;/D&gt;&lt;D xsi:type="xsd:long"&gt;42111&lt;/D&gt;&lt;D xsi:type="xsd:long"&gt;42142&lt;/D&gt;&lt;D xsi:type="xsd:long"&gt;42173&lt;/D&gt;&lt;D xsi:type="xsd:long"&gt;42202&lt;/D&gt;&lt;D xsi:type="xsd:long"&gt;42234&lt;/D&gt;&lt;D xsi:type="xsd:long"&gt;42265&lt;/D&gt;&lt;D xsi:type="xsd:long"&gt;42293&lt;/D&gt;&lt;D xsi:type="xsd:long"&gt;42326&lt;/D&gt;&lt;D xsi:type="xsd:long"&gt;42356&lt;/D&gt;&lt;D xsi:type="xsd:long"&gt;42384&lt;/D&gt;&lt;D xsi:type="xsd:long"&gt;42418&lt;/D&gt;&lt;D xsi:type="xsd:long"&gt;42447&lt;/D&gt;&lt;D xsi:type="xsd:long"&gt;42478&lt;/D&gt;&lt;D xsi:type="xsd:long"&gt;42508&lt;/D&gt;&lt;D xsi:type="xsd:long"&gt;42538&lt;/D&gt;&lt;D xsi:type="xsd:long"&gt;42569&lt;/D&gt;&lt;D xsi:type="xsd:long"&gt;42600&lt;/D&gt;&lt;D xsi:type="xsd:long"&gt;42629&lt;/D&gt;&lt;D xsi:type="xsd:long"&gt;42661&lt;/D&gt;&lt;D xsi:type="xsd:long"&gt;42692&lt;/D&gt;&lt;D xsi:type="xsd:long"&gt;42720&lt;/D&gt;&lt;D xsi:type="xsd:long"&gt;42753&lt;/D&gt;&lt;D xsi:type="xsd:long"&gt;42783&lt;/D&gt;&lt;D xsi:type="xsd:long"&gt;42811&lt;/D&gt;&lt;D xsi:type="xsd:long"&gt;42843&lt;/D&gt;&lt;D xsi:type="xsd:long"&gt;42873&lt;/D&gt;&lt;D xsi:type="xsd:long"&gt;42902&lt;/D&gt;&lt;D xsi:type="xsd:long"&gt;42934&lt;/D&gt;&lt;D xsi:type="xsd:long"&gt;42965&lt;/D&gt;&lt;D xsi:type="xsd:long"&gt;42996&lt;/D&gt;&lt;D xsi:type="xsd:long"&gt;43026&lt;/D&gt;&lt;D xsi:type="xsd:long"&gt;43056&lt;/D&gt;&lt;D xsi:type="xsd:long"&gt;43087&lt;/D&gt;&lt;D xsi:type="xsd:long"&gt;43118&lt;/D&gt;&lt;D xsi:type="xsd:long"&gt;43147&lt;/D&gt;&lt;D xsi:type="xsd:long"&gt;43175&lt;/D&gt;&lt;D xsi:type="xsd:long"&gt;43208&lt;/D&gt;&lt;D xsi:type="xsd:long"&gt;43238&lt;/D&gt;&lt;D xsi:type="xsd:long"&gt;43269&lt;/D&gt;&lt;D xsi:type="xsd:long"&gt;43299&lt;/D&gt;&lt;D xsi:type="xsd:long"&gt;43329&lt;/D&gt;&lt;D xsi:type="xsd:long"&gt;43361&lt;/D&gt;&lt;D xsi:type="xsd:long"&gt;43391&lt;/D&gt;&lt;D xsi:type="xsd:long"&gt;43420&lt;/D&gt;&lt;D xsi:type="xsd:long"&gt;43452&lt;/D&gt;&lt;D xsi:type="xsd:long"&gt;43483&lt;/D&gt;&lt;D xsi:type="xsd:long"&gt;43511&lt;/D&gt;&lt;D xsi:type="xsd:long"&gt;43542&lt;/D&gt;&lt;D xsi:type="xsd:long"&gt;43573&lt;/D&gt;&lt;D xsi:type="xsd:long"&gt;43602&lt;/D&gt;&lt;D xsi:type="xsd:long"&gt;43634&lt;/D&gt;&lt;D xsi:type="xsd:long"&gt;43664&lt;/D&gt;&lt;D xsi:type="xsd:long"&gt;43693&lt;/D&gt;&lt;D xsi:type="xsd:long"&gt;43726&lt;/D&gt;&lt;D xsi:type="xsd:long"&gt;43756&lt;/D&gt;&lt;D xsi:type="xsd:long"&gt;43787&lt;/D&gt;&lt;D xsi:type="xsd:long"&gt;43817&lt;/D&gt;&lt;D xsi:type="xsd:long"&gt;43847&lt;/D&gt;&lt;D xsi:type="xsd:long"&gt;43879&lt;/D&gt;&lt;D xsi:type="xsd:long"&gt;43908&lt;/D&gt;&lt;D xsi:type="xsd:long"&gt;43938&lt;/D&gt;&lt;D xsi:type="xsd:long"&gt;43969&lt;/D&gt;&lt;D xsi:type="xsd:long"&gt;44000&lt;/D&gt;&lt;D xsi:type="xsd:long"&gt;44029&lt;/D&gt;&lt;D xsi:type="xsd:long"&gt;44061&lt;/D&gt;&lt;D xsi:type="xsd:long"&gt;44092&lt;/D&gt;&lt;D xsi:type="xsd:long"&gt;44120&lt;/D&gt;&lt;D xsi:type="xsd:long"&gt;44153&lt;/D&gt;&lt;D xsi:type="xsd:long"&gt;44183&lt;/D&gt;&lt;D xsi:type="xsd:long"&gt;44211&lt;/D&gt;&lt;D xsi:type="xsd:long"&gt;44245&lt;/D&gt;&lt;D xsi:type="xsd:long"&gt;44273&lt;/D&gt;&lt;D xsi:type="xsd:long"&gt;44302&lt;/D&gt;&lt;D xsi:type="xsd:long"&gt;44334&lt;/D&gt;&lt;D xsi:type="xsd:long"&gt;44365&lt;/D&gt;&lt;D xsi:type="xsd:long"&gt;44393&lt;/D&gt;&lt;D xsi:type="xsd:long"&gt;44426&lt;/D&gt;&lt;D xsi:type="xsd:long"&gt;44456&lt;/D&gt;&lt;D xsi:type="xsd:long"&gt;44487&lt;/D&gt;&lt;D xsi:type="xsd:long"&gt;44518&lt;/D&gt;&lt;D xsi:type="xsd:long"&gt;44547&lt;/D&gt;&lt;D xsi:type="xsd:long"&gt;44579&lt;/D&gt;&lt;D xsi:type="xsd:long"&gt;44610&lt;/D&gt;&lt;D xsi:type="xsd:long"&gt;44638&lt;/D&gt;&lt;D xsi:type="xsd:long"&gt;44669&lt;/D&gt;&lt;D xsi:type="xsd:long"&gt;44699&lt;/D&gt;&lt;D xsi:type="xsd:long"&gt;44729&lt;/D&gt;&lt;D xsi:type="xsd:long"&gt;44760&lt;/D&gt;&lt;D xsi:type="xsd:long"&gt;44791&lt;/D&gt;&lt;D xsi:type="xsd:long"&gt;44820&lt;/D&gt;&lt;D xsi:type="xsd:long"&gt;44852&lt;/D&gt;&lt;D xsi:type="xsd:long"&gt;44883&lt;/D&gt;&lt;D xsi:type="xsd:long"&gt;44911&lt;/D&gt;&lt;D xsi:type="xsd:long"&gt;44944&lt;/D&gt;&lt;D xsi:type="xsd:long"&gt;44974&lt;/D&gt;&lt;D xsi:type="xsd:long"&gt;45002&lt;/D&gt;&lt;D xsi:type="xsd:long"&gt;45034&lt;/D&gt;&lt;D xsi:type="xsd:long"&gt;45064&lt;/D&gt;&lt;D xsi:type="xsd:long"&gt;45093&lt;/D&gt;&lt;D xsi:type="xsd:long"&gt;45125&lt;/D&gt;&lt;D xsi:type="xsd:long"&gt;45156&lt;/D&gt;&lt;D xsi:type="xsd:long"&gt;45187&lt;/D&gt;&lt;D xsi:type="xsd:long"&gt;45217&lt;/D&gt;&lt;D xsi:type="xsd:long"&gt;45247&lt;/D&gt;&lt;D xsi:type="xsd:long"&gt;45278&lt;/D&gt;&lt;D xsi:type="xsd:long"&gt;45309&lt;/D&gt;&lt;D xsi:type="xsd:long"&gt;45338&lt;/D&gt;&lt;D xsi:type="xsd:long"&gt;45369&lt;/D&gt;&lt;D xsi:type="xsd:long"&gt;45398&lt;/D&gt;&lt;/FQL&gt;&lt;FQL&gt;&lt;Q&gt;EPU^FMA_PE(NTMA,-10AY,0,AM,"PORTAGG","MEANR")&lt;/Q&gt;&lt;R&gt;121&lt;/R&gt;&lt;C&gt;1&lt;/C&gt;&lt;D xsi:type="xsd:double"&gt;11.6268341699734&lt;/D&gt;&lt;D xsi:type="xsd:double"&gt;12.2480241629908&lt;/D&gt;&lt;D xsi:type="xsd:double"&gt;13.6590761571553&lt;/D&gt;&lt;D xsi:type="xsd:double"&gt;14.5239967357745&lt;/D&gt;&lt;D xsi:type="xsd:double"&gt;13.7487178467175&lt;/D&gt;&lt;D xsi:type="xsd:double"&gt;13.4341635078552&lt;/D&gt;&lt;D xsi:type="xsd:double"&gt;12.1575138530307&lt;/D&gt;&lt;D xsi:type="xsd:double"&gt;12.1049926786114&lt;/D&gt;&lt;D xsi:type="xsd:double"&gt;12.2607336616735&lt;/D&gt;&lt;D xsi:type="xsd:double"&gt;12.5582121459658&lt;/D&gt;&lt;D xsi:type="xsd:double"&gt;13.4158930868988&lt;/D&gt;&lt;D xsi:type="xsd:double"&gt;12.5497183192429&lt;/D&gt;&lt;D xsi:type="xsd:double"&gt;12.1838625177633&lt;/D&gt;&lt;D xsi:type="xsd:double"&gt;13.4230435573634&lt;/D&gt;&lt;D xsi:type="xsd:double"&gt;14.0748161243645&lt;/D&gt;&lt;D xsi:type="xsd:double"&gt;12.8493209920303&lt;/D&gt;&lt;D xsi:type="xsd:double"&gt;11.3692476717446&lt;/D&gt;&lt;D xsi:type="xsd:double"&gt;11.3634821629682&lt;/D&gt;&lt;D xsi:type="xsd:double"&gt;11.7100919261543&lt;/D&gt;&lt;D xsi:type="xsd:double"&gt;7.85691632325682&lt;/D&gt;&lt;D xsi:type="xsd:double"&gt;7.30583113901386&lt;/D&gt;&lt;D xsi:type="xsd:double"&gt;10.6076248821523&lt;/D&gt;&lt;D xsi:type="xsd:double"&gt;13.5544063325345&lt;/D&gt;&lt;D xsi:type="xsd:double"&gt;15.6329994083391&lt;/D&gt;&lt;D xsi:type="xsd:double"&gt;15.4602156217752&lt;/D&gt;&lt;D xsi:type="xsd:double"&gt;14.8529710392714&lt;/D&gt;&lt;D xsi:type="xsd:double"&gt;14.0697438389687&lt;/D&gt;&lt;D xsi:type="xsd:double"&gt;14.5138539676257&lt;/D&gt;&lt;D xsi:type="xsd:double"&gt;14.5511838153402&lt;/D&gt;&lt;D xsi:type="xsd:double"&gt;13.4189748108841&lt;/D&gt;&lt;D xsi:type="xsd:double"&gt;12.4565647761932&lt;/D&gt;&lt;D xsi:type="xsd:double"&gt;11.4716384611003&lt;/D&gt;&lt;D xsi:type="xsd:double"&gt;11.1911605333532&lt;/D&gt;&lt;D xsi:type="xsd:double"&gt;12.2562920199997&lt;/D&gt;&lt;D xsi:type="xsd:double"&gt;13.4655797606889&lt;/D&gt;&lt;D xsi:type="xsd:double"&gt;13.214772209906&lt;/D&gt;&lt;D xsi:type="xsd:double"&gt;11.8607768597435&lt;/D&gt;&lt;D xsi:type="xsd:double"&gt;11.7948775537078&lt;/D&gt;&lt;D xsi:type="xsd:double"&gt;11.5941084861035&lt;/D&gt;&lt;D xsi:type="xsd:double"&gt;12.2716513453534&lt;/D&gt;&lt;D xsi:type="xsd:double"&gt;12.9317477577759&lt;/D&gt;&lt;D xsi:type="xsd:double"&gt;13.0588524066511&lt;/D&gt;&lt;D xsi:type="xsd:double"&gt;13.111247311106&lt;/D&gt;&lt;D xsi:type="xsd:double"&gt;12.7277031253839&lt;/D&gt;&lt;D xsi:type="xsd:double"&gt;12.4679197616924&lt;/D&gt;&lt;D xsi:type="xsd:double"&gt;14.251628532859&lt;/D&gt;&lt;D xsi:type="xsd:double"&gt;13.2815173767912&lt;/D&gt;&lt;D xsi:type="xsd:double"&gt;13.4279812850603&lt;/D&gt;&lt;D xsi:type="xsd:double"&gt;14.0972181071017&lt;/D&gt;&lt;D xsi:type="xsd:double"&gt;13.4952712774455&lt;/D&gt;&lt;D xsi:type="xsd:double"&gt;13.7814960300083&lt;/D&gt;&lt;D xsi:type="xsd:double"&gt;13.4168716296864&lt;/D&gt;&lt;D xsi:type="xsd:double"&gt;13.4283440399409&lt;/D&gt;&lt;D xsi:type="xsd:double"&gt;12.593417903421&lt;/D&gt;&lt;D xsi:type="xsd:double"&gt;12.9302339477243&lt;/D&gt;&lt;D xsi:type="xsd:double"&gt;13.4482288539223&lt;/D&gt;&lt;D xsi:type="xsd:double"&gt;13.2114544574982&lt;/D&gt;&lt;D xsi:type="xsd:double"&gt;14.6503471410212&lt;/D&gt;&lt;D xsi:type="xsd:double"&gt;15.779154459717&lt;/D&gt;&lt;D xsi:type="xsd:double"&gt;15.6590838820012&lt;/D&gt;&lt;D xsi:type="xsd:double"&gt;14.8471684299111&lt;/D&gt;&lt;D xsi:type="xsd:double"&gt;13.0535404983677&lt;/D&gt;&lt;D xsi:type="xsd:double"&gt;13.294520500623&lt;/D&gt;&lt;D xsi:type="xsd:double"&gt;15.0203413571521&lt;/D&gt;&lt;D xsi:type="xsd:double"&gt;14.2741982351796&lt;/D&gt;&lt;D xsi:type="xsd:double"&gt;14.054276167599&lt;/D&gt;&lt;D xsi:type="xsd:double"&gt;13.8364767726986&lt;/D&gt;&lt;D xsi:type="xsd:double"&gt;13.7995621807124&lt;/D&gt;&lt;D xsi:type="xsd:double"&gt;14.2641683354101&lt;/D&gt;&lt;D xsi:type="xsd:double"&gt;14.7198818080244&lt;/D&gt;&lt;D xsi:type="xsd:double"&gt;14.4301138610183&lt;/D&gt;&lt;D xsi:type="xsd:double"&gt;9.92675400640682&lt;/D&gt;&lt;D xsi:type="xsd:double"&gt;11.8247854993459&lt;/D&gt;&lt;D xsi:type="xsd:double"&gt;15.1309432057556&lt;/D&gt;&lt;D xsi:type="xsd:double"&gt;18.0982236829507&lt;/D&gt;&lt;D xsi:type="xsd:double"&gt;19.5046388069211&lt;/D&gt;&lt;D xsi:type="xsd:double"&gt;23.1787029735992&lt;/D&gt;&lt;D xsi:type="xsd:double"&gt;21.8643444836635&lt;/D&gt;&lt;D xsi:type="xsd:double"&gt;18.4037911640127&lt;/D&gt;&lt;D xsi:type="xsd:double"&gt;17.4491479838086&lt;/D&gt;&lt;D xsi:type="xsd:double"&gt;15.6606336528097&lt;/D&gt;&lt;D xsi:type="xsd:double"&gt;14.2182811941068&lt;/D&gt;&lt;D xsi:type="xsd:double"&gt;15.4708066595485&lt;/D&gt;&lt;D xsi:type="xsd:double"&gt;14.2359194621749&lt;/D&gt;&lt;D xsi:type="xsd:double"&gt;12.10119114448&lt;/D&gt;&lt;D xsi:type="xsd:double"&gt;11.795988685945&lt;/D&gt;&lt;D xsi:type="xsd:double"&gt;8.64615574620874&lt;/D&gt;&lt;D xsi:type="xsd:double"&gt;9.19052381154043&lt;/D&gt;&lt;D xsi:type="xsd:double"&gt;8.66979151825755&lt;/D&gt;&lt;D xsi:type="xsd:double"&gt;8.87907434852246&lt;/D&gt;&lt;D xsi:type="xsd:double"&gt;10.101198004079&lt;/D&gt;&lt;D xsi:type="xsd:double"&gt;9.66825395899298&lt;/D&gt;&lt;D xsi:type="xsd:double"&gt;9.6362068133024&lt;/D&gt;&lt;D xsi:type="xsd:double"&gt;11.4584246044993&lt;/D&gt;&lt;D xsi:type="xsd:double"&gt;11.0342329764983&lt;/D&gt;&lt;D xsi:type="xsd:double"&gt;11.5300396519119&lt;/D&gt;&lt;D xsi:type="xsd:double"&gt;9.95377833357973&lt;/D&gt;&lt;D xsi:type="xsd:double"&gt;7.93902730755153&lt;/D&gt;&lt;D xsi:type="xsd:double"&gt;7.5827141187594&lt;/D&gt;&lt;D xsi:type="xsd:double"&gt;6.92019784194359&lt;/D&gt;&lt;D xsi:type="xsd:double"&gt;7.76733162354465&lt;/D&gt;&lt;D xsi:type="xsd:double"&gt;7.82271495929553&lt;/D&gt;&lt;D xsi:type="xsd:double"&gt;8.40754350840358&lt;/D&gt;&lt;D xsi:type="xsd:double"&gt;9.65796867353372&lt;/D&gt;&lt;D xsi:type="xsd:double"&gt;9.10863246250037&lt;/D&gt;&lt;D xsi:type="xsd:double"&gt;10.3530602700368&lt;/D&gt;&lt;D xsi:type="xsd:double"&gt;9.60747572128073&lt;/D&gt;&lt;D xsi:type="xsd:double"&gt;9.37285411661695&lt;/D&gt;&lt;D xsi:type="xsd:double"&gt;9.98318807986798&lt;/D&gt;&lt;D xsi:type="xsd:double"&gt;9.41135721268313&lt;/D&gt;&lt;D xsi:type="xsd:double"&gt;10.1732105113177&lt;/D&gt;&lt;D xsi:type="xsd:double"&gt;10.4968855430321&lt;/D&gt;&lt;D xsi:type="xsd:double"&gt;10.246695181436&lt;/D&gt;&lt;D xsi:type="xsd:double"&gt;10.1650733596251&lt;/D&gt;&lt;D xsi:type="xsd:double"&gt;9.59158923470124&lt;/D&gt;&lt;D xsi:type="xsd:double"&gt;10.0713459739116&lt;/D&gt;&lt;D xsi:type="xsd:double"&gt;11.6378257050529&lt;/D&gt;&lt;D xsi:type="xsd:double"&gt;11.1840387613165&lt;/D&gt;&lt;D xsi:type="xsd:double"&gt;11.9521816945428&lt;/D&gt;&lt;D xsi:type="xsd:double"&gt;12.9497375724784&lt;/D&gt;&lt;D xsi:type="xsd:double"&gt;12.7618678679894&lt;/D&gt;&lt;/FQL&gt;&lt;FQL&gt;&lt;Q&gt;EZA^FMA_PE(LTMA,-10AY,0,AM,"PORTAGG","MEANR")&lt;/Q&gt;&lt;R&gt;121&lt;/R&gt;&lt;C&gt;1&lt;/C&gt;&lt;D xsi:type="xsd:double"&gt;15.6291300620485&lt;/D&gt;&lt;D xsi:type="xsd:double"&gt;15.6167620241566&lt;/D&gt;&lt;D xsi:type="xsd:double"&gt;15.7560331540252&lt;/D&gt;&lt;D xsi:type="xsd:double"&gt;16.0444248446806&lt;/D&gt;&lt;D xsi:type="xsd:double"&gt;16.3010100093765&lt;/D&gt;&lt;D xsi:type="xsd:double"&gt;16.5011350737345&lt;/D&gt;&lt;D xsi:type="xsd:double"&gt;15.9173850167227&lt;/D&gt;&lt;D xsi:type="xsd:double"&gt;16.9664596804506&lt;/D&gt;&lt;D xsi:type="xsd:double"&gt;16.7474648552849&lt;/D&gt;&lt;D xsi:type="xsd:double"&gt;16.9922138724151&lt;/D&gt;&lt;D xsi:type="xsd:double"&gt;18.1509678238437&lt;/D&gt;&lt;D xsi:type="xsd:double"&gt;18.3477547962966&lt;/D&gt;&lt;D xsi:type="xsd:double"&gt;18.5508345781306&lt;/D&gt;&lt;D xsi:type="xsd:double"&gt;18.4545752045842&lt;/D&gt;&lt;D xsi:type="xsd:double"&gt;17.9300760333954&lt;/D&gt;&lt;D xsi:type="xsd:double"&gt;18.0801305476325&lt;/D&gt;&lt;D xsi:type="xsd:double"&gt;17.3400201878803&lt;/D&gt;&lt;D xsi:type="xsd:double"&gt;17.1775611222395&lt;/D&gt;&lt;D xsi:type="xsd:double"&gt;17.7707036029829&lt;/D&gt;&lt;D xsi:type="xsd:double"&gt;17.3623838522316&lt;/D&gt;&lt;D xsi:type="xsd:double"&gt;16.1552385232363&lt;/D&gt;&lt;D xsi:type="xsd:double"&gt;14.6097365086275&lt;/D&gt;&lt;D xsi:type="xsd:double"&gt;16.3531440623536&lt;/D&gt;&lt;D xsi:type="xsd:double"&gt;16.0896640871268&lt;/D&gt;&lt;D xsi:type="xsd:double"&gt;16.065977123142&lt;/D&gt;&lt;D xsi:type="xsd:double"&gt;15.6284011221812&lt;/D&gt;&lt;D xsi:type="xsd:double"&gt;15.7488781002735&lt;/D&gt;&lt;D xsi:type="xsd:double"&gt;16.244298635231&lt;/D&gt;&lt;D xsi:type="xsd:double"&gt;17.0557574774306&lt;/D&gt;&lt;D xsi:type="xsd:double"&gt;16.4932927314905&lt;/D&gt;&lt;D xsi:type="xsd:double"&gt;16.5653036851585&lt;/D&gt;&lt;D xsi:type="xsd:double"&gt;16.2625449784051&lt;/D&gt;&lt;D xsi:type="xsd:double"&gt;16.3242483817879&lt;/D&gt;&lt;D xsi:type="xsd:double"&gt;17.5605218765638&lt;/D&gt;&lt;D xsi:type="xsd:double"&gt;18.5335198604956&lt;/D&gt;&lt;D xsi:type="xsd:double"&gt;18.493992195382&lt;/D&gt;&lt;D xsi:type="xsd:double"&gt;18.2753382039191&lt;/D&gt;&lt;D xsi:type="xsd:double"&gt;18.2666659754458&lt;/D&gt;&lt;D xsi:type="xsd:double"&gt;17.6155342580058&lt;/D&gt;&lt;D xsi:type="xsd:double"&gt;17.8219147588427&lt;/D&gt;&lt;D xsi:type="xsd:double"&gt;18.0871827294752&lt;/D&gt;&lt;D xsi:type="xsd:double"&gt;17.6630659717968&lt;/D&gt;&lt;D xsi:type="xsd:double"&gt;18.1951358482216&lt;/D&gt;&lt;D xsi:type="xsd:double"&gt;18.8216380416981&lt;/D&gt;&lt;D xsi:type="xsd:double"&gt;17.9835494891932&lt;/D&gt;&lt;D xsi:type="xsd:double"&gt;18.8891892466722&lt;/D&gt;&lt;D xsi:type="xsd:double"&gt;18.4209862955283&lt;/D&gt;&lt;D xsi:type="xsd:double"&gt;18.1736685758851&lt;/D&gt;&lt;D xsi:type="xsd:double"&gt;17.9132710569073&lt;/D&gt;&lt;D xsi:type="xsd:double"&gt;17.4446408350915&lt;/D&gt;&lt;D xsi:type="xsd:double"&gt;17.0221725890059&lt;/D&gt;&lt;D xsi:type="xsd:double"&gt;16.6453810502755&lt;/D&gt;&lt;D xsi:type="xsd:double"&gt;16.0445268924438&lt;/D&gt;&lt;D xsi:type="xsd:double"&gt;15.701534949239&lt;/D&gt;&lt;D xsi:type="xsd:double"&gt;14.561647333687&lt;/D&gt;&lt;D xsi:type="xsd:double"&gt;14.7767893170352&lt;/D&gt;&lt;D xsi:type="xsd:double"&gt;14.5139148640554&lt;/D&gt;&lt;D xsi:type="xsd:double"&gt;15.3197979979924&lt;/D&gt;&lt;D xsi:type="xsd:double"&gt;15.0420966797736&lt;/D&gt;&lt;D xsi:type="xsd:double"&gt;15.3228884514134&lt;/D&gt;&lt;D xsi:type="xsd:double"&gt;15.3922483457549&lt;/D&gt;&lt;D xsi:type="xsd:double"&gt;15.0551809151728&lt;/D&gt;&lt;D xsi:type="xsd:double"&gt;15.0589077654416&lt;/D&gt;&lt;D xsi:type="xsd:double"&gt;14.8596308095199&lt;/D&gt;&lt;D xsi:type="xsd:double"&gt;14.0269790242827&lt;/D&gt;&lt;D xsi:type="xsd:double"&gt;14.0516979898936&lt;/D&gt;&lt;D xsi:type="xsd:double"&gt;13.692246403557&lt;/D&gt;&lt;D xsi:type="xsd:double"&gt;13.7146260055358&lt;/D&gt;&lt;D xsi:type="xsd:double"&gt;14.7261356806984&lt;/D&gt;&lt;D xsi:type="xsd:double"&gt;14.6305382898934&lt;/D&gt;&lt;D xsi:type="xsd:double"&gt;14.4737431523199&lt;/D&gt;&lt;D xsi:type="xsd:double"&gt;11.9541938355113&lt;/D&gt;&lt;D xsi:type="xsd:double"&gt;12.2258360881697&lt;/D&gt;&lt;D xsi:type="xsd:double"&gt;12.4971742097164&lt;/D&gt;&lt;D xsi:type="xsd:double"&gt;12.9038876720046&lt;/D&gt;&lt;D xsi:type="xsd:double"&gt;13.5004620548633&lt;/D&gt;&lt;D xsi:type="xsd:double"&gt;13.5961998649124&lt;/D&gt;&lt;D xsi:type="xsd:double"&gt;13.3459252385433&lt;/D&gt;&lt;D xsi:type="xsd:double"&gt;13.2675822533379&lt;/D&gt;&lt;D xsi:type="xsd:double"&gt;13.777605308595&lt;/D&gt;&lt;D xsi:type="xsd:double"&gt;14.1841140090554&lt;/D&gt;&lt;D xsi:type="xsd:double"&gt;13.8981592310036&lt;/D&gt;&lt;D xsi:type="xsd:double"&gt;14.2250641349734&lt;/D&gt;&lt;D xsi:type="xsd:double"&gt;13.4522765499408&lt;/D&gt;&lt;D xsi:type="xsd:double"&gt;13.1118251379309&lt;/D&gt;&lt;D xsi:type="xsd:double"&gt;12.6685636305492&lt;/D&gt;&lt;D xsi:type="xsd:double"&gt;12.1857738055412&lt;/D&gt;&lt;D xsi:type="xsd:double"&gt;11.8052617392937&lt;/D&gt;&lt;D xsi:type="xsd:double"&gt;11.1438470656025&lt;/D&gt;&lt;D xsi:type="xsd:double"&gt;10.6835621860632&lt;/D&gt;&lt;D xsi:type="xsd:double"&gt;10.8801189984623&lt;/D&gt;&lt;D xsi:type="xsd:double"&gt;10.7154856396274&lt;/D&gt;&lt;D xsi:type="xsd:double"&gt;10.3771504584901&lt;/D&gt;&lt;D xsi:type="xsd:double"&gt;10.6115886725529&lt;/D&gt;&lt;D xsi:type="xsd:double"&gt;11.2056224351668&lt;/D&gt;&lt;D xsi:type="xsd:double"&gt;11.1492096822201&lt;/D&gt;&lt;D xsi:type="xsd:double"&gt;10.8784427930895&lt;/D&gt;&lt;D xsi:type="xsd:double"&gt;10.5454077842725&lt;/D&gt;&lt;D xsi:type="xsd:double"&gt;10.1124554123485&lt;/D&gt;&lt;D xsi:type="xsd:double"&gt;10.1843280940802&lt;/D&gt;&lt;D xsi:type="xsd:double"&gt;10.3415435488477&lt;/D&gt;&lt;D xsi:type="xsd:double"&gt;9.67203310522386&lt;/D&gt;&lt;D xsi:type="xsd:double"&gt;9.63526109209761&lt;/D&gt;&lt;D xsi:type="xsd:double"&gt;10.2579147703557&lt;/D&gt;&lt;D xsi:type="xsd:double"&gt;9.99816617093237&lt;/D&gt;&lt;D xsi:type="xsd:double"&gt;11.0303073210897&lt;/D&gt;&lt;D xsi:type="xsd:double"&gt;10.4420237203425&lt;/D&gt;&lt;D xsi:type="xsd:double"&gt;10.1421951527128&lt;/D&gt;&lt;D xsi:type="xsd:double"&gt;10.2783595920364&lt;/D&gt;&lt;D xsi:type="xsd:double"&gt;10.0349128964011&lt;/D&gt;&lt;D xsi:type="xsd:double"&gt;10.2515667412933&lt;/D&gt;&lt;D xsi:type="xsd:double"&gt;10.6139586906948&lt;/D&gt;&lt;D xsi:type="xsd:double"&gt;10.3026250745097&lt;/D&gt;&lt;D xsi:type="xsd:double"&gt;10.5557626008094&lt;/D&gt;&lt;D xsi:type="xsd:double"&gt;10.6015089677231&lt;/D&gt;&lt;D xsi:type="xsd:double"&gt;11.0117497909516&lt;/D&gt;&lt;D xsi:type="xsd:double"&gt;11.27117187239&lt;/D&gt;&lt;D xsi:type="xsd:double"&gt;10.8420310654587&lt;/D&gt;&lt;D xsi:type="xsd:double"&gt;10.9102298863899&lt;/D&gt;&lt;D xsi:type="xsd:double"&gt;10.6172282413423&lt;/D&gt;&lt;D xsi:type="xsd:double"&gt;10.6053759882732&lt;/D&gt;&lt;/FQL&gt;&lt;FQL&gt;&lt;Q&gt;DDR3512M-FDS^FG_PRICE_CHANGE(0,-6AM)&lt;/Q&gt;&lt;R&gt;1&lt;/R&gt;&lt;C&gt;1&lt;/C&gt;&lt;D xsi:type="xsd:double"&gt;-4.23045597177284&lt;/D&gt;&lt;/FQL&gt;&lt;FQL&gt;&lt;Q&gt;PASP-FDS^FG_PRICE_CHANGE(0,-6AM)&lt;/Q&gt;&lt;R&gt;1&lt;/R&gt;&lt;C&gt;1&lt;/C&gt;&lt;D xsi:type="xsd:double"&gt;-7.4235807860262&lt;/D&gt;&lt;/FQL&gt;&lt;FQL&gt;&lt;Q&gt;VNM^FMA_ROE(NTMA,-20AY,NOW,FY,"PORTAGG","MEANR")&lt;/Q&gt;&lt;R&gt;20&lt;/R&gt;&lt;C&gt;1&lt;/C&gt;&lt;D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xsi:type="xsd:double"&gt;15.4807939433741&lt;/D&gt;&lt;D xsi:type="xsd:double"&gt;17.0889112010564&lt;/D&gt;&lt;D xsi:type="xsd:double"&gt;18.3844906020794&lt;/D&gt;&lt;D xsi:type="xsd:double"&gt;14.7334622550631&lt;/D&gt;&lt;D xsi:type="xsd:double"&gt;10.7325513465194&lt;/D&gt;&lt;/FQL&gt;&lt;FQL&gt;&lt;Q&gt;EPHE^FMA_ROE(NTMA,-20AY,NOW,FY,"PORTAGG","MEANR")&lt;/Q&gt;&lt;R&gt;20&lt;/R&gt;&lt;C&gt;1&lt;/C&gt;&lt;D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xsi:type="xsd:double"&gt;12.0539318308439&lt;/D&gt;&lt;D xsi:type="xsd:double"&gt;8.91575729801008&lt;/D&gt;&lt;D xsi:type="xsd:double"&gt;9.59945410063992&lt;/D&gt;&lt;D xsi:type="xsd:double"&gt;10.6731246326263&lt;/D&gt;&lt;D xsi:type="xsd:double"&gt;11.9407094450378&lt;/D&gt;&lt;/FQL&gt;&lt;FQL&gt;&lt;Q&gt;TRYUS10Y-FDS^FG_YIELD(-10AY,0,Y,,"YTM")&lt;/Q&gt;&lt;R&gt;10&lt;/R&gt;&lt;C&gt;1&lt;/C&gt;&lt;D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xsi:type="xsd:long"&gt;45289&lt;/D&gt;&lt;/FQL&gt;&lt;FQL&gt;&lt;Q&gt;CAGDPY@IN^EE_ACTUAL_ANNUAL(MED,0)&lt;/Q&gt;&lt;R&gt;1&lt;/R&gt;&lt;C&gt;1&lt;/C&gt;&lt;D xsi:type="xsd:double"&gt;-2&lt;/D&gt;&lt;/FQL&gt;&lt;FQL&gt;&lt;Q&gt;CAGDPY@PE^EE_ACTUAL_ANNUAL(MED,0)&lt;/Q&gt;&lt;R&gt;1&lt;/R&gt;&lt;C&gt;1&lt;/C&gt;&lt;D xsi:type="xsd:double"&gt;0.625680870863723&lt;/D&gt;&lt;/FQL&gt;&lt;FQL&gt;&lt;Q&gt;CC_QA^FG_COMPANY_NAME&lt;/Q&gt;&lt;R&gt;1&lt;/R&gt;&lt;C&gt;1&lt;/C&gt;&lt;D xsi:type="xsd:string"&gt;Qatar&lt;/D&gt;&lt;/FQL&gt;&lt;FQL&gt;&lt;Q&gt;UAE^FMA_ROE(NTMA,-20AY,NOW,FY,"PORTAGG","MEANR")&lt;/Q&gt;&lt;R&gt;20&lt;/R&gt;&lt;C&gt;1&lt;/C&gt;&lt;D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xsi:type="xsd:double"&gt;8.12845515854192&lt;/D&gt;&lt;D xsi:type="xsd:double"&gt;6.7620176250091&lt;/D&gt;&lt;D xsi:type="xsd:double"&gt;11.2349425542518&lt;/D&gt;&lt;D xsi:type="xsd:double"&gt;12.933849362976&lt;/D&gt;&lt;D xsi:type="xsd:double"&gt;13.2251182283574&lt;/D&gt;&lt;/FQL&gt;&lt;FQL&gt;&lt;Q&gt;EIDO^FMA_ROE(NTMA,-20AY,NOW,FY,"PORTAGG","MEANR")&lt;/Q&gt;&lt;R&gt;20&lt;/R&gt;&lt;C&gt;1&lt;/C&gt;&lt;D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xsi:type="xsd:double"&gt;14.4300103266056&lt;/D&gt;&lt;D xsi:type="xsd:double"&gt;11.4814604290421&lt;/D&gt;&lt;D xsi:type="xsd:double"&gt;13.6928560240483&lt;/D&gt;&lt;D xsi:type="xsd:double"&gt;15.6524440836665&lt;/D&gt;&lt;D xsi:type="xsd:double"&gt;14.023409817903&lt;/D&gt;&lt;/FQL&gt;&lt;FQL&gt;&lt;Q&gt;TIPSCL10Y-FDS^FG_YIELD(-10AY,0,Y,,"YTM")&lt;/Q&gt;&lt;R&gt;10&lt;/R&gt;&lt;C&gt;1&lt;/C&gt;&lt;D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xsi:type="xsd:double"&gt;5.3314&lt;/D&gt;&lt;/FQL&gt;&lt;FQL&gt;&lt;Q&gt;CAGDPY@SA^EE_ACTUAL_ANNUAL(MED,+1)&lt;/Q&gt;&lt;R&gt;1&lt;/R&gt;&lt;C&gt;1&lt;/C&gt;&lt;D xsi:type="xsd:double"&gt;3.2&lt;/D&gt;&lt;/FQL&gt;&lt;FQL&gt;&lt;Q&gt;CAGDPY@GR^EE_ACTUAL_ANNUAL(MED,+1)&lt;/Q&gt;&lt;R&gt;1&lt;/R&gt;&lt;C&gt;1&lt;/C&gt;&lt;D xsi:type="xsd:double"&gt;-6&lt;/D&gt;&lt;/FQL&gt;&lt;FQL&gt;&lt;Q&gt;CAGDPY@PL^EE_ACTUAL_ANNUAL(MED,+1)&lt;/Q&gt;&lt;R&gt;1&lt;/R&gt;&lt;C&gt;1&lt;/C&gt;&lt;D xsi:type="xsd:double"&gt;1&lt;/D&gt;&lt;/FQL&gt;&lt;FQL&gt;&lt;Q&gt;TUR^FMA_ROE(NTMA,-20AY,NOW,FY,"PORTAGG","MEANR")&lt;/Q&gt;&lt;R&gt;20&lt;/R&gt;&lt;C&gt;1&lt;/C&gt;&lt;D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xsi:type="xsd:double"&gt;14.8395465769289&lt;/D&gt;&lt;D xsi:type="xsd:double"&gt;12.883028718567&lt;/D&gt;&lt;D xsi:type="xsd:double"&gt;18.5724935251778&lt;/D&gt;&lt;D xsi:type="xsd:double"&gt;24.1409632075388&lt;/D&gt;&lt;D xsi:type="xsd:double"&gt;25.8460094224277&lt;/D&gt;&lt;/FQL&gt;&lt;FQL&gt;&lt;Q&gt;ECH^FMA_ROE(NTMA,-20AY,NOW,FY,"PORTAGG","MEANR")&lt;/Q&gt;&lt;R&gt;20&lt;/R&gt;&lt;C&gt;1&lt;/C&gt;&lt;D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xsi:type="xsd:double"&gt;11.2778516938703&lt;/D&gt;&lt;D xsi:type="xsd:double"&gt;9.83590954451218&lt;/D&gt;&lt;D xsi:type="xsd:double"&gt;8.75463942854793&lt;/D&gt;&lt;D xsi:type="xsd:double"&gt;10.6038911838351&lt;/D&gt;&lt;D xsi:type="xsd:double"&gt;12.7874449833902&lt;/D&gt;&lt;D xsi:type="xsd:double"&gt;13.7735913961301&lt;/D&gt;&lt;/FQL&gt;&lt;FQL&gt;&lt;Q&gt;TRYFR10Y-FDS^FG_YIELD(-10AY,0,Y,,"YTM")&lt;/Q&gt;&lt;R&gt;10&lt;/R&gt;&lt;C&gt;1&lt;/C&gt;&lt;D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xsi:type="xsd:double"&gt;2.534&lt;/D&gt;&lt;/FQL&gt;&lt;FQL&gt;&lt;Q&gt;CAGDPY@SA^EE_ACTUAL_ANNUAL(MED,0)&lt;/Q&gt;&lt;R&gt;1&lt;/R&gt;&lt;C&gt;1&lt;/C&gt;&lt;D xsi:type="xsd:double"&gt;3.19136442056759&lt;/D&gt;&lt;/FQL&gt;&lt;FQL&gt;&lt;Q&gt;CAGDPY@GR^EE_ACTUAL_ANNUAL(MED,0)&lt;/Q&gt;&lt;R&gt;1&lt;/R&gt;&lt;C&gt;1&lt;/C&gt;&lt;D xsi:type="xsd:double"&gt;-6.34144960781288&lt;/D&gt;&lt;/FQL&gt;&lt;FQL&gt;&lt;Q&gt;CAGDPY@PL^EE_ACTUAL_ANNUAL(MED,0)&lt;/Q&gt;&lt;R&gt;1&lt;/R&gt;&lt;C&gt;1&lt;/C&gt;&lt;D xsi:type="xsd:double"&gt;1.58176511984872&lt;/D&gt;&lt;/FQL&gt;&lt;FQL&gt;&lt;Q&gt;CC_IN^FG_COMPANY_NAME&lt;/Q&gt;&lt;R&gt;1&lt;/R&gt;&lt;C&gt;1&lt;/C&gt;&lt;D xsi:type="xsd:string"&gt;India&lt;/D&gt;&lt;/FQL&gt;&lt;FQL&gt;&lt;Q&gt;USDSAR^FG_PRICE_CHANGE(0,-6AM)&lt;/Q&gt;&lt;R&gt;1&lt;/R&gt;&lt;C&gt;1&lt;/C&gt;&lt;D xsi:type="xsd:double"&gt;0.0053286552&lt;/D&gt;&lt;/FQL&gt;&lt;FQL&gt;&lt;Q&gt;USDAED^FG_PRICE_CHANGE(0,-6AM)&lt;/Q&gt;&lt;R&gt;1&lt;/R&gt;&lt;C&gt;1&lt;/C&gt;&lt;D xsi:type="xsd:double"&gt;-0.013619661&lt;/D&gt;&lt;/FQL&gt;&lt;FQL&gt;&lt;Q&gt;SET-BKK^FMA_ROE(NTMA,-20AY,NOW,FY,"PORTAGG","MEANR")&lt;/Q&gt;&lt;R&gt;20&lt;/R&gt;&lt;C&gt;1&lt;/C&gt;&lt;D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</t>
        </r>
      </text>
    </comment>
    <comment ref="A6" authorId="0" shapeId="0" xr:uid="{0CE33A1B-CBEB-4221-B2CE-075CADB0B9E1}">
      <text>
        <r>
          <rPr>
            <b/>
            <sz val="9"/>
            <color indexed="81"/>
            <rFont val="Tahoma"/>
            <charset val="1"/>
          </rPr>
          <t>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xsi:type="xsd:double"&gt;10.9395949225821&lt;/D&gt;&lt;D xsi:type="xsd:double"&gt;8.38849749990612&lt;/D&gt;&lt;D xsi:type="xsd:double"&gt;9.94747027337216&lt;/D&gt;&lt;D xsi:type="xsd:double"&gt;10.1243577100409&lt;/D&gt;&lt;D xsi:type="xsd:double"&gt;9.34876367428982&lt;/D&gt;&lt;/FQL&gt;&lt;FQL&gt;&lt;Q&gt;CNYA^FMA_ROE(NTMA,-20AY,NOW,FY,"PORTAGG","MEANR")&lt;/Q&gt;&lt;R&gt;20&lt;/R&gt;&lt;C&gt;1&lt;/C&gt;&lt;D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xsi:type="xsd:double"&gt;13.4756717158229&lt;/D&gt;&lt;D xsi:type="xsd:double"&gt;12.9923016395817&lt;/D&gt;&lt;D xsi:type="xsd:double"&gt;13.766644836491&lt;/D&gt;&lt;D xsi:type="xsd:double"&gt;13.3712630463983&lt;/D&gt;&lt;D xsi:type="xsd:double"&gt;12.0221904080473&lt;/D&gt;&lt;/FQL&gt;&lt;FQL&gt;&lt;Q&gt;CAGDPY@VN^EE_ACTUAL_ANNUAL(MED,+1)&lt;/Q&gt;&lt;R&gt;0&lt;/R&gt;&lt;C&gt;0&lt;/C&gt;&lt;/FQL&gt;&lt;FQL&gt;&lt;Q&gt;CAGDPY@ZA^EE_ACTUAL_ANNUAL(MED,+1)&lt;/Q&gt;&lt;R&gt;1&lt;/R&gt;&lt;C&gt;1&lt;/C&gt;&lt;D xsi:type="xsd:double"&gt;-2.4&lt;/D&gt;&lt;/FQL&gt;&lt;FQL&gt;&lt;Q&gt;CAGDPY@PH^EE_ACTUAL_ANNUAL(MED,+1)&lt;/Q&gt;&lt;R&gt;1&lt;/R&gt;&lt;C&gt;1&lt;/C&gt;&lt;D xsi:type="xsd:double"&gt;-2.5&lt;/D&gt;&lt;/FQL&gt;&lt;FQL&gt;&lt;Q&gt;CC_GR^FG_COMPANY_NAME&lt;/Q&gt;&lt;R&gt;1&lt;/R&gt;&lt;C&gt;1&lt;/C&gt;&lt;D xsi:type="xsd:string"&gt;Greece&lt;/D&gt;&lt;/FQL&gt;&lt;FQL&gt;&lt;Q&gt;USDSAR^FG_PRICE_CHANGE(0,-3AM)&lt;/Q&gt;&lt;R&gt;1&lt;/R&gt;&lt;C&gt;1&lt;/C&gt;&lt;D xsi:type="xsd:double"&gt;0.015997887&lt;/D&gt;&lt;/FQL&gt;&lt;FQL&gt;&lt;Q&gt;USDAED^FG_PRICE_CHANGE(0,-3AM)&lt;/Q&gt;&lt;R&gt;1&lt;/R&gt;&lt;C&gt;1&lt;/C&gt;&lt;D xsi:type="xsd:double"&gt;-0.010889769&lt;/D&gt;&lt;/FQL&gt;&lt;FQL&gt;&lt;Q&gt;CAGDPY@AE^EE_ACTUAL_ANNUAL(MED,0)&lt;/Q&gt;&lt;R&gt;1&lt;/R&gt;&lt;C&gt;1&lt;/C&gt;&lt;D xsi:type="xsd:double"&gt;12.55&lt;/D&gt;&lt;/FQL&gt;&lt;FQL&gt;&lt;Q&gt;CAGDPY@BR^EE_ACTUAL_ANNUAL(MED,0)&lt;/Q&gt;&lt;R&gt;1&lt;/R&gt;&lt;C&gt;1&lt;/C&gt;&lt;D xsi:type="xsd:double"&gt;-1.3135524173916&lt;/D&gt;&lt;/FQL&gt;&lt;FQL&gt;&lt;Q&gt;CAGDPY@ID^EE_ACTUAL_ANNUAL(MED,0)&lt;/Q&gt;&lt;R&gt;1&lt;/R&gt;&lt;C&gt;1&lt;/C&gt;&lt;D xsi:type="xsd:double"&gt;-0.11&lt;/D&gt;&lt;/FQL&gt;&lt;FQL&gt;&lt;Q&gt;CC_KR^FG_COMPANY_NAME&lt;/Q&gt;&lt;R&gt;1&lt;/R&gt;&lt;C&gt;1&lt;/C&gt;&lt;D xsi:type="xsd:string"&gt;South Korea&lt;/D&gt;&lt;/FQL&gt;&lt;FQL&gt;&lt;Q&gt;USDSAR^FG_PRICE(0)&lt;/Q&gt;&lt;R&gt;1&lt;/R&gt;&lt;C&gt;1&lt;/C&gt;&lt;D xsi:type="xsd:double"&gt;3.7512&lt;/D&gt;&lt;/FQL&gt;&lt;FQL&gt;&lt;Q&gt;USDAED^FG_PRICE(0)&lt;/Q&gt;&lt;R&gt;1&lt;/R&gt;&lt;C&gt;1&lt;/C&gt;&lt;D xsi:type="xsd:double"&gt;3.6725&lt;/D&gt;&lt;/FQL&gt;&lt;FQL&gt;&lt;Q&gt;USDTHB^FG_PRICE(0)&lt;/Q&gt;&lt;R&gt;1&lt;/R&gt;&lt;C&gt;1&lt;/C&gt;&lt;D xsi:type="xsd:double"&gt;36.7675&lt;/D&gt;&lt;/FQL&gt;&lt;FQL&gt;&lt;Q&gt;USDCNH^FG_PRICE(0)&lt;/Q&gt;&lt;R&gt;1&lt;/R&gt;&lt;C&gt;1&lt;/C&gt;&lt;D xsi:type="xsd:double"&gt;7.2507&lt;/D&gt;&lt;/FQL&gt;&lt;FQL&gt;&lt;Q&gt;USDEUR^FG_PRICE(0)&lt;/Q&gt;&lt;R&gt;1&lt;/R&gt;&lt;C&gt;1&lt;/C&gt;&lt;D xsi:type="xsd:double"&gt;0.93848246&lt;/D&gt;&lt;/FQL&gt;&lt;FQL&gt;&lt;Q&gt;USDBRL^FG_PRICE(0)&lt;/Q&gt;&lt;R&gt;1&lt;/R&gt;&lt;C&gt;1&lt;/C&gt;&lt;D xsi:type="xsd:double"&gt;5.2486&lt;/D&gt;&lt;/FQL&gt;&lt;FQL&gt;&lt;Q&gt;USDMXN^FG_PRICE(0)&lt;/Q&gt;&lt;R&gt;1&lt;/R&gt;&lt;C&gt;1&lt;/C&gt;&lt;D xsi:type="xsd:double"&gt;17.09025&lt;/D&gt;&lt;/FQL&gt;&lt;FQL&gt;&lt;Q&gt;USDMYR^FG_PRICE(0)&lt;/Q&gt;&lt;R&gt;1&lt;/R&gt;&lt;C&gt;1&lt;/C&gt;&lt;D xsi:type="xsd:double"&gt;4.7835&lt;/D&gt;&lt;/FQL&gt;&lt;FQL&gt;&lt;Q&gt;USDPLN^FG_PRICE(0)&lt;/Q&gt;&lt;R&gt;1&lt;/R&gt;&lt;C&gt;1&lt;/C&gt;&lt;D xsi:type="xsd:double"&gt;4.0608&lt;/D&gt;&lt;/FQL&gt;&lt;FQL&gt;&lt;Q&gt;USDIDR^FG_PRICE(0)&lt;/Q&gt;&lt;R&gt;1&lt;/R&gt;&lt;C&gt;1&lt;/C&gt;&lt;D xsi:type="xsd:double"&gt;16175&lt;/D&gt;&lt;/FQL&gt;&lt;FQL&gt;&lt;Q&gt;FC0000MY^FMA_EPS(NTMA,-20AY,0,CY,,"PORTAGG","MEANR")&lt;/Q&gt;&lt;R&gt;20&lt;/R&gt;&lt;C&gt;1&lt;/C&gt;&lt;D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xsi:type="xsd:double"&gt;15.6987954726436&lt;/D&gt;&lt;D xsi:type="xsd:double"&gt;16.3882261582609&lt;/D&gt;&lt;D xsi:type="xsd:double"&gt;16.0085524514106&lt;/D&gt;&lt;D xsi:type="xsd:double"&gt;16.6997810142664&lt;/D&gt;&lt;D xsi:type="xsd:double"&gt;16.7568420391715&lt;/D&gt;&lt;/FQL&gt;&lt;FQL&gt;&lt;Q&gt;GREK^P_PRICE_RETURNS_PR('52W',2,-10AY,0,AM)&lt;/Q&gt;&lt;R&gt;121&lt;/R&gt;&lt;C&gt;1&lt;/C&gt;&lt;D xsi:type="xsd:double"&gt;48.93956&lt;/D&gt;&lt;D xsi:type="xsd:double"&gt;-5.3142967&lt;/D&gt;&lt;D xsi:type="xsd:double"&gt;45.287895&lt;/D&gt;&lt;D xsi:type="xsd:double"&gt;38.36303&lt;/D&gt;&lt;D xsi:type="xsd:double"&gt;13.749123&lt;/D&gt;&lt;D xsi:type="xsd:double"&gt;0.4274845&lt;/D&gt;&lt;D xsi:type="xsd:double"&gt;-24.661266&lt;/D&gt;&lt;D xsi:type="xsd:double"&gt;-25.420301&lt;/D&gt;&lt;D xsi:type="xsd:double"&gt;-33.67369&lt;/D&gt;&lt;D xsi:type="xsd:double"&gt;-46.186&lt;/D&gt;&lt;D xsi:type="xsd:double"&gt;-45.495575&lt;/D&gt;&lt;D xsi:type="xsd:double"&gt;-58.529804&lt;/D&gt;&lt;D xsi:type="xsd:double"&gt;-54.89206&lt;/D&gt;&lt;D xsi:type="xsd:double"&gt;-37.468147&lt;/D&gt;&lt;D xsi:type="xsd:double"&gt;-55.61169&lt;/D&gt;&lt;D xsi:type="xsd:double"&gt;-51.58829&lt;/D&gt;&lt;D xsi:type="xsd:double"&gt;-49.9762&lt;/D&gt;&lt;D xsi:type="xsd:double"&gt;-45.502865&lt;/D&gt;&lt;D xsi:type="xsd:double"&gt;-32.16437&lt;/D&gt;&lt;D xsi:type="xsd:double"&gt;-40.650963&lt;/D&gt;&lt;D xsi:type="xsd:double"&gt;-42.95388&lt;/D&gt;&lt;D xsi:type="xsd:double"&gt;-43.705784&lt;/D&gt;&lt;D xsi:type="xsd:double"&gt;-49.493034&lt;/D&gt;&lt;D xsi:type="xsd:double"&gt;-30.064552&lt;/D&gt;&lt;D xsi:type="xsd:double"&gt;-26.234478&lt;/D&gt;&lt;D xsi:type="xsd:double"&gt;-31.06618&lt;/D&gt;&lt;D xsi:type="xsd:double"&gt;-27.31641&lt;/D&gt;&lt;D xsi:type="xsd:double"&gt;-28.74235&lt;/D&gt;&lt;D xsi:type="xsd:double"&gt;-25.171412&lt;/D&gt;&lt;D xsi:type="xsd:double"&gt;-32.40559&lt;/D&gt;&lt;D xsi:type="xsd:double"&gt;-27.689426&lt;/D&gt;&lt;D xsi:type="xsd:double"&gt;-18.144321&lt;/D&gt;&lt;D xsi:type="xsd:double"&gt;-4.854822&lt;/D&gt;&lt;D xsi:type="xsd:double"&gt;14.468741&lt;/D&gt;&lt;D xsi:type="xsd:double"&gt;22.431517&lt;/D&gt;&lt;D xsi:type="xsd:double"&gt;7.2902083&lt;/D&gt;&lt;D xsi:type="xsd:double"&gt;6.9313765&lt;/D&gt;&lt;D xsi:type="xsd:double"&gt;14.975918&lt;/D&gt;&lt;D xsi:type="xsd:double"&gt;39.631607&lt;/D&gt;&lt;D xsi:type="xsd:double"&gt;50.150932&lt;/D&gt;&lt;D xsi:type="xsd:double"&gt;42.01964&lt;/D&gt;&lt;D xsi:type="xsd:double"&gt;37.22707&lt;/D&gt;&lt;D xsi:type="xsd:double"&gt;29.450548&lt;/D&gt;&lt;D xsi:type="xsd:double"&gt;18.381357&lt;/D&gt;&lt;D xsi:type="xsd:double"&gt;31.388796&lt;/D&gt;&lt;D xsi:type="xsd:double"&gt;38.663197&lt;/D&gt;&lt;D xsi:type="xsd:double"&gt;46.143784&lt;/D&gt;&lt;D xsi:type="xsd:double"&gt;33.15042&lt;/D&gt;&lt;D xsi:type="xsd:double"&gt;37.337482&lt;/D&gt;&lt;D xsi:type="xsd:double"&gt;0.4279256&lt;/D&gt;&lt;D xsi:type="xsd:double"&gt;-4.4637623&lt;/D&gt;&lt;D xsi:type="xsd:double"&gt;-10.472977&lt;/D&gt;&lt;D xsi:type="xsd:double"&gt;-15.447044&lt;/D&gt;&lt;D xsi:type="xsd:double"&gt;-10.113203&lt;/D&gt;&lt;D xsi:type="xsd:double"&gt;-18.892664&lt;/D&gt;&lt;D xsi:type="xsd:double"&gt;-10.108024&lt;/D&gt;&lt;D xsi:type="xsd:double"&gt;-26.012629&lt;/D&gt;&lt;D xsi:type="xsd:double"&gt;-33.24603&lt;/D&gt;&lt;D xsi:type="xsd:double"&gt;-30.576729&lt;/D&gt;&lt;D xsi:type="xsd:double"&gt;-16.841251&lt;/D&gt;&lt;D xsi:type="xsd:double"&gt;-17.69564&lt;/D&gt;&lt;D xsi:type="xsd:double"&gt;-15.767455&lt;/D&gt;&lt;D xsi:type="xsd:double"&gt;2.7826905&lt;/D&gt;&lt;D xsi:type="xsd:double"&gt;5.762315&lt;/D&gt;&lt;D xsi:type="xsd:double"&gt;3.643632&lt;/D&gt;&lt;D xsi:type="xsd:double"&gt;17.678738&lt;/D&gt;&lt;D xsi:type="xsd:double"&gt;32.328354&lt;/D&gt;&lt;D xsi:type="xsd:double"&gt;34.895073&lt;/D&gt;&lt;D xsi:type="xsd:double"&gt;42.062332&lt;/D&gt;&lt;D xsi:type="xsd:double"&gt;46.65221&lt;/D&gt;&lt;D xsi:type="xsd:double"&gt;26.295996&lt;/D&gt;&lt;D xsi:type="xsd:double"&gt;-41.16509&lt;/D&gt;&lt;D xsi:type="xsd:double"&gt;-27.63772&lt;/D&gt;&lt;D xsi:type="xsd:double"&gt;-20.342367&lt;/D&gt;&lt;D xsi:type="xsd:double"&gt;-25.996542&lt;/D&gt;&lt;D xsi:type="xsd:double"&gt;-27.655703&lt;/D&gt;&lt;D xsi:type="xsd:double"&gt;-15.320587&lt;/D&gt;&lt;D xsi:type="xsd:double"&gt;-23.312355&lt;/D&gt;&lt;D xsi:type="xsd:double"&gt;-30.286568&lt;/D&gt;&lt;D xsi:type="xsd:double"&gt;-23.742712&lt;/D&gt;&lt;D xsi:type="xsd:double"&gt;-11.643326&lt;/D&gt;&lt;D xsi:type="xsd:double"&gt;-15.387976&lt;/D&gt;&lt;D xsi:type="xsd:double"&gt;-9.353458&lt;/D&gt;&lt;D xsi:type="xsd:double"&gt;90.25275&lt;/D&gt;&lt;D xsi:type="xsd:double"&gt;62.86589&lt;/D&gt;&lt;D xsi:type="xsd:double"&gt;61.92378&lt;/D&gt;&lt;D xsi:type="xsd:double"&gt;44.968616&lt;/D&gt;&lt;D xsi:type="xsd:double"&gt;37.44726&lt;/D&gt;&lt;D xsi:type="xsd:double"&gt;35.562263&lt;/D&gt;&lt;D xsi:type="xsd:double"&gt;34.67759&lt;/D&gt;&lt;D xsi:type="xsd:double"&gt;46.53629&lt;/D&gt;&lt;D xsi:type="xsd:double"&gt;29.3589&lt;/D&gt;&lt;D xsi:type="xsd:double"&gt;4.606509&lt;/D&gt;&lt;D xsi:type="xsd:double"&gt;16.689003&lt;/D&gt;&lt;D xsi:type="xsd:double"&gt;22.588598&lt;/D&gt;&lt;D xsi:type="xsd:double"&gt;2.8493285&lt;/D&gt;&lt;D xsi:type="xsd:double"&gt;-1.8602371&lt;/D&gt;&lt;D xsi:type="xsd:double"&gt;-13.073635&lt;/D&gt;&lt;D xsi:type="xsd:double"&gt;-15.847415&lt;/D&gt;&lt;D xsi:type="xsd:double"&gt;-15.753823&lt;/D&gt;&lt;D xsi:type="xsd:double"&gt;-7.735795&lt;/D&gt;&lt;D xsi:type="xsd:double"&gt;-16.624414&lt;/D&gt;&lt;D xsi:type="xsd:double"&gt;-15.613306&lt;/D&gt;&lt;D xsi:type="xsd:double"&gt;-6.657779&lt;/D&gt;&lt;D xsi:type="xsd:double"&gt;2.1033525&lt;/D&gt;&lt;D xsi:type="xsd:double"&gt;4.27655&lt;/D&gt;&lt;D xsi:type="xsd:double"&gt;12.9912615&lt;/D&gt;&lt;D xsi:type="xsd:double"&gt;12.45563&lt;/D&gt;&lt;D xsi:type="xsd:double"&gt;22.24332&lt;/D&gt;&lt;D xsi:type="xsd:double"&gt;33.78911&lt;/D&gt;&lt;D xsi:type="xsd:double"&gt;61.193993&lt;/D&gt;&lt;D xsi:type="xsd:double"&gt;83.77957&lt;/D&gt;&lt;D xsi:type="xsd:double"&gt;51.768208&lt;/D&gt;&lt;D xsi:type="xsd:double"&gt;54.823174&lt;/D&gt;&lt;D xsi:type="xsd:double"&gt;46.703003&lt;/D&gt;&lt;D xsi:type="xsd:double"&gt;49.234188&lt;/D&gt;&lt;D xsi:type="xsd:double"&gt;44.581116&lt;/D&gt;&lt;D xsi:type="xsd:double"&gt;37.477398&lt;/D&gt;&lt;D xsi:type="xsd:double"&gt;28.834248&lt;/D&gt;&lt;D xsi:type="xsd:double"&gt;42.88542&lt;/D&gt;&lt;D xsi:type="xsd:double"&gt;22.330593&lt;/D&gt;&lt;/FQL&gt;&lt;FQL&gt;&lt;Q&gt;UAE^FG_TOTAL_RETURNC(-10AY,0,AM)&lt;/Q&gt;&lt;R&gt;121&lt;/R&gt;&lt;C&gt;1&lt;/C&gt;&lt;D xsi:type="xsd:string"&gt;@NA&lt;/D&gt;&lt;D xsi:type="xsd:string"&gt;@NA&lt;/D&gt;&lt;D xsi:type="xsd:double"&gt;-9.278208&lt;/D&gt;&lt;D xsi:type="xsd:double"&gt;4.270923&lt;/D&gt;&lt;D xsi:type="xsd:double"&gt;-0.7033527&lt;/D&gt;&lt;D xsi:type="xsd:double"&gt;5.583334&lt;/D&gt;&lt;D xsi:type="xsd:double"&gt;-15.035516&lt;/D&gt;&lt;D xsi:type="xsd:double"&gt;6.363213&lt;/D&gt;&lt;D xsi:type="xsd:double"&gt;-18.73362&lt;/D&gt;&lt;D xsi:type="xsd:double"&gt;7.1401596&lt;/D&gt;&lt;D xsi:type="xsd:double"&gt;-0.5646765&lt;/D&gt;&lt;D xsi:type="xsd:double"&gt;-7.4341774&lt;/D&gt;&lt;D xsi:type="xsd:double"&gt;17.49184&lt;/D&gt;&lt;D xsi:type="xsd:double"&gt;-0.9531498&lt;/D&gt;&lt;D xsi:type="xsd:double"&gt;-0.7514298&lt;/D&gt;&lt;D xsi:type="xsd:double"&gt;0.843668&lt;/D&gt;&lt;D xsi:type="xsd:double"&gt;-8.014274&lt;/D&gt;&lt;D xsi:type="xsd:double"&gt;-4.6625495&lt;/D&gt;&lt;D xsi:type="xsd:double"&gt;2.9741883&lt;/D&gt;&lt;D xsi:type="xsd:double"&gt;-15.313351&lt;/D&gt;&lt;D xsi:type="xsd:double"&gt;-3.2181501&lt;/D&gt;&lt;D xsi:type="xsd:double"&gt;-4.2102695&lt;/D&gt;&lt;D xsi:type="xsd:double"&gt;6.0634613&lt;/D&gt;&lt;D xsi:type="xsd:double"&gt;12.18791&lt;/D&gt;&lt;D xsi:type="xsd:double"&gt;3.308928&lt;/D&gt;&lt;D xsi:type="xsd:double"&gt;-7.5702906&lt;/D&gt;&lt;D xsi:type="xsd:double"&gt;1.9957542&lt;/D&gt;&lt;D xsi:type="xsd:double"&gt;7.774389&lt;/D&gt;&lt;D xsi:type="xsd:double"&gt;0.28951168&lt;/D&gt;&lt;D xsi:type="xsd:double"&gt;-3.0023098&lt;/D&gt;&lt;D xsi:type="xsd:double"&gt;-3.273803&lt;/D&gt;&lt;D xsi:type="xsd:double"&gt;-2.7692318&lt;/D&gt;&lt;D xsi:type="xsd:double"&gt;8.101261&lt;/D&gt;&lt;D xsi:type="xsd:double"&gt;2.765274&lt;/D&gt;&lt;D xsi:type="xsd:double"&gt;0.57537556&lt;/D&gt;&lt;D xsi:type="xsd:double"&gt;-3.3180773&lt;/D&gt;&lt;D xsi:type="xsd:double"&gt;0.79882145&lt;/D&gt;&lt;D xsi:type="xsd:double"&gt;1.1446953&lt;/D&gt;&lt;D xsi:type="xsd:double"&gt;1.5089989&lt;/D&gt;&lt;D xsi:type="xsd:double"&gt;4.2586803&lt;/D&gt;&lt;D xsi:type="xsd:double"&gt;-1.4084518&lt;/D&gt;&lt;D xsi:type="xsd:double"&gt;1.4342785&lt;/D&gt;&lt;D xsi:type="xsd:double"&gt;0.10703802&lt;/D&gt;&lt;D xsi:type="xsd:double"&gt;-4.952174&lt;/D&gt;&lt;D xsi:type="xsd:double"&gt;-1.1249185&lt;/D&gt;&lt;D xsi:type="xsd:double"&gt;6.9658756&lt;/D&gt;&lt;D xsi:type="xsd:double"&gt;-4.4212875&lt;/D&gt;&lt;D xsi:type="xsd:double"&gt;-1.5910327&lt;/D&gt;&lt;D xsi:type="xsd:double"&gt;0&lt;/D&gt;&lt;D xsi:type="xsd:double"&gt;-4.4323387&lt;/D&gt;&lt;D xsi:type="xsd:double"&gt;2.5075555&lt;/D&gt;&lt;D xsi:type="xsd:double"&gt;-0.3338158&lt;/D&gt;&lt;D xsi:type="xsd:double"&gt;0&lt;/D&gt;&lt;D xsi:type="xsd:double"&gt;-2.2407115&lt;/D&gt;&lt;D xsi:type="xsd:double"&gt;-2.1611035&lt;/D&gt;&lt;D xsi:type="xsd:double"&gt;1.6733646&lt;/D&gt;&lt;D xsi:type="xsd:double"&gt;-8.138662&lt;/D&gt;&lt;D xsi:type="xsd:double"&gt;1.5850186&lt;/D&gt;&lt;D xsi:type="xsd:double"&gt;-1.1347592&lt;/D&gt;&lt;D xsi:type="xsd:double"&gt;4.519367&lt;/D&gt;&lt;D xsi:type="xsd:double"&gt;6.3136578&lt;/D&gt;&lt;D xsi:type="xsd:double"&gt;-11.232477&lt;/D&gt;&lt;D xsi:type="xsd:double"&gt;1.5118003&lt;/D&gt;&lt;D xsi:type="xsd:double"&gt;5.37045&lt;/D&gt;&lt;D xsi:type="xsd:double"&gt;-3.3353567&lt;/D&gt;&lt;D xsi:type="xsd:double"&gt;3.1341076&lt;/D&gt;&lt;D xsi:type="xsd:double"&gt;1.6961217&lt;/D&gt;&lt;D xsi:type="xsd:double"&gt;-5.3161917&lt;/D&gt;&lt;D xsi:type="xsd:double"&gt;-1.1376143&lt;/D&gt;&lt;D xsi:type="xsd:double"&gt;1.5961409&lt;/D&gt;&lt;D xsi:type="xsd:double"&gt;-5.2166643&lt;/D&gt;&lt;D xsi:type="xsd:double"&gt;-35.549034&lt;/D&gt;&lt;D xsi:type="xsd:double"&gt;18.181824&lt;/D&gt;&lt;D xsi:type="xsd:double"&gt;2.9352188&lt;/D&gt;&lt;D xsi:type="xsd:double"&gt;4.654217&lt;/D&gt;&lt;D xsi:type="xsd:double"&gt;0.0495553&lt;/D&gt;&lt;D xsi:type="xsd:double"&gt;6.1416507&lt;/D&gt;&lt;D xsi:type="xsd:double"&gt;1.8198729&lt;/D&gt;&lt;D xsi:type="xsd:double"&gt;-1.7415166&lt;/D&gt;&lt;D xsi:type="xsd:double"&gt;5.503738&lt;/D&gt;&lt;D xsi:type="xsd:double"&gt;7.5825095&lt;/D&gt;&lt;D xsi:type="xsd:double"&gt;4.1118383&lt;/D&gt;&lt;D xsi:type="xsd:double"&gt;2.1327019&lt;/D&gt;&lt;D xsi:type="xsd:double"&gt;2.7068734&lt;/D&gt;&lt;D xsi:type="xsd:double"&gt;1.5481949&lt;/D&gt;&lt;D xsi:type="xsd:double"&gt;6.1873317&lt;/D&gt;&lt;D xsi:type="xsd:double"&gt;3.2936096&lt;/D&gt;&lt;D xsi:type="xsd:double"&gt;-2.134359&lt;/D&gt;&lt;D xsi:type="xsd:double"&gt;4.3260694&lt;/D&gt;&lt;D xsi:type="xsd:double"&gt;3.682661&lt;/D&gt;&lt;D xsi:type="xsd:double"&gt;-1.7670095&lt;/D&gt;&lt;D xsi:type="xsd:double"&gt;12.314951&lt;/D&gt;&lt;D xsi:type="xsd:double"&gt;4.5737386&lt;/D&gt;&lt;D xsi:type="xsd:double"&gt;-5.2416983&lt;/D&gt;&lt;D xsi:type="xsd:double"&gt;4.7326446&lt;/D&gt;&lt;D xsi:type="xsd:double"&gt;6.9835544&lt;/D&gt;&lt;D xsi:type="xsd:double"&gt;4.004383&lt;/D&gt;&lt;D xsi:type="xsd:double"&gt;-8.491552&lt;/D&gt;&lt;D xsi:type="xsd:double"&gt;-6.515324&lt;/D&gt;&lt;D xsi:type="xsd:double"&gt;-3.8083255&lt;/D&gt;&lt;D xsi:type="xsd:double"&gt;8.613003&lt;/D&gt;&lt;D xsi:type="xsd:double"&gt;-1.5087485&lt;/D&gt;&lt;D xsi:type="xsd:double"&gt;-6.4950943&lt;/D&gt;&lt;D xsi:type="xsd:double"&gt;2.2280455&lt;/D&gt;&lt;D xsi:type="xsd:double"&gt;-1.4521122&lt;/D&gt;&lt;D xsi:type="xsd:double"&gt;-1.8252909&lt;/D&gt;&lt;D xsi:type="xsd:double"&gt;-0.86321235&lt;/D&gt;&lt;D xsi:type="xsd:double"&gt;-8.171469&lt;/D&gt;&lt;D xsi:type="xsd:double"&gt;7.877457&lt;/D&gt;&lt;D xsi:type="xsd:double"&gt;-1.1494279&lt;/D&gt;&lt;D xsi:type="xsd:double"&gt;2.2999763&lt;/D&gt;&lt;D xsi:type="xsd:double"&gt;4.052198&lt;/D&gt;&lt;D xsi:type="xsd:double"&gt;-0.66006184&lt;/D&gt;&lt;D xsi:type="xsd:double"&gt;1.1960149&lt;/D&gt;&lt;D xsi:type="xsd:double"&gt;-6.9599447&lt;/D&gt;&lt;D xsi:type="xsd:double"&gt;5.9280157&lt;/D&gt;&lt;D xsi:type="xsd:double"&gt;-3.2644868&lt;/D&gt;&lt;D xsi:type="xsd:double"&gt;3.2872558&lt;/D&gt;&lt;D xsi:type="xsd:double"&gt;0.20134449&lt;/D&gt;&lt;D xsi:type="xsd:double"&gt;-0.8707285&lt;/D&gt;&lt;D xsi:type="xsd:double"&gt;-1.4864862&lt;/D&gt;&lt;/FQL&gt;&lt;FQL&gt;&lt;Q&gt;EIDO^FG_TOTAL_RETURNC(-10AY,0,AM)&lt;/Q&gt;&lt;R&gt;121&lt;/R&gt;&lt;C&gt;1&lt;/C&gt;&lt;D xsi:type="xsd:double"&gt;-0.45661926&lt;/D&gt;&lt;D xsi:type="xsd:double"&gt;4.340148&lt;/D&gt;&lt;D xsi:type="xsd:double"&gt;-8.691239&lt;/D&gt;&lt;D xsi:type="xsd:double"&gt;8.104336&lt;/D&gt;&lt;D xsi:type="xsd:double"&gt;1.0391355&lt;/D&gt;&lt;D xsi:type="xsd:double"&gt;-3.1539261&lt;/D&gt;&lt;D xsi:type="xsd:double"&gt;-4.2477903&lt;/D&gt;&lt;D xsi:type="xsd:double"&gt;3.2902122&lt;/D&gt;&lt;D xsi:type="xsd:double"&gt;-4.0138245&lt;/D&gt;&lt;D xsi:type="xsd:double"&gt;0&lt;/D&gt;&lt;D xsi:type="xsd:double"&gt;3.1413674&lt;/D&gt;&lt;D xsi:type="xsd:double"&gt;-0.76141953&lt;/D&gt;&lt;D xsi:type="xsd:double"&gt;0.7672548&lt;/D&gt;&lt;D xsi:type="xsd:double"&gt;-6.308919&lt;/D&gt;&lt;D xsi:type="xsd:double"&gt;-6.3854456&lt;/D&gt;&lt;D xsi:type="xsd:double"&gt;-2.3685873&lt;/D&gt;&lt;D xsi:type="xsd:double"&gt;-12.655508&lt;/D&gt;&lt;D xsi:type="xsd:double"&gt;-9.086448&lt;/D&gt;&lt;D xsi:type="xsd:double"&gt;14.69475&lt;/D&gt;&lt;D xsi:type="xsd:double"&gt;-1.6486108&lt;/D&gt;&lt;D xsi:type="xsd:double"&gt;-3.1130254&lt;/D&gt;&lt;D xsi:type="xsd:double"&gt;-0.45379996&lt;/D&gt;&lt;D xsi:type="xsd:double"&gt;13.333332&lt;/D&gt;&lt;D xsi:type="xsd:double"&gt;5.267775&lt;/D&gt;&lt;D xsi:type="xsd:double"&gt;-0.41701794&lt;/D&gt;&lt;D xsi:type="xsd:double"&gt;-8.0820675&lt;/D&gt;&lt;D xsi:type="xsd:double"&gt;5.1025033&lt;/D&gt;&lt;D xsi:type="xsd:double"&gt;10.851049&lt;/D&gt;&lt;D xsi:type="xsd:double"&gt;5.8498025&lt;/D&gt;&lt;D xsi:type="xsd:double"&gt;-5.0037327&lt;/D&gt;&lt;D xsi:type="xsd:double"&gt;4.3238997&lt;/D&gt;&lt;D xsi:type="xsd:double"&gt;-10.135645&lt;/D&gt;&lt;D xsi:type="xsd:double"&gt;-0.25156736&lt;/D&gt;&lt;D xsi:type="xsd:double"&gt;2.1725297&lt;/D&gt;&lt;D xsi:type="xsd:double"&gt;1.1943936&lt;/D&gt;&lt;D xsi:type="xsd:double"&gt;4.27351&lt;/D&gt;&lt;D xsi:type="xsd:double"&gt;1.0928869&lt;/D&gt;&lt;D xsi:type="xsd:double"&gt;0.34749508&lt;/D&gt;&lt;D xsi:type="xsd:double"&gt;4.0784955&lt;/D&gt;&lt;D xsi:type="xsd:double"&gt;1.3736248&lt;/D&gt;&lt;D xsi:type="xsd:double"&gt;0.07382631&lt;/D&gt;&lt;D xsi:type="xsd:double"&gt;-1.1066079&lt;/D&gt;&lt;D xsi:type="xsd:double"&gt;-0.52219033&lt;/D&gt;&lt;D xsi:type="xsd:double"&gt;1.7622828&lt;/D&gt;&lt;D xsi:type="xsd:double"&gt;0.81061125&lt;/D&gt;&lt;D xsi:type="xsd:double"&gt;8.305418&lt;/D&gt;&lt;D xsi:type="xsd:double"&gt;1.7229795&lt;/D&gt;&lt;D xsi:type="xsd:double"&gt;-9.066761&lt;/D&gt;&lt;D xsi:type="xsd:double"&gt;0.91307163&lt;/D&gt;&lt;D xsi:type="xsd:double"&gt;-14.368439&lt;/D&gt;&lt;D xsi:type="xsd:double"&gt;1.9019485&lt;/D&gt;&lt;D xsi:type="xsd:double"&gt;-0.8723736&lt;/D&gt;&lt;D xsi:type="xsd:double"&gt;-2.55754&lt;/D&gt;&lt;D xsi:type="xsd:double"&gt;-1.7497897&lt;/D&gt;&lt;D xsi:type="xsd:double"&gt;-4.4523597&lt;/D&gt;&lt;D xsi:type="xsd:double"&gt;14.725077&lt;/D&gt;&lt;D xsi:type="xsd:double"&gt;0.6799817&lt;/D&gt;&lt;D xsi:type="xsd:double"&gt;9.296692&lt;/D&gt;&lt;D xsi:type="xsd:double"&gt;-3.920126&lt;/D&gt;&lt;D xsi:type="xsd:double"&gt;0.88529587&lt;/D&gt;&lt;D xsi:type="xsd:double"&gt;1.7550588&lt;/D&gt;&lt;D xsi:type="xsd:double"&gt;-16.160477&lt;/D&gt;&lt;D xsi:type="xsd:double"&gt;15.31291&lt;/D&gt;&lt;D xsi:type="xsd:double"&gt;4.929018&lt;/D&gt;&lt;D xsi:type="xsd:double"&gt;-6.764376&lt;/D&gt;&lt;D xsi:type="xsd:double"&gt;2.2168517&lt;/D&gt;&lt;D xsi:type="xsd:double"&gt;-1.6955853&lt;/D&gt;&lt;D xsi:type="xsd:double"&gt;-0.9626925&lt;/D&gt;&lt;D xsi:type="xsd:double"&gt;3.7521958&lt;/D&gt;&lt;D xsi:type="xsd:double"&gt;3.871727&lt;/D&gt;&lt;D xsi:type="xsd:double"&gt;-8.772588&lt;/D&gt;&lt;D xsi:type="xsd:double"&gt;-40.486996&lt;/D&gt;&lt;D xsi:type="xsd:double"&gt;8.668518&lt;/D&gt;&lt;D xsi:type="xsd:double"&gt;3.509891&lt;/D&gt;&lt;D xsi:type="xsd:double"&gt;15.937721&lt;/D&gt;&lt;D xsi:type="xsd:double"&gt;1.181519&lt;/D&gt;&lt;D xsi:type="xsd:double"&gt;4.777074&lt;/D&gt;&lt;D xsi:type="xsd:double"&gt;-8.510637&lt;/D&gt;&lt;D xsi:type="xsd:double"&gt;1.6611338&lt;/D&gt;&lt;D xsi:type="xsd:double"&gt;18.028318&lt;/D&gt;&lt;D xsi:type="xsd:double"&gt;11.389542&lt;/D&gt;&lt;D xsi:type="xsd:double"&gt;2.2120237&lt;/D&gt;&lt;D xsi:type="xsd:double"&gt;-4.16497&lt;/D&gt;&lt;D xsi:type="xsd:double"&gt;-2.6842713&lt;/D&gt;&lt;D xsi:type="xsd:double"&gt;-3.8966715&lt;/D&gt;&lt;D xsi:type="xsd:double"&gt;-2.5057018&lt;/D&gt;&lt;D xsi:type="xsd:double"&gt;-2.7039826&lt;/D&gt;&lt;D xsi:type="xsd:double"&gt;-2.1749675&lt;/D&gt;&lt;D xsi:type="xsd:double"&gt;3.2608747&lt;/D&gt;&lt;D xsi:type="xsd:double"&gt;1.7224908&lt;/D&gt;&lt;D xsi:type="xsd:double"&gt;15.7102585&lt;/D&gt;&lt;D xsi:type="xsd:double"&gt;-4.3902454&lt;/D&gt;&lt;D xsi:type="xsd:double"&gt;-2.4190605&lt;/D&gt;&lt;D xsi:type="xsd:double"&gt;1.0530949&lt;/D&gt;&lt;D xsi:type="xsd:double"&gt;4.2118907&lt;/D&gt;&lt;D xsi:type="xsd:double"&gt;1.8333316&lt;/D&gt;&lt;D xsi:type="xsd:double"&gt;1.227498&lt;/D&gt;&lt;D xsi:type="xsd:double"&gt;-5.982214&lt;/D&gt;&lt;D xsi:type="xsd:double"&gt;-1.3798416&lt;/D&gt;&lt;D xsi:type="xsd:double"&gt;-4.332453&lt;/D&gt;&lt;D xsi:type="xsd:double"&gt;10.258781&lt;/D&gt;&lt;D xsi:type="xsd:double"&gt;1.7183542&lt;/D&gt;&lt;D xsi:type="xsd:double"&gt;-6.716114&lt;/D&gt;&lt;D xsi:type="xsd:double"&gt;2.4293303&lt;/D&gt;&lt;D xsi:type="xsd:double"&gt;-0.81980824&lt;/D&gt;&lt;D xsi:type="xsd:double"&gt;-0.6148517&lt;/D&gt;&lt;D xsi:type="xsd:double"&gt;2.4304032&lt;/D&gt;&lt;D xsi:type="xsd:double"&gt;-5.0905943&lt;/D&gt;&lt;D xsi:type="xsd:double"&gt;9.000004&lt;/D&gt;&lt;D xsi:type="xsd:double"&gt;-2.21017&lt;/D&gt;&lt;D xsi:type="xsd:double"&gt;1.0286808&lt;/D&gt;&lt;D xsi:type="xsd:double"&gt;1.2925506&lt;/D&gt;&lt;D xsi:type="xsd:double"&gt;-3.0199945&lt;/D&gt;&lt;D xsi:type="xsd:double"&gt;-0.43858886&lt;/D&gt;&lt;D xsi:type="xsd:double"&gt;-6.079298&lt;/D&gt;&lt;D xsi:type="xsd:double"&gt;1.4540315&lt;/D&gt;&lt;D xsi:type="xsd:double"&gt;0.9708762&lt;/D&gt;&lt;D xsi:type="xsd:double"&gt;2.423954&lt;/D&gt;&lt;D xsi:type="xsd:double"&gt;2.4785876&lt;/D&gt;&lt;D xsi:type="xsd:double"&gt;-0.21987557&lt;/D&gt;&lt;D xsi:type="xsd:double"&gt;-7.933015&lt;/D&gt;&lt;/FQL&gt;&lt;FQL&gt;&lt;Q&gt;QAT^FMA_ROE(NTMA,-20AY,NOW,FY,"PORTAGG","MEANR")&lt;/Q&gt;&lt;R&gt;20&lt;/R&gt;&lt;C&gt;1&lt;/C&gt;&lt;D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xsi:type="xsd:double"&gt;6.0028777&lt;/D&gt;&lt;/FQL&gt;&lt;FQL&gt;&lt;Q&gt;CC_BR^FG_COMPANY_NAME&lt;/Q&gt;&lt;R&gt;1&lt;/R&gt;&lt;C&gt;1&lt;/C&gt;&lt;D xsi:type="xsd:string"&gt;Brazil&lt;/D&gt;&lt;/FQL&gt;&lt;FQL&gt;&lt;Q&gt;USDVND^FG_PRICE_CHANGE(0,-3AM)&lt;/Q&gt;&lt;R&gt;1&lt;/R&gt;&lt;C&gt;1&lt;/C&gt;&lt;D xsi:type="xsd:double"&gt;3.39576&lt;/D&gt;&lt;/FQL&gt;&lt;FQL&gt;&lt;Q&gt;USDINR^STD(FG_PRICE_CHANGE(0,-3AY,M))&lt;/Q&gt;&lt;R&gt;1&lt;/R&gt;&lt;C&gt;1&lt;/C&gt;&lt;D xsi:type="xsd:double"&gt;1.08980760977258&lt;/D&gt;&lt;/FQL&gt;&lt;FQL&gt;&lt;Q&gt;USDPEN^STD(FG_PRICE_CHANGE(0,-3AY,M))&lt;/Q&gt;&lt;R&gt;1&lt;/R&gt;&lt;C&gt;1&lt;/C&gt;&lt;D xsi:type="xsd:double"&gt;2.37009114565781&lt;/D&gt;&lt;/FQL&gt;&lt;FQL&gt;&lt;Q&gt;FC0000PL^FMA_EPS(NTMA,-20AY,0,CY,,"PORTAGG","MEANR")&lt;/Q&gt;&lt;R&gt;20&lt;/R&gt;&lt;C&gt;1&lt;/C&gt;&lt;D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xsi:type="xsd:double"&gt;16.7959254186769&lt;/D&gt;&lt;D xsi:type="xsd:double"&gt;17.0889243836624&lt;/D&gt;&lt;D xsi:type="xsd:double"&gt;23.3955887248491&lt;/D&gt;&lt;/FQL&gt;&lt;FQL&gt;&lt;Q&gt;EWY^FMA_PE(NTMA,-10AY,0,AM,"PORTAGG","MEANR")&lt;/Q&gt;&lt;R&gt;121&lt;/R&gt;&lt;C&gt;1&lt;/C&gt;&lt;D xsi:type="xsd:double"&gt;9.33107625501189&lt;/D&gt;&lt;D xsi:type="xsd:double"&gt;9.61094628030184&lt;/D&gt;&lt;D xsi:type="xsd:double"&gt;9.54424322687696&lt;/D&gt;&lt;D xsi:type="xsd:double"&gt;9.89302012234991&lt;/D&gt;&lt;D xsi:type="xsd:double"&gt;10.2347692995242&lt;/D&gt;&lt;D xsi:type="xsd:double"&gt;10.2700156043346&lt;/D&gt;&lt;D xsi:type="xsd:double"&gt;9.21332816977369&lt;/D&gt;&lt;D xsi:type="xsd:double"&gt;9.73605230004886&lt;/D&gt;&lt;D xsi:type="xsd:double"&gt;9.46057488593578&lt;/D&gt;&lt;D xsi:type="xsd:double"&gt;9.36033783739593&lt;/D&gt;&lt;D xsi:type="xsd:double"&gt;9.80909870909165&lt;/D&gt;&lt;D xsi:type="xsd:double"&gt;10.050070100975&lt;/D&gt;&lt;D xsi:type="xsd:double"&gt;10.3368541095593&lt;/D&gt;&lt;D xsi:type="xsd:double"&gt;9.88470669174176&lt;/D&gt;&lt;D xsi:type="xsd:double"&gt;9.47041326840123&lt;/D&gt;&lt;D xsi:type="xsd:double"&gt;9.56775285460386&lt;/D&gt;&lt;D xsi:type="xsd:double"&gt;9.41514787985236&lt;/D&gt;&lt;D xsi:type="xsd:double"&gt;9.73052715931232&lt;/D&gt;&lt;D xsi:type="xsd:double"&gt;10.1085337185037&lt;/D&gt;&lt;D xsi:type="xsd:double"&gt;10.0598010373273&lt;/D&gt;&lt;D xsi:type="xsd:double"&gt;10.0212611279593&lt;/D&gt;&lt;D xsi:type="xsd:double"&gt;9.77222607682048&lt;/D&gt;&lt;D xsi:type="xsd:double"&gt;10.3036490058216&lt;/D&gt;&lt;D xsi:type="xsd:double"&gt;10.659205535557&lt;/D&gt;&lt;D xsi:type="xsd:double"&gt;10.6424473527054&lt;/D&gt;&lt;D xsi:type="xsd:double"&gt;9.83600583520848&lt;/D&gt;&lt;D xsi:type="xsd:double"&gt;9.83837940227898&lt;/D&gt;&lt;D xsi:type="xsd:double"&gt;10.1326183996587&lt;/D&gt;&lt;D xsi:type="xsd:double"&gt;10.1829262923401&lt;/D&gt;&lt;D xsi:type="xsd:double"&gt;9.91326076647663&lt;/D&gt;&lt;D xsi:type="xsd:double"&gt;10.0697618323648&lt;/D&gt;&lt;D xsi:type="xsd:double"&gt;9.59502799894762&lt;/D&gt;&lt;D xsi:type="xsd:double"&gt;9.90990014832141&lt;/D&gt;&lt;D xsi:type="xsd:double"&gt;9.7806646998858&lt;/D&gt;&lt;D xsi:type="xsd:double"&gt;9.42228169265711&lt;/D&gt;&lt;D xsi:type="xsd:double"&gt;9.77596318952646&lt;/D&gt;&lt;D xsi:type="xsd:double"&gt;9.18325422658106&lt;/D&gt;&lt;D xsi:type="xsd:double"&gt;9.38571197000724&lt;/D&gt;&lt;D xsi:type="xsd:double"&gt;9.50301273866337&lt;/D&gt;&lt;D xsi:type="xsd:double"&gt;9.61580528224433&lt;/D&gt;&lt;D xsi:type="xsd:double"&gt;9.12591895057914&lt;/D&gt;&lt;D xsi:type="xsd:double"&gt;9.30723488644941&lt;/D&gt;&lt;D xsi:type="xsd:double"&gt;9.43167524564332&lt;/D&gt;&lt;D xsi:type="xsd:double"&gt;9.38721870526981&lt;/D&gt;&lt;D xsi:type="xsd:double"&gt;9.14526167786092&lt;/D&gt;&lt;D xsi:type="xsd:double"&gt;9.28159829382746&lt;/D&gt;&lt;D xsi:type="xsd:double"&gt;8.97438295611793&lt;/D&gt;&lt;D xsi:type="xsd:double"&gt;9.17775329301574&lt;/D&gt;&lt;D xsi:type="xsd:double"&gt;9.04508379955556&lt;/D&gt;&lt;D xsi:type="xsd:double"&gt;8.77879084476915&lt;/D&gt;&lt;D xsi:type="xsd:double"&gt;8.63582111403081&lt;/D&gt;&lt;D xsi:type="xsd:double"&gt;8.3377654604101&lt;/D&gt;&lt;D xsi:type="xsd:double"&gt;8.08660637786956&lt;/D&gt;&lt;D xsi:type="xsd:double"&gt;8.26445698106257&lt;/D&gt;&lt;D xsi:type="xsd:double"&gt;7.78365937541895&lt;/D&gt;&lt;D xsi:type="xsd:double"&gt;7.9283485329801&lt;/D&gt;&lt;D xsi:type="xsd:double"&gt;8.26268574968976&lt;/D&gt;&lt;D xsi:type="xsd:double"&gt;9.1490788010211&lt;/D&gt;&lt;D xsi:type="xsd:double"&gt;10.1781563561422&lt;/D&gt;&lt;D xsi:type="xsd:double"&gt;10.5638165566713&lt;/D&gt;&lt;D xsi:type="xsd:double"&gt;11.1727993814722&lt;/D&gt;&lt;D xsi:type="xsd:double"&gt;10.5424235730081&lt;/D&gt;&lt;D xsi:type="xsd:double"&gt;10.9148167494057&lt;/D&gt;&lt;D xsi:type="xsd:double"&gt;11.1291516273632&lt;/D&gt;&lt;D xsi:type="xsd:double"&gt;10.517547271779&lt;/D&gt;&lt;D xsi:type="xsd:double"&gt;11.0590406920416&lt;/D&gt;&lt;D xsi:type="xsd:double"&gt;10.9112037314504&lt;/D&gt;&lt;D xsi:type="xsd:double"&gt;11.5286978736504&lt;/D&gt;&lt;D xsi:type="xsd:double"&gt;11.4830263474611&lt;/D&gt;&lt;D xsi:type="xsd:double"&gt;11.6335862765296&lt;/D&gt;&lt;D xsi:type="xsd:double"&gt;11.3403141412887&lt;/D&gt;&lt;D xsi:type="xsd:double"&gt;8.23369217410031&lt;/D&gt;&lt;D xsi:type="xsd:double"&gt;10.8174979091606&lt;/D&gt;&lt;D xsi:type="xsd:double"&gt;11.556406369762&lt;/D&gt;&lt;D xsi:type="xsd:double"&gt;12.5962430262946&lt;/D&gt;&lt;D xsi:type="xsd:double"&gt;12.7464513921212&lt;/D&gt;&lt;D xsi:type="xsd:double"&gt;13.0295820869938&lt;/D&gt;&lt;D xsi:type="xsd:double"&gt;12.8959553470743&lt;/D&gt;&lt;D xsi:type="xsd:double"&gt;12.1164618282965&lt;/D&gt;&lt;D xsi:type="xsd:double"&gt;12.5387716349084&lt;/D&gt;&lt;D xsi:type="xsd:double"&gt;13.1799743872961&lt;/D&gt;&lt;D xsi:type="xsd:double"&gt;14.3910101920901&lt;/D&gt;&lt;D xsi:type="xsd:double"&gt;13.7069051617123&lt;/D&gt;&lt;D xsi:type="xsd:double"&gt;13.3335914918286&lt;/D&gt;&lt;D xsi:type="xsd:double"&gt;13.1922994711031&lt;/D&gt;&lt;D xsi:type="xsd:double"&gt;11.1877092856412&lt;/D&gt;&lt;D xsi:type="xsd:double"&gt;11.302178808262&lt;/D&gt;&lt;D xsi:type="xsd:double"&gt;11.0730234981278&lt;/D&gt;&lt;D xsi:type="xsd:double"&gt;10.2668903779705&lt;/D&gt;&lt;D xsi:type="xsd:double"&gt;10.2882227133676&lt;/D&gt;&lt;D xsi:type="xsd:double"&gt;9.98627701498783&lt;/D&gt;&lt;D xsi:type="xsd:double"&gt;9.97105865366305&lt;/D&gt;&lt;D xsi:type="xsd:double"&gt;10.359279132944&lt;/D&gt;&lt;D xsi:type="xsd:double"&gt;9.7618643234114&lt;/D&gt;&lt;D xsi:type="xsd:double"&gt;9.47740638675248&lt;/D&gt;&lt;D xsi:type="xsd:double"&gt;9.32976439480441&lt;/D&gt;&lt;D xsi:type="xsd:double"&gt;9.07302297298051&lt;/D&gt;&lt;D xsi:type="xsd:double"&gt;8.86945909730856&lt;/D&gt;&lt;D xsi:type="xsd:double"&gt;8.22442362009165&lt;/D&gt;&lt;D xsi:type="xsd:double"&gt;8.37536520064111&lt;/D&gt;&lt;D xsi:type="xsd:double"&gt;8.8263395995533&lt;/D&gt;&lt;D xsi:type="xsd:double"&gt;8.54525367082971&lt;/D&gt;&lt;D xsi:type="xsd:double"&gt;9.00121681783309&lt;/D&gt;&lt;D xsi:type="xsd:double"&gt;10.6267059587984&lt;/D&gt;&lt;D xsi:type="xsd:double"&gt;10.8319607225355&lt;/D&gt;&lt;D xsi:type="xsd:double"&gt;11.3974391194373&lt;/D&gt;&lt;D xsi:type="xsd:double"&gt;12.7552557205022&lt;/D&gt;&lt;D xsi:type="xsd:double"&gt;12.886404347819&lt;/D&gt;&lt;D xsi:type="xsd:double"&gt;14.1939567084393&lt;/D&gt;&lt;D xsi:type="xsd:double"&gt;12.9820868652525&lt;/D&gt;&lt;D xsi:type="xsd:double"&gt;12.7001096037554&lt;/D&gt;&lt;D xsi:type="xsd:double"&gt;12.0568282506115&lt;/D&gt;&lt;D xsi:type="xsd:double"&gt;11.0704133876981&lt;/D&gt;&lt;D xsi:type="xsd:double"&gt;11.1891894268585&lt;/D&gt;&lt;D xsi:type="xsd:double"&gt;10.4200481796931&lt;/D&gt;&lt;D xsi:type="xsd:double"&gt;10.1502273412658&lt;/D&gt;&lt;D xsi:type="xsd:double"&gt;10.1426844678323&lt;/D&gt;&lt;D xsi:type="xsd:double"&gt;9.45987650327468&lt;/D&gt;&lt;D xsi:type="xsd:double"&gt;10.4602769276907&lt;/D&gt;&lt;D xsi:type="xsd:double"&gt;10.5116115922022&lt;/D&gt;&lt;D xsi:type="xsd:double"&gt;10.2084010963625&lt;/D&gt;&lt;/FQL&gt;&lt;FQL&gt;&lt;Q&gt;CPALM-FDS^FG_PRICE_MAVG(0,,,,30)&lt;/Q&gt;&lt;R&gt;1&lt;/R&gt;&lt;C&gt;1&lt;/C&gt;&lt;D xsi:type="xsd:double"&gt;4351.533&lt;/D&gt;&lt;/FQL&gt;&lt;FQL&gt;&lt;Q&gt;COPP-FDS^FG_PRICE_CHANGE(0,-6AM)&lt;/Q&gt;&lt;R&gt;1&lt;/R&gt;&lt;C&gt;1&lt;/C&gt;&lt;D xsi:type="xsd:double"&gt;23.9670575097711&lt;/D&gt;&lt;/FQL&gt;&lt;FQL&gt;&lt;Q&gt;FC0000CN^FG_PRICE(0)&lt;/Q&gt;&lt;R&gt;1&lt;/R&gt;&lt;C&gt;1&lt;/C&gt;&lt;D xsi:type="xsd:double"&gt;249.65451&lt;/D&gt;&lt;/FQL&gt;&lt;FQL&gt;&lt;Q&gt;FC0000PE^FG_PRICE(0)&lt;/Q&gt;&lt;R&gt;1&lt;/R&gt;&lt;C&gt;1&lt;/C&gt;&lt;D xsi:type="xsd:double"&gt;758.6872&lt;/D&gt;&lt;/FQL&gt;&lt;FQL&gt;&lt;Q&gt;UAE^FG_PRICE(0)&lt;/Q&gt;&lt;R&gt;1&lt;/R&gt;&lt;C&gt;1&lt;/C&gt;&lt;D xsi:type="xsd:double"&gt;14.58&lt;/D&gt;&lt;/FQL&gt;&lt;FQL&gt;&lt;Q&gt;INDA^FG_PRICE_MAVG(0,,,,60)&lt;/Q&gt;&lt;R&gt;1&lt;/R&gt;&lt;C&gt;1&lt;/C&gt;&lt;D xsi:type="xsd:double"&gt;51.051167&lt;/D&gt;&lt;/FQL&gt;&lt;FQL&gt;&lt;Q&gt;EPOL^FG_PRICE_MAVG(0,,,,60)&lt;/Q&gt;&lt;R&gt;1&lt;/R&gt;&lt;C&gt;1&lt;/C&gt;&lt;D xsi:type="xsd:double"&gt;23.0205&lt;/D&gt;&lt;/FQL&gt;&lt;FQL&gt;&lt;Q&gt;VNM^PERCENT_CHANGE(FMA_EPS(+1,0,,,,"PORTAGG","MEAN"),FMA_EPS(+1,-1AM,,,,"PORTAGG","MEAN"))&lt;/Q&gt;&lt;R&gt;1&lt;/R&gt;&lt;C&gt;1&lt;/C&gt;&lt;D xsi:type="xsd:double"&gt;-1.66599710408366&lt;/D&gt;&lt;/FQL&gt;&lt;FQL&gt;&lt;Q&gt;QAT^PERCENT_CHANGE(FMA_EPS(+1,0,,,,"PORTAGG","MEAN"),FMA_EPS(+1,-3AM,,,,"PORTAGG","MEAN"))&lt;/Q&gt;&lt;R&gt;1&lt;/R&gt;&lt;C&gt;1&lt;/C&gt;&lt;D xsi:type="xsd:double"&gt;3.6006397208674&lt;/D&gt;&lt;/FQL&gt;&lt;FQL&gt;&lt;Q&gt;EZA^FG_TOTAL_RETURNC(0,-1AM)&lt;/Q&gt;&lt;R&gt;1&lt;/R&gt;&lt;C&gt;1&lt;/C&gt;&lt;D xsi:type="xsd:double"&gt;1.9179463&lt;/D&gt;&lt;/FQL&gt;&lt;FQL&gt;&lt;Q&gt;EWT^FG_TOTAL_RETURNC(0,-1AM)&lt;/Q&gt;&lt;R&gt;1&lt;/R&gt;&lt;C&gt;1&lt;/C&gt;&lt;D xsi:type="xsd:double"&gt;-3.4931839&lt;/D&gt;&lt;/FQL&gt;&lt;FQL&gt;&lt;Q&gt;EPU^FG_TOTAL_RETURNC(0,-1AM)&lt;/Q&gt;&lt;R&gt;1&lt;/R&gt;&lt;C&gt;1&lt;/C&gt;&lt;D xsi:type="xsd:double"&gt;2.4139762&lt;/D&gt;&lt;/FQL&gt;&lt;FQL&gt;&lt;Q&gt;ECH^FG_TOTAL_RETURNC(0,-3AM)&lt;/Q&gt;&lt;R&gt;1&lt;/R&gt;&lt;C&gt;1&lt;/C&gt;&lt;D xsi:type="xsd:double"&gt;3.7519813&lt;/D&gt;&lt;/FQL&gt;&lt;FQL&gt;&lt;Q&gt;SPY^PERCENT_CHANGE(FMA_EPS(+1,0,,,,"PORTAGG","MEAN"),FMA_EPS(+1,-1AM,,,,"PORTAGG","MEAN"))&lt;/Q&gt;&lt;R&gt;1&lt;/R&gt;&lt;C&gt;1&lt;/C&gt;&lt;D xsi:type="xsd:double"&gt;-0.212579606823208&lt;/D&gt;&lt;/FQL&gt;&lt;FQL&gt;&lt;Q&gt;UAE^SIZE(FG_CONSTITUENTS)&lt;/Q&gt;&lt;R&gt;1&lt;/R&gt;&lt;C&gt;1&lt;/C&gt;&lt;D xsi:type="xsd:long"&gt;42&lt;/D&gt;&lt;/FQL&gt;&lt;FQL&gt;&lt;Q&gt;EWT^FMA_COS_UP("EPS","1M",+1,NOW,,,"PORTAGG","MEANR")&lt;/Q&gt;&lt;R&gt;1&lt;/R&gt;&lt;C&gt;1&lt;/C&gt;&lt;D xsi:type="xsd:double"&gt;30&lt;/D&gt;&lt;/FQL&gt;&lt;FQL&gt;&lt;Q&gt;CNYA^SIZE(FG_CONSTITUENTS)&lt;/Q&gt;&lt;R&gt;1&lt;/R&gt;&lt;C&gt;1&lt;/C&gt;&lt;D xsi:type="xsd:long"&gt;519&lt;/D&gt;&lt;/FQL&gt;&lt;FQL&gt;&lt;Q&gt;CC_IN^IMF_IFS_RCPI_Q(0)&lt;/Q&gt;&lt;R&gt;0&lt;/R&gt;&lt;C&gt;0&lt;/C&gt;&lt;/FQL&gt;&lt;FQL&gt;&lt;Q&gt;VWO^FMA_DIV_YLD(NTMA,NOW,NOW,M,"PORTAGG","MEANR")&lt;/Q&gt;&lt;R&gt;1&lt;/R&gt;&lt;C&gt;1&lt;/C&gt;&lt;D xsi:type="xsd:double"&gt;3.0627682456432&lt;/D&gt;&lt;/FQL&gt;&lt;FQL&gt;&lt;Q&gt;CAGDPY@MX^EE_ACTUAL_ANNUAL(MED,+1)&lt;/Q&gt;&lt;R&gt;1&lt;/R&gt;&lt;C&gt;1&lt;/C&gt;&lt;D xsi:type="xsd:double"&gt;-0.6&lt;/D&gt;&lt;/FQL&gt;&lt;FQL&gt;&lt;Q&gt;USDTHB^FG_PRICE_CHANGE(0,-1AM)&lt;/Q&gt;&lt;R&gt;1&lt;/R&gt;&lt;C&gt;1&lt;/C&gt;&lt;D xsi:type="xsd:double"&gt;2.1887183&lt;/D&gt;&lt;/FQL&gt;&lt;FQL&gt;&lt;Q&gt;USDBRL^STD(FG_PRICE_CHANGE(0,-3AY,M))&lt;/Q&gt;&lt;R&gt;1&lt;/R&gt;&lt;C&gt;1&lt;/C&gt;&lt;D xsi:type="xsd:double"&gt;3.65622958298914&lt;/D&gt;&lt;/FQL&gt;&lt;FQL&gt;&lt;Q&gt;USDMXN^FG_PRICE_CHANGE(0,-1AM)&lt;/Q&gt;&lt;R&gt;1&lt;/R&gt;&lt;C&gt;1&lt;/C&gt;&lt;D xsi:type="xsd:double"&gt;1.800394&lt;/D&gt;&lt;/FQL&gt;&lt;FQL&gt;&lt;Q&gt;USDIDR^STD(FG_PRICE_CHANGE(0,-3AY,M))&lt;/Q&gt;&lt;R&gt;1&lt;/R&gt;&lt;C&gt;1&lt;/C&gt;&lt;D xsi:type="xsd:double"&gt;1.52265888578139&lt;/D&gt;&lt;/FQL&gt;&lt;FQL&gt;&lt;Q&gt;USDCNH^FG_PRICE_CHANGE(0,-1AM)&lt;/Q&gt;&lt;R&gt;1&lt;/R&gt;&lt;C&gt;1&lt;/C&gt;&lt;D xsi:type="xsd:double"&gt;0.6084442&lt;/D&gt;&lt;/FQL&gt;&lt;FQL&gt;&lt;Q&gt;EIDO^P_PRICE_RETURNS_PR('52W',2,-10AY,0,AM)&lt;/Q&gt;&lt;R&gt;121&lt;/R&gt;&lt;C&gt;1&lt;/C&gt;&lt;D xsi:type="xsd:double"&gt;-16.879822&lt;/D&gt;&lt;D xsi:type="xsd:double"&gt;-14.506662&lt;/D&gt;&lt;D xsi:type="xsd:double"&gt;-15.671891&lt;/D&gt;&lt;D xsi:type="xsd:double"&gt;-3.0098677&lt;/D&gt;&lt;D xsi:type="xsd:double"&gt;5.814004&lt;/D&gt;&lt;D xsi:type="xsd:double"&gt;3.1778336&lt;/D&gt;&lt;D xsi:type="xsd:double"&gt;2.7158022&lt;/D&gt;&lt;D xsi:type="xsd:double"&gt;15.9970045&lt;/D&gt;&lt;D xsi:type="xsd:double"&gt;20.937109&lt;/D&gt;&lt;D xsi:type="xsd:double"&gt;16.170097&lt;/D&gt;&lt;D xsi:type="xsd:double"&gt;11.640131&lt;/D&gt;&lt;D xsi:type="xsd:double"&gt;-2.5187314&lt;/D&gt;&lt;D xsi:type="xsd:double"&gt;-1.3202131&lt;/D&gt;&lt;D xsi:type="xsd:double"&gt;-11.391581&lt;/D&gt;&lt;D xsi:type="xsd:double"&gt;-9.153975&lt;/D&gt;&lt;D xsi:type="xsd:double"&gt;-16.00566&lt;/D&gt;&lt;D xsi:type="xsd:double"&gt;-29.075182&lt;/D&gt;&lt;D xsi:type="xsd:double"&gt;-33.41984&lt;/D&gt;&lt;D xsi:type="xsd:double"&gt;-17.218655&lt;/D&gt;&lt;D xsi:type="xsd:double"&gt;-24.061691&lt;/D&gt;&lt;D xsi:type="xsd:double"&gt;-23.34903&lt;/D&gt;&lt;D xsi:type="xsd:double"&gt;-23.15082&lt;/D&gt;&lt;D xsi:type="xsd:double"&gt;-16.156942&lt;/D&gt;&lt;D xsi:type="xsd:double"&gt;-11.063093&lt;/D&gt;&lt;D xsi:type="xsd:double"&gt;-12.108332&lt;/D&gt;&lt;D xsi:type="xsd:double"&gt;-13.771725&lt;/D&gt;&lt;D xsi:type="xsd:double"&gt;-2.5050163&lt;/D&gt;&lt;D xsi:type="xsd:double"&gt;9.918213&lt;/D&gt;&lt;D xsi:type="xsd:double"&gt;33.206142&lt;/D&gt;&lt;D xsi:type="xsd:double"&gt;36.243893&lt;/D&gt;&lt;D xsi:type="xsd:double"&gt;26.602543&lt;/D&gt;&lt;D xsi:type="xsd:double"&gt;15.677631&lt;/D&gt;&lt;D xsi:type="xsd:double"&gt;16.053593&lt;/D&gt;&lt;D xsi:type="xsd:double"&gt;22.236084&lt;/D&gt;&lt;D xsi:type="xsd:double"&gt;7.5850606&lt;/D&gt;&lt;D xsi:type="xsd:double"&gt;6.7329288&lt;/D&gt;&lt;D xsi:type="xsd:double"&gt;9.751951&lt;/D&gt;&lt;D xsi:type="xsd:double"&gt;19.817019&lt;/D&gt;&lt;D xsi:type="xsd:double"&gt;18.341887&lt;/D&gt;&lt;D xsi:type="xsd:double"&gt;8.505476&lt;/D&gt;&lt;D xsi:type="xsd:double"&gt;2.5845885&lt;/D&gt;&lt;D xsi:type="xsd:double"&gt;6.793022&lt;/D&gt;&lt;D xsi:type="xsd:double"&gt;1.8322349&lt;/D&gt;&lt;D xsi:type="xsd:double"&gt;14.54624&lt;/D&gt;&lt;D xsi:type="xsd:double"&gt;16.542625&lt;/D&gt;&lt;D xsi:type="xsd:double"&gt;23.538076&lt;/D&gt;&lt;D xsi:type="xsd:double"&gt;23.031664&lt;/D&gt;&lt;D xsi:type="xsd:double"&gt;8.805561&lt;/D&gt;&lt;D xsi:type="xsd:double"&gt;8.103299&lt;/D&gt;&lt;D xsi:type="xsd:double"&gt;-7.7500105&lt;/D&gt;&lt;D xsi:type="xsd:double"&gt;-9.679186&lt;/D&gt;&lt;D xsi:type="xsd:double"&gt;-11.680317&lt;/D&gt;&lt;D xsi:type="xsd:double"&gt;-13.137513&lt;/D&gt;&lt;D xsi:type="xsd:double"&gt;-14.561921&lt;/D&gt;&lt;D xsi:type="xsd:double"&gt;-17.937416&lt;/D&gt;&lt;D xsi:type="xsd:double"&gt;-6.7971888&lt;/D&gt;&lt;D xsi:type="xsd:double"&gt;-7.6039076&lt;/D&gt;&lt;D xsi:type="xsd:double"&gt;-6.758255&lt;/D&gt;&lt;D xsi:type="xsd:double"&gt;-11.430788&lt;/D&gt;&lt;D xsi:type="xsd:double"&gt;-2.2922516&lt;/D&gt;&lt;D xsi:type="xsd:double"&gt;-1.477021&lt;/D&gt;&lt;D xsi:type="xsd:double"&gt;-6.425947&lt;/D&gt;&lt;D xsi:type="xsd:double"&gt;9.156084&lt;/D&gt;&lt;D xsi:type="xsd:double"&gt;15.5444145&lt;/D&gt;&lt;D xsi:type="xsd:double"&gt;11.4826565&lt;/D&gt;&lt;D xsi:type="xsd:double"&gt;15.019512&lt;/D&gt;&lt;D xsi:type="xsd:double"&gt;18.338097&lt;/D&gt;&lt;D xsi:type="xsd:double"&gt;2.1562696&lt;/D&gt;&lt;D xsi:type="xsd:double"&gt;5.273533&lt;/D&gt;&lt;D xsi:type="xsd:double"&gt;0.30794144&lt;/D&gt;&lt;D xsi:type="xsd:double"&gt;-5.0046325&lt;/D&gt;&lt;D xsi:type="xsd:double"&gt;-43.961506&lt;/D&gt;&lt;D xsi:type="xsd:double"&gt;-40.599586&lt;/D&gt;&lt;D xsi:type="xsd:double"&gt;-26.113152&lt;/D&gt;&lt;D xsi:type="xsd:double"&gt;-25.7128&lt;/D&gt;&lt;D xsi:type="xsd:double"&gt;-27.521587&lt;/D&gt;&lt;D xsi:type="xsd:double"&gt;-19.498516&lt;/D&gt;&lt;D xsi:type="xsd:double"&gt;-27.947014&lt;/D&gt;&lt;D xsi:type="xsd:double"&gt;-24.73188&lt;/D&gt;&lt;D xsi:type="xsd:double"&gt;-11.198288&lt;/D&gt;&lt;D xsi:type="xsd:double"&gt;-4.6614647&lt;/D&gt;&lt;D xsi:type="xsd:double"&gt;-4.4947805&lt;/D&gt;&lt;D xsi:type="xsd:double"&gt;-1.4464915&lt;/D&gt;&lt;D xsi:type="xsd:double"&gt;61.154793&lt;/D&gt;&lt;D xsi:type="xsd:double"&gt;51.92512&lt;/D&gt;&lt;D xsi:type="xsd:double"&gt;34.237957&lt;/D&gt;&lt;D xsi:type="xsd:double"&gt;12.653744&lt;/D&gt;&lt;D xsi:type="xsd:double"&gt;7.829237&lt;/D&gt;&lt;D xsi:type="xsd:double"&gt;7.340586&lt;/D&gt;&lt;D xsi:type="xsd:double"&gt;18.754887&lt;/D&gt;&lt;D xsi:type="xsd:double"&gt;35.839867&lt;/D&gt;&lt;D xsi:type="xsd:double"&gt;10.038149&lt;/D&gt;&lt;D xsi:type="xsd:double"&gt;-4.1231275&lt;/D&gt;&lt;D xsi:type="xsd:doubl</t>
        </r>
      </text>
    </comment>
    <comment ref="A7" authorId="0" shapeId="0" xr:uid="{F9080994-0889-4E4E-9C86-655446841DB6}">
      <text>
        <r>
          <rPr>
            <b/>
            <sz val="9"/>
            <color indexed="81"/>
            <rFont val="Tahoma"/>
            <charset val="1"/>
          </rPr>
          <t>e"&gt;-4.695928&lt;/D&gt;&lt;D xsi:type="xsd:double"&gt;3.6345243&lt;/D&gt;&lt;D xsi:type="xsd:double"&gt;8.4454775&lt;/D&gt;&lt;D xsi:type="xsd:double"&gt;14.227713&lt;/D&gt;&lt;D xsi:type="xsd:double"&gt;10.15451&lt;/D&gt;&lt;D xsi:type="xsd:double"&gt;8.916271&lt;/D&gt;&lt;D xsi:type="xsd:double"&gt;9.191179&lt;/D&gt;&lt;D xsi:type="xsd:double"&gt;16.591&lt;/D&gt;&lt;D xsi:type="xsd:double"&gt;15.499711&lt;/D&gt;&lt;D xsi:type="xsd:double"&gt;-6.0098944&lt;/D&gt;&lt;D xsi:type="xsd:double"&gt;0.6941438&lt;/D&gt;&lt;D xsi:type="xsd:double"&gt;1.5424132&lt;/D&gt;&lt;D xsi:type="xsd:double"&gt;0.65516233&lt;/D&gt;&lt;D xsi:type="xsd:double"&gt;-0.5267143&lt;/D&gt;&lt;D xsi:type="xsd:double"&gt;-8.317542&lt;/D&gt;&lt;D xsi:type="xsd:double"&gt;-0.7124126&lt;/D&gt;&lt;D xsi:type="xsd:double"&gt;3.2710552&lt;/D&gt;&lt;D xsi:type="xsd:double"&gt;4.499638&lt;/D&gt;&lt;D xsi:type="xsd:double"&gt;12.013531&lt;/D&gt;&lt;D xsi:type="xsd:double"&gt;-1.4765799&lt;/D&gt;&lt;D xsi:type="xsd:double"&gt;-3.5657823&lt;/D&gt;&lt;D xsi:type="xsd:double"&gt;-2.907455&lt;/D&gt;&lt;D xsi:type="xsd:double"&gt;-2.699083&lt;/D&gt;&lt;D xsi:type="xsd:double"&gt;-2.0956516&lt;/D&gt;&lt;D xsi:type="xsd:double"&gt;0.89787245&lt;/D&gt;&lt;D xsi:type="xsd:double"&gt;0.46856403&lt;/D&gt;&lt;D xsi:type="xsd:double"&gt;6.1258197&lt;/D&gt;&lt;D xsi:type="xsd:double"&gt;-10.360694&lt;/D&gt;&lt;/FQL&gt;&lt;FQL&gt;&lt;Q&gt;EPOL^FG_TOTAL_RETURNC(-10AY,0,AM)&lt;/Q&gt;&lt;R&gt;121&lt;/R&gt;&lt;C&gt;1&lt;/C&gt;&lt;D xsi:type="xsd:double"&gt;1.735878&lt;/D&gt;&lt;D xsi:type="xsd:double"&gt;-2.1077275&lt;/D&gt;&lt;D xsi:type="xsd:double"&gt;5.1606297&lt;/D&gt;&lt;D xsi:type="xsd:double"&gt;-4.3734255&lt;/D&gt;&lt;D xsi:type="xsd:double"&gt;-0.03427267&lt;/D&gt;&lt;D xsi:type="xsd:double"&gt;-0.82276464&lt;/D&gt;&lt;D xsi:type="xsd:double"&gt;-6.0490847&lt;/D&gt;&lt;D xsi:type="xsd:double"&gt;0.073587894&lt;/D&gt;&lt;D xsi:type="xsd:double"&gt;-6.1544657&lt;/D&gt;&lt;D xsi:type="xsd:double"&gt;-9.699398&lt;/D&gt;&lt;D xsi:type="xsd:double"&gt;5.3040385&lt;/D&gt;&lt;D xsi:type="xsd:double"&gt;-1.4541686&lt;/D&gt;&lt;D xsi:type="xsd:double"&gt;5.9880257&lt;/D&gt;&lt;D xsi:type="xsd:double"&gt;4.963684&lt;/D&gt;&lt;D xsi:type="xsd:double"&gt;-8.535176&lt;/D&gt;&lt;D xsi:type="xsd:double"&gt;-3.7788212&lt;/D&gt;&lt;D xsi:type="xsd:double"&gt;-3.9665043&lt;/D&gt;&lt;D xsi:type="xsd:double"&gt;-0.27536154&lt;/D&gt;&lt;D xsi:type="xsd:double"&gt;1.5646577&lt;/D&gt;&lt;D xsi:type="xsd:double"&gt;-11.146349&lt;/D&gt;&lt;D xsi:type="xsd:double"&gt;-7.2412014&lt;/D&gt;&lt;D xsi:type="xsd:double"&gt;-9.5640545&lt;/D&gt;&lt;D xsi:type="xsd:double"&gt;10.104752&lt;/D&gt;&lt;D xsi:type="xsd:double"&gt;10.1287&lt;/D&gt;&lt;D xsi:type="xsd:double"&gt;-1.6260147&lt;/D&gt;&lt;D xsi:type="xsd:double"&gt;-8.729339&lt;/D&gt;&lt;D xsi:type="xsd:double"&gt;-3.735143&lt;/D&gt;&lt;D xsi:type="xsd:double"&gt;3.0079246&lt;/D&gt;&lt;D xsi:type="xsd:double"&gt;7.7803254&lt;/D&gt;&lt;D xsi:type="xsd:double"&gt;-3.980893&lt;/D&gt;&lt;D xsi:type="xsd:double"&gt;-1.7689288&lt;/D&gt;&lt;D xsi:type="xsd:double"&gt;-6.8655133&lt;/D&gt;&lt;D xsi:type="xsd:double"&gt;9.335351&lt;/D&gt;&lt;D xsi:type="xsd:double"&gt;7.7239394&lt;/D&gt;&lt;D xsi:type="xsd:double"&gt;9.937239&lt;/D&gt;&lt;D xsi:type="xsd:double"&gt;7.040906&lt;/D&gt;&lt;D xsi:type="xsd:double"&gt;-2.2666693&lt;/D&gt;&lt;D xsi:type="xsd:double"&gt;6.457484&lt;/D&gt;&lt;D xsi:type="xsd:double"&gt;2.1785617&lt;/D&gt;&lt;D xsi:type="xsd:double"&gt;6.9666862&lt;/D&gt;&lt;D xsi:type="xsd:double"&gt;-0.3137231&lt;/D&gt;&lt;D xsi:type="xsd:double"&gt;6.018889&lt;/D&gt;&lt;D xsi:type="xsd:double"&gt;0.8534312&lt;/D&gt;&lt;D xsi:type="xsd:double"&gt;-2.0971298&lt;/D&gt;&lt;D xsi:type="xsd:double"&gt;1.2777209&lt;/D&gt;&lt;D xsi:type="xsd:double"&gt;10.54852&lt;/D&gt;&lt;D xsi:type="xsd:double"&gt;-5.7639837&lt;/D&gt;&lt;D xsi:type="xsd:double"&gt;-7.5280485&lt;/D&gt;&lt;D xsi:type="xsd:double"&gt;3.581214&lt;/D&gt;&lt;D xsi:type="xsd:double"&gt;-11.543549&lt;/D&gt;&lt;D xsi:type="xsd:double"&gt;-4.8697114&lt;/D&gt;&lt;D xsi:type="xsd:double"&gt;0.9340644&lt;/D&gt;&lt;D xsi:type="xsd:double"&gt;2.183032&lt;/D&gt;&lt;D xsi:type="xsd:double"&gt;1.5686274&lt;/D&gt;&lt;D xsi:type="xsd:double"&gt;-4.4615984&lt;/D&gt;&lt;D xsi:type="xsd:double"&gt;-0.22452474&lt;/D&gt;&lt;D xsi:type="xsd:double"&gt;6.853986&lt;/D&gt;&lt;D xsi:type="xsd:double"&gt;2.4327755&lt;/D&gt;&lt;D xsi:type="xsd:double"&gt;-3.7499964&lt;/D&gt;&lt;D xsi:type="xsd:double"&gt;2.7272701&lt;/D&gt;&lt;D xsi:type="xsd:double"&gt;-0.5899668&lt;/D&gt;&lt;D xsi:type="xsd:double"&gt;-9.580332&lt;/D&gt;&lt;D xsi:type="xsd:double"&gt;9.33466&lt;/D&gt;&lt;D xsi:type="xsd:double"&gt;1.2457013&lt;/D&gt;&lt;D xsi:type="xsd:double"&gt;-13.491726&lt;/D&gt;&lt;D xsi:type="xsd:double"&gt;4.9534082&lt;/D&gt;&lt;D xsi:type="xsd:double"&gt;0.6074786&lt;/D&gt;&lt;D xsi:type="xsd:double"&gt;1.8578768&lt;/D&gt;&lt;D xsi:type="xsd:double"&gt;-3.2404482&lt;/D&gt;&lt;D xsi:type="xsd:double"&gt;4.0038586&lt;/D&gt;&lt;D xsi:type="xsd:double"&gt;-7.3283854&lt;/D&gt;&lt;D xsi:type="xsd:double"&gt;-35.83584&lt;/D&gt;&lt;D xsi:type="xsd:double"&gt;16.692675&lt;/D&gt;&lt;D xsi:type="xsd:double"&gt;0.06684065&lt;/D&gt;&lt;D xsi:type="xsd:double"&gt;14.662385&lt;/D&gt;&lt;D xsi:type="xsd:double"&gt;1.2948751&lt;/D&gt;&lt;D xsi:type="xsd:double"&gt;8.541548&lt;/D&gt;&lt;D xsi:type="xsd:double"&gt;-8.458244&lt;/D&gt;&lt;D xsi:type="xsd:double"&gt;-8.070177&lt;/D&gt;&lt;D xsi:type="xsd:double"&gt;10.687017&lt;/D&gt;&lt;D xsi:type="xsd:double"&gt;10.399019&lt;/D&gt;&lt;D xsi:type="xsd:double"&gt;0.47096014&lt;/D&gt;&lt;D xsi:type="xsd:double"&gt;2.3958325&lt;/D&gt;&lt;D xsi:type="xsd:double"&gt;-6.7141414&lt;/D&gt;&lt;D xsi:type="xsd:double"&gt;7.360959&lt;/D&gt;&lt;D xsi:type="xsd:double"&gt;8.176732&lt;/D&gt;&lt;D xsi:type="xsd:double"&gt;0.552845&lt;/D&gt;&lt;D xsi:type="xsd:double"&gt;0.8427024&lt;/D&gt;&lt;D xsi:type="xsd:double"&gt;1.0213494&lt;/D&gt;&lt;D xsi:type="xsd:double"&gt;3.9751768&lt;/D&gt;&lt;D xsi:type="xsd:double"&gt;4.839778&lt;/D&gt;&lt;D xsi:type="xsd:double"&gt;-10.666102&lt;/D&gt;&lt;D xsi:type="xsd:double"&gt;-4.4587555&lt;/D&gt;&lt;D xsi:type="xsd:double"&gt;9.685469&lt;/D&gt;&lt;D xsi:type="xsd:double"&gt;-7.8743696&lt;/D&gt;&lt;D xsi:type="xsd:double"&gt;-8.00395&lt;/D&gt;&lt;D xsi:type="xsd:double"&gt;-1.6648829&lt;/D&gt;&lt;D xsi:type="xsd:double"&gt;-16.602945&lt;/D&gt;&lt;D xsi:type="xsd:double"&gt;-4.046279&lt;/D&gt;&lt;D xsi:type="xsd:double"&gt;-7.4380217&lt;/D&gt;&lt;D xsi:type="xsd:double"&gt;4.241073&lt;/D&gt;&lt;D xsi:type="xsd:double"&gt;-11.634546&lt;/D&gt;&lt;D xsi:type="xsd:double"&gt;-8.077544&lt;/D&gt;&lt;D xsi:type="xsd:double"&gt;27.065027&lt;/D&gt;&lt;D xsi:type="xsd:double"&gt;4.921055&lt;/D&gt;&lt;D xsi:type="xsd:double"&gt;9.792089&lt;/D&gt;&lt;D xsi:type="xsd:double"&gt;-2.7489364&lt;/D&gt;&lt;D xsi:type="xsd:double"&gt;-9.359294&lt;/D&gt;&lt;D xsi:type="xsd:double"&gt;18.364513&lt;/D&gt;&lt;D xsi:type="xsd:double"&gt;2.6346684&lt;/D&gt;&lt;D xsi:type="xsd:double"&gt;10.268105&lt;/D&gt;&lt;D xsi:type="xsd:double"&gt;8.691156&lt;/D&gt;&lt;D xsi:type="xsd:double"&gt;-8.281767&lt;/D&gt;&lt;D xsi:type="xsd:double"&gt;-8.718216&lt;/D&gt;&lt;D xsi:type="xsd:double"&gt;9.891987&lt;/D&gt;&lt;D xsi:type="xsd:double"&gt;11.63994&lt;/D&gt;&lt;D xsi:type="xsd:double"&gt;7.367933&lt;/D&gt;&lt;D xsi:type="xsd:double"&gt;-7.604575&lt;/D&gt;&lt;D xsi:type="xsd:double"&gt;8.798075&lt;/D&gt;&lt;D xsi:type="xsd:double"&gt;1.1047244&lt;/D&gt;&lt;D xsi:type="xsd:double"&gt;1.3111949&lt;/D&gt;&lt;/FQL&gt;&lt;FQL&gt;&lt;Q&gt;EWM^FMA_DIV_YLD(NTMA,-10AY,0,AM,"PORTAGG","MEANR")&lt;/Q&gt;&lt;R&gt;121&lt;/R&gt;&lt;C&gt;1&lt;/C&gt;&lt;D xsi:type="xsd:double"&gt;3.14882863843256&lt;/D&gt;&lt;D xsi:type="xsd:double"&gt;3.08975582904606&lt;/D&gt;&lt;D xsi:type="xsd:double"&gt;3.11044039496902&lt;/D&gt;&lt;D xsi:type="xsd:double"&gt;3.16335676240878&lt;/D&gt;&lt;D xsi:type="xsd:double"&gt;3.15948032587761&lt;/D&gt;&lt;D xsi:type="xsd:double"&gt;3.20470943953399&lt;/D&gt;&lt;D xsi:type="xsd:double"&gt;3.32039955973404&lt;/D&gt;&lt;D xsi:type="xsd:double"&gt;3.2316266775039&lt;/D&gt;&lt;D xsi:type="xsd:double"&gt;3.42558112382735&lt;/D&gt;&lt;D xsi:type="xsd:double"&gt;3.33722156553257&lt;/D&gt;&lt;D xsi:type="xsd:double"&gt;3.20782554978938&lt;/D&gt;&lt;D xsi:type="xsd:double"&gt;3.21927024065696&lt;/D&gt;&lt;D xsi:type="xsd:double"&gt;3.11955202298514&lt;/D&gt;&lt;D xsi:type="xsd:double"&gt;3.13759075575504&lt;/D&gt;&lt;D xsi:type="xsd:double"&gt;3.26945403503799&lt;/D&gt;&lt;D xsi:type="xsd:double"&gt;3.26838939866335&lt;/D&gt;&lt;D xsi:type="xsd:double"&gt;3.57494508667832&lt;/D&gt;&lt;D xsi:type="xsd:double"&gt;3.32251854989881&lt;/D&gt;&lt;D xsi:type="xsd:double"&gt;3.23668756770102&lt;/D&gt;&lt;D xsi:type="xsd:double"&gt;3.34023453987626&lt;/D&gt;&lt;D xsi:type="xsd:double"&gt;3.32358663965764&lt;/D&gt;&lt;D xsi:type="xsd:double"&gt;3.3660149057184&lt;/D&gt;&lt;D xsi:type="xsd:double"&gt;3.18950085814192&lt;/D&gt;&lt;D xsi:type="xsd:double"&gt;3.06189376987345&lt;/D&gt;&lt;D xsi:type="xsd:double"&gt;3.05920821481994&lt;/D&gt;&lt;D xsi:type="xsd:double"&gt;3.20720643346494&lt;/D&gt;&lt;D xsi:type="xsd:double"&gt;3.11021324790033&lt;/D&gt;&lt;D xsi:type="xsd:double"&gt;2.99922164404728&lt;/D&gt;&lt;D xsi:type="xsd:double"&gt;2.93205241183959&lt;/D&gt;&lt;D xsi:type="xsd:double"&gt;2.97779915014239&lt;/D&gt;&lt;D xsi:type="xsd:double"&gt;2.94225096679254&lt;/D&gt;&lt;D xsi:type="xsd:double"&gt;3.03990726498964&lt;/D&gt;&lt;D xsi:type="xsd:double"&gt;3.01651711946476&lt;/D&gt;&lt;D xsi:type="xsd:double"&gt;3.01454465372794&lt;/D&gt;&lt;D xsi:type="xsd:double"&gt;2.97325093281369&lt;/D&gt;&lt;D xsi:type="xsd:double"&gt;2.94845784079571&lt;/D&gt;&lt;D xsi:type="xsd:double"&gt;2.98730376674853&lt;/D&gt;&lt;D xsi:type="xsd:double"&gt;2.9721780765006&lt;/D&gt;&lt;D xsi:type="xsd:double"&gt;2.99392649609923&lt;/D&gt;&lt;D xsi:type="xsd:double"&gt;3.05868578649928&lt;/D&gt;&lt;D xsi:type="xsd:double"&gt;3.03402505619367&lt;/D&gt;&lt;D xsi:type="xsd:double"&gt;3.01079066510253&lt;/D&gt;&lt;D xsi:type="xsd:double"&gt;3.10036091364797&lt;/D&gt;&lt;D xsi:type="xsd:double"&gt;3.27652337705327&lt;/D&gt;&lt;D xsi:type="xsd:double"&gt;3.22836602288134&lt;/D&gt;&lt;D xsi:type="xsd:double"&gt;3.13508213014345&lt;/D&gt;&lt;D xsi:type="xsd:double"&gt;3.12739410808487&lt;/D&gt;&lt;D xsi:type="xsd:double"&gt;3.20470058384159&lt;/D&gt;&lt;D xsi:type="xsd:double"&gt;3.16199616061031&lt;/D&gt;&lt;D xsi:type="xsd:double"&gt;3.21354602640222&lt;/D&gt;&lt;D xsi:type="xsd:double"&gt;3.26957321367497&lt;/D&gt;&lt;D xsi:type="xsd:double"&gt;3.26937512020572&lt;/D&gt;&lt;D xsi:type="xsd:double"&gt;3.21645893118106&lt;/D&gt;&lt;D xsi:type="xsd:double"&gt;3.21482685461022&lt;/D&gt;&lt;D xsi:type="xsd:double"&gt;3.35126839885755&lt;/D&gt;&lt;D xsi:type="xsd:double"&gt;3.37207316241075&lt;/D&gt;&lt;D xsi:type="xsd:double"&gt;3.40308239141993&lt;/D&gt;&lt;D xsi:type="xsd:double"&gt;3.26177528153897&lt;/D&gt;&lt;D xsi:type="xsd:double"&gt;3.27511562896835&lt;/D&gt;&lt;D xsi:type="xsd:double"&gt;3.30088207228409&lt;/D&gt;&lt;D xsi:type="xsd:double"&gt;3.43011023912412&lt;/D&gt;&lt;D xsi:type="xsd:double"&gt;3.48138682310234&lt;/D&gt;&lt;D xsi:type="xsd:double"&gt;3.47458918955175&lt;/D&gt;&lt;D xsi:type="xsd:double"&gt;3.46674283335101&lt;/D&gt;&lt;D xsi:type="xsd:double"&gt;3.50213784290222&lt;/D&gt;&lt;D xsi:type="xsd:double"&gt;3.51217676843871&lt;/D&gt;&lt;D xsi:type="xsd:double"&gt;3.56058919570672&lt;/D&gt;&lt;D xsi:type="xsd:double"&gt;3.46376638338967&lt;/D&gt;&lt;D xsi:type="xsd:double"&gt;3.4598228712921&lt;/D&gt;&lt;D xsi:type="xsd:double"&gt;3.4776179405806&lt;/D&gt;&lt;D xsi:type="xsd:double"&gt;3.62383291623527&lt;/D&gt;&lt;D xsi:type="xsd:double"&gt;4.45793362316283&lt;/D&gt;&lt;D xsi:type="xsd:double"&gt;3.79158809559411&lt;/D&gt;&lt;D xsi:type="xsd:double"&gt;3.63572046371689&lt;/D&gt;&lt;D xsi:type="xsd:double"&gt;3.14113651779788&lt;/D&gt;&lt;D xsi:type="xsd:double"&gt;3.01159806566556&lt;/D&gt;&lt;D xsi:type="xsd:double"&gt;3.11897365373479&lt;/D&gt;&lt;D xsi:type="xsd:double"&gt;3.31059811467347&lt;/D&gt;&lt;D xsi:type="xsd:double"&gt;3.28114612562174&lt;/D&gt;&lt;D xsi:type="xsd:double"&gt;3.37796809424368&lt;/D&gt;&lt;D xsi:type="xsd:double"&gt;3.52123044183201&lt;/D&gt;&lt;D xsi:type="xsd:double"&gt;3.66358299940714&lt;/D&gt;&lt;D xsi:type="xsd:double"&gt;3.89760063082819&lt;/D&gt;&lt;D xsi:type="xsd:double"&gt;3.95644370206748&lt;/D&gt;&lt;D xsi:type="xsd:double"&gt;3.97056600076104&lt;/D&gt;&lt;D xsi:type="xsd:double"&gt;4.02258016506898&lt;/D&gt;&lt;D xsi:type="xsd:double"&gt;4.08307767919216&lt;/D&gt;&lt;D xsi:type="xsd:double"&gt;4.23565787967684&lt;/D&gt;&lt;D xsi:type="xsd:double"&gt;4.19366907550265&lt;/D&gt;&lt;D xsi:type="xsd:double"&gt;4.0275398182279&lt;/D&gt;&lt;D xsi:type="xsd:double"&gt;3.8590057134427&lt;/D&gt;&lt;D xsi:type="xsd:double"&gt;3.98190057135112&lt;/D&gt;&lt;D xsi:type="xsd:double"&gt;3.8899839430961&lt;/D&gt;&lt;D xsi:type="xsd:double"&gt;3.78035584355988&lt;/D&gt;&lt;D xsi:type="xsd:double"&gt;3.74794527755405&lt;/D&gt;&lt;D xsi:type="xsd:double"&gt;3.7968014489606&lt;/D&gt;&lt;D xsi:type="xsd:double"&gt;3.85697585923204&lt;/D&gt;&lt;D xsi:type="xsd:double"&gt;3.97656069018562&lt;/D&gt;&lt;D xsi:type="xsd:double"&gt;4.18764858043459&lt;/D&gt;&lt;D xsi:type="xsd:double"&gt;4.22531511121931&lt;/D&gt;&lt;D xsi:type="xsd:double"&gt;4.01022942636194&lt;/D&gt;&lt;D xsi:type="xsd:double"&gt;4.20075833309293&lt;/D&gt;&lt;D xsi:type="xsd:double"&gt;4.42323103345649&lt;/D&gt;&lt;D xsi:type="xsd:double"&gt;4.25464269602814&lt;/D&gt;&lt;D xsi:type="xsd:double"&gt;4.21580120914529&lt;/D&gt;&lt;D xsi:type="xsd:double"&gt;4.17952632475647&lt;/D&gt;&lt;D xsi:type="xsd:double"&gt;4.26347902490129&lt;/D&gt;&lt;D xsi:type="xsd:double"&gt;4.48792096505664&lt;/D&gt;&lt;D xsi:type="xsd:double"&gt;4.3948076189119&lt;/D&gt;&lt;D xsi:type="xsd:double"&gt;4.39604279995242&lt;/D&gt;&lt;D xsi:type="xsd:double"&gt;4.41759034542153&lt;/D&gt;&lt;D xsi:type="xsd:double"&gt;4.38904066575583&lt;/D&gt;&lt;D xsi:type="xsd:double"&gt;4.27812633795245&lt;/D&gt;&lt;D xsi:type="xsd:double"&gt;4.26816702193783&lt;/D&gt;&lt;D xsi:type="xsd:double"&gt;4.29616544294345&lt;/D&gt;&lt;D xsi:type="xsd:double"&gt;4.26794204992551&lt;/D&gt;&lt;D xsi:type="xsd:double"&gt;4.26897649880477&lt;/D&gt;&lt;D xsi:type="xsd:double"&gt;4.30515945814183&lt;/D&gt;&lt;D xsi:type="xsd:double"&gt;4.16927208106755&lt;/D&gt;&lt;D xsi:type="xsd:double"&gt;4.12282302776884&lt;/D&gt;&lt;D xsi:type="xsd:double"&gt;4.20152968840786&lt;/D&gt;&lt;/FQL&gt;&lt;FQL&gt;&lt;Q&gt;EWW^FMA_PE(LTMA,-10AY,0,AM,"PORTAGG","MEANR")&lt;/Q&gt;&lt;R&gt;121&lt;/R&gt;&lt;C&gt;1&lt;/C&gt;&lt;D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xsi:type="xsd:double"&gt;22.1994685523522&lt;/D&gt;&lt;D xsi:type="xsd:double"&gt;23.9041990850408&lt;/D&gt;&lt;D xsi:type="xsd:double"&gt;24.7277604672983&lt;/D&gt;&lt;D xsi:type="xsd:double"&gt;24.54393720169&lt;/D&gt;&lt;D xsi:type="xsd:double"&gt;24.2318157740571&lt;/D&gt;&lt;D xsi:type="xsd:double"&gt;23.1952442942501&lt;/D&gt;&lt;D xsi:type="xsd:double"&gt;23.0035938771805&lt;/D&gt;&lt;D xsi:type="xsd:double"&gt;22.9829288341971&lt;/D&gt;&lt;D xsi:type="xsd:double"&gt;21.6953387316197&lt;/D&gt;&lt;D xsi:type="xsd:double"&gt;22.2472797395718&lt;/D&gt;&lt;D xsi:type="xsd:double"&gt;20.6175924586172&lt;/D&gt;&lt;D xsi:type="xsd:double"&gt;20.5167386815569&lt;/D&gt;&lt;D xsi:type="xsd:double"&gt;20.3876788472492&lt;/D&gt;&lt;D xsi:type="xsd:double"&gt;21.5563714927453&lt;/D&gt;&lt;D xsi:type="xsd:double"&gt;21.4046719031598&lt;/D&gt;&lt;D xsi:type="xsd:double"&gt;21.0022502215114&lt;/D&gt;&lt;D xsi:type="xsd:double"&gt;20.4210313893049&lt;/D&gt;&lt;D xsi:type="xsd:double"&gt;20.1631810379322&lt;/D&gt;&lt;D xsi:type="xsd:double"&gt;19.9889045702908&lt;/D&gt;&lt;D xsi:type="xsd:double"&gt;19.596448764895&lt;/D&gt;&lt;D xsi:type="xsd:double"&gt;19.2264504017204&lt;/D&gt;&lt;D xsi:type="xsd:double"&gt;18.4662728375381&lt;/D&gt;&lt;D xsi:type="xsd:double"&gt;16.9567006352221&lt;/D&gt;&lt;D xsi:type="xsd:double"&gt;17.1867174644409&lt;/D&gt;&lt;D xsi:type="xsd:double"&gt;17.3874485431402&lt;/D&gt;&lt;D xsi:type="xsd:double"&gt;17.8494757382631&lt;/D&gt;&lt;D xsi:type="xsd:double"&gt;17.847267229879&lt;/D&gt;&lt;D xsi:type="xsd:double"&gt;17.8238868707428&lt;/D&gt;&lt;D xsi:type="xsd:double"&gt;17.1874054081599&lt;/D&gt;&lt;D xsi:type="xsd:double"&gt;17.1955326109594&lt;/D&gt;&lt;D xsi:type="xsd:double"&gt;17.5931405530828&lt;/D&gt;&lt;D xsi:type="xsd:double"&gt;17.0685936270302&lt;/D&gt;&lt;D xsi:type="xsd:double"&gt;17.2810838542521&lt;/D&gt;&lt;D xsi:type="xsd:double"&gt;16.3824854799339&lt;/D&gt;&lt;D xsi:type="xsd:double"&gt;15.0178024236474&lt;/D&gt;&lt;D xsi:type="xsd:double"&gt;14.4244103527251&lt;/D&gt;&lt;D xsi:type="xsd:double"&gt;15.5685394964164&lt;/D&gt;&lt;D xsi:type="xsd:double"&gt;15.5803068794362&lt;/D&gt;&lt;D xsi:type="xsd:double"&gt;15.386808513947&lt;/D&gt;&lt;D xsi:type="xsd:double"&gt;15.484427202199&lt;/D&gt;&lt;D xsi:type="xsd:double"&gt;15.1167270784936&lt;/D&gt;&lt;D xsi:type="xsd:double"&gt;14.9379448416323&lt;/D&gt;&lt;D xsi:type="xsd:double"&gt;14.6916551972303&lt;/D&gt;&lt;D xsi:type="xsd:double"&gt;14.2251212170725&lt;/D&gt;&lt;D xsi:type="xsd:double"&gt;15.0937787572328&lt;/D&gt;&lt;D xsi:type="xsd:double"&gt;15.2751804801881&lt;/D&gt;&lt;D xsi:type="xsd:double"&gt;15.4240097401237&lt;/D&gt;&lt;D xsi:type="xsd:double"&gt;16.004210169382&lt;/D&gt;&lt;D xsi:type="xsd:double"&gt;16.4627156936023&lt;/D&gt;&lt;D xsi:type="xsd:double"&gt;16.5126114607343&lt;/D&gt;&lt;D xsi:type="xsd:double"&gt;14.5725107208684&lt;/D&gt;&lt;D xsi:type="xsd:double"&gt;14.5430268556666&lt;/D&gt;&lt;D xsi:type="xsd:double"&gt;16.1154140908471&lt;/D&gt;&lt;D xsi:type="xsd:double"&gt;17.4626831752427&lt;/D&gt;&lt;D xsi:type="xsd:double"&gt;18.3317318175769&lt;/D&gt;&lt;D xsi:type="xsd:double"&gt;20.7719468495527&lt;/D&gt;&lt;D xsi:type="xsd:double"&gt;19.6504892752503&lt;/D&gt;&lt;D xsi:type="xsd:double"&gt;20.4367624213107&lt;/D&gt;&lt;D xsi:type="xsd:double"&gt;23.718176002147&lt;/D&gt;&lt;D xsi:type="xsd:double"&gt;31.8160610629667&lt;/D&gt;&lt;D xsi:type="xsd:double"&gt;32.349911357891&lt;/D&gt;&lt;D xsi:type="xsd:double"&gt;28.8493399327873&lt;/D&gt;&lt;D xsi:type="xsd:double"&gt;26.8886604651075&lt;/D&gt;&lt;D xsi:type="xsd:double"&gt;25.8392919431971&lt;/D&gt;&lt;D xsi:type="xsd:double"&gt;24.52663290505&lt;/D&gt;&lt;D xsi:type="xsd:double"&gt;23.430771870608&lt;/D&gt;&lt;D xsi:type="xsd:double"&gt;22.0616517683429&lt;/D&gt;&lt;D xsi:type="xsd:double"&gt;20.7418117794295&lt;/D&gt;&lt;D xsi:type="xsd:double"&gt;19.1908132400132&lt;/D&gt;&lt;D xsi:type="xsd:double"&gt;17.7499399444338&lt;/D&gt;&lt;D xsi:type="xsd:double"&gt;16.2757370985345&lt;/D&gt;&lt;D xsi:type="xsd:double"&gt;15.654731648184&lt;/D&gt;&lt;D xsi:type="xsd:double"&gt;15.2650895060935&lt;/D&gt;&lt;D xsi:type="xsd:double"&gt;14.9773460602333&lt;/D&gt;&lt;D xsi:type="xsd:double"&gt;15.0899650598723&lt;/D&gt;&lt;D xsi:type="xsd:double"&gt;14.9660045682273&lt;/D&gt;&lt;D xsi:type="xsd:double"&gt;14.424159535841&lt;/D&gt;&lt;D xsi:type="xsd:double"&gt;13.8609256402419&lt;/D&gt;&lt;D xsi:type="xsd:double"&gt;13.5541539294112&lt;/D&gt;&lt;D xsi:type="xsd:double"&gt;13.6351239435411&lt;/D&gt;&lt;D xsi:type="xsd:double"&gt;13.0054919960205&lt;/D&gt;&lt;D xsi:type="xsd:double"&gt;12.8478561623058&lt;/D&gt;&lt;D xsi:type="xsd:double"&gt;13.6827809106345&lt;/D&gt;&lt;D xsi:type="xsd:double"&gt;13.0591161442013&lt;/D&gt;&lt;D xsi:type="xsd:double"&gt;13.8567969619614&lt;/D&gt;&lt;D xsi:type="xsd:double"&gt;14.5960320478619&lt;/D&gt;&lt;D xsi:type="xsd:double"&gt;14.451889593909&lt;/D&gt;&lt;D xsi:type="xsd:double"&gt;14.3787833548562&lt;/D&gt;&lt;D xsi:type="xsd:double"&gt;14.1791983786807&lt;/D&gt;&lt;D xsi:type="xsd:double"&gt;13.7708782780714&lt;/D&gt;&lt;D xsi:type="xsd:double"&gt;13.4124671070573&lt;/D&gt;&lt;D xsi:type="xsd:double"&gt;13.1545114531962&lt;/D&gt;&lt;D xsi:type="xsd:double"&gt;12.7679722867712&lt;/D&gt;&lt;D xsi:type="xsd:double"&gt;12.1708193313375&lt;/D&gt;&lt;D xsi:type="xsd:double"&gt;12.9454131224723&lt;/D&gt;&lt;D xsi:type="xsd:double"&gt;14.159675519418&lt;/D&gt;&lt;D xsi:type="xsd:double"&gt;13.3498732217163&lt;/D&gt;&lt;D xsi:type="xsd:double"&gt;14.8065418224329&lt;/D&gt;&lt;D xsi:type="xsd:double"&gt;15.8291248917558&lt;/D&gt;&lt;D xsi:type="xsd:double"&gt;15.5516243396891&lt;/D&gt;&lt;/FQL&gt;&lt;FQL&gt;&lt;Q&gt;WL-FDS^FG_PRICE(0)/MAX(FG_PRICE(0,-1AY))&lt;/Q&gt;&lt;R&gt;1&lt;/R&gt;&lt;C&gt;1&lt;/C&gt;&lt;D xsi:type="xsd:double"&gt;0.745218758187058&lt;/D&gt;&lt;/FQL&gt;&lt;FQL&gt;&lt;Q&gt;NI-FDS^FG_PRICE_CHANGE(0,-3AM)&lt;/Q&gt;&lt;R&gt;1&lt;/R&gt;&lt;C&gt;1&lt;/C&gt;&lt;D xsi:type="xsd:double"&gt;14.7448015122873&lt;/D&gt;&lt;/FQL&gt;&lt;FQL&gt;&lt;Q&gt;FTSEWIVNXXXX^FG_PRICE(0)&lt;/Q&gt;&lt;R&gt;1&lt;/R&gt;&lt;C&gt;1&lt;/C&gt;&lt;D xsi:type="xsd:double"&gt;364.2671741&lt;/D&gt;&lt;/FQL&gt;&lt;FQL&gt;&lt;Q&gt;FC0000BR^FG_PRICE(0)&lt;/Q&gt;&lt;R&gt;1&lt;/R&gt;&lt;C&gt;1&lt;/C&gt;&lt;D xsi:type="xsd:double"&gt;197.67548&lt;/D&gt;&lt;/FQL&gt;&lt;FQL&gt;&lt;Q&gt;FC0000CL^FG_PRICE(0)&lt;/Q&gt;&lt;R&gt;1&lt;/R&gt;&lt;C&gt;1&lt;/C&gt;&lt;D xsi:type="xsd:double"&gt;200.31154&lt;/D&gt;&lt;/FQL&gt;&lt;FQL&gt;&lt;Q&gt;INDA^FG_PRICE_MAVG(0,,,,30)&lt;/Q&gt;&lt;R&gt;1&lt;/R&gt;&lt;C&gt;1&lt;/C&gt;&lt;D xsi:type="xsd:double"&gt;51.33&lt;/D&gt;&lt;/FQL&gt;&lt;FQL&gt;&lt;Q&gt;EWW^FG_PRICE_MAVG(0,,,,200)&lt;/Q&gt;&lt;R&gt;1&lt;/R&gt;&lt;C&gt;1&lt;/C&gt;&lt;D xsi:type="xsd:double"&gt;63.2777&lt;/D&gt;&lt;/FQL&gt;&lt;FQL&gt;&lt;Q&gt;CNYA^FG_PRICE(0)&lt;/Q&gt;&lt;R&gt;1&lt;/R&gt;&lt;C&gt;1&lt;/C&gt;&lt;D xsi:type="xsd:double"&gt;26.35&lt;/D&gt;&lt;/FQL&gt;&lt;FQL&gt;&lt;Q&gt;TUR^PERCENT_CHANGE(FMA_EPS(+1,0,,,,"PORTAGG","MEAN"),FMA_EPS(+1,-1AM,,,,"PORTAGG","MEAN"))&lt;/Q&gt;&lt;R&gt;1&lt;/R&gt;&lt;C&gt;1&lt;/C&gt;&lt;D xsi:type="xsd:double"&gt;-1.37103294041771&lt;/D&gt;&lt;/FQL&gt;&lt;FQL&gt;&lt;Q&gt;INDA^PERCENT_CHANGE(FMA_EPS(+1,0,,,,"PORTAGG","MEAN"),FMA_EPS(+1,-3AM,,,,"PORTAGG","MEAN"))&lt;/Q&gt;&lt;R&gt;1&lt;/R&gt;&lt;C&gt;1&lt;/C&gt;&lt;D xsi:type="xsd:double"&gt;-0.958313136049614&lt;/D&gt;&lt;/FQL&gt;&lt;FQL&gt;&lt;Q&gt;EWY^FG_TOTAL_RETURNC(0,-1AM)&lt;/Q&gt;&lt;R&gt;1&lt;/R&gt;&lt;C&gt;1&lt;/C&gt;&lt;D xsi:type="xsd:double"&gt;-6.021905&lt;/D&gt;&lt;/FQL&gt;&lt;FQL&gt;&lt;Q&gt;EWT^PERCENT_CHANGE(FMA_EPS(+1,0,,,,"PORTAGG","MEAN"),FMA_EPS(+1,-3AM,,,,"PORTAGG","MEAN"))&lt;/Q&gt;&lt;R&gt;1&lt;/R&gt;&lt;C&gt;1&lt;/C&gt;&lt;D xsi:type="xsd:double"&gt;-5.55530710217831&lt;/D&gt;&lt;/FQL&gt;&lt;FQL&gt;&lt;Q&gt;EPHE^FG_TOTAL_RETURNC(0,-1AM)&lt;/Q&gt;&lt;R&gt;1&lt;/R&gt;&lt;C&gt;1&lt;/C&gt;&lt;D xsi:type="xsd:double"&gt;-9.133744&lt;/D&gt;&lt;/FQL&gt;&lt;FQL&gt;&lt;Q&gt;EWJ^P_PRICE(0)/P_PRICE_LOW_PR(0,,,,,,"PRICE","INTRA","52W")-1&lt;/Q&gt;&lt;R&gt;1&lt;/R&gt;&lt;C&gt;1&lt;/C&gt;&lt;D xsi:type="xsd:double"&gt;0.16940558&lt;/D&gt;&lt;/FQL&gt;&lt;FQL&gt;&lt;Q&gt;EWJ^FMA_COS_DOWN("EPS","1M",+1,NOW,,,"PORTAGG","MEANR")&lt;/Q&gt;&lt;R&gt;1&lt;/R&gt;&lt;C&gt;1&lt;/C&gt;&lt;D xsi:type="xsd:double"&gt;88&lt;/D&gt;&lt;/FQL&gt;&lt;FQL&gt;&lt;Q&gt;GREK^SIZE(FG_CONSTITUENTS)&lt;/Q&gt;&lt;R&gt;1&lt;/R&gt;&lt;C&gt;1&lt;/C&gt;&lt;D xsi:type="xsd:long"&gt;30&lt;/D&gt;&lt;/FQL&gt;&lt;FQL&gt;&lt;Q&gt;EWM^SIZE(FG_CONSTITUENTS)&lt;/Q&gt;&lt;R&gt;1&lt;/R&gt;&lt;C&gt;1&lt;/C&gt;&lt;D xsi:type="xsd:long"&gt;34&lt;/D&gt;&lt;/FQL&gt;&lt;FQL&gt;&lt;Q&gt;EPU^FMA_RBICS_REV_CURRENT(30, LOC, "PORTAGG")&lt;/Q&gt;&lt;R&gt;1&lt;/R&gt;&lt;C&gt;1&lt;/C&gt;&lt;D xsi:type="xsd:double"&gt;32.4825470100704&lt;/D&gt;&lt;/FQL&gt;&lt;FQL&gt;&lt;Q&gt;EWY^FG_ROE(0)&lt;/Q&gt;&lt;R&gt;1&lt;/R&gt;&lt;C&gt;1&lt;/C&gt;&lt;D xsi:type="xsd:double"&gt;5.66106714551062&lt;/D&gt;&lt;/FQL&gt;&lt;FQL&gt;&lt;Q&gt;TRYIN10Y-FDS^FG_YIELD_NAME&lt;/Q&gt;&lt;R&gt;1&lt;/R&gt;&lt;C&gt;1&lt;/C&gt;&lt;D xsi:type="xsd:string"&gt;India Benchmark Bond - 10 Year&lt;/D&gt;&lt;/FQL&gt;&lt;FQL&gt;&lt;Q&gt;REFVNDISC-FDS^(SUBARRAY(NOT_NA(NO_REPEAT_F(FG_YIELD(NOW,-10AY,D))),0,1)-SUBARRAY(NOT_NA(NO_REPEAT_F(FG_YIELD(NOW,-10AY,D))),1,1))*100&lt;/Q&gt;&lt;R&gt;1&lt;/R&gt;&lt;C&gt;1&lt;/C&gt;&lt;D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xsi:type="xsd:double"&gt;-50&lt;/D&gt;&lt;/FQL&gt;&lt;FQL&gt;&lt;Q&gt;REFCNRMB-FDS^PROPER_NAME(0,,,"SECURITY","NAME")&lt;/Q&gt;&lt;R&gt;1&lt;/R&gt;&lt;C&gt;1&lt;/C&gt;&lt;D xsi:type="xsd:string"&gt;China Loan Prime Rate (LPR) - 1 Year&lt;/D&gt;&lt;/FQL&gt;&lt;FQL&gt;&lt;Q&gt;REFMXTON-FDS^FG_YIELD(NOW,,,0)&lt;/Q&gt;&lt;R&gt;1&lt;/R&gt;&lt;C&gt;1&lt;/C&gt;&lt;D xsi:type="xsd:double"&gt;11&lt;/D&gt;&lt;/FQL&gt;&lt;FQL&gt;&lt;Q&gt;REFIDRREPO-FDS^(SUBARRAY(NOT_NA(NO_REPEAT_F(FG_YIELD(NOW,-10AY,D))),0,1)-SUBARRAY(NOT_NA(NO_REPEAT_F(FG_YIELD(NOW,-10AY,D))),1,1))*100&lt;/Q&gt;&lt;R&gt;1&lt;/R&gt;&lt;C&gt;1&lt;/C&gt;&lt;D xsi:type="xsd:double"&gt;25&lt;/D&gt;&lt;/FQL&gt;&lt;FQL&gt;&lt;Q&gt;TRYTH10Y-FDS^PCTCHG(FG_YIELD(0,,,,"YTM"),FG_YIELD(-3AM,,,,"YTM"))&lt;/Q&gt;&lt;R&gt;1&lt;/R&gt;&lt;C&gt;1&lt;/C&gt;&lt;D xsi:type="xsd:double"&gt;-2.1554956&lt;/D&gt;&lt;/FQL&gt;&lt;FQL&gt;&lt;Q&gt;TRYMX10Y-FDS^PCTCHG(FG_YIELD(0,,,,"YTM"),FG_YIELD(-1AM,,,,"YTM"))&lt;/Q&gt;&lt;R&gt;1&lt;/R&gt;&lt;C&gt;1&lt;/C&gt;&lt;D xsi:type="xsd:double"&gt;6.702929&lt;/D&gt;&lt;/FQL&gt;&lt;FQL&gt;&lt;Q&gt;MCHI^FMA_ROE(NTMA,-20AY,NOW,FY,"PORTAGG","MEANR")&lt;/Q&gt;&lt;R&gt;20&lt;/R&gt;&lt;C&gt;1&lt;/C&gt;&lt;D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xsi:type="xsd:double"&gt;12.8854614778539&lt;/D&gt;&lt;D xsi:type="xsd:double"&gt;12.3574085973635&lt;/D&gt;&lt;D xsi:type="xsd:double"&gt;11.97391387678&lt;/D&gt;&lt;D xsi:type="xsd:double"&gt;11.5505021650942&lt;/D&gt;&lt;D xsi:type="xsd:double"&gt;11.5611924582116&lt;/D&gt;&lt;/FQL&gt;&lt;FQL&gt;&lt;Q&gt;TRY10Y-FDS^FG_YIELD(-10AY,0,Y,,"YTM")&lt;/Q&gt;&lt;R&gt;10&lt;/R&gt;&lt;C&gt;1&lt;/C&gt;&lt;D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xsi:type="xsd:string"&gt;@NA&lt;/D&gt;&lt;/FQL&gt;&lt;FQL&gt;&lt;Q&gt;USDINR^STD(FG_PRICE_CHANGE(0,-1AY,AM))&lt;/Q&gt;&lt;R&gt;1&lt;/R&gt;&lt;C&gt;1&lt;/C&gt;&lt;D xsi:type="xsd:double"&gt;0.561162316383674&lt;/D&gt;&lt;/FQL&gt;&lt;FQL&gt;&lt;Q&gt;USDPEN^STD(FG_PRICE_CHANGE(0,-1AY,AM))&lt;/Q&gt;&lt;R&gt;1&lt;/R&gt;&lt;C&gt;1&lt;/C&gt;&lt;D xsi:type="xsd:double"&gt;2.48486902954497&lt;/D&gt;&lt;/FQL&gt;&lt;FQL&gt;&lt;Q&gt;FC0000PH^FMA_EPS(NTMA,-20AY,0,CY,,"PORTAGG","MEANR")&lt;/Q&gt;&lt;R&gt;20&lt;/R&gt;&lt;C&gt;1&lt;/C&gt;&lt;D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xsi:type="xsd:double"&gt;33.6632760141823&lt;/D&gt;&lt;D xsi:type="xsd:double"&gt;25.625710924974&lt;/D&gt;&lt;D xsi:type="xsd:double"&gt;24.8900071951995&lt;/D&gt;&lt;D xsi:type="xsd:double"&gt;26.8368786307733&lt;/D&gt;&lt;D xsi:type="xsd:double"&gt;30.8315679492368&lt;/D&gt;&lt;/FQL&gt;&lt;FQL&gt;&lt;Q&gt;CPALM-FDS^FG_PRICE(0)&lt;/Q&gt;&lt;R&gt;1&lt;/R&gt;&lt;C&gt;1&lt;/C&gt;&lt;D xsi:type="xsd:double"&gt;4125&lt;/D&gt;&lt;/FQL&gt;&lt;FQL&gt;&lt;Q&gt;COPP-FDS^FG_PRICE_CHANGE(0,-3AM)&lt;/Q&gt;&lt;R&gt;1&lt;/R&gt;&lt;C&gt;1&lt;/C&gt;&lt;D xsi:type="xsd:double"&gt;18.5714285714286&lt;/D&gt;&lt;/FQL&gt;&lt;FQL&gt;&lt;Q&gt;TUR^FG_PRICE_MAVG(0,,,,200)&lt;/Q&gt;&lt;R&gt;1&lt;/R&gt;&lt;C&gt;1&lt;/C&gt;&lt;D xsi:type="xsd:double"&gt;35.53265&lt;/D&gt;&lt;/FQL&gt;&lt;FQL&gt;&lt;Q&gt;INDA^FG_PRICE(0)&lt;/Q&gt;&lt;R&gt;1&lt;/R&gt;&lt;C&gt;1&lt;/C&gt;&lt;D xsi:type="xsd:double"&gt;51.07&lt;/D&gt;&lt;/FQL&gt;&lt;FQL&gt;&lt;Q&gt;EPOL^FG_PRICE_MAVG(0,,,,30)&lt;/Q&gt;&lt;R&gt;1&lt;/R&gt;&lt;C&gt;1&lt;/C&gt;&lt;D xsi:type="xsd:double"&gt;23.436&lt;/D&gt;&lt;/FQL&gt;&lt;FQL&gt;&lt;Q&gt;VNM^FMA_PCT_ABOVE_MAVG(200,0,,,,"PORTAGG")&lt;/Q&gt;&lt;R&gt;1&lt;/R&gt;&lt;C&gt;1&lt;/C&gt;&lt;D xsi:type="xsd:double"&gt;43.4782608695652&lt;/D&gt;&lt;/FQL&gt;&lt;FQL&gt;&lt;Q&gt;QAT^PERCENT_CHANGE(FMA_EPS(+1,0,,,,"PORTAGG","MEAN"),FMA_EPS(+1,-1AM,,,,"PORTAGG","MEAN"))&lt;/Q&gt;&lt;R&gt;1&lt;/R&gt;&lt;C&gt;1&lt;/C&gt;&lt;D xsi:type="xsd:double"&gt;-0.890554703491881&lt;/D&gt;&lt;/FQL&gt;&lt;FQL&gt;&lt;Q&gt;EZA^PERCENT_CHANGE(FMA_EPS(+1,0,,,,"PORTAGG","MEAN"),FMA_EPS(+1,-3AM,,,,"PORTAGG","MEAN"))&lt;/Q&gt;&lt;R&gt;1&lt;/R&gt;&lt;C&gt;1&lt;/C&gt;&lt;D xsi:type="xsd:double"&gt;-2.20696281485447&lt;/D&gt;&lt;/FQL&gt;&lt;FQL&gt;&lt;Q&gt;EWY^PERCENT_CHANGE(FMA_EPS(+1,0,,,,"PORTAGG","MEAN"),FMA_EPS(+1,-3AM,,,,"PORTAGG","MEAN"))&lt;/Q&gt;&lt;R&gt;1&lt;/R&gt;&lt;C&gt;1&lt;/C&gt;&lt;D xsi:type="xsd:double"&gt;-6.24325948049508&lt;/D&gt;&lt;/FQL&gt;&lt;FQL&gt;&lt;Q&gt;CAGDPY@MX^EE_ACTUAL_ANNUAL(MED,0)&lt;/Q&gt;&lt;R&gt;1&lt;/R&gt;&lt;C&gt;1&lt;/C&gt;&lt;D xsi:type="xsd:double"&gt;-0.475&lt;/D&gt;&lt;/FQL&gt;&lt;FQL&gt;&lt;Q&gt;CC_MX^FG_COMPANY_NAME&lt;/Q&gt;&lt;R&gt;1&lt;/R&gt;&lt;C&gt;1&lt;/C&gt;&lt;D xsi:type="xsd:string"&gt;Mexico&lt;/D&gt;&lt;/FQL&gt;&lt;FQL&gt;&lt;Q&gt;USDAED^STD(FG_PRICE_CHANGE(0,-3AY,M))&lt;/Q&gt;&lt;R&gt;1&lt;/R&gt;&lt;C&gt;1&lt;/C&gt;&lt;D xsi:type="xsd:double"&gt;0.0081886068868404&lt;/D&gt;&lt;/FQL&gt;&lt;FQL&gt;&lt;Q&gt;USDTHB^FG_PRICE_CHANGE(0,-1AY)&lt;/Q&gt;&lt;R&gt;1&lt;/R&gt;&lt;C&gt;1&lt;/C&gt;&lt;D xsi:type="xsd:double"&gt;7.225144&lt;/D&gt;&lt;/FQL&gt;&lt;FQL&gt;&lt;Q&gt;USDBRL^STD(FG_PRICE_CHANGE(0,-1AY,AM))&lt;/Q&gt;&lt;R&gt;1&lt;/R&gt;&lt;C&gt;1&lt;/C&gt;&lt;D xsi:type="xsd:double"&gt;3.09476559051122&lt;/D&gt;&lt;/FQL&gt;&lt;FQL&gt;&lt;Q&gt;USDMXN^FG_PRICE_CHANGE(0,-1AY)&lt;/Q&gt;&lt;R&gt;1&lt;/R&gt;&lt;C&gt;1&lt;/C&gt;&lt;D xsi:type="xsd:double"&gt;-5.4389772&lt;/D&gt;&lt;/FQL&gt;&lt;FQL&gt;&lt;Q&gt;USDIDR^STD(FG_PRICE_CHANGE(0,-1AY,AM))&lt;/Q&gt;&lt;R&gt;1&lt;/R&gt;&lt;C&gt;1&lt;/C&gt;&lt;D xsi:type="xsd:double"&gt;1.60298812906329&lt;/D&gt;&lt;/FQL&gt;&lt;FQL&gt;&lt;Q&gt;USDCNH^FG_PRICE_CHANGE(0,-1AY)&lt;/Q&gt;&lt;R&gt;1&lt;/R&gt;&lt;C&gt;1&lt;/C&gt;&lt;D xsi:type="xsd:double"&gt;5.380428&lt;/D&gt;&lt;/FQL&gt;&lt;FQL&gt;&lt;Q&gt;ECH^P_PRICE_RETURNS_PR('52W',2,-10AY,0,AM)&lt;/Q&gt;&lt;R&gt;121&lt;/R&gt;&lt;C&gt;1&lt;/C&gt;&lt;D xsi:type="xsd:double"&gt;-22.558027&lt;/D&gt;&lt;D xsi:type="xsd:double"&gt;-21.095102&lt;/D&gt;&lt;D xsi:type="xsd:double"&gt;-15.176498&lt;/D&gt;&lt;D xsi:type="xsd:double"&gt;-13.504637&lt;/D&gt;&lt;D xsi:type="xsd:double"&gt;-8.276564&lt;/D&gt;&lt;D xsi:type="xsd:double"&gt;-18.105602&lt;/D&gt;&lt;D xsi:type="xsd:double"&gt;-19.437849&lt;/D&gt;&lt;D xsi:type="xsd:double"&gt;-13.777876&lt;/D&gt;&lt;D xsi:type="xsd:double"&gt;-13.808197&lt;/D&gt;&lt;D xsi:type="xsd:double"&gt;-15.981447&lt;/D&gt;&lt;D xsi:type="xsd:double"&gt;-5.400771&lt;/D&gt;&lt;D xsi:type="xsd:double"&gt;-7.827491&lt;/D&gt;&lt;D xsi:type="xsd:double"&gt;-8.178276&lt;/D&gt;&lt;D xsi:type="xsd:double"&gt;-6.02532&lt;/D&gt;&lt;D xsi:type="xsd:double"&gt;-12.561006&lt;/D&gt;&lt;D xsi:type="xsd:double"&gt;-15.237576&lt;/D&gt;&lt;D xsi:type="xsd:double"&gt;-21.446436&lt;/D&gt;&lt;D xsi:type="xsd:double"&gt;-17.466963&lt;/D&gt;&lt;D xsi:type="xsd:double"&gt;-11.053777&lt;/D&gt;&lt;D xsi:type="xsd:double"&gt;-19.814968&lt;/D&gt;&lt;D xsi:type="xsd:double"&gt;-17.679464&lt;/D&gt;&lt;D xsi:type="xsd:double"&gt;-19.417107&lt;/D&gt;&lt;D xsi:type="xsd:double"&gt;-16.436356&lt;/D&gt;&lt;D xsi:type="xsd:double"&gt;-4.304701&lt;/D&gt;&lt;D xsi:type="xsd:double"&gt;-10.361422&lt;/D&gt;&lt;D xsi:type="xsd:double"&gt;-18.105179&lt;/D&gt;&lt;D xsi:type="xsd:double"&gt;-6.860137&lt;/D&gt;&lt;D xsi:type="xsd:double"&gt;4.3895483&lt;/D&gt;&lt;D xsi:type="xsd:double"&gt;15.090704&lt;/D&gt;&lt;D xsi:type="xsd:double"&gt;3.6664128&lt;/D&gt;&lt;D xsi:type="xsd:double"&gt;8.856177&lt;/D&gt;&lt;D xsi:type="xsd:double"&gt;14.307129&lt;/D&gt;&lt;D xsi:type="xsd:double"&gt;20.508612&lt;/D&gt;&lt;D xsi:type="xsd:double"&gt;33.485176&lt;/D&gt;&lt;D xsi:type="xsd:double"&gt;23.783648&lt;/D&gt;&lt;D xsi:type="xsd:double"&gt;17.934847&lt;/D&gt;&lt;D xsi:type="xsd:double"&gt;23.061502&lt;/D&gt;&lt;D xsi:type="xsd:double"&gt;22.155905&lt;/D&gt;&lt;D xsi:type="xsd:double"&gt;23.598183&lt;/D&gt;&lt;D xsi:type="xsd:double"&gt;18.576586&lt;/D&gt;&lt;D xsi:type="xsd:double"&gt;22.691381&lt;/D&gt;&lt;D xsi:type="xsd:double"&gt;37.09923&lt;/D&gt;&lt;D xsi:type="xsd:double"&gt;36.511253&lt;/D&gt;&lt;D xsi:type="xsd:double"&gt;36.41298&lt;/D&gt;&lt;D xsi:type="xsd:double"&gt;41.060402&lt;/D&gt;&lt;D xsi:type="xsd:double"&gt;45.227276&lt;/D&gt;&lt;D xsi:type="xsd:double"&gt;34.755314&lt;/D&gt;&lt;D xsi:type="xsd:double"&gt;27.507591&lt;/D&gt;&lt;D xsi:type="xsd:double"&gt;25.318384&lt;/D&gt;&lt;D xsi:type="xsd:double"&gt;24.288702&lt;/D&gt;&lt;D xsi:type="xsd:double"&gt;15.289629&lt;/D&gt;&lt;D xsi:type="xsd:double"&gt;5.513644&lt;/D&gt;&lt;D xsi:type="xsd:double"&gt;-2.060026&lt;/D&gt;&lt;D xsi:type="xsd:double"&gt;-5.524784&lt;/D&gt;&lt;D xsi:type="xsd:double"&gt;-14.943248&lt;/D&gt;&lt;D xsi:type="xsd:double"&gt;-8.627415&lt;/D&gt;&lt;D xsi:type="xsd:double"&gt;-18.254072&lt;/D&gt;&lt;D xsi:type="xsd:double"&gt;-15.610111&lt;/D&gt;&lt;D xsi:type="xsd:double"&gt;-15.46821&lt;/D&gt;&lt;D xsi:type="xsd:double"&gt;-13.057047&lt;/D&gt;&lt;D xsi:type="xsd:double"&gt;-17.988508&lt;/D&gt;&lt;D xsi:type="xsd:double"&gt;-21.99495&lt;/D&gt;&lt;D xsi:type="xsd:double"&gt;-16.390085&lt;/D&gt;&lt;D xsi:type="xsd:double"&gt;-11.639786&lt;/D&gt;&lt;D xsi:type="xsd:double"&gt;-15.558547&lt;/D&gt;&lt;D xsi:type="xsd:double"&gt;-13.619667&lt;/D&gt;&lt;D xsi:type="xsd:double"&gt;-6.2627196&lt;/D&gt;&lt;D xsi:type="xsd:double"&gt;-22.807222&lt;/D&gt;&lt;D xsi:type="xsd:double"&gt;-18.215757&lt;/D&gt;&lt;D xsi:type="xsd:double"&gt;-24.48858&lt;/D&gt;&lt;D xsi:type="xsd:double"&gt;-31.608307&lt;/D&gt;&lt;D xsi:type="xsd:double"&gt;-59.50765&lt;/D&gt;&lt;D xsi:type="xsd:double"&gt;-45.127697&lt;/D&gt;&lt;D xsi:type="xsd:double"&gt;-36.84843&lt;/D&gt;&lt;D xsi:type="xsd:double"&gt;-34.08057&lt;/D&gt;&lt;D xsi:type="xsd:double"&gt;-32.982487&lt;/D&gt;&lt;D xsi:type="xsd:double"&gt;-25.783348&lt;/D&gt;&lt;D xsi:type="xsd:double"&gt;-33.403366&lt;/D&gt;&lt;D xsi:type="xsd:double"&gt;-36.845215&lt;/D&gt;&lt;D xsi:type="xsd:double"&gt;-15.116197&lt;/D&gt;&lt;D xsi:type="xsd:double"&gt;-9.110058&lt;/D&gt;&lt;D xsi:type="xsd:double"&gt;-3.0127525&lt;/D&gt;&lt;D xsi:type="xsd:double"&gt;8.767891&lt;/D&gt;&lt;D xsi:type="xsd:double"&gt;96.68914&lt;/D&gt;&lt;D xsi:type="xsd:double"&gt;54.478477&lt;/D&gt;&lt;D xsi:type="xsd:double"&gt;21.147537&lt;/D&gt;&lt;D xsi:type="xsd:double"&gt;13.007366&lt;/D&gt;&lt;D xsi:type="xsd:double"&gt;2.2275925&lt;/D&gt;&lt;D xsi:type="xsd:double"&gt;3.8465858&lt;/D&gt;&lt;D xsi:type="xsd:double"&gt;10.405803&lt;/D&gt;&lt;D xsi:type="xsd:double"&gt;2.9122353&lt;/D&gt;&lt;D xsi:type="xsd:double"&gt;-7.9803762&lt;/D&gt;&lt;D xsi:type="xsd:double"&gt;-15.200692&lt;/D&gt;&lt;D xsi:type="xsd:double"&gt;-17.499458&lt;/D&gt;&lt;D xsi:type="xsd:double"&gt;-16.095661&lt;/D&gt;&lt;D xsi:type="xsd:double"&gt;-13.640374&lt;/D&gt;&lt;D xsi:type="xsd:double"&gt;-18.332779&lt;/D&gt;&lt;D xsi:type="xsd:double"&gt;-1.8007696&lt;/D&gt;&lt;D xsi:type="xsd:double"&gt;-4.2332945&lt;/D&gt;&lt;D xsi:type="xsd:double"&gt;-1.9002736&lt;/D&gt;&lt;D xsi:type="xsd:double"&gt;4.7193646&lt;/D&gt;&lt;D xsi:type="xsd:double"&gt;4.7103167&lt;/D&gt;&lt;D xsi:type="xsd:double"&gt;6.8950295&lt;/D&gt;&lt;D xsi:type="xsd:double"&gt;8.596921&lt;/D&gt;&lt;D xsi:type="xsd:double"&gt;11.716377&lt;/D&gt;&lt;D xsi:type="xsd:double"&gt;17.801643&lt;/D&gt;&lt;D xsi:type="xsd:double"&gt;19.483543&lt;/D&gt;&lt;D xsi:type="xsd:double"&gt;2.0646095&lt;/D&gt;&lt;D xsi:type="xsd:double"&gt;13.995707&lt;/D&gt;&lt;D xsi:type="xsd:double"&gt;18.214714&lt;/D&gt;&lt;D xsi:type="xsd:double"&gt;20.596552&lt;/D&gt;&lt;D xsi:type="xsd:double"&gt;36.88146&lt;/D&gt;&lt;D xsi:type="xsd:double"&gt;14.867413&lt;/D&gt;&lt;D xsi:type="xsd:double"&gt;6.6625953&lt;/D&gt;&lt;D xsi:type="xsd:double"&gt;10.896993&lt;/D&gt;&lt;D xsi:type="xsd:double"&gt;9.350157&lt;/D&gt;&lt;D xsi:type="xsd:double"&gt;14.016843&lt;/D&gt;&lt;D xsi:type="xsd:double"&gt;-3.8504958&lt;/D&gt;&lt;D xsi:type="xsd:double"&gt;-10.525054&lt;/D&gt;&lt;D xsi:type="xsd:double"&gt;5.3608894&lt;/D&gt;&lt;D xsi:type="xsd:double"&gt;-7.2434845&lt;/D&gt;&lt;/FQL&gt;&lt;FQL&gt;&lt;Q&gt;EPHE^FG_TOTAL_RETURNC(-10AY,0,AM)&lt;/Q&gt;&lt;R&gt;121&lt;/R&gt;&lt;C&gt;1&lt;/C&gt;&lt;D xsi:type="xsd:double"&gt;3.8284302&lt;/D&gt;&lt;D xsi:type="xsd:double"&gt;3.825903&lt;/D&gt;&lt;D xsi:type="xsd:double"&gt;-2.53672&lt;/D&gt;&lt;D xsi:type="xsd:double"&gt;2.9013634&lt;/D&gt;&lt;D xsi:type="xsd:double"&gt;2.57442&lt;/D&gt;&lt;D xsi:type="xsd:double"&gt;0.9411812&lt;/D&gt;&lt;D xsi:type="xsd:double"&gt;-3.004402&lt;/D&gt;&lt;D xsi:type="xsd:double"&gt;3.3911943&lt;/D&gt;&lt;D xsi:type="xsd:double"&gt;-2.1877348&lt;/D&gt;&lt;D xsi:type="xsd:double"&gt;6.460154&lt;/D&gt;&lt;D xsi:type="xsd:double"&gt;4.4267654&lt;/D&gt;&lt;D xsi:type="xsd:double"&gt;-1.2383938&lt;/D&gt;&lt;D xsi:type="xsd:double"&gt;1.0368943&lt;/D&gt;&lt;D xsi:type="xsd:double"&gt;-0.69212914&lt;/D&gt;&lt;D xsi:type="xsd:double"&gt;-4.205722&lt;/D&gt;&lt;D xsi:type="xsd:double"&gt;-1.6959369&lt;/D&gt;&lt;D xsi:type="xsd:double"&gt;-6.9045124&lt;/D&gt;&lt;D xsi:type="xsd:double"&gt;-3.0879498&lt;/D&gt;&lt;D xsi:type="xsd:double"&gt;3.4423828&lt;/D&gt;&lt;D xsi:type="xsd:double"&gt;-5.9405923&lt;/D&gt;&lt;D xsi:type="xsd:double"&gt;-2.763158&lt;/D&gt;&lt;D xsi:type="xsd:double"&gt;-9.159422&lt;/D&gt;&lt;D xsi:type="xsd:double"&gt;10.2657795&lt;/D&gt;&lt;D xsi:type="xsd:double"&gt;10.153675&lt;/D&gt;&lt;D xsi:type="xsd:double"&gt;-0.38294196&lt;/D&gt;&lt;D xsi:type="xsd:double"&gt;2.855575&lt;/D&gt;&lt;D xsi:type="xsd:double"&gt;3.3635974&lt;/D&gt;&lt;D xsi:type="xsd:double"&gt;4.687321&lt;/D&gt;&lt;D xsi:type="xsd:double"&gt;-0.8665502&lt;/D&gt;&lt;D xsi:type="xsd:double"&gt;-8.116883&lt;/D&gt;&lt;D xsi:type="xsd:double"&gt;-0.462085&lt;/D&gt;&lt;D xsi:type="xsd:double"&gt;-8.7110815&lt;/D&gt;&lt;D xsi:type="xsd:double"&gt;-4.5767307&lt;/D&gt;&lt;D xsi:type="xsd:double"&gt;5.472636&lt;/D&gt;&lt;D xsi:type="xsd:double"&gt;0.2980709&lt;/D&gt;&lt;D xsi:type="xsd:double"&gt;2.9123306&lt;/D&gt;&lt;D xsi:type="xsd:double"&gt;3.5518289&lt;/D&gt;&lt;D xsi:type="xsd:double"&gt;-0.055772066&lt;/D&gt;&lt;D xsi:type="xsd:double"&gt;3.3203125&lt;/D&gt;&lt;D xsi:type="xsd:double"&gt;-1.6043961&lt;/D&gt;&lt;D xsi:type="xsd:double"&gt;-1.9548416&lt;/D&gt;&lt;D xsi:type="xsd:double"&gt;4.296541&lt;/D&gt;&lt;D xsi:type="xsd:double"&gt;0.59235096&lt;/D&gt;&lt;D xsi:type="xsd:double"&gt;-0.66916347&lt;/D&gt;&lt;D xsi:type="xsd:double"&gt;2.883315&lt;/D&gt;&lt;D xsi:type="xsd:double"&gt;2.2159696&lt;/D&gt;&lt;D xsi:type="xsd:double"&gt;-4.615384&lt;/D&gt;&lt;D xsi:type="xsd:double"&gt;-4.704303&lt;/D&gt;&lt;D xsi:type="xsd:double"&gt;-3.9774299&lt;/D&gt;&lt;D xsi:type="xsd:double"&gt;-3.319627&lt;/D&gt;&lt;D xsi:type="xsd:double"&gt;-6.1683416&lt;/D&gt;&lt;D xsi:type="xsd:double"&gt;1.7950296&lt;/D&gt;&lt;D xsi:type="xsd:double"&gt;2.0440817&lt;/D&gt;&lt;D xsi:type="xsd:double"&gt;-4.6948376&lt;/D&gt;&lt;D xsi:type="xsd:double"&gt;-3.8095236&lt;/D&gt;&lt;D xsi:type="xsd:double"&gt;4.2676687&lt;/D&gt;&lt;D xsi:type="xsd:double"&gt;3.8336039&lt;/D&gt;&lt;D xsi:type="xsd:double"&gt;10.003161&lt;/D&gt;&lt;D xsi:type="xsd:double"&gt;-1.8932879&lt;/D&gt;&lt;D xsi:type="xsd:double"&gt;0&lt;/D&gt;&lt;D xsi:type="xsd:double"&gt;1.3742566&lt;/D&gt;&lt;D xsi:type="xsd:double"&gt;-6.3455343&lt;/D&gt;&lt;D xsi:type="xsd:double"&gt;8.258783&lt;/D&gt;&lt;D xsi:type="xsd:double"&gt;5.7003736&lt;/D&gt;&lt;D xsi:type="xsd:double"&gt;-9.3225&lt;/D&gt;&lt;D xsi:type="xsd:double"&gt;1.2851119&lt;/D&gt;&lt;D xsi:type="xsd:double"&gt;2.124524&lt;/D&gt;&lt;D xsi:type="xsd:double"&gt;0.6645441&lt;/D&gt;&lt;D xsi:type="xsd:double"&gt;-2.0062208&lt;/D&gt;&lt;D xsi:type="xsd:double"&gt;-0.93814135&lt;/D&gt;&lt;D xsi:type="xsd:double"&gt;-4.7943234&lt;/D&gt;&lt;D xsi:type="xsd:double"&gt;-40.31706&lt;/D&gt;&lt;D xsi:type="xsd:double"&gt;28.385412&lt;/D&gt;&lt;D xsi:type="xsd:double"&gt;-1.8661201&lt;/D&gt;&lt;D xsi:type="xsd:double"&gt;14.363539&lt;/D&gt;&lt;D xsi:type="xsd:double"&gt;-1.8909097&lt;/D&gt;&lt;D xsi:type="xsd:double"&gt;2.8169036&lt;/D&gt;&lt;D xsi:type="xsd:double"&gt;-4.001445&lt;/D&gt;&lt;D xsi:type="xsd:double"&gt;-0.11265278&lt;/D&gt;&lt;D xsi:type="xsd:double"&gt;19.586468&lt;/D&gt;&lt;D xsi:type="xsd:double"&gt;4.093635&lt;/D&gt;&lt;D xsi:type="xsd:double"&gt;-0.18160343&lt;/D&gt;&lt;D xsi:type="xsd:double"&gt;-6.8526387&lt;/D&gt;&lt;D xsi:type="xsd:double"&gt;-4.1341124&lt;/D&gt;&lt;D xsi:type="xsd:double"&gt;0.7130742&lt;/D&gt;&lt;D xsi:type="xsd:double"&gt;-2.6298046&lt;/D&gt;&lt;D xsi:type="xsd:double"&gt;7.443142&lt;/D&gt;&lt;D xsi:type="xsd:double"&gt;-5.645686&lt;/D&gt;&lt;D xsi:type="xsd:double"&gt;-1.1348009&lt;/D&gt;&lt;D xsi:type="xsd:double"&gt;5.913043&lt;/D&gt;&lt;D xsi:type="xsd:double"&gt;6.206894&lt;/D&gt;&lt;D xsi:type="xsd:double"&gt;0.8657932&lt;/D&gt;&lt;D xsi:type="xsd:double"&gt;0.21389723&lt;/D&gt;&lt;D xsi:type="xsd:double"&gt;-3.2852292&lt;/D&gt;&lt;D xsi:type="xsd:double"&gt;3.6825418&lt;/D&gt;&lt;D xsi:type="xsd:double"&gt;-7.8383327&lt;/D&gt;&lt;D xsi:type="xsd:double"&gt;0.099658966&lt;/D&gt;&lt;D xsi:type="xsd:double"&gt;-5.3435087&lt;/D&gt;&lt;D xsi:type="xsd:double"&gt;-6.8752885&lt;/D&gt;&lt;D xsi:type="xsd:double"&gt;-5.523813&lt;/D&gt;&lt;D xsi:type="xsd:double"&gt;11.25</t>
        </r>
      </text>
    </comment>
    <comment ref="A8" authorId="0" shapeId="0" xr:uid="{F2BD826E-B15F-4A43-A305-DB6BEE48F298}">
      <text>
        <r>
          <rPr>
            <b/>
            <sz val="9"/>
            <color indexed="81"/>
            <rFont val="Tahoma"/>
            <charset val="1"/>
          </rPr>
          <t>0008&lt;/D&gt;&lt;D xsi:type="xsd:double"&gt;-6.9952908&lt;/D&gt;&lt;D xsi:type="xsd:double"&gt;-8.768511&lt;/D&gt;&lt;D xsi:type="xsd:double"&gt;8.54336&lt;/D&gt;&lt;D xsi:type="xsd:double"&gt;1.6906738&lt;/D&gt;&lt;D xsi:type="xsd:double"&gt;12.558329&lt;/D&gt;&lt;D xsi:type="xsd:double"&gt;-4.352331&lt;/D&gt;&lt;D xsi:type="xsd:double"&gt;-5.5615783&lt;/D&gt;&lt;D xsi:type="xsd:double"&gt;-1.2619495&lt;/D&gt;&lt;D xsi:type="xsd:double"&gt;3.7180543&lt;/D&gt;&lt;D xsi:type="xsd:double"&gt;-2.9481769&lt;/D&gt;&lt;D xsi:type="xsd:double"&gt;4.1861296&lt;/D&gt;&lt;D xsi:type="xsd:double"&gt;-7.1949124&lt;/D&gt;&lt;D xsi:type="xsd:double"&gt;-2.8191745&lt;/D&gt;&lt;D xsi:type="xsd:double"&gt;1.6991377&lt;/D&gt;&lt;D xsi:type="xsd:double"&gt;1.6299844&lt;/D&gt;&lt;D xsi:type="xsd:double"&gt;4.0497184&lt;/D&gt;&lt;D xsi:type="xsd:double"&gt;1.326251&lt;/D&gt;&lt;D xsi:type="xsd:double"&gt;5.5981636&lt;/D&gt;&lt;D xsi:type="xsd:double"&gt;0.18155575&lt;/D&gt;&lt;D xsi:type="xsd:double"&gt;-9.133744&lt;/D&gt;&lt;/FQL&gt;&lt;FQL&gt;&lt;Q&gt;EPU^FMA_DIV_YLD(NTMA,-10AY,0,AM,"PORTAGG","MEANR")&lt;/Q&gt;&lt;R&gt;121&lt;/R&gt;&lt;C&gt;1&lt;/C&gt;&lt;D xsi:type="xsd:double"&gt;2.62867266183829&lt;/D&gt;&lt;D xsi:type="xsd:double"&gt;2.37557696152556&lt;/D&gt;&lt;D xsi:type="xsd:double"&gt;2.19583746163153&lt;/D&gt;&lt;D xsi:type="xsd:double"&gt;2.23530259538195&lt;/D&gt;&lt;D xsi:type="xsd:double"&gt;2.1427367653216&lt;/D&gt;&lt;D xsi:type="xsd:double"&gt;2.12423785812999&lt;/D&gt;&lt;D xsi:type="xsd:double"&gt;2.30137152757176&lt;/D&gt;&lt;D xsi:type="xsd:double"&gt;2.23471565960885&lt;/D&gt;&lt;D xsi:type="xsd:double"&gt;2.16950613868237&lt;/D&gt;&lt;D xsi:type="xsd:double"&gt;2.26731739626595&lt;/D&gt;&lt;D xsi:type="xsd:double"&gt;2.13369949842319&lt;/D&gt;&lt;D xsi:type="xsd:double"&gt;2.35619326193273&lt;/D&gt;&lt;D xsi:type="xsd:double"&gt;2.24344063269265&lt;/D&gt;&lt;D xsi:type="xsd:double"&gt;1.89389453574421&lt;/D&gt;&lt;D xsi:type="xsd:double"&gt;2.01167366673906&lt;/D&gt;&lt;D xsi:type="xsd:double"&gt;2.03385372270408&lt;/D&gt;&lt;D xsi:type="xsd:double"&gt;2.32170655405788&lt;/D&gt;&lt;D xsi:type="xsd:double"&gt;2.50462332980405&lt;/D&gt;&lt;D xsi:type="xsd:double"&gt;2.40302898589539&lt;/D&gt;&lt;D xsi:type="xsd:double"&gt;2.31042703470031&lt;/D&gt;&lt;D xsi:type="xsd:double"&gt;2.75456909060969&lt;/D&gt;&lt;D xsi:type="xsd:double"&gt;2.92045389460717&lt;/D&gt;&lt;D xsi:type="xsd:double"&gt;2.51700203602978&lt;/D&gt;&lt;D xsi:type="xsd:double"&gt;2.0934778907672&lt;/D&gt;&lt;D xsi:type="xsd:double"&gt;1.96436437329925&lt;/D&gt;&lt;D xsi:type="xsd:double"&gt;1.74241236835348&lt;/D&gt;&lt;D xsi:type="xsd:double"&gt;1.81172205445333&lt;/D&gt;&lt;D xsi:type="xsd:double"&gt;1.70857682674229&lt;/D&gt;&lt;D xsi:type="xsd:double"&gt;1.42840370503676&lt;/D&gt;&lt;D xsi:type="xsd:double"&gt;1.55096959487034&lt;/D&gt;&lt;D xsi:type="xsd:double"&gt;1.55369203077346&lt;/D&gt;&lt;D xsi:type="xsd:double"&gt;1.97437753366867&lt;/D&gt;&lt;D xsi:type="xsd:double"&gt;2.20390528791215&lt;/D&gt;&lt;D xsi:type="xsd:double"&gt;2.20418406683144&lt;/D&gt;&lt;D xsi:type="xsd:double"&gt;1.98198162334293&lt;/D&gt;&lt;D xsi:type="xsd:double"&gt;2.13758722802807&lt;/D&gt;&lt;D xsi:type="xsd:double"&gt;2.08520998467842&lt;/D&gt;&lt;D xsi:type="xsd:double"&gt;2.24748546516363&lt;/D&gt;&lt;D xsi:type="xsd:double"&gt;2.28818529059288&lt;/D&gt;&lt;D xsi:type="xsd:double"&gt;2.25695343090408&lt;/D&gt;&lt;D xsi:type="xsd:double"&gt;2.24983596107822&lt;/D&gt;&lt;D xsi:type="xsd:double"&gt;2.25713242128257&lt;/D&gt;&lt;D xsi:type="xsd:double"&gt;2.37800018710628&lt;/D&gt;&lt;D xsi:type="xsd:double"&gt;2.70685480445346&lt;/D&gt;&lt;D xsi:type="xsd:double"&gt;2.84203567677805&lt;/D&gt;&lt;D xsi:type="xsd:double"&gt;2.57105733773247&lt;/D&gt;&lt;D xsi:type="xsd:double"&gt;2.51930944419881&lt;/D&gt;&lt;D xsi:type="xsd:double"&gt;2.21863134438123&lt;/D&gt;&lt;D xsi:type="xsd:double"&gt;2.09487967128695&lt;/D&gt;&lt;D xsi:type="xsd:double"&gt;4.6945559600009&lt;/D&gt;&lt;D xsi:type="xsd:double"&gt;1.95098398124756&lt;/D&gt;&lt;D xsi:type="xsd:double"&gt;2.07733520543753&lt;/D&gt;&lt;D xsi:type="xsd:double"&gt;4.41231343634928&lt;/D&gt;&lt;D xsi:type="xsd:double"&gt;2.4922224883693&lt;/D&gt;&lt;D xsi:type="xsd:double"&gt;2.41385708227214&lt;/D&gt;&lt;D xsi:type="xsd:double"&gt;2.37910755252793&lt;/D&gt;&lt;D xsi:type="xsd:double"&gt;2.36212665467388&lt;/D&gt;&lt;D xsi:type="xsd:double"&gt;2.29809489770744&lt;/D&gt;&lt;D xsi:type="xsd:double"&gt;2.23326563978342&lt;/D&gt;&lt;D xsi:type="xsd:double"&gt;2.21665338366553&lt;/D&gt;&lt;D xsi:type="xsd:double"&gt;2.33484908227307&lt;/D&gt;&lt;D xsi:type="xsd:double"&gt;2.70710551794651&lt;/D&gt;&lt;D xsi:type="xsd:double"&gt;2.70434603303816&lt;/D&gt;&lt;D xsi:type="xsd:double"&gt;2.6406112966478&lt;/D&gt;&lt;D xsi:type="xsd:double"&gt;2.96912417322727&lt;/D&gt;&lt;D xsi:type="xsd:double"&gt;2.93029139199964&lt;/D&gt;&lt;D xsi:type="xsd:double"&gt;3.03771664616497&lt;/D&gt;&lt;D xsi:type="xsd:double"&gt;2.94077386908251&lt;/D&gt;&lt;D xsi:type="xsd:double"&gt;2.66553876702621&lt;/D&gt;&lt;D xsi:type="xsd:double"&gt;2.61665178651581&lt;/D&gt;&lt;D xsi:type="xsd:double"&gt;2.98553161859441&lt;/D&gt;&lt;D xsi:type="xsd:double"&gt;4.59992627137895&lt;/D&gt;&lt;D xsi:type="xsd:double"&gt;4.00065763303101&lt;/D&gt;&lt;D xsi:type="xsd:double"&gt;3.17059850781972&lt;/D&gt;&lt;D xsi:type="xsd:double"&gt;3.15648898704061&lt;/D&gt;&lt;D xsi:type="xsd:double"&gt;3.02379068336653&lt;/D&gt;&lt;D xsi:type="xsd:double"&gt;2.47158793643923&lt;/D&gt;&lt;D xsi:type="xsd:double"&gt;2.57857384760267&lt;/D&gt;&lt;D xsi:type="xsd:double"&gt;2.63854851623927&lt;/D&gt;&lt;D xsi:type="xsd:double"&gt;2.17936383537272&lt;/D&gt;&lt;D xsi:type="xsd:double"&gt;1.71679146182478&lt;/D&gt;&lt;D xsi:type="xsd:double"&gt;1.70996657905465&lt;/D&gt;&lt;D xsi:type="xsd:double"&gt;1.72785535660174&lt;/D&gt;&lt;D xsi:type="xsd:double"&gt;2.0091045850901&lt;/D&gt;&lt;D xsi:type="xsd:double"&gt;2.11547408269584&lt;/D&gt;&lt;D xsi:type="xsd:double"&gt;2.26470017407012&lt;/D&gt;&lt;D xsi:type="xsd:double"&gt;2.90600068447548&lt;/D&gt;&lt;D xsi:type="xsd:double"&gt;2.99903339782964&lt;/D&gt;&lt;D xsi:type="xsd:double"&gt;3.6612252071594&lt;/D&gt;&lt;D xsi:type="xsd:double"&gt;3.65443973192408&lt;/D&gt;&lt;D xsi:type="xsd:double"&gt;3.46946547024095&lt;/D&gt;&lt;D xsi:type="xsd:double"&gt;3.77693785862865&lt;/D&gt;&lt;D xsi:type="xsd:double"&gt;4.26955789067193&lt;/D&gt;&lt;D xsi:type="xsd:double"&gt;3.58742874478548&lt;/D&gt;&lt;D xsi:type="xsd:double"&gt;3.44376365373938&lt;/D&gt;&lt;D xsi:type="xsd:double"&gt;3.55529058609639&lt;/D&gt;&lt;D xsi:type="xsd:double"&gt;3.83742494432072&lt;/D&gt;&lt;D xsi:type="xsd:double"&gt;4.59955565507475&lt;/D&gt;&lt;D xsi:type="xsd:double"&gt;5.01260397262292&lt;/D&gt;&lt;D xsi:type="xsd:double"&gt;5.38340864975225&lt;/D&gt;&lt;D xsi:type="xsd:double"&gt;5.09060148882411&lt;/D&gt;&lt;D xsi:type="xsd:double"&gt;4.99165820887627&lt;/D&gt;&lt;D xsi:type="xsd:double"&gt;5.11816982130383&lt;/D&gt;&lt;D xsi:type="xsd:double"&gt;3.81985414008648&lt;/D&gt;&lt;D xsi:type="xsd:double"&gt;3.92944780772806&lt;/D&gt;&lt;D xsi:type="xsd:double"&gt;3.79614708418635&lt;/D&gt;&lt;D xsi:type="xsd:double"&gt;4.2075658428241&lt;/D&gt;&lt;D xsi:type="xsd:double"&gt;4.80218361450722&lt;/D&gt;&lt;D xsi:type="xsd:double"&gt;4.63575241643149&lt;/D&gt;&lt;D xsi:type="xsd:double"&gt;5.10401163746674&lt;/D&gt;&lt;D xsi:type="xsd:double"&gt;4.88423622821609&lt;/D&gt;&lt;D xsi:type="xsd:double"&gt;4.59399310050433&lt;/D&gt;&lt;D xsi:type="xsd:double"&gt;4.66479452955234&lt;/D&gt;&lt;D xsi:type="xsd:double"&gt;4.71431258974315&lt;/D&gt;&lt;D xsi:type="xsd:double"&gt;5.15708884407255&lt;/D&gt;&lt;D xsi:type="xsd:double"&gt;4.33592540995568&lt;/D&gt;&lt;D xsi:type="xsd:double"&gt;3.79805832985679&lt;/D&gt;&lt;D xsi:type="xsd:double"&gt;3.6652798553232&lt;/D&gt;&lt;D xsi:type="xsd:double"&gt;3.7222353698726&lt;/D&gt;&lt;D xsi:type="xsd:double"&gt;3.35923084235071&lt;/D&gt;&lt;D xsi:type="xsd:double"&gt;3.40621777183675&lt;/D&gt;&lt;/FQL&gt;&lt;FQL&gt;&lt;Q&gt;EPOL^FMA_PE(NTMA,-10AY,0,AM,"PORTAGG","MEANR")&lt;/Q&gt;&lt;R&gt;121&lt;/R&gt;&lt;C&gt;1&lt;/C&gt;&lt;D xsi:type="xsd:double"&gt;14.0262183914833&lt;/D&gt;&lt;D xsi:type="xsd:double"&gt;13.5528960164679&lt;/D&gt;&lt;D xsi:type="xsd:double"&gt;13.7190934234193&lt;/D&gt;&lt;D xsi:type="xsd:double"&gt;13.1628708402072&lt;/D&gt;&lt;D xsi:type="xsd:double"&gt;13.3005058151361&lt;/D&gt;&lt;D xsi:type="xsd:double"&gt;13.6177577991804&lt;/D&gt;&lt;D xsi:type="xsd:double"&gt;13.2871463321465&lt;/D&gt;&lt;D xsi:type="xsd:double"&gt;13.403205847737&lt;/D&gt;&lt;D xsi:type="xsd:double"&gt;13.5048022268821&lt;/D&gt;&lt;D xsi:type="xsd:double"&gt;12.9530128207367&lt;/D&gt;&lt;D xsi:type="xsd:double"&gt;13.3860328393956&lt;/D&gt;&lt;D xsi:type="xsd:double"&gt;13.5579588480038&lt;/D&gt;&lt;D xsi:type="xsd:double"&gt;14.6864361891926&lt;/D&gt;&lt;D xsi:type="xsd:double"&gt;14.6361532932547&lt;/D&gt;&lt;D xsi:type="xsd:double"&gt;13.34890807707&lt;/D&gt;&lt;D xsi:type="xsd:double"&gt;13.1774719615709&lt;/D&gt;&lt;D xsi:type="xsd:double"&gt;12.5700054315599&lt;/D&gt;&lt;D xsi:type="xsd:double"&gt;12.4376572200725&lt;/D&gt;&lt;D xsi:type="xsd:double"&gt;12.3589868380789&lt;/D&gt;&lt;D xsi:type="xsd:double"&gt;11.905251082863&lt;/D&gt;&lt;D xsi:type="xsd:double"&gt;11.9418634109131&lt;/D&gt;&lt;D xsi:type="xsd:double"&gt;12.0031391766976&lt;/D&gt;&lt;D xsi:type="xsd:double"&gt;13.1675273006104&lt;/D&gt;&lt;D xsi:type="xsd:double"&gt;13.4990758861871&lt;/D&gt;&lt;D xsi:type="xsd:double"&gt;13.1686939915561&lt;/D&gt;&lt;D xsi:type="xsd:double"&gt;12.0912195866779&lt;/D&gt;&lt;D xsi:type="xsd:double"&gt;11.5494351455481&lt;/D&gt;&lt;D xsi:type="xsd:double"&gt;11.6213160376057&lt;/D&gt;&lt;D xsi:type="xsd:double"&gt;12.2432199577924&lt;/D&gt;&lt;D xsi:type="xsd:double"&gt;11.6255586925626&lt;/D&gt;&lt;D xsi:type="xsd:double"&gt;11.5029945992302&lt;/D&gt;&lt;D xsi:type="xsd:double"&gt;11.217325686978&lt;/D&gt;&lt;D xsi:type="xsd:double"&gt;11.9919415983667&lt;/D&gt;&lt;D xsi:type="xsd:double"&gt;11.7594358256357&lt;/D&gt;&lt;D xsi:type="xsd:double"&gt;12.7806344595362&lt;/D&gt;&lt;D xsi:type="xsd:double"&gt;12.7590001173423&lt;/D&gt;&lt;D xsi:type="xsd:double"&gt;12.3490620081355&lt;/D&gt;&lt;D xsi:type="xsd:double"&gt;12.2376846880249&lt;/D&gt;&lt;D xsi:type="xsd:double"&gt;12.3596070987777&lt;/D&gt;&lt;D xsi:type="xsd:double"&gt;12.714425665602&lt;/D&gt;&lt;D xsi:type="xsd:double"&gt;12.4707700050334&lt;/D&gt;&lt;D xsi:type="xsd:double"&gt;12.498388692409&lt;/D&gt;&lt;D xsi:type="xsd:double"&gt;12.1802352945094&lt;/D&gt;&lt;D xsi:type="xsd:double"&gt;11.7850066070095&lt;/D&gt;&lt;D xsi:type="xsd:double"&gt;11.89709407721&lt;/D&gt;&lt;D xsi:type="xsd:double"&gt;12.7309265495627&lt;/D&gt;&lt;D xsi:type="xsd:double"&gt;11.6770508966233&lt;/D&gt;&lt;D xsi:type="xsd:double"&gt;11.1015815826714&lt;/D&gt;&lt;D xsi:type="xsd:double"&gt;11.5123238574277&lt;/D&gt;&lt;D xsi:type="xsd:double"&gt;11.0864390485645&lt;/D&gt;&lt;D xsi:type="xsd:double"&gt;10.45689670427&lt;/D&gt;&lt;D xsi:type="xsd:double"&gt;10.4123032539981&lt;/D&gt;&lt;D xsi:type="xsd:double"&gt;10.7323166398942&lt;/D&gt;&lt;D xsi:type="xsd:double"&gt;10.5500903335768&lt;/D&gt;&lt;D xsi:type="xsd:double"&gt;10.4135924176577&lt;/D&gt;&lt;D xsi:type="xsd:double"&gt;10.213591555842&lt;/D&gt;&lt;D xsi:type="xsd:double"&gt;10.8221549882721&lt;/D&gt;&lt;D xsi:type="xsd:double"&gt;11.0652176341509&lt;/D&gt;&lt;D xsi:type="xsd:double"&gt;10.7120383106372&lt;/D&gt;&lt;D xsi:type="xsd:double"&gt;11.2187666124462&lt;/D&gt;&lt;D xsi:type="xsd:double"&gt;11.2715579161568&lt;/D&gt;&lt;D xsi:type="xsd:double"&gt;10.2025090768732&lt;/D&gt;&lt;D xsi:type="xsd:double"&gt;10.7527010424594&lt;/D&gt;&lt;D xsi:type="xsd:double"&gt;10.7399131060818&lt;/D&gt;&lt;D xsi:type="xsd:double"&gt;9.46265462717494&lt;/D&gt;&lt;D xsi:type="xsd:double"&gt;10.0518611707112&lt;/D&gt;&lt;D xsi:type="xsd:double"&gt;9.90112108272874&lt;/D&gt;&lt;D xsi:type="xsd:double"&gt;10.2729519383432&lt;/D&gt;&lt;D xsi:type="xsd:double"&gt;10.1359199726149&lt;/D&gt;&lt;D xsi:type="xsd:double"&gt;10.5717929834379&lt;/D&gt;&lt;D xsi:type="xsd:double"&gt;10.7390077704919&lt;/D&gt;&lt;D xsi:type="xsd:double"&gt;7.72715895272882&lt;/D&gt;&lt;D xsi:type="xsd:double"&gt;10.6565415860334&lt;/D&gt;&lt;D xsi:type="xsd:double"&gt;11.8982354845505&lt;/D&gt;&lt;D xsi:type="xsd:double"&gt;13.1170218006691&lt;/D&gt;&lt;D xsi:type="xsd:double"&gt;12.4628728812645&lt;/D&gt;&lt;D xsi:type="xsd:double"&gt;12.7206581508854&lt;/D&gt;&lt;D xsi:type="xsd:double"&gt;11.6640740578863&lt;/D&gt;&lt;D xsi:type="xsd:double"&gt;11.4433091392916&lt;/D&gt;&lt;D xsi:type="xsd:double"&gt;13.6665063444499&lt;/D&gt;&lt;D xsi:type="xsd:double"&gt;13.4457447505586&lt;/D&gt;&lt;D xsi:type="xsd:double"&gt;13.7805030779914&lt;/D&gt;&lt;D xsi:type="xsd:double"&gt;11.1595345408282&lt;/D&gt;&lt;D xsi:type="xsd:double"&gt;11.6009870498877&lt;/D&gt;&lt;D xsi:type="xsd:double"&gt;11.9333792253029&lt;/D&gt;&lt;D xsi:type="xsd:double"&gt;12.8604696345346&lt;/D&gt;&lt;D xsi:type="xsd:double"&gt;12.4912749891195&lt;/D&gt;&lt;D xsi:type="xsd:double"&gt;11.9423612502692&lt;/D&gt;&lt;D xsi:type="xsd:double"&gt;11.9580542354533&lt;/D&gt;&lt;D xsi:type="xsd:double"&gt;11.4559438611636&lt;/D&gt;&lt;D xsi:type="xsd:double"&gt;12.2286040549216&lt;/D&gt;&lt;D xsi:type="xsd:double"&gt;11.3405393378855&lt;/D&gt;&lt;D xsi:type="xsd:double"&gt;10.1231538951755&lt;/D&gt;&lt;D xsi:type="xsd:double"&gt;10.749667602023&lt;/D&gt;&lt;D xsi:type="xsd:double"&gt;9.81999724489326&lt;/D&gt;&lt;D xsi:type="xsd:double"&gt;9.34899959791859&lt;/D&gt;&lt;D xsi:type="xsd:double"&gt;8.69871062231138&lt;/D&gt;&lt;D xsi:type="xsd:double"&gt;6.98572209282171&lt;/D&gt;&lt;D xsi:type="xsd:double"&gt;6.50397687624773&lt;/D&gt;&lt;D xsi:type="xsd:double"&gt;5.94010837240265&lt;/D&gt;&lt;D xsi:type="xsd:double"&gt;6.32715686742267&lt;/D&gt;&lt;D xsi:type="xsd:double"&gt;5.7969857700436&lt;/D&gt;&lt;D xsi:type="xsd:double"&gt;6.55845553978137&lt;/D&gt;&lt;D xsi:type="xsd:double"&gt;7.23371545070555&lt;/D&gt;&lt;D xsi:type="xsd:double"&gt;7.24508507107931&lt;/D&gt;&lt;D xsi:type="xsd:double"&gt;7.98342120791639&lt;/D&gt;&lt;D xsi:type="xsd:double"&gt;7.70940930847035&lt;/D&gt;&lt;D xsi:type="xsd:double"&gt;6.82576537897446&lt;/D&gt;&lt;D xsi:type="xsd:double"&gt;7.24879552412787&lt;/D&gt;&lt;D xsi:type="xsd:double"&gt;7.23216759810002&lt;/D&gt;&lt;D xsi:type="xsd:double"&gt;8.15478371919949&lt;/D&gt;&lt;D xsi:type="xsd:double"&gt;8.09201990965739&lt;/D&gt;&lt;D xsi:type="xsd:double"&gt;8.06459844020556&lt;/D&gt;&lt;D xsi:type="xsd:double"&gt;8.00227189030158&lt;/D&gt;&lt;D xsi:type="xsd:double"&gt;8.4972264625411&lt;/D&gt;&lt;D xsi:type="xsd:double"&gt;8.33146963942177&lt;/D&gt;&lt;D xsi:type="xsd:double"&gt;9.07185379815135&lt;/D&gt;&lt;D xsi:type="xsd:double"&gt;8.01114631222258&lt;/D&gt;&lt;D xsi:type="xsd:double"&gt;9.07444088429165&lt;/D&gt;&lt;D xsi:type="xsd:double"&gt;9.15999447224438&lt;/D&gt;&lt;D xsi:type="xsd:double"&gt;8.51554023375688&lt;/D&gt;&lt;/FQL&gt;&lt;FQL&gt;&lt;Q&gt;EWT^FMA_PE(LTMA,-10AY,0,AM,"PORTAGG","MEANR")&lt;/Q&gt;&lt;R&gt;121&lt;/R&gt;&lt;C&gt;1&lt;/C&gt;&lt;D xsi:type="xsd:double"&gt;15.6626969072773&lt;/D&gt;&lt;D xsi:type="xsd:double"&gt;15.4538325582235&lt;/D&gt;&lt;D xsi:type="xsd:double"&gt;15.5531150970208&lt;/D&gt;&lt;D xsi:type="xsd:double"&gt;15.3465668149565&lt;/D&gt;&lt;D xsi:type="xsd:double"&gt;14.8925818623395&lt;/D&gt;&lt;D xsi:type="xsd:double"&gt;14.7594905328269&lt;/D&gt;&lt;D xsi:type="xsd:double"&gt;13.7068439159322&lt;/D&gt;&lt;D xsi:type="xsd:double"&gt;13.8451301462865&lt;/D&gt;&lt;D xsi:type="xsd:double"&gt;13.383547723767&lt;/D&gt;&lt;D xsi:type="xsd:double"&gt;13.7528343719015&lt;/D&gt;&lt;D xsi:type="xsd:double"&gt;14.2814416581901&lt;/D&gt;&lt;D xsi:type="xsd:double"&gt;14.2701492714904&lt;/D&gt;&lt;D xsi:type="xsd:double"&gt;14.0802549345719&lt;/D&gt;&lt;D xsi:type="xsd:double"&gt;14.035349361259&lt;/D&gt;&lt;D xsi:type="xsd:double"&gt;13.7749366124695&lt;/D&gt;&lt;D xsi:type="xsd:double"&gt;13.5258066461957&lt;/D&gt;&lt;D xsi:type="xsd:double"&gt;12.8007178591179&lt;/D&gt;&lt;D xsi:type="xsd:double"&gt;12.9220025966423&lt;/D&gt;&lt;D xsi:type="xsd:double"&gt;12.8867699934009&lt;/D&gt;&lt;D xsi:type="xsd:double"&gt;12.5608846719889&lt;/D&gt;&lt;D xsi:type="xsd:double"&gt;12.2652654420964&lt;/D&gt;&lt;D xsi:type="xsd:double"&gt;11.2218104941015&lt;/D&gt;&lt;D xsi:type="xsd:double"&gt;12.2859520582614&lt;/D&gt;&lt;D xsi:type="xsd:double"&gt;12.5142305246149&lt;/D&gt;&lt;D xsi:type="xsd:double"&gt;12.5567218294507&lt;/D&gt;&lt;D xsi:type="xsd:double"&gt;12.4537968068904&lt;/D&gt;&lt;D xsi:type="xsd:double"&gt;12.8953695169208&lt;/D&gt;&lt;D xsi:type="xsd:double"&gt;13.3999255189444&lt;/D&gt;&lt;D xsi:type="xsd:double"&gt;13.7852681258967&lt;/D&gt;&lt;D xsi:type="xsd:double"&gt;13.7153739347202&lt;/D&gt;&lt;D xsi:type="xsd:double"&gt;14.2975894755673&lt;/D&gt;&lt;D xsi:type="xsd:double"&gt;13.895854277079&lt;/D&gt;&lt;D xsi:type="xsd:double"&gt;14.3725152040955&lt;/D&gt;&lt;D xsi:type="xsd:double"&gt;14.2856696420186&lt;/D&gt;&lt;D xsi:type="xsd:double"&gt;14.6264871200497&lt;/D&gt;&lt;D xsi:type="xsd:double"&gt;14.5101951340024&lt;/D&gt;&lt;D xsi:type="xsd:double"&gt;14.3314363291015&lt;/D&gt;&lt;D xsi:type="xsd:double"&gt;14.3298057182173&lt;/D&gt;&lt;D xsi:type="xsd:double"&gt;14.4039907301744&lt;/D&gt;&lt;D xsi:type="xsd:double"&gt;14.7308501727393&lt;/D&gt;&lt;D xsi:type="xsd:double"&gt;14.6453591340962&lt;/D&gt;&lt;D xsi:type="xsd:double"&gt;14.6370419419524&lt;/D&gt;&lt;D xsi:type="xsd:double"&gt;14.724036231546&lt;/D&gt;&lt;D xsi:type="xsd:double"&gt;14.858288878467&lt;/D&gt;&lt;D xsi:type="xsd:double"&gt;14.4777389373383&lt;/D&gt;&lt;D xsi:type="xsd:double"&gt;14.9606124995901&lt;/D&gt;&lt;D xsi:type="xsd:double"&gt;14.0742315816994&lt;/D&gt;&lt;D xsi:type="xsd:double"&gt;14.499267487031&lt;/D&gt;&lt;D xsi:type="xsd:double"&gt;14.3270356930599&lt;/D&gt;&lt;D xsi:type="xsd:double"&gt;14.2816818209931&lt;/D&gt;&lt;D xsi:type="xsd:double"&gt;14.3396192886612&lt;/D&gt;&lt;D xsi:type="xsd:double"&gt;14.0826323593477&lt;/D&gt;&lt;D xsi:type="xsd:double"&gt;13.9320476708704&lt;/D&gt;&lt;D xsi:type="xsd:double"&gt;13.6819729389199&lt;/D&gt;&lt;D xsi:type="xsd:double"&gt;12.8200651314952&lt;/D&gt;&lt;D xsi:type="xsd:double"&gt;12.6177907803138&lt;/D&gt;&lt;D xsi:type="xsd:double"&gt;12.490318744774&lt;/D&gt;&lt;D xsi:type="xsd:double"&gt;12.9637385311436&lt;/D&gt;&lt;D xsi:type="xsd:double"&gt;13.5402434599586&lt;/D&gt;&lt;D xsi:type="xsd:double"&gt;14.1803978046581&lt;/D&gt;&lt;D xsi:type="xsd:double"&gt;14.4803165338837&lt;/D&gt;&lt;D xsi:type="xsd:double"&gt;14.3185080575007&lt;/D&gt;&lt;D xsi:type="xsd:double"&gt;14.6232467465686&lt;/D&gt;&lt;D xsi:type="xsd:double"&gt;15.0336355339148&lt;/D&gt;&lt;D xsi:type="xsd:double"&gt;14.7940971513869&lt;/D&gt;&lt;D xsi:type="xsd:double"&gt;15.5984122683236&lt;/D&gt;&lt;D xsi:type="xsd:double"&gt;15.9876151631139&lt;/D&gt;&lt;D xsi:type="xsd:double"&gt;16.7625012117289&lt;/D&gt;&lt;D xsi:type="xsd:double"&gt;17.5527010280264&lt;/D&gt;&lt;D xsi:type="xsd:double"&gt;17.6048613899258&lt;/D&gt;&lt;D xsi:type="xsd:double"&gt;16.9924465256355&lt;/D&gt;&lt;D xsi:type="xsd:double"&gt;15.7867243893987&lt;/D&gt;&lt;D xsi:type="xsd:double"&gt;16.3021454928507&lt;/D&gt;&lt;D xsi:type="xsd:double"&gt;16.4389711538505&lt;/D&gt;&lt;D xsi:type="xsd:double"&gt;17.0655940150537&lt;/D&gt;&lt;D xsi:type="xsd:double"&gt;17.572263807067&lt;/D&gt;&lt;D xsi:type="xsd:double"&gt;17.7337358469685&lt;/D&gt;&lt;D xsi:type="xsd:double"&gt;17.3145727105399&lt;/D&gt;&lt;D xsi:type="xsd:double"&gt;17.0557441408249&lt;/D&gt;&lt;D xsi:type="xsd:double"&gt;17.4917648312941&lt;/D&gt;&lt;D xsi:type="xsd:double"&gt;17.7296805484768&lt;/D&gt;&lt;D xsi:type="xsd:double"&gt;19.0692338837649&lt;/D&gt;&lt;D xsi:type="xsd:double"&gt;19.3611496662841&lt;/D&gt;&lt;D xsi:type="xsd:double"&gt;18.4864159896807&lt;/D&gt;&lt;D xsi:type="xsd:double"&gt;18.1155236335207&lt;/D&gt;&lt;D xsi:type="xsd:double"&gt;16.9576520801784&lt;/D&gt;&lt;D xsi:type="xsd:double"&gt;16.6843798688694&lt;/D&gt;&lt;D xsi:type="xsd:double"&gt;16.3314768420384&lt;/D&gt;&lt;D xsi:type="xsd:double"&gt;15.0105096780138&lt;/D&gt;&lt;D xsi:type="xsd:double"&gt;14.6331945276858&lt;/D&gt;&lt;D xsi:type="xsd:double"&gt;13.6063210287328&lt;/D&gt;&lt;D xsi:type="xsd:double"&gt;13.6454995698934&lt;/D&gt;&lt;D xsi:type="xsd:double"&gt;12.9295509699429&lt;/D&gt;&lt;D xsi:type="xsd:double"&gt;13.0722696391181&lt;/D&gt;&lt;D xsi:type="xsd:double"&gt;12.8045506297107&lt;/D&gt;&lt;D xsi:type="xsd:double"&gt;12.3266531829181&lt;/D&gt;&lt;D xsi:type="xsd:double"&gt;12.1084296647902&lt;/D&gt;&lt;D xsi:type="xsd:double"&gt;11.9661106259305&lt;/D&gt;&lt;D xsi:type="xsd:double"&gt;11.6589309758369&lt;/D&gt;&lt;D xsi:type="xsd:double"&gt;11.0891866172404&lt;/D&gt;&lt;D xsi:type="xsd:double"&gt;11.3718127103527&lt;/D&gt;&lt;D xsi:type="xsd:double"&gt;10.9171802568785&lt;/D&gt;&lt;D xsi:type="xsd:double"&gt;10.0369476254301&lt;/D&gt;&lt;D xsi:type="xsd:double"&gt;10.9028969455481&lt;/D&gt;&lt;D xsi:type="xsd:double"&gt;11.017154169211&lt;/D&gt;&lt;D xsi:type="xsd:double"&gt;11.5551459291132&lt;/D&gt;&lt;D xsi:type="xsd:double"&gt;12.274065953888&lt;/D&gt;&lt;D xsi:type="xsd:double"&gt;12.6485426586836&lt;/D&gt;&lt;D xsi:type="xsd:double"&gt;13.1424842405016&lt;/D&gt;&lt;D xsi:type="xsd:double"&gt;13.8501544925605&lt;/D&gt;&lt;D xsi:type="xsd:double"&gt;14.8564645251124&lt;/D&gt;&lt;D xsi:type="xsd:double"&gt;15.6973441756555&lt;/D&gt;&lt;D xsi:type="xsd:double"&gt;15.7585490896801&lt;/D&gt;&lt;D xsi:type="xsd:double"&gt;16.3639864956768&lt;/D&gt;&lt;D xsi:type="xsd:double"&gt;16.5730195619923&lt;/D&gt;&lt;D xsi:type="xsd:double"&gt;17.2470704414089&lt;/D&gt;&lt;D xsi:type="xsd:double"&gt;18.4151983237331&lt;/D&gt;&lt;D xsi:type="xsd:double"&gt;18.356345837451&lt;/D&gt;&lt;D xsi:type="xsd:double"&gt;19.5102031136961&lt;/D&gt;&lt;D xsi:type="xsd:double"&gt;19.8420902228287&lt;/D&gt;&lt;D xsi:type="xsd:double"&gt;19.7146549467283&lt;/D&gt;&lt;/FQL&gt;&lt;FQL&gt;&lt;Q&gt;WL-FDS^FG_PRICE_CHANGE(0,-1AY)&lt;/Q&gt;&lt;R&gt;1&lt;/R&gt;&lt;C&gt;1&lt;/C&gt;&lt;D xsi:type="xsd:double"&gt;-15.8556426564118&lt;/D&gt;&lt;/FQL&gt;&lt;FQL&gt;&lt;Q&gt;NI-FDS^FG_PRICE_CHANGE(0,-1AM)&lt;/Q&gt;&lt;R&gt;1&lt;/R&gt;&lt;C&gt;1&lt;/C&gt;&lt;D xsi:type="xsd:double"&gt;2.99773755656108&lt;/D&gt;&lt;/FQL&gt;&lt;FQL&gt;&lt;Q&gt;FC0000KR^FG_PRICE(0)&lt;/Q&gt;&lt;R&gt;1&lt;/R&gt;&lt;C&gt;1&lt;/C&gt;&lt;D xsi:type="xsd:double"&gt;454.3068&lt;/D&gt;&lt;/FQL&gt;&lt;FQL&gt;&lt;Q&gt;TUR^FG_PRICE_MAVG(0,,,,60)&lt;/Q&gt;&lt;R&gt;1&lt;/R&gt;&lt;C&gt;1&lt;/C&gt;&lt;D xsi:type="xsd:double"&gt;36.8055&lt;/D&gt;&lt;/FQL&gt;&lt;FQL&gt;&lt;Q&gt;EWW^FG_PRICE_MAVG(0,,,,60)&lt;/Q&gt;&lt;R&gt;1&lt;/R&gt;&lt;C&gt;1&lt;/C&gt;&lt;D xsi:type="xsd:double"&gt;67.154335&lt;/D&gt;&lt;/FQL&gt;&lt;FQL&gt;&lt;Q&gt;KSA^FG_TOTAL_RETURNC(0,-12AM)&lt;/Q&gt;&lt;R&gt;1&lt;/R&gt;&lt;C&gt;1&lt;/C&gt;&lt;D xsi:type="xsd:double"&gt;9.731507&lt;/D&gt;&lt;/FQL&gt;&lt;FQL&gt;&lt;Q&gt;TUR^FMA_PCT_ABOVE_MAVG(200,0,,,,"PORTAGG")&lt;/Q&gt;&lt;R&gt;1&lt;/R&gt;&lt;C&gt;1&lt;/C&gt;&lt;D xsi:type="xsd:double"&gt;63.0434782608696&lt;/D&gt;&lt;/FQL&gt;&lt;FQL&gt;&lt;Q&gt;INDA^PERCENT_CHANGE(FMA_EPS(+1,0,,,,"PORTAGG","MEAN"),FMA_EPS(+1,-1AM,,,,"PORTAGG","MEAN"))&lt;/Q&gt;&lt;R&gt;1&lt;/R&gt;&lt;C&gt;1&lt;/C&gt;&lt;D xsi:type="xsd:double"&gt;-1.1624594084595&lt;/D&gt;&lt;/FQL&gt;&lt;FQL&gt;&lt;Q&gt;EWY^PERCENT_CHANGE(FMA_EPS(+1,0,,,,"PORTAGG","MEAN"),FMA_EPS(+1,-1AM,,,,"PORTAGG","MEAN"))&lt;/Q&gt;&lt;R&gt;1&lt;/R&gt;&lt;C&gt;1&lt;/C&gt;&lt;D xsi:type="xsd:double"&gt;-3.91920503637531&lt;/D&gt;&lt;/FQL&gt;&lt;FQL&gt;&lt;Q&gt;EWT^PERCENT_CHANGE(FMA_EPS(+1,0,,,,"PORTAGG","MEAN"),FMA_EPS(+1,-1AM,,,,"PORTAGG","MEAN"))&lt;/Q&gt;&lt;R&gt;1&lt;/R&gt;&lt;C&gt;1&lt;/C&gt;&lt;D xsi:type="xsd:double"&gt;-2.68707042276717&lt;/D&gt;&lt;/FQL&gt;&lt;FQL&gt;&lt;Q&gt;EPHE^PERCENT_CHANGE(FMA_EPS(+1,0,,,,"PORTAGG","MEAN"),FMA_EPS(+1,-3AM,,,,"PORTAGG","MEAN"))&lt;/Q&gt;&lt;R&gt;1&lt;/R&gt;&lt;C&gt;1&lt;/C&gt;&lt;D xsi:type="xsd:double"&gt;-2.66361661321086&lt;/D&gt;&lt;/FQL&gt;&lt;FQL&gt;&lt;Q&gt;EWJ^P_PRICE(0)/P_PRICE_HIGH_PR(0,,,,,,"PRICE","INTRA","52W")&lt;/Q&gt;&lt;R&gt;1&lt;/R&gt;&lt;C&gt;1&lt;/C&gt;&lt;D xsi:type="xsd:double"&gt;0.9281898&lt;/D&gt;&lt;/FQL&gt;&lt;FQL&gt;&lt;Q&gt;EWJ^FMA_COS_UP("EPS","1M",+1,NOW,,,"PORTAGG","MEANR")&lt;/Q&gt;&lt;R&gt;1&lt;/R&gt;&lt;C&gt;1&lt;/C&gt;&lt;D xsi:type="xsd:double"&gt;97&lt;/D&gt;&lt;/FQL&gt;&lt;FQL&gt;&lt;Q&gt;GREK^FMA_COS_DOWN("EPS","1M",+1,NOW,,,"PORTAGG","MEANR")&lt;/Q&gt;&lt;R&gt;1&lt;/R&gt;&lt;C&gt;1&lt;/C&gt;&lt;D xsi:type="xsd:double"&gt;6&lt;/D&gt;&lt;/FQL&gt;&lt;FQL&gt;&lt;Q&gt;EWM^FMA_COS_UP("EPS","1M",+1,NOW,,,"PORTAGG","MEANR")&lt;/Q&gt;&lt;R&gt;1&lt;/R&gt;&lt;C&gt;1&lt;/C&gt;&lt;D xsi:type="xsd:double"&gt;8&lt;/D&gt;&lt;/FQL&gt;&lt;FQL&gt;&lt;Q&gt;EPOL^FMA_RBICS_REV_CURRENT(30, LOC, "PORTAGG")&lt;/Q&gt;&lt;R&gt;1&lt;/R&gt;&lt;C&gt;1&lt;/C&gt;&lt;D xsi:type="xsd:double"&gt;48.9007931524452&lt;/D&gt;&lt;/FQL&gt;&lt;FQL&gt;&lt;Q&gt;EWW^FG_ROE(0)&lt;/Q&gt;&lt;R&gt;1&lt;/R&gt;&lt;C&gt;1&lt;/C&gt;&lt;D xsi:type="xsd:double"&gt;13.7167744379181&lt;/D&gt;&lt;/FQL&gt;&lt;FQL&gt;&lt;Q&gt;TRYGR10Y-FDS^FG_YIELD_NAME&lt;/Q&gt;&lt;R&gt;1&lt;/R&gt;&lt;C&gt;1&lt;/C&gt;&lt;D xsi:type="xsd:string"&gt;Greece Benchmark Bond - 10 Year&lt;/D&gt;&lt;/FQL&gt;&lt;FQL&gt;&lt;Q&gt;REFVNDISC-FDS^FG_YIELD(NOW,,,0)&lt;/Q&gt;&lt;R&gt;1&lt;/R&gt;&lt;C&gt;1&lt;/C&gt;&lt;D xsi:type="xsd:double"&gt;3&lt;/D&gt;&lt;/FQL&gt;&lt;FQL&gt;&lt;Q&gt;REFINREPO-FDS^(SUBARRAY(NOT_NA(NO_REPEAT_F(FG_YIELD(NOW,-10AY,D))),0,1)-SUBARRAY(NOT_NA(NO_REPEAT_F(FG_YIELD(NOW,-10AY,D))),1,1))*100&lt;/Q&gt;&lt;R&gt;1&lt;/R&gt;&lt;C&gt;1&lt;/C&gt;&lt;D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xsi:type="xsd:double"&gt;25&lt;/D&gt;&lt;/FQL&gt;&lt;FQL&gt;&lt;Q&gt;REFMXTON-FDS^PROPER_NAME(0,,,"SECURITY","NAME")&lt;/Q&gt;&lt;R&gt;1&lt;/R&gt;&lt;C&gt;1&lt;/C&gt;&lt;D xsi:type="xsd:string"&gt;Mexico Target Rate - Overnight&lt;/D&gt;&lt;/FQL&gt;&lt;FQL&gt;&lt;Q&gt;REFIDRREPO-FDS^FG_YIELD(NOW,,,0)&lt;/Q&gt;&lt;R&gt;1&lt;/R&gt;&lt;C&gt;1&lt;/C&gt;&lt;D xsi:type="xsd:double"&gt;6&lt;/D&gt;&lt;/FQL&gt;&lt;FQL&gt;&lt;Q&gt;TRYTH10Y-FDS^PCTCHG(FG_YIELD(0,,,,"YTM"),FG_YIELD(-1AM,,,,"YTM"))&lt;/Q&gt;&lt;R&gt;1&lt;/R&gt;&lt;C&gt;1&lt;/C&gt;&lt;D xsi:type="xsd:double"&gt;6.8356314&lt;/D&gt;&lt;/FQL&gt;&lt;FQL&gt;&lt;Q&gt;TRYTW10Y-FDS^PCTCHG(FG_YIELD(0,,,,"YTM"),FG_YIELD(-3AM,,,,"YTM"))&lt;/Q&gt;&lt;R&gt;1&lt;/R&gt;&lt;C&gt;1&lt;/C&gt;&lt;D xsi:type="xsd:double"&gt;39.795914&lt;/D&gt;&lt;/FQL&gt;&lt;FQL&gt;&lt;Q&gt;TRYUS10Y-FDS^FG_YIELD_NAME&lt;/Q&gt;&lt;R&gt;1&lt;/R&gt;&lt;C&gt;1&lt;/C&gt;&lt;D xsi:type="xsd:string"&gt;US Benchmark Bond - 10 Year&lt;/D&gt;&lt;/FQL&gt;&lt;FQL&gt;&lt;Q&gt;TRYGR10Y-FDS^FG_YIELD(0,,,,"YTM")&lt;/Q&gt;&lt;R&gt;1&lt;/R&gt;&lt;C&gt;1&lt;/C&gt;&lt;D xsi:type="xsd:double"&gt;3.541&lt;/D&gt;&lt;/FQL&gt;&lt;FQL&gt;&lt;Q&gt;CC_ZA^IMF_IFS_RCPI_Q(0)&lt;/Q&gt;&lt;R&gt;0&lt;/R&gt;&lt;C&gt;0&lt;/C&gt;&lt;/FQL&gt;&lt;FQL&gt;&lt;Q&gt;VWO^FG_PE(0)&lt;/Q&gt;&lt;R&gt;1&lt;/R&gt;&lt;C&gt;1&lt;/C&gt;&lt;D xsi:type="xsd:double"&gt;13.8523150839886&lt;/D&gt;&lt;/FQL&gt;&lt;FQL&gt;&lt;Q&gt;VNM^FMA_EVAL_EBITDA(NTMA,0,,,"PORTAGG","MEANR")&lt;/Q&gt;&lt;R&gt;1&lt;/R&gt;&lt;C&gt;1&lt;/C&gt;&lt;D xsi:type="xsd:double"&gt;9.48470764668765&lt;/D&gt;&lt;/FQL&gt;&lt;FQL&gt;&lt;Q&gt;TUR^FMA_PE(NTMA,0,,,"PORTAGG","MEANR")&lt;/Q&gt;&lt;R&gt;1&lt;/R&gt;&lt;C&gt;1&lt;/C&gt;&lt;D xsi:type="xsd:double"&gt;5.3949236640789&lt;/D&gt;&lt;/FQL&gt;&lt;FQL&gt;&lt;Q&gt;MCHI^FMA_EVAL_EBIT(LTMA,NOW,NOW,M,"PORTAGG","MEANR")&lt;/Q&gt;&lt;R&gt;1&lt;/R&gt;&lt;C&gt;1&lt;/C&gt;&lt;D xsi:type="xsd:double"&gt;13.526177189575&lt;/D&gt;&lt;/FQL&gt;&lt;FQL&gt;&lt;Q&gt;GREK^FMA_DIV_YLD(NTMA,NOW,NOW,M,"PORTAGG","MEANR")&lt;/Q&gt;&lt;R&gt;1&lt;/R&gt;&lt;C&gt;1&lt;/C&gt;&lt;D xsi:type="xsd:double"&gt;5.14851054366064&lt;/D&gt;&lt;/FQL&gt;&lt;FQL&gt;&lt;Q&gt;EWZ^JULIAN(FMA_DIV_YLD(NTMA,NOW,NOW,M,"PORTAGG","MEANR").DATES)&lt;/Q&gt;&lt;R&gt;1&lt;/R&gt;&lt;C&gt;1&lt;/C&gt;&lt;D xsi:type="xsd:long"&gt;45379&lt;/D&gt;&lt;/FQL&gt;&lt;FQL&gt;&lt;Q&gt;EWT^FG_FCF_YIELD_NTM(0)&lt;/Q&gt;&lt;R&gt;1&lt;/R&gt;&lt;C&gt;1&lt;/C&gt;&lt;D xsi:type="xsd:double"&gt;3.82728247802658&lt;/D&gt;&lt;/FQL&gt;&lt;FQL&gt;&lt;Q&gt;EPU^FMA_PE(LTM,0,,,"PORTAGG","MEANR")&lt;/Q&gt;&lt;R&gt;1&lt;/R&gt;&lt;C&gt;1&lt;/C&gt;&lt;D xsi:type="xsd:double"&gt;18.3825024040905&lt;/D&gt;&lt;/FQL&gt;&lt;FQL&gt;&lt;Q&gt;EIDO^FMA_EVAL_EBITDA(NTMA,0,,,"PORTAGG","MEANR")&lt;/Q&gt;&lt;R&gt;1&lt;/R&gt;&lt;C&gt;1&lt;/C&gt;&lt;D xsi:type="xsd:double"&gt;6.2048173170402&lt;/D&gt;&lt;/FQL&gt;&lt;FQL&gt;&lt;Q&gt;CNYA^FMA_PE(NTMA,0,,,"PORTAGG","MEANR")&lt;/Q&gt;&lt;R&gt;1&lt;/R&gt;&lt;C&gt;1&lt;/C&gt;&lt;D xsi:type="xsd:double"&gt;12.1761115883368&lt;/D&gt;&lt;/FQL&gt;&lt;FQL&gt;&lt;Q&gt;EWW^FG_COMPANY_NAME&lt;/Q&gt;&lt;R&gt;1&lt;/R&gt;&lt;C&gt;1&lt;/C&gt;&lt;D xsi:type="xsd:string"&gt;iShares MSCI Mexico ETF&lt;/D&gt;&lt;/FQL&gt;&lt;FQL&gt;&lt;Q&gt;INDA^FMA_ROE(NTMA,-20AY,NOW,FY,"PORTAGG","MEANR")&lt;/Q&gt;&lt;R&gt;20&lt;/R&gt;&lt;C&gt;1&lt;/C&gt;&lt;D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xsi:type="xsd:double"&gt;14.5354845941958&lt;/D&gt;&lt;D xsi:type="xsd:double"&gt;12.8423838581616&lt;/D&gt;&lt;D xsi:type="xsd:double"&gt;15.1612835327609&lt;/D&gt;&lt;D xsi:type="xsd:double"&gt;14.9254235326562&lt;/D&gt;&lt;D xsi:type="xsd:double"&gt;16.077047134791&lt;/D&gt;&lt;/FQL&gt;&lt;FQL&gt;&lt;Q&gt;TRYCN10Y-FDS^FG_YIELD(-10AY,0,Y,,"YTM")&lt;/Q&gt;&lt;R&gt;10&lt;/R&gt;&lt;C&gt;1&lt;/C&gt;&lt;D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xsi:type="xsd:double"&gt;2.574&lt;/D&gt;&lt;/FQL&gt;&lt;FQL&gt;&lt;Q&gt;USDINR^FG_PRICE_CHANGE(0,-6AM)&lt;/Q&gt;&lt;R&gt;1&lt;/R&gt;&lt;C&gt;1&lt;/C&gt;&lt;D xsi:type="xsd:double"&gt;0.33324957&lt;/D&gt;&lt;/FQL&gt;&lt;FQL&gt;&lt;Q&gt;USDPEN^FG_PRICE_CHANGE(0,-6AM)&lt;/Q&gt;&lt;R&gt;1&lt;/R&gt;&lt;C&gt;1&lt;/C&gt;&lt;D xsi:type="xsd:double"&gt;-2.963519&lt;/D&gt;&lt;/FQL&gt;&lt;FQL&gt;&lt;Q&gt;FC0000ID^FMA_EPS(NTMA,-20AY,0,CY,,"PORTAGG","MEANR")&lt;/Q&gt;&lt;R&gt;20&lt;/R&gt;&lt;C&gt;1&lt;/C&gt;&lt;D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xsi:type="xsd:double"&gt;63.7324766927396&lt;/D&gt;&lt;D xsi:type="xsd:double"&gt;51.5269225985592&lt;/D&gt;&lt;D xsi:type="xsd:double"&gt;58.7717055822565&lt;/D&gt;&lt;D xsi:type="xsd:double"&gt;64.97279420912&lt;/D&gt;&lt;D xsi:type="xsd:double"&gt;67.9891780236727&lt;/D&gt;&lt;/FQL&gt;&lt;FQL&gt;&lt;Q&gt;W-FDS^FG_PRICE_CHANGE(0,-1AY)&lt;/Q&gt;&lt;R&gt;1&lt;/R&gt;&lt;C&gt;1&lt;/C&gt;&lt;D xsi:type="xsd:double"&gt;-23.1017191977077&lt;/D&gt;&lt;/FQL&gt;&lt;FQL&gt;&lt;Q&gt;COPP-FDS^FG_PRICE_CHANGE(0,-1AM)&lt;/Q&gt;&lt;R&gt;1&lt;/R&gt;&lt;C&gt;1&lt;/C&gt;&lt;D xsi:type="xsd:double"&gt;7.92319844452547&lt;/D&gt;&lt;/FQL&gt;&lt;FQL&gt;&lt;Q&gt;TUR^FG_PRICE_MAVG(0,,,,30)&lt;/Q&gt;&lt;R&gt;1&lt;/R&gt;&lt;C&gt;1&lt;/C&gt;&lt;D xsi:type="xsd:double"&gt;36.682667&lt;/D&gt;&lt;/FQL&gt;&lt;FQL&gt;&lt;Q&gt;GREK^FG_PRICE_MAVG(0,,,,200)&lt;/Q&gt;&lt;R&gt;1&lt;/R&gt;&lt;C&gt;1&lt;/C&gt;&lt;D xsi:type="xsd:double"&gt;37.42401&lt;/D&gt;&lt;/FQL&gt;&lt;FQL&gt;&lt;Q&gt;EPOL^FG_PRICE(0)&lt;/Q&gt;&lt;R&gt;1&lt;/R&gt;&lt;C&gt;1&lt;/C&gt;&lt;D xsi:type="xsd:double"&gt;23.18&lt;/D&gt;&lt;/FQL&gt;&lt;FQL&gt;&lt;Q&gt;UAE^FG_TOTAL_RETURNC(0,-12AM)&lt;/Q&gt;&lt;R&gt;1&lt;/R&gt;&lt;C&gt;1&lt;/C&gt;&lt;D xsi:type="xsd:double"&gt;1.9243598&lt;/D&gt;&lt;/FQL&gt;&lt;FQL&gt;&lt;Q&gt;QAT^FMA_PCT_ABOVE_MAVG(200,0,,,,"PORTAGG")&lt;/Q&gt;&lt;R&gt;1&lt;/R&gt;&lt;C&gt;1&lt;/C&gt;&lt;D xsi:type="xsd:double"&gt;32.3529411764706&lt;/D&gt;&lt;/FQL&gt;&lt;FQL&gt;&lt;Q&gt;EZA^PERCENT_CHANGE(FMA_EPS(+1,0,,,,"PORTAGG","MEAN"),FMA_EPS(+1,-1AM,,,,"PORTAGG","MEAN"))&lt;/Q&gt;&lt;R&gt;1&lt;/R&gt;&lt;C&gt;1&lt;/C&gt;&lt;D xsi:type="xsd:double"&gt;0.109988214362036&lt;/D&gt;&lt;/FQL&gt;&lt;FQL&gt;&lt;Q&gt;EWY^FMA_PCT_ABOVE_MAVG(200,0,,,,"PORTAGG")&lt;/Q&gt;&lt;R&gt;1&lt;/R&gt;&lt;C&gt;1&lt;/C&gt;&lt;D xsi:type="xsd:double"&gt;51&lt;/D&gt;&lt;/FQL&gt;&lt;FQL&gt;&lt;Q&gt;GREK^FMA_ROE(NTMA,-20AY,NOW,FY,"PORTAGG","MEANR")&lt;/Q&gt;&lt;R&gt;20&lt;/R&gt;&lt;C&gt;1&lt;/C&gt;&lt;D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xsi:type="xsd:double"&gt;5.810021541725&lt;/D&gt;&lt;D xsi:type="xsd:double"&gt;5.36711218261452&lt;/D&gt;&lt;D xsi:type="xsd:double"&gt;8.82576684666533&lt;/D&gt;&lt;D xsi:type="xsd:double"&gt;11.0341923380188&lt;/D&gt;&lt;D xsi:type="xsd:double"&gt;13.1253657894167&lt;/D&gt;&lt;/FQL&gt;&lt;FQL&gt;&lt;Q&gt;CAGDPY@VN^EE_ACTUAL_ANNUAL(MED,0)&lt;/Q&gt;&lt;R&gt;0&lt;/R&gt;&lt;C&gt;0&lt;/C&gt;&lt;/FQL&gt;&lt;FQL&gt;&lt;Q&gt;CAGDPY@TW^EE_ACTUAL_ANNUAL(MED,+1)&lt;/Q&gt;&lt;R&gt;1&lt;/R&gt;&lt;C&gt;1&lt;/C&gt;&lt;D xsi:type="xsd:double"&gt;12.5&lt;/D&gt;&lt;/FQL&gt;&lt;FQL&gt;&lt;Q&gt;CC_TW^FG_COMPANY_NAME&lt;/Q&gt;&lt;R&gt;1&lt;/R&gt;&lt;C&gt;1&lt;/C&gt;&lt;D xsi:type="xsd:string"&gt;Taiwan, China&lt;/D&gt;&lt;/FQL&gt;&lt;FQL&gt;&lt;Q&gt;USDAED^STD(FG_PRICE_CHANGE(0,-1AY,AM))&lt;/Q&gt;&lt;R&gt;1&lt;/R&gt;&lt;C&gt;1&lt;/C&gt;&lt;D xsi:type="xsd:double"&gt;0.00981052755370711&lt;/D&gt;&lt;/FQL&gt;&lt;FQL&gt;&lt;Q&gt;USDBRL^FG_PRICE_CHANGE(0,-6AM)&lt;/Q&gt;&lt;R&gt;1&lt;/R&gt;&lt;C&gt;1&lt;/C&gt;&lt;D xsi:type="xsd:double"&gt;3.5614967&lt;/D&gt;&lt;/FQL&gt;&lt;FQL&gt;&lt;Q&gt;USDIDR^FG_PRICE_CHANGE(0,-6AM)&lt;/Q&gt;&lt;R&gt;1&lt;/R&gt;&lt;C&gt;1&lt;/C&gt;&lt;D xsi:type="xsd:double"&gt;2.8289914&lt;/D&gt;&lt;/FQL&gt;&lt;FQL&gt;&lt;Q&gt;CNYA^P_PRICE_RETURNS_PR('52W',2,-10AY,0,AM)&lt;/Q&gt;&lt;R&gt;121&lt;/R&gt;&lt;C&gt;1&lt;/C&gt;&lt;D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xsi:type="xsd:double"&gt;11.110234&lt;/D&gt;&lt;D xsi:type="xsd:double"&gt;9.246087&lt;/D&gt;&lt;D xsi:type="xsd:double"&gt;10.025417&lt;/D&gt;&lt;D xsi:type="xsd:double"&gt;20.39218&lt;/D&gt;&lt;D xsi:type="xsd:double"&gt;20.413458&lt;/D&gt;&lt;D xsi:type="xsd:double"&gt;22.043097&lt;/D&gt;&lt;D xsi:type="xsd:double"&gt;22.881699&lt;/D&gt;&lt;D xsi:type="xsd:double"&gt;38.240242&lt;/D&gt;&lt;D xsi:type="xsd:double"&gt;28.22832&lt;/D&gt;&lt;D xsi:type="xsd:double"&gt;24.673319&lt;/D&gt;&lt;D xsi:type="xsd:double"&gt;18.58313&lt;/D&gt;&lt;D xsi:type="xsd:double"&gt;23.144722&lt;/D&gt;&lt;D xsi:type="xsd:double"&gt;12.143302&lt;/D&gt;&lt;D xsi:type="xsd:double"&gt;-4.1874113&lt;/D&gt;&lt;D xsi:type="xsd:double"&gt;-12.518507&lt;/D&gt;&lt;D xsi:type="xsd:double"&gt;-17.021067&lt;/D&gt;&lt;D xsi:type="xsd:double"&gt;-24.715155&lt;/D&gt;&lt;D xsi:type="xsd:double"&gt;-21.136486&lt;/D&gt;&lt;D xsi:type="xsd:double"&gt;-21.96986&lt;/D&gt;&lt;D xsi:type="xsd:double"&gt;-25.682682&lt;/D&gt;&lt;D xsi:type="xsd:double"&gt;-18.889124&lt;/D&gt;&lt;D xsi:type="xsd:double"&gt;-7.46789&lt;/D&gt;&lt;D xsi:type="xsd:double"&gt;3.7062764&lt;/D&gt;&lt;D xsi:type="xsd:double"&gt;-11.751211&lt;/D&gt;&lt;D xsi:type="xsd:double"&gt;-4.4620633&lt;/D&gt;&lt;D xsi:type="xsd:double"&gt;9.076632&lt;/D&gt;&lt;D xsi:type="xsd:double"&gt;12.371456&lt;/D&gt;&lt;D xsi:type="xsd:double"&gt;16.127098&lt;/D&gt;&lt;D xsi:type="xsd:double"&gt;26.621319&lt;/D&gt;&lt;D xsi:type="xsd:double"&gt;18.392075&lt;/D&gt;&lt;D xsi:type="xsd:double"&gt;28.2714&lt;/D&gt;&lt;D xsi:type="xsd:double"&gt;32.043922&lt;/D&gt;&lt;D xsi:type="xsd:double"&gt;18.716562&lt;/D&gt;&lt;D xsi:type="xsd:double"&gt;-8.328944&lt;/D&gt;&lt;D xsi:type="xsd:double"&gt;-7.337892&lt;/D&gt;&lt;D xsi:type="xsd:double"&gt;11.838997&lt;/D&gt;&lt;D xsi:type="xsd:double"&gt;12.311721&lt;/D&gt;&lt;D xsi:type="xsd:double"&gt;26.631142&lt;/D&gt;&lt;D xsi:type="xsd:double"&gt;38.65689&lt;/D&gt;&lt;D xsi:type="xsd:double"&gt;32.849407&lt;/D&gt;&lt;D xsi:type="xsd:double"&gt;35.871685&lt;/D&gt;&lt;D xsi:type="xsd:double"&gt;39.618565&lt;/D&gt;&lt;D xsi:type="xsd:double"&gt;39.455067&lt;/D&gt;&lt;D xsi:type="xsd:double"&gt;43.745388&lt;/D&gt;&lt;D xsi:type="xsd:double"&gt;60.3078&lt;/D&gt;&lt;D xsi:type="xsd:double"&gt;56.193794&lt;/D&gt;&lt;D xsi:type="xsd:double"&gt;46.286797&lt;/D&gt;&lt;D xsi:type="xsd:double"&gt;47.584557&lt;/D&gt;&lt;D xsi:type="xsd:double"&gt;40.795326&lt;/D&gt;&lt;D xsi:type="xsd:double"&gt;24.12585&lt;/D&gt;&lt;D xsi:type="xsd:double"&gt;12.401617&lt;/D&gt;&lt;D xsi:type="xsd:double"&gt;15.17086&lt;/D&gt;&lt;D xsi:type="xsd:double"&gt;12.337518&lt;/D&gt;&lt;D xsi:type="xsd:double"&gt;8.899963&lt;/D&gt;&lt;D xsi:type="xsd:double"&gt;7.251513&lt;/D&gt;&lt;D xsi:type="xsd:double"&gt;-4.154122&lt;/D&gt;&lt;D xsi:type="xsd:double"&gt;-14.038742&lt;/D&gt;&lt;D xsi:type="xsd:double"&gt;-6.695324&lt;/D&gt;&lt;D xsi:type="xsd:double"&gt;-9.961187&lt;/D&gt;&lt;D xsi:type="xsd:double"&gt;-23.963785&lt;/D&gt;&lt;D xsi:type="xsd:double"&gt;-14.229226&lt;/D&gt;&lt;D xsi:type="xsd:double"&gt;-16.133266&lt;/D&gt;&lt;D xsi:type="xsd:double"&gt;-14.5660515&lt;/D&gt;&lt;D xsi:type="xsd:double"&gt;-22.862207&lt;/D&gt;&lt;D xsi:type="xsd:double"&gt;-27.94342&lt;/D&gt;&lt;D xsi:type="xsd:double"&gt;-26.98989&lt;/D&gt;&lt;D xsi:type="xsd:double"&gt;-26.6124&lt;/D&gt;&lt;D xsi:type="xsd:double"&gt;-17.506493&lt;/D&gt;&lt;D xsi:type="xsd:double"&gt;-17.134916&lt;/D&gt;&lt;D xsi:type="xsd:double"&gt;-12.855757&lt;/D&gt;&lt;D xsi:type="xsd:double"&gt;-5.726242&lt;/D&gt;&lt;D xsi:type="xsd:double"&gt;-2.599454&lt;/D&gt;&lt;D xsi:type="xsd:double"&gt;-12.631721&lt;/D&gt;&lt;D xsi:type="xsd:double"&gt;-15.549117&lt;/D&gt;&lt;D xsi:type="xsd:double"&gt;-17.257904&lt;/D&gt;&lt;D xsi:type="xsd:double"&gt;-9.777784&lt;/D&gt;&lt;D xsi:type="xsd:double"&gt;-9.131134&lt;/D&gt;&lt;D xsi:type="xsd:double"&gt;-8.5288105&lt;/D&gt;&lt;D xsi:type="xsd:double"&gt;-17.007154&lt;/D&gt;&lt;D xsi:type="xsd:double"&gt;-25.770008&lt;/D&gt;&lt;D xsi:type="xsd:double"&gt;-20.162857&lt;/D&gt;&lt;D xsi:type="xsd:double"&gt;-11.564368&lt;/D&gt;&lt;D xsi:type="xsd:double"&gt;-17.625242&lt;/D&gt;&lt;/FQL&gt;&lt;FQL&gt;&lt;Q&gt;EPOL^FMA_DIV_YLD(NTMA,-10AY,0,AM,"PORTAGG","MEANR")&lt;/Q&gt;&lt;R&gt;121&lt;/R&gt;&lt;C&gt;1&lt;/C&gt;&lt;D xsi:type="xsd:double"&gt;3.83493888817317&lt;/D&gt;&lt;D xsi:type="xsd:double"&gt;3.94290269087&lt;/D&gt;&lt;D xsi:type="xsd:double"&gt;3.94796502226572&lt;/D&gt;&lt;D xsi:type="xsd:double"&gt;4.1085637119195&lt;/D&gt;&lt;D xsi:type="xsd:double"&gt;4.08709126119621&lt;/D&gt;&lt;D xsi:type="xsd:double"&gt;4.12721626927611&lt;/D&gt;&lt;D xsi:type="xsd:double"&gt;4.13009775379636&lt;/D&gt;&lt;D xsi:type="xsd:double"&gt;3.95893594109274&lt;/D&gt;&lt;D xsi:type="xsd:double"&gt;4.00205483209017&lt;/D&gt;&lt;D xsi:type="xsd:double"&gt;4.1490033430902&lt;/D&gt;&lt;D xsi:type="xsd:double"&gt;3.7922656664769&lt;/D&gt;&lt;D xsi:type="xsd:double"&gt;3.73420958008137&lt;/D&gt;&lt;D xsi:type="xsd:double"&gt;3.36512480965345&lt;/D&gt;&lt;D xsi:type="xsd:double"&gt;3.32483767258817&lt;/D&gt;&lt;D xsi:type="xsd:double"&gt;3.6130655648965&lt;/D&gt;&lt;D xsi:type="xsd:double"&gt;3.57303210067652&lt;/D&gt;&lt;D xsi:type="xsd:double"&gt;3.69339313694062&lt;/D&gt;&lt;D xsi:type="xsd:double"&gt;3.59036772114754&lt;/D&gt;&lt;D xsi:type="xsd:double"&gt;3.67584081156399&lt;/D&gt;&lt;D xsi:type="xsd:double"&gt;3.91794005072784&lt;/D&gt;&lt;D xsi:type="xsd:double"&gt;4.0901652198817&lt;/D&gt;&lt;D xsi:type="xsd:double"&gt;4.31269249677219&lt;/D&gt;&lt;D xsi:type="xsd:double"&gt;4.00330072099057&lt;/D&gt;&lt;D xsi:type="xsd:double"&gt;3.69262642948316&lt;/D&gt;&lt;D xsi:type="xsd:double"&gt;3.61068090851851&lt;/D&gt;&lt;D xsi:type="xsd:double"&gt;3.82341580939173&lt;/D&gt;&lt;D xsi:type="xsd:double"&gt;3.93404441754884&lt;/D&gt;&lt;D xsi:type="xsd:double"&gt;3.66926530081502&lt;/D&gt;&lt;D xsi:type="xsd:double"&gt;3.51244719218706&lt;/D&gt;&lt;D xsi:type="xsd:double"&gt;3.6326552745165</t>
        </r>
      </text>
    </comment>
    <comment ref="A9" authorId="0" shapeId="0" xr:uid="{24ABF40C-3B64-45BB-9EB9-D40F0CC91A75}">
      <text>
        <r>
          <rPr>
            <b/>
            <sz val="9"/>
            <color indexed="81"/>
            <rFont val="Tahoma"/>
            <charset val="1"/>
          </rPr>
          <t>6&lt;/D&gt;&lt;D xsi:type="xsd:double"&gt;3.46721417133769&lt;/D&gt;&lt;D xsi:type="xsd:double"&gt;3.40957523336054&lt;/D&gt;&lt;D xsi:type="xsd:double"&gt;3.07588026891091&lt;/D&gt;&lt;D xsi:type="xsd:double"&gt;2.86724565646273&lt;/D&gt;&lt;D xsi:type="xsd:double"&gt;2.6191874617357&lt;/D&gt;&lt;D xsi:type="xsd:double"&gt;2.36015206446711&lt;/D&gt;&lt;D xsi:type="xsd:double"&gt;2.53817687463421&lt;/D&gt;&lt;D xsi:type="xsd:double"&gt;2.53305777882407&lt;/D&gt;&lt;D xsi:type="xsd:double"&gt;2.52671653138&lt;/D&gt;&lt;D xsi:type="xsd:double"&gt;2.42266929499596&lt;/D&gt;&lt;D xsi:type="xsd:double"&gt;2.45632657138595&lt;/D&gt;&lt;D xsi:type="xsd:double"&gt;2.58627533338107&lt;/D&gt;&lt;D xsi:type="xsd:double"&gt;2.39849799744745&lt;/D&gt;&lt;D xsi:type="xsd:double"&gt;2.47838861438625&lt;/D&gt;&lt;D xsi:type="xsd:double"&gt;2.8016931138468&lt;/D&gt;&lt;D xsi:type="xsd:double"&gt;2.71463471928985&lt;/D&gt;&lt;D xsi:type="xsd:double"&gt;2.99140171729266&lt;/D&gt;&lt;D xsi:type="xsd:double"&gt;3.04790082584074&lt;/D&gt;&lt;D xsi:type="xsd:double"&gt;2.96625414294213&lt;/D&gt;&lt;D xsi:type="xsd:double"&gt;3.08783176405264&lt;/D&gt;&lt;D xsi:type="xsd:double"&gt;3.20200331566059&lt;/D&gt;&lt;D xsi:type="xsd:double"&gt;3.01039563570552&lt;/D&gt;&lt;D xsi:type="xsd:double"&gt;2.9197478581846&lt;/D&gt;&lt;D xsi:type="xsd:double"&gt;3.02661434371895&lt;/D&gt;&lt;D xsi:type="xsd:double"&gt;3.17182398950222&lt;/D&gt;&lt;D xsi:type="xsd:double"&gt;3.19283390937112&lt;/D&gt;&lt;D xsi:type="xsd:double"&gt;3.08796031632912&lt;/D&gt;&lt;D xsi:type="xsd:double"&gt;2.99990474317006&lt;/D&gt;&lt;D xsi:type="xsd:double"&gt;3.04655822551501&lt;/D&gt;&lt;D xsi:type="xsd:double"&gt;3.04674079766824&lt;/D&gt;&lt;D xsi:type="xsd:double"&gt;3.0432453441107&lt;/D&gt;&lt;D xsi:type="xsd:double"&gt;3.34604070173352&lt;/D&gt;&lt;D xsi:type="xsd:double"&gt;3.22069738356195&lt;/D&gt;&lt;D xsi:type="xsd:double"&gt;3.32240072559806&lt;/D&gt;&lt;D xsi:type="xsd:double"&gt;3.87109856281227&lt;/D&gt;&lt;D xsi:type="xsd:double"&gt;3.57236745972992&lt;/D&gt;&lt;D xsi:type="xsd:double"&gt;3.50554998720027&lt;/D&gt;&lt;D xsi:type="xsd:double"&gt;3.32567103983661&lt;/D&gt;&lt;D xsi:type="xsd:double"&gt;3.56059792999246&lt;/D&gt;&lt;D xsi:type="xsd:double"&gt;3.55178777757133&lt;/D&gt;&lt;D xsi:type="xsd:double"&gt;3.68981561721537&lt;/D&gt;&lt;D xsi:type="xsd:double"&gt;5.04245157359514&lt;/D&gt;&lt;D xsi:type="xsd:double"&gt;3.67262498387081&lt;/D&gt;&lt;D xsi:type="xsd:double"&gt;3.17450037867933&lt;/D&gt;&lt;D xsi:type="xsd:double"&gt;2.44384298234148&lt;/D&gt;&lt;D xsi:type="xsd:double"&gt;2.3319323974236&lt;/D&gt;&lt;D xsi:type="xsd:double"&gt;2.713805045907&lt;/D&gt;&lt;D xsi:type="xsd:double"&gt;2.91986490850312&lt;/D&gt;&lt;D xsi:type="xsd:double"&gt;3.26345238395766&lt;/D&gt;&lt;D xsi:type="xsd:double"&gt;2.54568789370819&lt;/D&gt;&lt;D xsi:type="xsd:double"&gt;2.77136233639657&lt;/D&gt;&lt;D xsi:type="xsd:double"&gt;2.89546085488965&lt;/D&gt;&lt;D xsi:type="xsd:double"&gt;2.81596483883095&lt;/D&gt;&lt;D xsi:type="xsd:double"&gt;2.99378330666541&lt;/D&gt;&lt;D xsi:type="xsd:double"&gt;2.90527437822099&lt;/D&gt;&lt;D xsi:type="xsd:double"&gt;2.82531789500934&lt;/D&gt;&lt;D xsi:type="xsd:double"&gt;3.00395305743639&lt;/D&gt;&lt;D xsi:type="xsd:double"&gt;3.08886256550384&lt;/D&gt;&lt;D xsi:type="xsd:double"&gt;2.97108171132757&lt;/D&gt;&lt;D xsi:type="xsd:double"&gt;2.97408301706814&lt;/D&gt;&lt;D xsi:type="xsd:double"&gt;2.96200621742486&lt;/D&gt;&lt;D xsi:type="xsd:double"&gt;3.17640750815543&lt;/D&gt;&lt;D xsi:type="xsd:double"&gt;3.42723163764423&lt;/D&gt;&lt;D xsi:type="xsd:double"&gt;3.1216100621179&lt;/D&gt;&lt;D xsi:type="xsd:double"&gt;3.41226757458336&lt;/D&gt;&lt;D xsi:type="xsd:double"&gt;3.5350432914997&lt;/D&gt;&lt;D xsi:type="xsd:double"&gt;3.46827973479943&lt;/D&gt;&lt;D xsi:type="xsd:double"&gt;3.9351062687092&lt;/D&gt;&lt;D xsi:type="xsd:double"&gt;4.40886369453898&lt;/D&gt;&lt;D xsi:type="xsd:double"&gt;4.31807346582845&lt;/D&gt;&lt;D xsi:type="xsd:double"&gt;4.2334985006258&lt;/D&gt;&lt;D xsi:type="xsd:double"&gt;4.67092733852005&lt;/D&gt;&lt;D xsi:type="xsd:double"&gt;5.18131202853964&lt;/D&gt;&lt;D xsi:type="xsd:double"&gt;4.28631677827026&lt;/D&gt;&lt;D xsi:type="xsd:double"&gt;4.30072344758899&lt;/D&gt;&lt;D xsi:type="xsd:double"&gt;3.94175286613206&lt;/D&gt;&lt;D xsi:type="xsd:double"&gt;4.22233054307943&lt;/D&gt;&lt;D xsi:type="xsd:double"&gt;4.80891836983066&lt;/D&gt;&lt;D xsi:type="xsd:double"&gt;4.43916581521298&lt;/D&gt;&lt;D xsi:type="xsd:double"&gt;4.36649415950574&lt;/D&gt;&lt;D xsi:type="xsd:double"&gt;3.89443905247198&lt;/D&gt;&lt;D xsi:type="xsd:double"&gt;3.81129114783508&lt;/D&gt;&lt;D xsi:type="xsd:double"&gt;4.02243292791281&lt;/D&gt;&lt;D xsi:type="xsd:double"&gt;4.35760084529308&lt;/D&gt;&lt;D xsi:type="xsd:double"&gt;4.11212915723559&lt;/D&gt;&lt;D xsi:type="xsd:double"&gt;4.33962197634142&lt;/D&gt;&lt;D xsi:type="xsd:double"&gt;4.94880498145951&lt;/D&gt;&lt;D xsi:type="xsd:double"&gt;5.18937883310778&lt;/D&gt;&lt;D xsi:type="xsd:double"&gt;4.7704452506998&lt;/D&gt;&lt;D xsi:type="xsd:double"&gt;4.98647155790657&lt;/D&gt;&lt;D xsi:type="xsd:double"&gt;5.17620733399803&lt;/D&gt;&lt;/FQL&gt;&lt;FQL&gt;&lt;Q&gt;EPHE^FMA_PE(NTMA,-10AY,0,AM,"PORTAGG","MEANR")&lt;/Q&gt;&lt;R&gt;121&lt;/R&gt;&lt;C&gt;1&lt;/C&gt;&lt;D xsi:type="xsd:double"&gt;17.5194452958259&lt;/D&gt;&lt;D xsi:type="xsd:double"&gt;17.7728421797217&lt;/D&gt;&lt;D xsi:type="xsd:double"&gt;17.211817144926&lt;/D&gt;&lt;D xsi:type="xsd:double"&gt;17.2931834133295&lt;/D&gt;&lt;D xsi:type="xsd:double"&gt;17.4481710026327&lt;/D&gt;&lt;D xsi:type="xsd:double"&gt;17.8735526511712&lt;/D&gt;&lt;D xsi:type="xsd:double"&gt;16.9901775194127&lt;/D&gt;&lt;D xsi:type="xsd:double"&gt;17.7155949601016&lt;/D&gt;&lt;D xsi:type="xsd:double"&gt;16.7772009773819&lt;/D&gt;&lt;D xsi:type="xsd:double"&gt;17.7955309724831&lt;/D&gt;&lt;D xsi:type="xsd:double"&gt;18.3076404496382&lt;/D&gt;&lt;D xsi:type="xsd:double"&gt;18.0703629072974&lt;/D&gt;&lt;D xsi:type="xsd:double"&gt;18.3149461438074&lt;/D&gt;&lt;D xsi:type="xsd:double"&gt;18.3949562065236&lt;/D&gt;&lt;D xsi:type="xsd:double"&gt;17.508344266781&lt;/D&gt;&lt;D xsi:type="xsd:double"&gt;17.6377352064297&lt;/D&gt;&lt;D xsi:type="xsd:double"&gt;17.1357930353022&lt;/D&gt;&lt;D xsi:type="xsd:double"&gt;16.7539658963679&lt;/D&gt;&lt;D xsi:type="xsd:double"&gt;16.6301938461062&lt;/D&gt;&lt;D xsi:type="xsd:double"&gt;15.7188840717459&lt;/D&gt;&lt;D xsi:type="xsd:double"&gt;16.0091762181351&lt;/D&gt;&lt;D xsi:type="xsd:double"&gt;14.8964745760146&lt;/D&gt;&lt;D xsi:type="xsd:double"&gt;15.6433513097908&lt;/D&gt;&lt;D xsi:type="xsd:double"&gt;16.6966095141735&lt;/D&gt;&lt;D xsi:type="xsd:double"&gt;16.6488119293167&lt;/D&gt;&lt;D xsi:type="xsd:double"&gt;16.588241831388&lt;/D&gt;&lt;D xsi:type="xsd:double"&gt;17.1772745442876&lt;/D&gt;&lt;D xsi:type="xsd:double"&gt;17.8840906302143&lt;/D&gt;&lt;D xsi:type="xsd:double"&gt;18.136611038646&lt;/D&gt;&lt;D xsi:type="xsd:double"&gt;16.9081449473198&lt;/D&gt;&lt;D xsi:type="xsd:double"&gt;16.7683599642148&lt;/D&gt;&lt;D xsi:type="xsd:double"&gt;15.6750338745644&lt;/D&gt;&lt;D xsi:type="xsd:double"&gt;15.3236870913936&lt;/D&gt;&lt;D xsi:type="xsd:double"&gt;16.485060087421&lt;/D&gt;&lt;D xsi:type="xsd:double"&gt;16.5702675575862&lt;/D&gt;&lt;D xsi:type="xsd:double"&gt;16.9618716545775&lt;/D&gt;&lt;D xsi:type="xsd:double"&gt;17.3989015167123&lt;/D&gt;&lt;D xsi:type="xsd:double"&gt;17.186898621205&lt;/D&gt;&lt;D xsi:type="xsd:double"&gt;17.6223625632323&lt;/D&gt;&lt;D xsi:type="xsd:double"&gt;16.835205181098&lt;/D&gt;&lt;D xsi:type="xsd:double"&gt;16.5463325916675&lt;/D&gt;&lt;D xsi:type="xsd:double"&gt;17.3166046352406&lt;/D&gt;&lt;D xsi:type="xsd:double"&gt;18.0340163861494&lt;/D&gt;&lt;D xsi:type="xsd:double"&gt;17.4621163073975&lt;/D&gt;&lt;D xsi:type="xsd:double"&gt;17.3753364128241&lt;/D&gt;&lt;D xsi:type="xsd:double"&gt;17.9644934927303&lt;/D&gt;&lt;D xsi:type="xsd:double"&gt;17.2563602100785&lt;/D&gt;&lt;D xsi:type="xsd:double"&gt;16.7318876064142&lt;/D&gt;&lt;D xsi:type="xsd:double"&gt;15.8128110975785&lt;/D&gt;&lt;D xsi:type="xsd:double"&gt;15.9244370465379&lt;/D&gt;&lt;D xsi:type="xsd:double"&gt;15.4827021777207&lt;/D&gt;&lt;D xsi:type="xsd:double"&gt;15.2016328632377&lt;/D&gt;&lt;D xsi:type="xsd:double"&gt;15.3281408252789&lt;/D&gt;&lt;D xsi:type="xsd:double"&gt;14.0548247031424&lt;/D&gt;&lt;D xsi:type="xsd:double"&gt;13.8983602270742&lt;/D&gt;&lt;D xsi:type="xsd:double"&gt;13.5950366105231&lt;/D&gt;&lt;D xsi:type="xsd:double"&gt;14.7250948168318&lt;/D&gt;&lt;D xsi:type="xsd:double"&gt;15.8583853877578&lt;/D&gt;&lt;D xsi:type="xsd:double"&gt;15.3677099764411&lt;/D&gt;&lt;D xsi:type="xsd:double"&gt;15.166935889678&lt;/D&gt;&lt;D xsi:type="xsd:double"&gt;15.1253483193641&lt;/D&gt;&lt;D xsi:type="xsd:double"&gt;14.7907477957659&lt;/D&gt;&lt;D xsi:type="xsd:double"&gt;15.295294921226&lt;/D&gt;&lt;D xsi:type="xsd:double"&gt;15.7728967367027&lt;/D&gt;&lt;D xsi:type="xsd:double"&gt;14.4740634155702&lt;/D&gt;&lt;D xsi:type="xsd:double"&gt;14.0109707077908&lt;/D&gt;&lt;D xsi:type="xsd:double"&gt;13.9117496762281&lt;/D&gt;&lt;D xsi:type="xsd:double"&gt;13.9389543928143&lt;/D&gt;&lt;D xsi:type="xsd:double"&gt;14.0142819793536&lt;/D&gt;&lt;D xsi:type="xsd:double"&gt;13.7803718028832&lt;/D&gt;&lt;D xsi:type="xsd:double"&gt;13.0916628172454&lt;/D&gt;&lt;D xsi:type="xsd:double"&gt;9.8852895334917&lt;/D&gt;&lt;D xsi:type="xsd:double"&gt;11.4917876882462&lt;/D&gt;&lt;D xsi:type="xsd:double"&gt;12.7660143935259&lt;/D&gt;&lt;D xsi:type="xsd:double"&gt;15.7629629239471&lt;/D&gt;&lt;D xsi:type="xsd:double"&gt;15.2827107099947&lt;/D&gt;&lt;D xsi:type="xsd:double"&gt;16.5719701843823&lt;/D&gt;&lt;D xsi:type="xsd:double"&gt;15.8195396768951&lt;/D&gt;&lt;D xsi:type="xsd:double"&gt;15.6184206049659&lt;/D&gt;&lt;D xsi:type="xsd:double"&gt;17.8656475407892&lt;/D&gt;&lt;D xsi:type="xsd:double"&gt;16.9528066473462&lt;/D&gt;&lt;D xsi:type="xsd:double"&gt;16.7256321884733&lt;/D&gt;&lt;D xsi:type="xsd:double"&gt;15.8550037016953&lt;/D&gt;&lt;D xsi:type="xsd:double"&gt;15.3416214258438&lt;/D&gt;&lt;D xsi:type="xsd:double"&gt;14.8190651259918&lt;/D&gt;&lt;D xsi:type="xsd:double"&gt;14.5815713916804&lt;/D&gt;&lt;D xsi:type="xsd:double"&gt;16.2847616733544&lt;/D&gt;&lt;D xsi:type="xsd:double"&gt;15.6402556902057&lt;/D&gt;&lt;D xsi:type="xsd:double"&gt;15.247449016537&lt;/D&gt;&lt;D xsi:type="xsd:double"&gt;15.7551736666231&lt;/D&gt;&lt;D xsi:type="xsd:double"&gt;16.7173354953785&lt;/D&gt;&lt;D xsi:type="xsd:double"&gt;16.1018543224143&lt;/D&gt;&lt;D xsi:type="xsd:double"&gt;15.5604807924772&lt;/D&gt;&lt;D xsi:type="xsd:double"&gt;15.3623332627298&lt;/D&gt;&lt;D xsi:type="xsd:double"&gt;15.33059762436&lt;/D&gt;&lt;D xsi:type="xsd:double"&gt;14.4255732345078&lt;/D&gt;&lt;D xsi:type="xsd:double"&gt;14.203565312904&lt;/D&gt;&lt;D xsi:type="xsd:double"&gt;13.1819130375824&lt;/D&gt;&lt;D xsi:type="xsd:double"&gt;12.873465898159&lt;/D&gt;&lt;D xsi:type="xsd:double"&gt;12.6080368012898&lt;/D&gt;&lt;D xsi:type="xsd:double"&gt;13.2161902221596&lt;/D&gt;&lt;D xsi:type="xsd:double"&gt;12.6621450093606&lt;/D&gt;&lt;D xsi:type="xsd:double"&gt;11.8170184911352&lt;/D&gt;&lt;D xsi:type="xsd:double"&gt;12.0327862229663&lt;/D&gt;&lt;D xsi:type="xsd:double"&gt;12.2988405154081&lt;/D&gt;&lt;D xsi:type="xsd:double"&gt;13.4766179384663&lt;/D&gt;&lt;D xsi:type="xsd:double"&gt;12.6271238452425&lt;/D&gt;&lt;D xsi:type="xsd:double"&gt;11.5811052439431&lt;/D&gt;&lt;D xsi:type="xsd:double"&gt;11.3422845022232&lt;/D&gt;&lt;D xsi:type="xsd:double"&gt;11.2428605783595&lt;/D&gt;&lt;D xsi:type="xsd:double"&gt;10.228604085975&lt;/D&gt;&lt;D xsi:type="xsd:double"&gt;10.1928664124697&lt;/D&gt;&lt;D xsi:type="xsd:double"&gt;9.54042311925933&lt;/D&gt;&lt;D xsi:type="xsd:double"&gt;9.60204938247886&lt;/D&gt;&lt;D xsi:type="xsd:double"&gt;9.86312289567014&lt;/D&gt;&lt;D xsi:type="xsd:double"&gt;9.58614091244001&lt;/D&gt;&lt;D xsi:type="xsd:double"&gt;9.34036344731969&lt;/D&gt;&lt;D xsi:type="xsd:double"&gt;9.35428745357628&lt;/D&gt;&lt;D xsi:type="xsd:double"&gt;9.8503361740693&lt;/D&gt;&lt;D xsi:type="xsd:double"&gt;10.1653286590087&lt;/D&gt;&lt;D xsi:type="xsd:double"&gt;8.82235396863393&lt;/D&gt;&lt;/FQL&gt;&lt;FQL&gt;&lt;Q&gt;EWM^FMA_PE(LTMA,-10AY,0,AM,"PORTAGG","MEANR")&lt;/Q&gt;&lt;R&gt;121&lt;/R&gt;&lt;C&gt;1&lt;/C&gt;&lt;D xsi:type="xsd:double"&gt;16.7095469267842&lt;/D&gt;&lt;D xsi:type="xsd:double"&gt;16.7297725152342&lt;/D&gt;&lt;D xsi:type="xsd:double"&gt;16.7376469343789&lt;/D&gt;&lt;D xsi:type="xsd:double"&gt;16.6769401926446&lt;/D&gt;&lt;D xsi:type="xsd:double"&gt;16.7007812707736&lt;/D&gt;&lt;D xsi:type="xsd:double"&gt;16.7480479070002&lt;/D&gt;&lt;D xsi:type="xsd:double"&gt;16.3220444486577&lt;/D&gt;&lt;D xsi:type="xsd:double"&gt;16.4816745213977&lt;/D&gt;&lt;D xsi:type="xsd:double"&gt;15.8053429842561&lt;/D&gt;&lt;D xsi:type="xsd:double"&gt;16.1723007875636&lt;/D&gt;&lt;D xsi:type="xsd:double"&gt;16.5787757067593&lt;/D&gt;&lt;D xsi:type="xsd:double"&gt;16.9996090973129&lt;/D&gt;&lt;D xsi:type="xsd:double"&gt;17.0357761151195&lt;/D&gt;&lt;D xsi:type="xsd:double"&gt;16.9372684944288&lt;/D&gt;&lt;D xsi:type="xsd:double"&gt;16.6152940629596&lt;/D&gt;&lt;D xsi:type="xsd:double"&gt;16.6086089496158&lt;/D&gt;&lt;D xsi:type="xsd:double"&gt;15.6509507979337&lt;/D&gt;&lt;D xsi:type="xsd:double"&gt;16.4309287502317&lt;/D&gt;&lt;D xsi:type="xsd:double"&gt;16.8112218492924&lt;/D&gt;&lt;D xsi:type="xsd:double"&gt;16.3545139502159&lt;/D&gt;&lt;D xsi:type="xsd:double"&gt;16.4243155559563&lt;/D&gt;&lt;D xsi:type="xsd:double"&gt;16.1414941414976&lt;/D&gt;&lt;D xsi:type="xsd:double"&gt;16.7278604041057&lt;/D&gt;&lt;D xsi:type="xsd:double"&gt;16.672641348236&lt;/D&gt;&lt;D xsi:type="xsd:double"&gt;16.6679687888594&lt;/D&gt;&lt;D xsi:type="xsd:double"&gt;16.4007642576225&lt;/D&gt;&lt;D xsi:type="xsd:double"&gt;16.5492480107879&lt;/D&gt;&lt;D xsi:type="xsd:double"&gt;16.8362481544368&lt;/D&gt;&lt;D xsi:type="xsd:double"&gt;17.0844469429314&lt;/D&gt;&lt;D xsi:type="xsd:double"&gt;17.0827481695684&lt;/D&gt;&lt;D xsi:type="xsd:double"&gt;17.3470266734599&lt;/D&gt;&lt;D xsi:type="xsd:double"&gt;17.0029012884874&lt;/D&gt;&lt;D xsi:type="xsd:double"&gt;17.0153272567943&lt;/D&gt;&lt;D xsi:type="xsd:double"&gt;17.1690499989723&lt;/D&gt;&lt;D xsi:type="xsd:double"&gt;17.2845178169441&lt;/D&gt;&lt;D xsi:type="xsd:double"&gt;17.1205544343166&lt;/D&gt;&lt;D xsi:type="xsd:double"&gt;17.1361079679698&lt;/D&gt;&lt;D xsi:type="xsd:double"&gt;17.2736200601998&lt;/D&gt;&lt;D xsi:type="xsd:double"&gt;17.2701858541599&lt;/D&gt;&lt;D xsi:type="xsd:double"&gt;17.1517151261016&lt;/D&gt;&lt;D xsi:type="xsd:double"&gt;17.3471186722232&lt;/D&gt;&lt;D xsi:type="xsd:double"&gt;17.5804370700861&lt;/D&gt;&lt;D xsi:type="xsd:double"&gt;17.3863637794715&lt;/D&gt;&lt;D xsi:type="xsd:double"&gt;17.1563321373947&lt;/D&gt;&lt;D xsi:type="xsd:double"&gt;17.8624408106505&lt;/D&gt;&lt;D xsi:type="xsd:double"&gt;18.5354204290036&lt;/D&gt;&lt;D xsi:type="xsd:double"&gt;18.5014942934472&lt;/D&gt;&lt;D xsi:type="xsd:double"&gt;18.4692149638328&lt;/D&gt;&lt;D xsi:type="xsd:double"&gt;18.3552965982067&lt;/D&gt;&lt;D xsi:type="xsd:double"&gt;18.1361551352909&lt;/D&gt;&lt;D xsi:type="xsd:double"&gt;17.8157062111501&lt;/D&gt;&lt;D xsi:type="xsd:double"&gt;17.6776543421628&lt;/D&gt;&lt;D xsi:type="xsd:double"&gt;17.7965788696396&lt;/D&gt;&lt;D xsi:type="xsd:double"&gt;17.6995742803618&lt;/D&gt;&lt;D xsi:type="xsd:double"&gt;17.0708354971514&lt;/D&gt;&lt;D xsi:type="xsd:double"&gt;16.759492782807&lt;/D&gt;&lt;D xsi:type="xsd:double"&gt;16.4254212702933&lt;/D&gt;&lt;D xsi:type="xsd:double"&gt;16.9674077438565&lt;/D&gt;&lt;D xsi:type="xsd:double"&gt;16.9574465566008&lt;/D&gt;&lt;D xsi:type="xsd:double"&gt;17.0694030920223&lt;/D&gt;&lt;D xsi:type="xsd:double"&gt;16.8654058827969&lt;/D&gt;&lt;D xsi:type="xsd:double"&gt;16.7301500169625&lt;/D&gt;&lt;D xsi:type="xsd:double"&gt;17.113972754914&lt;/D&gt;&lt;D xsi:type="xsd:double"&gt;17.0890614863648&lt;/D&gt;&lt;D xsi:type="xsd:double"&gt;16.8405100647733&lt;/D&gt;&lt;D xsi:type="xsd:double"&gt;16.8967516785567&lt;/D&gt;&lt;D xsi:type="xsd:double"&gt;16.6438120134496&lt;/D&gt;&lt;D xsi:type="xsd:double"&gt;16.917850976967&lt;/D&gt;&lt;D xsi:type="xsd:double"&gt;17.120079734614&lt;/D&gt;&lt;D xsi:type="xsd:double"&gt;17.0203790525232&lt;/D&gt;&lt;D xsi:type="xsd:double"&gt;16.3971291957367&lt;/D&gt;&lt;D xsi:type="xsd:double"&gt;15.8642440624849&lt;/D&gt;&lt;D xsi:type="xsd:double"&gt;16.4974787939339&lt;/D&gt;&lt;D xsi:type="xsd:double"&gt;16.7830593588754&lt;/D&gt;&lt;D xsi:type="xsd:double"&gt;18.4543866689252&lt;/D&gt;&lt;D xsi:type="xsd:double"&gt;19.5425043495802&lt;/D&gt;&lt;D xsi:type="xsd:double"&gt;19.7412216376822&lt;/D&gt;&lt;D xsi:type="xsd:double"&gt;19.9202794109049&lt;/D&gt;&lt;D xsi:type="xsd:double"&gt;20.5260640048784&lt;/D&gt;&lt;D xsi:type="xsd:double"&gt;21.0331383414764&lt;/D&gt;&lt;D xsi:type="xsd:double"&gt;21.3519796441066&lt;/D&gt;&lt;D xsi:type="xsd:double"&gt;20.9084294768333&lt;/D&gt;&lt;D xsi:type="xsd:double"&gt;19.1839895097534&lt;/D&gt;&lt;D xsi:type="xsd:double"&gt;19.5402859243769&lt;/D&gt;&lt;D xsi:type="xsd:double"&gt;18.9745893338077&lt;/D&gt;&lt;D xsi:type="xsd:double"&gt;18.2502167185211&lt;/D&gt;&lt;D xsi:type="xsd:double"&gt;17.6880989009581&lt;/D&gt;&lt;D xsi:type="xsd:double"&gt;16.8945048771355&lt;/D&gt;&lt;D xsi:type="xsd:double"&gt;16.1764188461692&lt;/D&gt;&lt;D xsi:type="xsd:double"&gt;15.8927665603951&lt;/D&gt;&lt;D xsi:type="xsd:double"&gt;15.6996346335229&lt;/D&gt;&lt;D xsi:type="xsd:double"&gt;14.589602096092&lt;/D&gt;&lt;D xsi:type="xsd:double"&gt;15.0916243126666&lt;/D&gt;&lt;D xsi:type="xsd:double"&gt;15.3053460837894&lt;/D&gt;&lt;D xsi:type="xsd:double"&gt;15.7854194389462&lt;/D&gt;&lt;D xsi:type="xsd:double"&gt;15.913844236274&lt;/D&gt;&lt;D xsi:type="xsd:double"&gt;15.8271241287141&lt;/D&gt;&lt;D xsi:type="xsd:double"&gt;15.6514306083075&lt;/D&gt;&lt;D xsi:type="xsd:double"&gt;15.1885317731594&lt;/D&gt;&lt;D xsi:type="xsd:double"&gt;14.9691483124226&lt;/D&gt;&lt;D xsi:type="xsd:double"&gt;15.3778107575354&lt;/D&gt;&lt;D xsi:type="xsd:double"&gt;15.0116207995748&lt;/D&gt;&lt;D xsi:type="xsd:double"&gt;14.39337067516&lt;/D&gt;&lt;D xsi:type="xsd:double"&gt;14.6639002601583&lt;/D&gt;&lt;D xsi:type="xsd:double"&gt;14.8527030242237&lt;/D&gt;&lt;D xsi:type="xsd:double"&gt;14.9802440636539&lt;/D&gt;&lt;D xsi:type="xsd:double"&gt;14.6702238542543&lt;/D&gt;&lt;D xsi:type="xsd:double"&gt;14.7369647231037&lt;/D&gt;&lt;D xsi:type="xsd:double"&gt;14.6516589274702&lt;/D&gt;&lt;D xsi:type="xsd:double"&gt;14.5479819940689&lt;/D&gt;&lt;D xsi:type="xsd:double"&gt;14.5427356785689&lt;/D&gt;&lt;D xsi:type="xsd:double"&gt;14.5846278691047&lt;/D&gt;&lt;D xsi:type="xsd:double"&gt;14.7379483151541&lt;/D&gt;&lt;D xsi:type="xsd:double"&gt;14.9538938166084&lt;/D&gt;&lt;D xsi:type="xsd:double"&gt;14.8888651125498&lt;/D&gt;&lt;D xsi:type="xsd:double"&gt;14.9743519088648&lt;/D&gt;&lt;D xsi:type="xsd:double"&gt;15.2645892306732&lt;/D&gt;&lt;D xsi:type="xsd:double"&gt;15.1581988568576&lt;/D&gt;&lt;D xsi:type="xsd:double"&gt;15.5498847425278&lt;/D&gt;&lt;D xsi:type="xsd:double"&gt;15.7686959588707&lt;/D&gt;&lt;D xsi:type="xsd:double"&gt;15.5794870117774&lt;/D&gt;&lt;/FQL&gt;&lt;FQL&gt;&lt;Q&gt;WL-FDS^FG_PRICE_CHANGE(0,-6AM)&lt;/Q&gt;&lt;R&gt;1&lt;/R&gt;&lt;C&gt;1&lt;/C&gt;&lt;D xsi:type="xsd:double"&gt;-23.3081693178754&lt;/D&gt;&lt;/FQL&gt;&lt;FQL&gt;&lt;Q&gt;NI-FDS^FG_PRICE_MAVG(0,,,,30)&lt;/Q&gt;&lt;R&gt;1&lt;/R&gt;&lt;C&gt;1&lt;/C&gt;&lt;D xsi:type="xsd:double"&gt;17501.834&lt;/D&gt;&lt;/FQL&gt;&lt;FQL&gt;&lt;Q&gt;W-FDS^FG_PRICE_CHANGE(0,-6AM)&lt;/Q&gt;&lt;R&gt;1&lt;/R&gt;&lt;C&gt;1&lt;/C&gt;&lt;D xsi:type="xsd:double"&gt;-7.49676863420941&lt;/D&gt;&lt;/FQL&gt;&lt;FQL&gt;&lt;Q&gt;FC0000AE^FG_PRICE(0)&lt;/Q&gt;&lt;R&gt;1&lt;/R&gt;&lt;C&gt;1&lt;/C&gt;&lt;D xsi:type="xsd:double"&gt;144.44943&lt;/D&gt;&lt;/FQL&gt;&lt;FQL&gt;&lt;Q&gt;TUR^FG_PRICE(0)&lt;/Q&gt;&lt;R&gt;1&lt;/R&gt;&lt;C&gt;1&lt;/C&gt;&lt;D xsi:type="xsd:double"&gt;37.7&lt;/D&gt;&lt;/FQL&gt;&lt;FQL&gt;&lt;Q&gt;EWW^FG_PRICE_MAVG(0,,,,30)&lt;/Q&gt;&lt;R&gt;1&lt;/R&gt;&lt;C&gt;1&lt;/C&gt;&lt;D xsi:type="xsd:double"&gt;67.577&lt;/D&gt;&lt;/FQL&gt;&lt;FQL&gt;&lt;Q&gt;KSA^P_PRICE(0)/P_PRICE_LOW_PR(0,,,,,,"PRICE","INTRA","52W")-1&lt;/Q&gt;&lt;R&gt;1&lt;/R&gt;&lt;C&gt;1&lt;/C&gt;&lt;D xsi:type="xsd:double"&gt;0.19939244&lt;/D&gt;&lt;/FQL&gt;&lt;FQL&gt;&lt;Q&gt;SET-BKK^FG_TOTAL_RETURNC(0,-12AM)&lt;/Q&gt;&lt;R&gt;1&lt;/R&gt;&lt;C&gt;1&lt;/C&gt;&lt;D xsi:type="xsd:double"&gt;-14.60802&lt;/D&gt;&lt;/FQL&gt;&lt;FQL&gt;&lt;Q&gt;INDA^FMA_PCT_ABOVE_MAVG(200,0,,,,"PORTAGG")&lt;/Q&gt;&lt;R&gt;1&lt;/R&gt;&lt;C&gt;1&lt;/C&gt;&lt;D xsi:type="xsd:double"&gt;78.6764705882353&lt;/D&gt;&lt;/FQL&gt;&lt;FQL&gt;&lt;Q&gt;EZA^FMA_PCT_ABOVE_MAVG(200,0,,,,"PORTAGG")&lt;/Q&gt;&lt;R&gt;1&lt;/R&gt;&lt;C&gt;1&lt;/C&gt;&lt;D xsi:type="xsd:double"&gt;45.4545454545455&lt;/D&gt;&lt;/FQL&gt;&lt;FQL&gt;&lt;Q&gt;EWT^FMA_PCT_ABOVE_MAVG(200,0,,,,"PORTAGG")&lt;/Q&gt;&lt;R&gt;1&lt;/R&gt;&lt;C&gt;1&lt;/C&gt;&lt;D xsi:type="xsd:double"&gt;65.5555555555556&lt;/D&gt;&lt;/FQL&gt;&lt;FQL&gt;&lt;Q&gt;EPHE^PERCENT_CHANGE(FMA_EPS(+1,0,,,,"PORTAGG","MEAN"),FMA_EPS(+1,-1AM,,,,"PORTAGG","MEAN"))&lt;/Q&gt;&lt;R&gt;1&lt;/R&gt;&lt;C&gt;1&lt;/C&gt;&lt;D xsi:type="xsd:double"&gt;1.58561928641442&lt;/D&gt;&lt;/FQL&gt;&lt;FQL&gt;&lt;Q&gt;EWJ^FG_TOTAL_RETURNC(0,-6AM)&lt;/Q&gt;&lt;R&gt;1&lt;/R&gt;&lt;C&gt;1&lt;/C&gt;&lt;D xsi:type="xsd:double"&gt;15.068388&lt;/D&gt;&lt;/FQL&gt;&lt;FQL&gt;&lt;Q&gt;URTH^SIZE(FG_CONSTITUENTS)&lt;/Q&gt;&lt;R&gt;1&lt;/R&gt;&lt;C&gt;1&lt;/C&gt;&lt;D xsi:type="xsd:long"&gt;1469&lt;/D&gt;&lt;/FQL&gt;&lt;FQL&gt;&lt;Q&gt;USDTHB^FG_COMPANY_NAME&lt;/Q&gt;&lt;R&gt;1&lt;/R&gt;&lt;C&gt;1&lt;/C&gt;&lt;D xsi:type="xsd:string"&gt;Thailand Baht per U.S. Dollar&lt;/D&gt;&lt;/FQL&gt;&lt;FQL&gt;&lt;Q&gt;USDINR^FG_PRICE_CHANGE(0,-3AM)&lt;/Q&gt;&lt;R&gt;1&lt;/R&gt;&lt;C&gt;1&lt;/C&gt;&lt;D xsi:type="xsd:double"&gt;0.51130056&lt;/D&gt;&lt;/FQL&gt;&lt;FQL&gt;&lt;Q&gt;USDMXN^FG_COMPANY_NAME&lt;/Q&gt;&lt;R&gt;1&lt;/R&gt;&lt;C&gt;1&lt;/C&gt;&lt;D xsi:type="xsd:string"&gt;Mexican Peso per U.S. Dollar&lt;/D&gt;&lt;/FQL&gt;&lt;FQL&gt;&lt;Q&gt;USDPEN^FG_PRICE_CHANGE(0,-3AM)&lt;/Q&gt;&lt;R&gt;1&lt;/R&gt;&lt;C&gt;1&lt;/C&gt;&lt;D xsi:type="xsd:double"&gt;0.10699034&lt;/D&gt;&lt;/FQL&gt;&lt;FQL&gt;&lt;Q&gt;USDCNH^FG_COMPANY_NAME&lt;/Q&gt;&lt;R&gt;1&lt;/R&gt;&lt;C&gt;1&lt;/C&gt;&lt;D xsi:type="xsd:string"&gt;Chinese Offshore Renminbi per U.S. Dollar&lt;/D&gt;&lt;/FQL&gt;&lt;FQL&gt;&lt;Q&gt;FC0000CL^FMA_EPS(NTMA,-20AY,0,CY,,"PORTAGG","MEANR")&lt;/Q&gt;&lt;R&gt;20&lt;/R&gt;&lt;C&gt;1&lt;/C&gt;&lt;D xsi:type="xsd:double"&gt;13.4345645762327&lt;/D&gt;&lt;D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xsi:type="xsd:double"&gt;21.6808239098782&lt;/D&gt;&lt;D xsi:type="xsd:double"&gt;17.3861921503202&lt;/D&gt;&lt;D xsi:type="xsd:double"&gt;15.4747210424778&lt;/D&gt;&lt;D xsi:type="xsd:double"&gt;18.6856862684859&lt;/D&gt;&lt;D xsi:type="xsd:double"&gt;25.9091620891167&lt;/D&gt;&lt;D xsi:type="xsd:double"&gt;28.7106028961196&lt;/D&gt;&lt;/FQL&gt;&lt;FQL&gt;&lt;Q&gt;ECH^FG_TOTAL_RETURNC(-10AY,0,AM)&lt;/Q&gt;&lt;R&gt;121&lt;/R&gt;&lt;C&gt;1&lt;/C&gt;&lt;D xsi:type="xsd:double"&gt;8.802986&lt;/D&gt;&lt;D xsi:type="xsd:double"&gt;1.4554858&lt;/D&gt;&lt;D xsi:type="xsd:double"&gt;-3.2067537&lt;/D&gt;&lt;D xsi:type="xsd:double"&gt;-0.11392832&lt;/D&gt;&lt;D xsi:type="xsd:double"&gt;-2.632749&lt;/D&gt;&lt;D xsi:type="xsd:double"&gt;-2.1358728&lt;/D&gt;&lt;D xsi:type="xsd:double"&gt;-4.759693&lt;/D&gt;&lt;D xsi:type="xsd:double"&gt;2.5109649&lt;/D&gt;&lt;D xsi:type="xsd:double"&gt;-5.617875&lt;/D&gt;&lt;D xsi:type="xsd:double"&gt;-4.9962163&lt;/D&gt;&lt;D xsi:type="xsd:double"&gt;8.658695&lt;/D&gt;&lt;D xsi:type="xsd:double"&gt;-4.717672&lt;/D&gt;&lt;D xsi:type="xsd:double"&gt;8.388925&lt;/D&gt;&lt;D xsi:type="xsd:double"&gt;3.834319&lt;/D&gt;&lt;D xsi:type="xsd:double"&gt;-9.938455&lt;/D&gt;&lt;D xsi:type="xsd:double"&gt;-2.7644992&lt;/D&gt;&lt;D xsi:type="xsd:double"&gt;-10.142631&lt;/D&gt;&lt;D xsi:type="xsd:double"&gt;2.8218627&lt;/D&gt;&lt;D xsi:type="xsd:double"&gt;2.3156166&lt;/D&gt;&lt;D xsi:type="xsd:double"&gt;-7.2925386&lt;/D&gt;&lt;D xsi:type="xsd:double"&gt;-3.1042755&lt;/D&gt;&lt;D xsi:type="xsd:double"&gt;-7.322687&lt;/D&gt;&lt;D xsi:type="xsd:double"&gt;13.068366&lt;/D&gt;&lt;D xsi:type="xsd:double"&gt;9.115291&lt;/D&gt;&lt;D xsi:type="xsd:double"&gt;1.5287995&lt;/D&gt;&lt;D xsi:type="xsd:double"&gt;-5.1357865&lt;/D&gt;&lt;D xsi:type="xsd:double"&gt;2.3242593&lt;/D&gt;&lt;D xsi:type="xsd:double"&gt;9.090328&lt;/D&gt;&lt;D xsi:type="xsd:double"&gt;-0.9311974&lt;/D&gt;&lt;D xsi:type="xsd:double"&gt;-5.822456&lt;/D&gt;&lt;D xsi:type="xsd:double"&gt;5.65567&lt;/D&gt;&lt;D xsi:type="xsd:double"&gt;-2.6502311&lt;/D&gt;&lt;D xsi:type="xsd:double"&gt;1.644206&lt;/D&gt;&lt;D xsi:type="xsd:double"&gt;3.1704068&lt;/D&gt;&lt;D xsi:type="xsd:double"&gt;4.757011&lt;/D&gt;&lt;D xsi:type="xsd:double"&gt;3.8537025&lt;/D&gt;&lt;D xsi:type="xsd:double"&gt;6.1451197&lt;/D&gt;&lt;D xsi:type="xsd:double"&gt;-5.833888&lt;/D&gt;&lt;D xsi:type="xsd:double"&gt;2.6720166&lt;/D&gt;&lt;D xsi:type="xsd:double"&gt;5.5351734&lt;/D&gt;&lt;D xsi:type="xsd:double"&gt;2.5066495&lt;/D&gt;&lt;D xsi:type="xsd:double"&gt;5.2369714&lt;/D&gt;&lt;D xsi:type="xsd:double"&gt;5.2025437&lt;/D&gt;&lt;D xsi:type="xsd:double"&gt;-2.1696627&lt;/D&gt;&lt;D xsi:type="xsd:double"&gt;4.515493&lt;/D&gt;&lt;D xsi:type="xsd:double"&gt;6.218052&lt;/D&gt;&lt;D xsi:type="xsd:double"&gt;-1.6753674&lt;/D&gt;&lt;D xsi:type="xsd:double"&gt;-3.1971455&lt;/D&gt;&lt;D xsi:type="xsd:double"&gt;4.693854&lt;/D&gt;&lt;D xsi:type="xsd:double"&gt;-6.6076097&lt;/D&gt;&lt;D xsi:type="xsd:double"&gt;-4.7619047&lt;/D&gt;&lt;D xsi:type="xsd:double"&gt;-3.4136891&lt;/D&gt;&lt;D xsi:type="xsd:double"&gt;-5.4482994&lt;/D&gt;&lt;D xsi:type="xsd:double"&gt;2.155161&lt;/D&gt;&lt;D xsi:type="xsd:double"&gt;-5.2853584&lt;/D&gt;&lt;D xsi:type="xsd:double"&gt;3.1418562&lt;/D&gt;&lt;D xsi:type="xsd:double"&gt;-4.7255096&lt;/D&gt;&lt;D xsi:type="xsd:double"&gt;9.653532&lt;/D&gt;&lt;D xsi:type="xsd:double"&gt;-0.80627203&lt;/D&gt;&lt;D xsi:type="xsd:double"&gt;-1.1423588&lt;/D&gt;&lt;D xsi:type="xsd:double"&gt;-1.2444496&lt;/D&gt;&lt;D xsi:type="xsd:double"&gt;-10.688567&lt;/D&gt;&lt;D xsi:type="xsd:double"&gt;1.5308976&lt;/D&gt;&lt;D xsi:type="xsd:double"&gt;2.0738482&lt;/D&gt;&lt;D xsi:type="xsd:double"&gt;-9.539151&lt;/D&gt;&lt;D xsi:type="xsd:double"&gt;4.382372&lt;/D&gt;&lt;D xsi:type="xsd:double"&gt;2.781415&lt;/D&gt;&lt;D xsi:type="xsd:double"&gt;-15.062541&lt;/D&gt;&lt;D xsi:type="xsd:double"&gt;0.94145536&lt;/D&gt;&lt;D xsi:type="xsd:double"&gt;0.53715706&lt;/D&gt;&lt;D xsi:type="xsd:double"&gt;-9.528047&lt;/D&gt;&lt;D xsi:type="xsd:double"&gt;-41.46981&lt;/D&gt;&lt;D xsi:type="xsd:double"&gt;33.8565&lt;/D&gt;&lt;D xsi:type="xsd:double"&gt;2.7638316&lt;/D&gt;&lt;D xsi:type="xsd:double"&gt;5.980897&lt;/D&gt;&lt;D xsi:type="xsd:double"&gt;3.6456347&lt;/D&gt;&lt;D xsi:type="xsd:double"&gt;0.30257702&lt;/D&gt;&lt;D xsi:type="xsd:double"&gt;-6.3348413&lt;/D&gt;&lt;D xsi:type="xsd:double"&gt;-3.8244784&lt;/D&gt;&lt;D xsi:type="xsd:double"&gt;15.696943&lt;/D&gt;&lt;D xsi:type="xsd:double"&gt;8.083784&lt;/D&gt;&lt;D xsi:type="xsd:double"&gt;6.9313645&lt;/D&gt;&lt;D xsi:type="xsd:double"&gt;1.7935753&lt;/D&gt;&lt;D xsi:type="xsd:double"&gt;5.842364&lt;/D&gt;&lt;D xsi:type="xsd:double"&gt;4.2056084&lt;/D&gt;&lt;D xsi:type="xsd:double"&gt;-18.693947&lt;/D&gt;&lt;D xsi:type="xsd:double"&gt;-1.1402011&lt;/D&gt;&lt;D xsi:type="xsd:double"&gt;-5.283695&lt;/D&gt;&lt;D xsi:type="xsd:double"&gt;0.8611083&lt;/D&gt;&lt;D xsi:type="xsd:double"&gt;1.224947&lt;/D&gt;&lt;D xsi:type="xsd:double"&gt;-11.807853&lt;/D&gt;&lt;D xsi:type="xsd:double"&gt;3.4511447&lt;/D&gt;&lt;D xsi:type="xsd:double"&gt;0.038683414&lt;/D&gt;&lt;D xsi:type="xsd:double"&gt;3.579557&lt;/D&gt;&lt;D xsi:type="xsd:double"&gt;3.5256505&lt;/D&gt;&lt;D xsi:type="xsd:double"&gt;8.939624&lt;/D&gt;&lt;D xsi:type="xsd:double"&gt;-1.4564812&lt;/D&gt;&lt;D xsi:type="xsd:double"&gt;-2.235037&lt;/D&gt;&lt;D xsi:type="xsd:double"&gt;-1.127547&lt;/D&gt;&lt;D xsi:type="xsd:double"&gt;-5.3917828&lt;/D&gt;&lt;D xsi:type="xsd:double"&gt;7.6670766&lt;/D&gt;&lt;D xsi:type="xsd:double"&gt;2.589488&lt;/D&gt;&lt;D xsi:type="xsd:double"&gt;-11.17298&lt;/D&gt;&lt;D xsi:type="xsd:double"&gt;5.0982&lt;/D&gt;&lt;D xsi:type="xsd:double"&gt;3.5930037&lt;/D&gt;&lt;D xsi:type="xsd:double"&gt;8.503938&lt;/D&gt;&lt;D xsi:type="xsd:double"&gt;6.2227845&lt;/D&gt;&lt;D xsi:type="xsd:double"&gt;-8.761745&lt;/D&gt;&lt;D xsi:type="xsd:double"&gt;10.969675&lt;/D&gt;&lt;D xsi:type="xsd:double"&gt;1.3832688&lt;/D&gt;&lt;D xsi:type="xsd:double"&gt;1.5296936&lt;/D&gt;&lt;D xsi:type="xsd:double"&gt;6.680298&lt;/D&gt;&lt;D xsi:type="xsd:double"&gt;-9.648556&lt;/D&gt;&lt;D xsi:type="xsd:double"&gt;-4.738331&lt;/D&gt;&lt;D xsi:type="xsd:double"&gt;-7.6466265&lt;/D&gt;&lt;D xsi:type="xsd:double"&gt;4.6623826&lt;/D&gt;&lt;D xsi:type="xsd:double"&gt;6.9508433&lt;/D&gt;&lt;D xsi:type="xsd:double"&gt;-8.499485&lt;/D&gt;&lt;D xsi:type="xsd:double"&gt;1.0268569&lt;/D&gt;&lt;D xsi:type="xsd:double"&gt;5.1211834&lt;/D&gt;&lt;D xsi:type="xsd:double"&gt;-2.3056865&lt;/D&gt;&lt;/FQL&gt;&lt;FQL&gt;&lt;Q&gt;COPP-FDS^FG_PRICE_MAVG(0,,,,30)&lt;/Q&gt;&lt;R&gt;1&lt;/R&gt;&lt;C&gt;1&lt;/C&gt;&lt;D xsi:type="xsd:double"&gt;4.124133&lt;/D&gt;&lt;/FQL&gt;&lt;FQL&gt;&lt;Q&gt;EZA^FMA_ROE(NTMA,-20AY,NOW,FY,"PORTAGG","MEANR")&lt;/Q&gt;&lt;R&gt;20&lt;/R&gt;&lt;C&gt;1&lt;/C&gt;&lt;D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xsi:type="xsd:double"&gt;13.6185226458136&lt;/D&gt;&lt;D xsi:type="xsd:double"&gt;16.7115371927188&lt;/D&gt;&lt;D xsi:type="xsd:double"&gt;16.932589581546&lt;/D&gt;&lt;D xsi:type="xsd:double"&gt;16.8118349535848&lt;/D&gt;&lt;D xsi:type="xsd:double"&gt;14.5722752976358&lt;/D&gt;&lt;/FQL&gt;&lt;FQL&gt;&lt;Q&gt;TRYCA10Y-FDS^FG_YIELD(-10AY,0,Y,,"YTM")&lt;/Q&gt;&lt;R&gt;10&lt;/R&gt;&lt;C&gt;1&lt;/C&gt;&lt;D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xsi:type="xsd:double"&gt;3.0987&lt;/D&gt;&lt;/FQL&gt;&lt;FQL&gt;&lt;Q&gt;CAGDPY@AE^EE_ACTUAL_ANNUAL(MED,+1)&lt;/Q&gt;&lt;R&gt;1&lt;/R&gt;&lt;C&gt;1&lt;/C&gt;&lt;D xsi:type="xsd:double"&gt;12.25&lt;/D&gt;&lt;/FQL&gt;&lt;FQL&gt;&lt;Q&gt;CC_MY^FG_COMPANY_NAME&lt;/Q&gt;&lt;R&gt;1&lt;/R&gt;&lt;C&gt;1&lt;/C&gt;&lt;D xsi:type="xsd:string"&gt;Malaysia&lt;/D&gt;&lt;/FQL&gt;&lt;FQL&gt;&lt;Q&gt;USDBRL^FG_PRICE_CHANGE(0,-3AM)&lt;/Q&gt;&lt;R&gt;1&lt;/R&gt;&lt;C&gt;1&lt;/C&gt;&lt;D xsi:type="xsd:double"&gt;6.0934067&lt;/D&gt;&lt;/FQL&gt;&lt;FQL&gt;&lt;Q&gt;USDIDR^FG_PRICE_CHANGE(0,-3AM)&lt;/Q&gt;&lt;R&gt;1&lt;/R&gt;&lt;C&gt;1&lt;/C&gt;&lt;D xsi:type="xsd:double"&gt;3.5531402&lt;/D&gt;&lt;/FQL&gt;&lt;FQL&gt;&lt;Q&gt;ECH^JULIAN(P_PRICE_RETURNS_PR('52W',2,-10AY,0,AM).DATES)&lt;/Q&gt;&lt;R&gt;121&lt;/R&gt;&lt;C&gt;1&lt;/C&gt;&lt;D xsi:type="xsd:long"&gt;41746&lt;/D&gt;&lt;D xsi:type="xsd:long"&gt;41775&lt;/D&gt;&lt;D xsi:type="xsd:long"&gt;41808&lt;/D&gt;&lt;D xsi:type="xsd:long"&gt;41838&lt;/D&gt;&lt;D xsi:type="xsd:long"&gt;41869&lt;/D&gt;&lt;D xsi:type="xsd:long"&gt;41900&lt;/D&gt;&lt;D xsi:type="xsd:long"&gt;41929&lt;/D&gt;&lt;D xsi:type="xsd:long"&gt;41961&lt;/D&gt;&lt;D xsi:type="xsd:long"&gt;41991&lt;/D&gt;&lt;D xsi:type="xsd:long"&gt;42020&lt;/D&gt;&lt;D xsi:type="xsd:long"&gt;42053&lt;/D&gt;&lt;D xsi:type="xsd:long"&gt;42081&lt;/D&gt;&lt;D xsi:type="xsd:long"&gt;42111&lt;/D&gt;&lt;D xsi:type="xsd:long"&gt;42142&lt;/D&gt;&lt;D xsi:type="xsd:long"&gt;42173&lt;/D&gt;&lt;D xsi:type="xsd:long"&gt;42202&lt;/D&gt;&lt;D xsi:type="xsd:long"&gt;42234&lt;/D&gt;&lt;D xsi:type="xsd:long"&gt;42265&lt;/D&gt;&lt;D xsi:type="xsd:long"&gt;42293&lt;/D&gt;&lt;D xsi:type="xsd:long"&gt;42326&lt;/D&gt;&lt;D xsi:type="xsd:long"&gt;42356&lt;/D&gt;&lt;D xsi:type="xsd:long"&gt;42384&lt;/D&gt;&lt;D xsi:type="xsd:long"&gt;42418&lt;/D&gt;&lt;D xsi:type="xsd:long"&gt;42447&lt;/D&gt;&lt;D xsi:type="xsd:long"&gt;42478&lt;/D&gt;&lt;D xsi:type="xsd:long"&gt;42508&lt;/D&gt;&lt;D xsi:type="xsd:long"&gt;42538&lt;/D&gt;&lt;D xsi:type="xsd:long"&gt;42569&lt;/D&gt;&lt;D xsi:type="xsd:long"&gt;42600&lt;/D&gt;&lt;D xsi:type="xsd:long"&gt;42629&lt;/D&gt;&lt;D xsi:type="xsd:long"&gt;42661&lt;/D&gt;&lt;D xsi:type="xsd:long"&gt;42692&lt;/D&gt;&lt;D xsi:type="xsd:long"&gt;42720&lt;/D&gt;&lt;D xsi:type="xsd:long"&gt;42753&lt;/D&gt;&lt;D xsi:type="xsd:long"&gt;42783&lt;/D&gt;&lt;D xsi:type="xsd:long"&gt;42811&lt;/D&gt;&lt;D xsi:type="xsd:long"&gt;42843&lt;/D&gt;&lt;D xsi:type="xsd:long"&gt;42873&lt;/D&gt;&lt;D xsi:type="xsd:long"&gt;42902&lt;/D&gt;&lt;D xsi:type="xsd:long"&gt;42934&lt;/D&gt;&lt;D xsi:type="xsd:long"&gt;42965&lt;/D&gt;&lt;D xsi:type="xsd:long"&gt;42996&lt;/D&gt;&lt;D xsi:type="xsd:long"&gt;43026&lt;/D&gt;&lt;D xsi:type="xsd:long"&gt;43056&lt;/D&gt;&lt;D xsi:type="xsd:long"&gt;43087&lt;/D&gt;&lt;D xsi:type="xsd:long"&gt;43118&lt;/D&gt;&lt;D xsi:type="xsd:long"&gt;43147&lt;/D&gt;&lt;D xsi:type="xsd:long"&gt;43175&lt;/D&gt;&lt;D xsi:type="xsd:long"&gt;43208&lt;/D&gt;&lt;D xsi:type="xsd:long"&gt;43238&lt;/D&gt;&lt;D xsi:type="xsd:long"&gt;43269&lt;/D&gt;&lt;D xsi:type="xsd:long"&gt;43299&lt;/D&gt;&lt;D xsi:type="xsd:long"&gt;43329&lt;/D&gt;&lt;D xsi:type="xsd:long"&gt;43361&lt;/D&gt;&lt;D xsi:type="xsd:long"&gt;43391&lt;/D&gt;&lt;D xsi:type="xsd:long"&gt;43420&lt;/D&gt;&lt;D xsi:type="xsd:long"&gt;43452&lt;/D&gt;&lt;D xsi:type="xsd:long"&gt;43483&lt;/D&gt;&lt;D xsi:type="xsd:long"&gt;43511&lt;/D&gt;&lt;D xsi:type="xsd:long"&gt;43542&lt;/D&gt;&lt;D xsi:type="xsd:long"&gt;43573&lt;/D&gt;&lt;D xsi:type="xsd:long"&gt;43602&lt;/D&gt;&lt;D xsi:type="xsd:long"&gt;43634&lt;/D&gt;&lt;D xsi:type="xsd:long"&gt;43664&lt;/D&gt;&lt;D xsi:type="xsd:long"&gt;43693&lt;/D&gt;&lt;D xsi:type="xsd:long"&gt;43726&lt;/D&gt;&lt;D xsi:type="xsd:long"&gt;43756&lt;/D&gt;&lt;D xsi:type="xsd:long"&gt;43787&lt;/D&gt;&lt;D xsi:type="xsd:long"&gt;43817&lt;/D&gt;&lt;D xsi:type="xsd:long"&gt;43847&lt;/D&gt;&lt;D xsi:type="xsd:long"&gt;43879&lt;/D&gt;&lt;D xsi:type="xsd:long"&gt;43908&lt;/D&gt;&lt;D xsi:type="xsd:long"&gt;43938&lt;/D&gt;&lt;D xsi:type="xsd:long"&gt;43969&lt;/D&gt;&lt;D xsi:type="xsd:long"&gt;44000&lt;/D&gt;&lt;D xsi:type="xsd:long"&gt;44029&lt;/D&gt;&lt;D xsi:type="xsd:long"&gt;44061&lt;/D&gt;&lt;D xsi:type="xsd:long"&gt;44092&lt;/D&gt;&lt;D xsi:type="xsd:long"&gt;44120&lt;/D&gt;&lt;D xsi:type="xsd:long"&gt;44153&lt;/D&gt;&lt;D xsi:type="xsd:long"&gt;44183&lt;/D&gt;&lt;D xsi:type="xsd:long"&gt;44211&lt;/D&gt;&lt;D xsi:type="xsd:long"&gt;44245&lt;/D&gt;&lt;D xsi:type="xsd:long"&gt;44273&lt;/D&gt;&lt;D xsi:type="xsd:long"&gt;44302&lt;/D&gt;&lt;D xsi:type="xsd:long"&gt;44334&lt;/D&gt;&lt;D xsi:type="xsd:long"&gt;44365&lt;/D&gt;&lt;D xsi:type="xsd:long"&gt;44393&lt;/D&gt;&lt;D xsi:type="xsd:long"&gt;44426&lt;/D&gt;&lt;D xsi:type="xsd:long"&gt;44456&lt;/D&gt;&lt;D xsi:type="xsd:long"&gt;44487&lt;/D&gt;&lt;D xsi:type="xsd:long"&gt;44518&lt;/D&gt;&lt;D xsi:type="xsd:long"&gt;44547&lt;/D&gt;&lt;D xsi:type="xsd:long"&gt;44579&lt;/D&gt;&lt;D xsi:type="xsd:long"&gt;44610&lt;/D&gt;&lt;D xsi:type="xsd:long"&gt;44638&lt;/D&gt;&lt;D xsi:type="xsd:long"&gt;44669&lt;/D&gt;&lt;D xsi:type="xsd:long"&gt;44699&lt;/D&gt;&lt;D xsi:type="xsd:long"&gt;44729&lt;/D&gt;&lt;D xsi:type="xsd:long"&gt;44760&lt;/D&gt;&lt;D xsi:type="xsd:long"&gt;44791&lt;/D&gt;&lt;D xsi:type="xsd:long"&gt;44820&lt;/D&gt;&lt;D xsi:type="xsd:long"&gt;44852&lt;/D&gt;&lt;D xsi:type="xsd:long"&gt;44883&lt;/D&gt;&lt;D xsi:type="xsd:long"&gt;44911&lt;/D&gt;&lt;D xsi:type="xsd:long"&gt;44944&lt;/D&gt;&lt;D xsi:type="xsd:long"&gt;44974&lt;/D&gt;&lt;D xsi:type="xsd:long"&gt;45002&lt;/D&gt;&lt;D xsi:type="xsd:long"&gt;45034&lt;/D&gt;&lt;D xsi:type="xsd:long"&gt;45064&lt;/D&gt;&lt;D xsi:type="xsd:long"&gt;45093&lt;/D&gt;&lt;D xsi:type="xsd:long"&gt;45125&lt;/D&gt;&lt;D xsi:type="xsd:long"&gt;45156&lt;/D&gt;&lt;D xsi:type="xsd:long"&gt;45187&lt;/D&gt;&lt;D xsi:type="xsd:long"&gt;45217&lt;/D&gt;&lt;D xsi:type="xsd:long"&gt;45247&lt;/D&gt;&lt;D xsi:type="xsd:long"&gt;45278&lt;/D&gt;&lt;D xsi:type="xsd:long"&gt;45309&lt;/D&gt;&lt;D xsi:type="xsd:long"&gt;45338&lt;/D&gt;&lt;D xsi:type="xsd:long"&gt;45369&lt;/D&gt;&lt;D xsi:type="xsd:long"&gt;45400&lt;/D&gt;&lt;/FQL&gt;&lt;FQL&gt;&lt;Q&gt;EPHE^FMA_DIV_YLD(NTMA,-10AY,0,AM,"PORTAGG","MEANR")&lt;/Q&gt;&lt;R&gt;121&lt;/R&gt;&lt;C&gt;1&lt;/C&gt;&lt;D xsi:type="xsd:double"&gt;2.12136658847846&lt;/D&gt;&lt;D xsi:type="xsd:double"&gt;2.05965679379878&lt;/D&gt;&lt;D xsi:type="xsd:double"&gt;2.21631254929674&lt;/D&gt;&lt;D xsi:type="xsd:double"&gt;2.08113165171599&lt;/D&gt;&lt;D xsi:type="xsd:double"&gt;2.04114746546437&lt;/D&gt;&lt;D xsi:type="xsd:double"&gt;1.9416629504845&lt;/D&gt;&lt;D xsi:type="xsd:double"&gt;2.28279379222315&lt;/D&gt;&lt;D xsi:type="xsd:double"&gt;2.15926441666797&lt;/D&gt;&lt;D xsi:type="xsd:double"&gt;2.21177217685549&lt;/D&gt;&lt;D xsi:type="xsd:double"&gt;2.0944308429981&lt;/D&gt;&lt;D xsi:type="xsd:double"&gt;1.95114924316511&lt;/D&gt;&lt;D xsi:type="xsd:double"&gt;1.93308490876128&lt;/D&gt;&lt;D xsi:type="xsd:double"&gt;1.88970465284607&lt;/D&gt;&lt;D xsi:type="xsd:double"&gt;1.89565571159087&lt;/D&gt;&lt;D xsi:type="xsd:double"&gt;1.97215305968349&lt;/D&gt;&lt;D xsi:type="xsd:double"&gt;1.90075331753203&lt;/D&gt;&lt;D xsi:type="xsd:double"&gt;1.97595082121509&lt;/D&gt;&lt;D xsi:type="xsd:double"&gt;2.02634106692317&lt;/D&gt;&lt;D xsi:type="xsd:double"&gt;1.99029194756113&lt;/D&gt;&lt;D xsi:type="xsd:double"&gt;2.06681545042494&lt;/D&gt;&lt;D xsi:type="xsd:double"&gt;1.97541610382437&lt;/D&gt;&lt;D xsi:type="xsd:double"&gt;2.12419389070983&lt;/D&gt;&lt;D xsi:type="xsd:double"&gt;1.9740246463682&lt;/D&gt;&lt;D xsi:type="xsd:double"&gt;1.7932233203465&lt;/D&gt;&lt;D xsi:type="xsd:double"&gt;1.79318705403262&lt;/D&gt;&lt;D xsi:type="xsd:double"&gt;1.72861157439962&lt;/D&gt;&lt;D xsi:type="xsd:double"&gt;1.6790820728257&lt;/D&gt;&lt;D xsi:type="xsd:double"&gt;1.64355510425708&lt;/D&gt;&lt;D xsi:type="xsd:double"&gt;1.60355867848709&lt;/D&gt;&lt;D xsi:type="xsd:double"&gt;1.6810120959147&lt;/D&gt;&lt;D xsi:type="xsd:double"&gt;1.65145756167883&lt;/D&gt;&lt;D xsi:type="xsd:double"&gt;1.75394645974115&lt;/D&gt;&lt;D xsi:type="xsd:double"&gt;1.76618704782721&lt;/D&gt;&lt;D xsi:type="xsd:double"&gt;1.67474226475345&lt;/D&gt;&lt;D xsi:type="xsd:double"&gt;1.64302393890449&lt;/D&gt;&lt;D xsi:type="xsd:double"&gt;1.63853808504665&lt;/D&gt;&lt;D xsi:type="xsd:double"&gt;1.59651195799657&lt;/D&gt;&lt;D xsi:type="xsd:double"&gt;1.59306043653668&lt;/D&gt;&lt;D xsi:type="xsd:double"&gt;1.56218145490518&lt;/D&gt;&lt;D xsi:type="xsd:double"&gt;1.57815258037076&lt;/D&gt;&lt;D xsi:type="xsd:double"&gt;1.5584586446659&lt;/D&gt;&lt;D xsi:type="xsd:double"&gt;1.49908831534557&lt;/D&gt;&lt;D xsi:type="xsd:double"&gt;1.44054896761063&lt;/D&gt;&lt;D xsi:type="xsd:double"&gt;1.49776539770048&lt;/D&gt;&lt;D xsi:type="xsd:double"&gt;1.55761431627848&lt;/D&gt;&lt;D xsi:type="xsd:double"&gt;1.53116433408411&lt;/D&gt;&lt;D xsi:type="xsd:double"&gt;1.55025987104687&lt;/D&gt;&lt;D xsi:type="xsd:double"&gt;1.60705366770373&lt;/D&gt;&lt;D xsi:type="xsd:double"&gt;1.71704120754158&lt;/D&gt;&lt;D xsi:type="xsd:double"&gt;1.74878688657461&lt;/D&gt;&lt;D xsi:type="xsd:double"&gt;1.7959348033649&lt;/D&gt;&lt;D xsi:type="xsd:double"&gt;1.77075013941126&lt;/D&gt;&lt;D xsi:type="xsd:double"&gt;1.76630355115084&lt;/D&gt;&lt;D xsi:type="xsd:double"&gt;1.83308672668164&lt;/D&gt;&lt;D xsi:type="xsd:double"&gt;1.89854509385352&lt;/D&gt;&lt;D xsi:type="xsd:double"&gt;1.91037546671875&lt;/D&gt;&lt;D xsi:type="xsd:double"&gt;1.79789181304436&lt;/D&gt;&lt;D xsi:type="xsd:double"&gt;1.65493219109146&lt;/D&gt;&lt;D xsi:type="xsd:double"&gt;1.69063603248406&lt;/D&gt;&lt;D xsi:type="xsd:double"&gt;1.74975413187327&lt;/D&gt;&lt;D xsi:type="xsd:double"&gt;1.74253761298338&lt;/D&gt;&lt;D xsi:type="xsd:double"&gt;1.84299552021041&lt;/D&gt;&lt;D xsi:type="xsd:double"&gt;1.78188250910788&lt;/D&gt;&lt;D xsi:type="xsd:double"&gt;1.69189493700503&lt;/D&gt;&lt;D xsi:type="xsd:double"&gt;1.83107159772955&lt;/D&gt;&lt;D xsi:type="xsd:double"&gt;1.85201341189454&lt;/D&gt;&lt;D xsi:type="xsd:double"&gt;1.85850026329014&lt;/D&gt;&lt;D xsi:type="xsd:double"&gt;1.84859428374363&lt;/D&gt;&lt;D xsi:type="xsd:double"&gt;1.8663050512681&lt;/D&gt;&lt;D xsi:type="xsd:double"&gt;1.855349939626&lt;/D&gt;&lt;D xsi:type="xsd:double"&gt;1.94391236208385&lt;/D&gt;&lt;D xsi:type="xsd:double"&gt;2.62494020707136&lt;/D&gt;&lt;D xsi:type="xsd:double"&gt;2.42031955191939&lt;/D&gt;&lt;D xsi:type="xsd:double"&gt;2.45776643564922&lt;/D&gt;&lt;D xsi:type="xsd:double"&gt;2.07465246482738&lt;/D&gt;&lt;D xsi:type="xsd:double"&gt;2.10465969630178&lt;/D&gt;&lt;D xsi:type="xsd:double"&gt;2.02201006550985&lt;/D&gt;&lt;D xsi:type="xsd:double"&gt;2.08439245823108&lt;/D&gt;&lt;D xsi:type="xsd:double"&gt;1.97522226302515&lt;/D&gt;&lt;D xsi:type="xsd:double"&gt;1.62577558503824&lt;/D&gt;&lt;D xsi:type="xsd:double"&gt;1.66676469113415&lt;/D&gt;&lt;D xsi:type="xsd:double"&gt;1.67344864591637&lt;/D&gt;&lt;D xsi:type="xsd:double"&gt;1.79942135170843&lt;/D&gt;&lt;D xsi:type="xsd:double"&gt;1.8299187388695&lt;/D&gt;&lt;D xsi:type="xsd:double"&gt;1.95103516653605&lt;/D&gt;&lt;D xsi:type="xsd:double"&gt;2.02228806036446&lt;/D&gt;&lt;D xsi:type="xsd:double"&gt;1.93254601357532&lt;/D&gt;&lt;D xsi:type="xsd:double"&gt;1.975112518506</t>
        </r>
      </text>
    </comment>
    <comment ref="A10" authorId="0" shapeId="0" xr:uid="{345A69CE-AE97-4C60-82F3-4BF425CB903E}">
      <text>
        <r>
          <rPr>
            <b/>
            <sz val="9"/>
            <color indexed="81"/>
            <rFont val="Tahoma"/>
            <charset val="1"/>
          </rPr>
          <t>79&lt;/D&gt;&lt;D xsi:type="xsd:double"&gt;2.00300634192336&lt;/D&gt;&lt;D xsi:type="xsd:double"&gt;1.86032060776475&lt;/D&gt;&lt;D xsi:type="xsd:double"&gt;1.78120792817967&lt;/D&gt;&lt;D xsi:type="xsd:double"&gt;1.76806689582269&lt;/D&gt;&lt;D xsi:type="xsd:double"&gt;1.75148595702876&lt;/D&gt;&lt;D xsi:type="xsd:double"&gt;1.78736522191469&lt;/D&gt;&lt;D xsi:type="xsd:double"&gt;1.81220166741682&lt;/D&gt;&lt;D xsi:type="xsd:double"&gt;1.95573110364152&lt;/D&gt;&lt;D xsi:type="xsd:double"&gt;2.05940005382979&lt;/D&gt;&lt;D xsi:type="xsd:double"&gt;2.32725919154319&lt;/D&gt;&lt;D xsi:type="xsd:double"&gt;2.32808017941556&lt;/D&gt;&lt;D xsi:type="xsd:double"&gt;2.47903411773523&lt;/D&gt;&lt;D xsi:type="xsd:double"&gt;2.24736568657139&lt;/D&gt;&lt;D xsi:type="xsd:double"&gt;2.34802154983461&lt;/D&gt;&lt;D xsi:type="xsd:double"&gt;2.60740069748594&lt;/D&gt;&lt;D xsi:type="xsd:double"&gt;2.46612206123882&lt;/D&gt;&lt;D xsi:type="xsd:double"&gt;2.39907934752311&lt;/D&gt;&lt;D xsi:type="xsd:double"&gt;2.21726686199444&lt;/D&gt;&lt;D xsi:type="xsd:double"&gt;2.32623949935162&lt;/D&gt;&lt;D xsi:type="xsd:double"&gt;2.72804267021466&lt;/D&gt;&lt;D xsi:type="xsd:double"&gt;2.79937465517488&lt;/D&gt;&lt;D xsi:type="xsd:double"&gt;2.74512544712281&lt;/D&gt;&lt;D xsi:type="xsd:double"&gt;2.94388128158334&lt;/D&gt;&lt;D xsi:type="xsd:double"&gt;2.96942180221944&lt;/D&gt;&lt;D xsi:type="xsd:double"&gt;3.04223512034299&lt;/D&gt;&lt;D xsi:type="xsd:double"&gt;2.87103617742146&lt;/D&gt;&lt;D xsi:type="xsd:double"&gt;2.86831828658553&lt;/D&gt;&lt;D xsi:type="xsd:double"&gt;3.07101937811747&lt;/D&gt;&lt;D xsi:type="xsd:double"&gt;3.2168679465779&lt;/D&gt;&lt;D xsi:type="xsd:double"&gt;3.15102363556126&lt;/D&gt;&lt;D xsi:type="xsd:double"&gt;2.82222567578601&lt;/D&gt;&lt;D xsi:type="xsd:double"&gt;2.64855140011526&lt;/D&gt;&lt;D xsi:type="xsd:double"&gt;2.97351104413476&lt;/D&gt;&lt;/FQL&gt;&lt;FQL&gt;&lt;Q&gt;EIDO^FMA_PE(NTMA,-10AY,0,AM,"PORTAGG","MEANR")&lt;/Q&gt;&lt;R&gt;121&lt;/R&gt;&lt;C&gt;1&lt;/C&gt;&lt;D xsi:type="xsd:double"&gt;14.6043411681681&lt;/D&gt;&lt;D xsi:type="xsd:double"&gt;14.6968339992778&lt;/D&gt;&lt;D xsi:type="xsd:double"&gt;13.9462076525804&lt;/D&gt;&lt;D xsi:type="xsd:double"&gt;14.7069191462284&lt;/D&gt;&lt;D xsi:type="xsd:double"&gt;14.8629112029899&lt;/D&gt;&lt;D xsi:type="xsd:double"&gt;14.7412389114529&lt;/D&gt;&lt;D xsi:type="xsd:double"&gt;14.24680525845&lt;/D&gt;&lt;D xsi:type="xsd:double"&gt;14.7472079711149&lt;/D&gt;&lt;D xsi:type="xsd:double"&gt;14.7318358787853&lt;/D&gt;&lt;D xsi:type="xsd:double"&gt;14.8204090561302&lt;/D&gt;&lt;D xsi:type="xsd:double"&gt;15.9186674674035&lt;/D&gt;&lt;D xsi:type="xsd:double"&gt;15.8309380176908&lt;/D&gt;&lt;D xsi:type="xsd:double"&gt;15.8883925537022&lt;/D&gt;&lt;D xsi:type="xsd:double"&gt;15.2959157880127&lt;/D&gt;&lt;D xsi:type="xsd:double"&gt;14.5002434282901&lt;/D&gt;&lt;D xsi:type="xsd:double"&gt;14.348156337604&lt;/D&gt;&lt;D xsi:type="xsd:double"&gt;13.5486311638824&lt;/D&gt;&lt;D xsi:type="xsd:double"&gt;13.3549831638735&lt;/D&gt;&lt;D xsi:type="xsd:double"&gt;14.1388277530701&lt;/D&gt;&lt;D xsi:type="xsd:double"&gt;14.1423111661184&lt;/D&gt;&lt;D xsi:type="xsd:double"&gt;14.0397328530258&lt;/D&gt;&lt;D xsi:type="xsd:double"&gt;14.3103003184466&lt;/D&gt;&lt;D xsi:type="xsd:double"&gt;15.1959827105945&lt;/D&gt;&lt;D xsi:type="xsd:double"&gt;15.4047494903116&lt;/D&gt;&lt;D xsi:type="xsd:double"&gt;15.0694903777498&lt;/D&gt;&lt;D xsi:type="xsd:double"&gt;14.3511496104757&lt;/D&gt;&lt;D xsi:type="xsd:double"&gt;14.8853591322801&lt;/D&gt;&lt;D xsi:type="xsd:double"&gt;16.0442284404321&lt;/D&gt;&lt;D xsi:type="xsd:double"&gt;16.9562280676324&lt;/D&gt;&lt;D xsi:type="xsd:double"&gt;15.9658513865682&lt;/D&gt;&lt;D xsi:type="xsd:double"&gt;16.544462839751&lt;/D&gt;&lt;D xsi:type="xsd:double"&gt;15.0530850150279&lt;/D&gt;&lt;D xsi:type="xsd:double"&gt;14.9042692846219&lt;/D&gt;&lt;D xsi:type="xsd:double"&gt;15.1815024657897&lt;/D&gt;&lt;D xsi:type="xsd:double"&gt;15.1786412822329&lt;/D&gt;&lt;D xsi:type="xsd:double"&gt;15.4047988373388&lt;/D&gt;&lt;D xsi:type="xsd:double"&gt;15.2830001951157&lt;/D&gt;&lt;D xsi:type="xsd:double"&gt;15.4461331757233&lt;/D&gt;&lt;D xsi:type="xsd:double"&gt;15.5107161334012&lt;/D&gt;&lt;D xsi:type="xsd:double"&gt;15.6855455652657&lt;/D&gt;&lt;D xsi:type="xsd:double"&gt;15.715625657137&lt;/D&gt;&lt;D xsi:type="xsd:double"&gt;15.4219075395671&lt;/D&gt;&lt;D xsi:type="xsd:double"&gt;15.5895183999253&lt;/D&gt;&lt;D xsi:type="xsd:double"&gt;15.4632089903243&lt;/D&gt;&lt;D xsi:type="xsd:double"&gt;15.3803292282368&lt;/D&gt;&lt;D xsi:type="xsd:double"&gt;16.026849716291&lt;/D&gt;&lt;D xsi:type="xsd:double"&gt;15.5600733089094&lt;/D&gt;&lt;D xsi:type="xsd:double"&gt;14.621411647966&lt;/D&gt;&lt;D xsi:type="xsd:double"&gt;14.8906714154578&lt;/D&gt;&lt;D xsi:type="xsd:double"&gt;13.0959544340113&lt;/D&gt;&lt;D xsi:type="xsd:double"&gt;13.3803618181155&lt;/D&gt;&lt;D xsi:type="xsd:double"&gt;12.8233514006934&lt;/D&gt;&lt;D xsi:type="xsd:double"&gt;13.1324559579625&lt;/D&gt;&lt;D xsi:type="xsd:double"&gt;12.9981942443348&lt;/D&gt;&lt;D xsi:type="xsd:double"&gt;13.0520877148563&lt;/D&gt;&lt;D xsi:type="xsd:double"&gt;13.803255185015&lt;/D&gt;&lt;D xsi:type="xsd:double"&gt;13.9138903161845&lt;/D&gt;&lt;D xsi:type="xsd:double"&gt;14.8038385509025&lt;/D&gt;&lt;D xsi:type="xsd:double"&gt;14.2234480765155&lt;/D&gt;&lt;D xsi:type="xsd:double"&gt;14.6981215338116&lt;/D&gt;&lt;D xsi:type="xsd:double"&gt;14.3603079477299&lt;/D&gt;&lt;D xsi:type="xsd:double"&gt;12.4543806801056&lt;/D&gt;&lt;D xsi:type="xsd:double"&gt;13.8032643137222&lt;/D&gt;&lt;D xsi:type="xsd:double"&gt;14.9410450442389&lt;/D&gt;&lt;D xsi:type="xsd:double"&gt;14.5743400301209&lt;/D&gt;&lt;D xsi:type="xsd:double"&gt;14.7092511413243&lt;/D&gt;&lt;D xsi:type="xsd:double"&gt;14.5171572360194&lt;/D&gt;&lt;D xsi:type="xsd:double"&gt;14.6503244703268&lt;/D&gt;&lt;D xsi:type="xsd:double"&gt;15.1384493625013&lt;/D&gt;&lt;D xsi:type="xsd:double"&gt;15.6799943442945&lt;/D&gt;&lt;D xsi:type="xsd:double"&gt;14.4856996150706&lt;/D&gt;&lt;D xsi:type="xsd:double"&gt;9.99282879212844&lt;/D&gt;&lt;D xsi:type="xsd:double"&gt;10.9903121327939&lt;/D&gt;&lt;D xsi:type="xsd:double"&gt;12.2118712683064&lt;/D&gt;&lt;D xsi:type="xsd:double"&gt;15.7806317483727&lt;/D&gt;&lt;D xsi:type="xsd:double"&gt;16.3623477892318&lt;/D&gt;&lt;D xsi:type="xsd:double"&gt;17.0275735113881&lt;/D&gt;&lt;D xsi:type="xsd:double"&gt;15.6504314974454&lt;/D&gt;&lt;D xsi:type="xsd:double"&gt;15.7625890019602&lt;/D&gt;&lt;D xsi:type="xsd:double"&gt;17.3912419456543&lt;/D&gt;&lt;D xsi:type="xsd:double"&gt;18.5803221824636&lt;/D&gt;&lt;D xsi:type="xsd:double"&gt;18.2113381960109&lt;/D&gt;&lt;D xsi:type="xsd:double"&gt;17.1328056857996&lt;/D&gt;&lt;D xsi:type="xsd:double"&gt;17.0187660638335&lt;/D&gt;&lt;D xsi:type="xsd:double"&gt;16.2682247551738&lt;/D&gt;&lt;D xsi:type="xsd:double"&gt;15.3642584451097&lt;/D&gt;&lt;D xsi:type="xsd:double"&gt;15.1554139338162&lt;/D&gt;&lt;D xsi:type="xsd:double"&gt;14.7523808831676&lt;/D&gt;&lt;D xsi:type="xsd:double"&gt;15.2254994904987&lt;/D&gt;&lt;D xsi:type="xsd:double"&gt;14.9087212125894&lt;/D&gt;&lt;D xsi:type="xsd:double"&gt;15.9560528123715&lt;/D&gt;&lt;D xsi:type="xsd:double"&gt;15.0921471438676&lt;/D&gt;&lt;D xsi:type="xsd:double"&gt;14.7347311023853&lt;/D&gt;&lt;D xsi:type="xsd:double"&gt;14.7143291210967&lt;/D&gt;&lt;D xsi:type="xsd:double"&gt;15.3089682321404&lt;/D&gt;&lt;D xsi:type="xsd:double"&gt;14.8480003880689&lt;/D&gt;&lt;D xsi:type="xsd:double"&gt;14.4025214514973&lt;/D&gt;&lt;D xsi:type="xsd:double"&gt;13.4431569677823&lt;/D&gt;&lt;D xsi:type="xsd:double"&gt;12.6439667698548&lt;/D&gt;&lt;D xsi:type="xsd:double"&gt;12.1643625302347&lt;/D&gt;&lt;D xsi:type="xsd:double"&gt;12.9401563646801&lt;/D&gt;&lt;D xsi:type="xsd:double"&gt;13.0908437604666&lt;/D&gt;&lt;D xsi:type="xsd:double"&gt;12.2912744117274&lt;/D&gt;&lt;D xsi:type="xsd:double"&gt;12.6020397841632&lt;/D&gt;&lt;D xsi:type="xsd:double"&gt;12.3770935022627&lt;/D&gt;&lt;D xsi:type="xsd:double"&gt;12.0208121642967&lt;/D&gt;&lt;D xsi:type="xsd:double"&gt;12.2161095790901&lt;/D&gt;&lt;D xsi:type="xsd:double"&gt;11.6074795987638&lt;/D&gt;&lt;D xsi:type="xsd:double"&gt;12.1711466307768&lt;/D&gt;&lt;D xsi:type="xsd:double"&gt;11.7966422757267&lt;/D&gt;&lt;D xsi:type="xsd:double"&gt;13.5428488199623&lt;/D&gt;&lt;D xsi:type="xsd:double"&gt;13.4868324084494&lt;/D&gt;&lt;D xsi:type="xsd:double"&gt;13.4486883000277&lt;/D&gt;&lt;D xsi:type="xsd:double"&gt;13.2261718988144&lt;/D&gt;&lt;D xsi:type="xsd:double"&gt;12.7354981468783&lt;/D&gt;&lt;D xsi:type="xsd:double"&gt;12.4619562823093&lt;/D&gt;&lt;D xsi:type="xsd:double"&gt;12.5645952962737&lt;/D&gt;&lt;D xsi:type="xsd:double"&gt;12.8676983679374&lt;/D&gt;&lt;D xsi:type="xsd:double"&gt;13.1863916300724&lt;/D&gt;&lt;D xsi:type="xsd:double"&gt;13.0667911360248&lt;/D&gt;&lt;D xsi:type="xsd:double"&gt;12.578613482361&lt;/D&gt;&lt;/FQL&gt;&lt;FQL&gt;&lt;Q&gt;USDQAR^STD(FG_PRICE_CHANGE(0,-3AY,M))&lt;/Q&gt;&lt;R&gt;1&lt;/R&gt;&lt;C&gt;1&lt;/C&gt;&lt;D xsi:type="xsd:double"&gt;0.0108559103674078&lt;/D&gt;&lt;/FQL&gt;&lt;FQL&gt;&lt;Q&gt;USDTWD^STD(FG_PRICE_CHANGE(0,-3AY,M))&lt;/Q&gt;&lt;R&gt;1&lt;/R&gt;&lt;C&gt;1&lt;/C&gt;&lt;D xsi:type="xsd:double"&gt;1.73751764363542&lt;/D&gt;&lt;/FQL&gt;&lt;FQL&gt;&lt;Q&gt;FC0000SA^FMA_EPS(NTMA,-20AY,0,CY,,"PORTAGG","MEANR")&lt;/Q&gt;&lt;R&gt;20&lt;/R&gt;&lt;C&gt;1&lt;/C&gt;&lt;D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xsi:type="xsd:double"&gt;2.35315851175775&lt;/D&gt;&lt;D xsi:type="xsd:double"&gt;1.93303150117598&lt;/D&gt;&lt;D xsi:type="xsd:double"&gt;3.07367882715563&lt;/D&gt;&lt;D xsi:type="xsd:double"&gt;3.62874668671579&lt;/D&gt;&lt;D xsi:type="xsd:double"&gt;3.01142146885382&lt;/D&gt;&lt;/FQL&gt;&lt;FQL&gt;&lt;Q&gt;CNYA^FG_TOTAL_RETURNC(-10AY,0,AM)&lt;/Q&gt;&lt;R&gt;121&lt;/R&gt;&lt;C&gt;1&lt;/C&gt;&lt;D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xsi:type="xsd:double"&gt;6.3408732&lt;/D&gt;&lt;D xsi:type="xsd:double"&gt;3.190279&lt;/D&gt;&lt;D xsi:type="xsd:double"&gt;-3.6805272&lt;/D&gt;&lt;D xsi:type="xsd:double"&gt;1.0317206&lt;/D&gt;&lt;D xsi:type="xsd:double"&gt;0.2647519&lt;/D&gt;&lt;D xsi:type="xsd:double"&gt;-1.9238055&lt;/D&gt;&lt;D xsi:type="xsd:double"&gt;-2.8797925&lt;/D&gt;&lt;D xsi:type="xsd:double"&gt;4.735148&lt;/D&gt;&lt;D xsi:type="xsd:double"&gt;0.8812189&lt;/D&gt;&lt;D xsi:type="xsd:double"&gt;1.1393785&lt;/D&gt;&lt;D xsi:type="xsd:double"&gt;-2.440852&lt;/D&gt;&lt;D xsi:type="xsd:double"&gt;4.5034647&lt;/D&gt;&lt;D xsi:type="xsd:double"&gt;4.5567393&lt;/D&gt;&lt;D xsi:type="xsd:double"&gt;3.9264202&lt;/D&gt;&lt;D xsi:type="xsd:double"&gt;5.3948283&lt;/D&gt;&lt;D xsi:type="xsd:double"&gt;1.0495782&lt;/D&gt;&lt;D xsi:type="xsd:double"&gt;2.541709&lt;/D&gt;&lt;D xsi:type="xsd:double"&gt;-2.1358728&lt;/D&gt;&lt;D xsi:type="xsd:double"&gt;9.258914&lt;/D&gt;&lt;D xsi:type="xsd:double"&gt;-2.7013123&lt;/D&gt;&lt;D xsi:type="xsd:double"&gt;-0.39191246&lt;/D&gt;&lt;D xsi:type="xsd:double"&gt;-5.4176807&lt;/D&gt;&lt;D xsi:type="xsd:double"&gt;1.3119936&lt;/D&gt;&lt;D xsi:type="xsd:double"&gt;-4.832596&lt;/D&gt;&lt;D xsi:type="xsd:double"&gt;-10.669195&lt;/D&gt;&lt;D xsi:type="xsd:double"&gt;-5.142486&lt;/D&gt;&lt;D xsi:type="xsd:double"&gt;0.004327297&lt;/D&gt;&lt;D xsi:type="xsd:double"&gt;-8.320093&lt;/D&gt;&lt;D xsi:type="xsd:double"&gt;8.22854&lt;/D&gt;&lt;D xsi:type="xsd:double"&gt;-3.8969636&lt;/D&gt;&lt;D xsi:type="xsd:double"&gt;4.060173&lt;/D&gt;&lt;D xsi:type="xsd:double"&gt;5.648792&lt;/D&gt;&lt;D xsi:type="xsd:double"&gt;14.2192955&lt;/D&gt;&lt;D xsi:type="xsd:double"&gt;6.004071&lt;/D&gt;&lt;D xsi:type="xsd:double"&gt;-13.952005&lt;/D&gt;&lt;D xsi:type="xsd:double"&gt;3.2236338&lt;/D&gt;&lt;D xsi:type="xsd:double"&gt;1.9898772&lt;/D&gt;&lt;D xsi:type="xsd:double"&gt;-2.5895774&lt;/D&gt;&lt;D xsi:type="xsd:double"&gt;3.6780834&lt;/D&gt;&lt;D xsi:type="xsd:double"&gt;-0.035125017&lt;/D&gt;&lt;D xsi:type="xsd:double"&gt;1.1946559&lt;/D&gt;&lt;D xsi:type="xsd:double"&gt;4.122436&lt;/D&gt;&lt;D xsi:type="xsd:double"&gt;6.1217666&lt;/D&gt;&lt;D xsi:type="xsd:double"&gt;-4.1204395&lt;/D&gt;&lt;D xsi:type="xsd:double"&gt;-11.801654&lt;/D&gt;&lt;D xsi:type="xsd:double"&gt;7.421291&lt;/D&gt;&lt;D xsi:type="xsd:double"&gt;3.593862&lt;/D&gt;&lt;D xsi:type="xsd:double"&gt;3.6599398&lt;/D&gt;&lt;D xsi:type="xsd:double"&gt;15.15646&lt;/D&gt;&lt;D xsi:type="xsd:double"&gt;6.510043&lt;/D&gt;&lt;D xsi:type="xsd:double"&gt;-0.6643653&lt;/D&gt;&lt;D xsi:type="xsd:double"&gt;3.2528043&lt;/D&gt;&lt;D xsi:type="xsd:double"&gt;2.9643059&lt;/D&gt;&lt;D xsi:type="xsd:double"&gt;4.0005207&lt;/D&gt;&lt;D xsi:type="xsd:double"&gt;8.762514&lt;/D&gt;&lt;D xsi:type="xsd:double"&gt;7.540393&lt;/D&gt;&lt;D xsi:type="xsd:double"&gt;-14.0651045&lt;/D&gt;&lt;D xsi:type="xsd:double"&gt;-0.89849234&lt;/D&gt;&lt;D xsi:type="xsd:double"&gt;6.1014414&lt;/D&gt;&lt;D xsi:type="xsd:double"&gt;-1.1086464&lt;/D&gt;&lt;D xsi:type="xsd:double"&gt;1.637423&lt;/D&gt;&lt;D xsi:type="xsd:double"&gt;-3.6593795&lt;/D&gt;&lt;D xsi:type="xsd:double"&gt;1.0750175&lt;/D&gt;&lt;D xsi:type="xsd:double"&gt;1.4181018&lt;/D&gt;&lt;D xsi:type="xsd:double"&gt;-0.18643141&lt;/D&gt;&lt;D xsi:type="xsd:double"&gt;2.4762392&lt;/D&gt;&lt;D xsi:type="xsd:double"&gt;-2.8512359&lt;/D&gt;&lt;D xsi:type="xsd:double"&gt;-3.550297&lt;/D&gt;&lt;D xsi:type="xsd:double"&gt;-6.7239285&lt;/D&gt;&lt;D xsi:type="xsd:double"&gt;-4.3672743&lt;/D&gt;&lt;D xsi:type="xsd:double"&gt;-10.399169&lt;/D&gt;&lt;D xsi:type="xsd:double"&gt;12.030506&lt;/D&gt;&lt;D xsi:type="xsd:double"&gt;-1.0433733&lt;/D&gt;&lt;D xsi:type="xsd:double"&gt;-1.859051&lt;/D&gt;&lt;D xsi:type="xsd:double"&gt;-8.934122&lt;/D&gt;&lt;D xsi:type="xsd:double"&gt;-5.0605354&lt;/D&gt;&lt;D xsi:type="xsd:double"&gt;1.1344075&lt;/D&gt;&lt;D xsi:type="xsd:double"&gt;4.569292&lt;/D&gt;&lt;D xsi:type="xsd:double"&gt;7.5704813&lt;/D&gt;&lt;D xsi:type="xsd:double"&gt;-3.7102401&lt;/D&gt;&lt;D xsi:type="xsd:double"&gt;-3.119266&lt;/D&gt;&lt;D xsi:type="xsd:double"&gt;5.397725&lt;/D&gt;&lt;D xsi:type="xsd:double"&gt;-7.4273705&lt;/D&gt;&lt;D xsi:type="xsd:double"&gt;-1.219368&lt;/D&gt;&lt;D xsi:type="xsd:double"&gt;-2.6911736&lt;/D&gt;&lt;D xsi:type="xsd:double"&gt;-3.8448572&lt;/D&gt;&lt;D xsi:type="xsd:double"&gt;-0.7015109&lt;/D&gt;&lt;D xsi:type="xsd:double"&gt;-4.3800774&lt;/D&gt;&lt;D xsi:type="xsd:double"&gt;2.0783186&lt;/D&gt;&lt;D xsi:type="xsd:double"&gt;-5.377346&lt;/D&gt;&lt;D xsi:type="xsd:double"&gt;-3.7874222&lt;/D&gt;&lt;D xsi:type="xsd:double"&gt;5.051768&lt;/D&gt;&lt;D xsi:type="xsd:double"&gt;5.794239&lt;/D&gt;&lt;D xsi:type="xsd:double"&gt;-1.8256307&lt;/D&gt;&lt;/FQL&gt;&lt;FQL&gt;&lt;Q&gt;COPP-FDS^FG_PRICE(0)&lt;/Q&gt;&lt;R&gt;1&lt;/R&gt;&lt;C&gt;1&lt;/C&gt;&lt;D xsi:type="xsd:double"&gt;4.4405&lt;/D&gt;&lt;/FQL&gt;&lt;FQL&gt;&lt;Q&gt;FC0000IN^FG_PRICE(0)&lt;/Q&gt;&lt;R&gt;1&lt;/R&gt;&lt;C&gt;1&lt;/C&gt;&lt;D xsi:type="xsd:double"&gt;1277.5667&lt;/D&gt;&lt;/FQL&gt;&lt;FQL&gt;&lt;Q&gt;FC0000PL^FG_PRICE(0)&lt;/Q&gt;&lt;R&gt;1&lt;/R&gt;&lt;C&gt;1&lt;/C&gt;&lt;D xsi:type="xsd:double"&gt;207.91612&lt;/D&gt;&lt;/FQL&gt;&lt;FQL&gt;&lt;Q&gt;GREK^FG_PRICE_MAVG(0,,,,30)&lt;/Q&gt;&lt;R&gt;1&lt;/R&gt;&lt;C&gt;1&lt;/C&gt;&lt;D xsi:type="xsd:double"&gt;39.809666&lt;/D&gt;&lt;/FQL&gt;&lt;FQL&gt;&lt;Q&gt;EPHE^FG_PRICE_MAVG(0,,,,60)&lt;/Q&gt;&lt;R&gt;1&lt;/R&gt;&lt;C&gt;1&lt;/C&gt;&lt;D xsi:type="xsd:double"&gt;27.073&lt;/D&gt;&lt;/FQL&gt;&lt;FQL&gt;&lt;Q&gt;UAE^P_PRICE(0)/P_PRICE_HIGH_PR(0,,,,,,"PRICE","INTRA","52W")&lt;/Q&gt;&lt;R&gt;1&lt;/R&gt;&lt;C&gt;1&lt;/C&gt;&lt;D xsi:type="xsd:double"&gt;0.92953867&lt;/D&gt;&lt;/FQL&gt;&lt;FQL&gt;&lt;Q&gt;MCHI^P_PRICE(0)/P_PRICE_LOW_PR(0,,,,,,"PRICE","INTRA","52W")-1&lt;/Q&gt;&lt;R&gt;1&lt;/R&gt;&lt;C&gt;1&lt;/C&gt;&lt;D xsi:type="xsd:double"&gt;0.11129844&lt;/D&gt;&lt;/FQL&gt;&lt;FQL&gt;&lt;Q&gt;GREK^P_PRICE(0)/P_PRICE_LOW_PR(0,,,,,,"PRICE","INTRA","52W")-1&lt;/Q&gt;&lt;R&gt;1&lt;/R&gt;&lt;C&gt;1&lt;/C&gt;&lt;D xsi:type="xsd:double"&gt;0.2549683&lt;/D&gt;&lt;/FQL&gt;&lt;FQL&gt;&lt;Q&gt;EWW^P_PRICE(0)/P_PRICE_LOW_PR(0,,,,,,"PRICE","INTRA","52W")-1&lt;/Q&gt;&lt;R&gt;1&lt;/R&gt;&lt;C&gt;1&lt;/C&gt;&lt;D xsi:type="xsd:double"&gt;0.23821521&lt;/D&gt;&lt;/FQL&gt;&lt;FQL&gt;&lt;Q&gt;EPOL^FG_TOTAL_RETURNC(0,-12AM)&lt;/Q&gt;&lt;R&gt;1&lt;/R&gt;&lt;C&gt;1&lt;/C&gt;&lt;D xsi:type="xsd:double"&gt;39.681458&lt;/D&gt;&lt;/FQL&gt;&lt;FQL&gt;&lt;Q&gt;ECH^FMA_PCT_ABOVE_MAVG(200,0,,,,"PORTAGG")&lt;/Q&gt;&lt;R&gt;1&lt;/R&gt;&lt;C&gt;1&lt;/C&gt;&lt;D xsi:type="xsd:double"&gt;72.4137931034483&lt;/D&gt;&lt;/FQL&gt;&lt;FQL&gt;&lt;Q&gt;EWJ^FMA_PCT_ABOVE_MAVG(200,0,,,,"PORTAGG")&lt;/Q&gt;&lt;R&gt;1&lt;/R&gt;&lt;C&gt;1&lt;/C&gt;&lt;D xsi:type="xsd:double"&gt;69.4063926940639&lt;/D&gt;&lt;/FQL&gt;&lt;FQL&gt;&lt;Q&gt;TUR^FMA_COS_UP("EPS","1M",+1,NOW,,,"PORTAGG","MEANR")&lt;/Q&gt;&lt;R&gt;1&lt;/R&gt;&lt;C&gt;1&lt;/C&gt;&lt;D xsi:type="xsd:double"&gt;12&lt;/D&gt;&lt;/FQL&gt;&lt;FQL&gt;&lt;Q&gt;EZA^FMA_COS_UP("EPS","1M",+1,NOW,,,"PORTAGG","MEANR")&lt;/Q&gt;&lt;R&gt;1&lt;/R&gt;&lt;C&gt;1&lt;/C&gt;&lt;D xsi:type="xsd:double"&gt;10&lt;/D&gt;&lt;/FQL&gt;&lt;FQL&gt;&lt;Q&gt;VNM^FMA_RBICS_REV_CURRENT(30, LOC, "PORTAGG")&lt;/Q&gt;&lt;R&gt;1&lt;/R&gt;&lt;C&gt;1&lt;/C&gt;&lt;D xsi:type="xsd:double"&gt;55.231368279198&lt;/D&gt;&lt;/FQL&gt;&lt;FQL&gt;&lt;Q&gt;TRYMY10Y-FDS^PCTCHG(FG_YIELD(0,,,,"YTM"),FG_YIELD(-1AM,,,,"YTM"))&lt;/Q&gt;&lt;R&gt;1&lt;/R&gt;&lt;C&gt;1&lt;/C&gt;&lt;D xsi:type="xsd:double"&gt;1.9221423&lt;/D&gt;&lt;/FQL&gt;&lt;FQL&gt;&lt;Q&gt;TRYVN10Y-FDS^FG_YIELD(0,,,,"YTM")&lt;/Q&gt;&lt;R&gt;1&lt;/R&gt;&lt;C&gt;1&lt;/C&gt;&lt;D xsi:type="xsd:double"&gt;2.7856638&lt;/D&gt;&lt;/FQL&gt;&lt;FQL&gt;&lt;Q&gt;SET-BKK^P_PRICE(0)/P_PRICE_HIGH_PR(0,,,,,,"PRICE","INTRA","52W")&lt;/Q&gt;&lt;R&gt;1&lt;/R&gt;&lt;C&gt;1&lt;/C&gt;&lt;D xsi:type="xsd:double"&gt;0.8532613&lt;/D&gt;&lt;/FQL&gt;&lt;FQL&gt;&lt;Q&gt;EWM^P_PRICE(0)/P_PRICE_LOW_PR(0,,,,,,"PRICE","INTRA","52W")-1&lt;/Q&gt;&lt;R&gt;1&lt;/R&gt;&lt;C&gt;1&lt;/C&gt;&lt;D xsi:type="xsd:double"&gt;0.09072578&lt;/D&gt;&lt;/FQL&gt;&lt;FQL&gt;&lt;Q&gt;EWZ^FMA_ROE(NTMA,-20AY,NOW,FY,"PORTAGG","MEANR")&lt;/Q&gt;&lt;R&gt;20&lt;/R&gt;&lt;C&gt;1&lt;/C&gt;&lt;D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xsi:type="xsd:double"&gt;14.5230256357744&lt;/D&gt;&lt;D xsi:type="xsd:double"&gt;16.6004077805652&lt;/D&gt;&lt;D xsi:type="xsd:double"&gt;20.3585186127796&lt;/D&gt;&lt;D xsi:type="xsd:double"&gt;19.4095239083521&lt;/D&gt;&lt;D xsi:type="xsd:double"&gt;18.5848638844222&lt;/D&gt;&lt;/FQL&gt;&lt;FQL&gt;&lt;Q&gt;TRYGB10Y-FDS^FG_YIELD(-10AY,0,Y,,"YTM")&lt;/Q&gt;&lt;R&gt;10&lt;/R&gt;&lt;C&gt;1&lt;/C&gt;&lt;D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xsi:type="xsd:double"&gt;3.534&lt;/D&gt;&lt;/FQL&gt;&lt;FQL&gt;&lt;Q&gt;CC_PE^FG_COMPANY_NAME&lt;/Q&gt;&lt;R&gt;1&lt;/R&gt;&lt;C&gt;1&lt;/C&gt;&lt;D xsi:type="xsd:string"&gt;Peru&lt;/D&gt;&lt;/FQL&gt;&lt;FQL&gt;&lt;Q&gt;USDAED^FG_PRICE_CHANGE(0,-1AM)&lt;/Q&gt;&lt;R&gt;1&lt;/R&gt;&lt;C&gt;1&lt;/C&gt;&lt;D xsi:type="xsd:double"&gt;-0.012254715&lt;/D&gt;&lt;/FQL&gt;&lt;FQL&gt;&lt;Q&gt;USDEUR^STD(FG_PRICE_CHANGE(0,-3AY,M))&lt;/Q&gt;&lt;R&gt;1&lt;/R&gt;&lt;C&gt;1&lt;/C&gt;&lt;D xsi:type="xsd:double"&gt;2.22272008231571&lt;/D&gt;&lt;/FQL&gt;&lt;FQL&gt;&lt;Q&gt;USDBRL^FG_PRICE_CHANGE(0,-1AM)&lt;/Q&gt;&lt;R&gt;1&lt;/R&gt;&lt;C&gt;1&lt;/C&gt;&lt;D xsi:type="xsd:double"&gt;4.5506597&lt;/D&gt;&lt;/FQL&gt;&lt;FQL&gt;&lt;Q&gt;USDPLN^STD(FG_PRICE_CHANGE(0,-3AY,M))&lt;/Q&gt;&lt;R&gt;1&lt;/R&gt;&lt;C&gt;1&lt;/C&gt;&lt;D xsi:type="xsd:double"&gt;3.37583713663779&lt;/D&gt;&lt;/FQL&gt;&lt;FQL&gt;&lt;Q&gt;USDIDR^FG_PRICE_CHANGE(0,-1AM)&lt;/Q&gt;&lt;R&gt;1&lt;/R&gt;&lt;C&gt;1&lt;/C&gt;&lt;D xsi:type="xsd:double"&gt;3.0911446&lt;/D&gt;&lt;/FQL&gt;&lt;FQL&gt;&lt;Q&gt;UAE^P_PRICE_RETURNS_PR('52W',2,-10AY,0,AM)&lt;/Q&gt;&lt;R&gt;121&lt;/R&gt;&lt;C&gt;1&lt;/C&gt;&lt;D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xsi:type="xsd:double"&gt;-16.413408&lt;/D&gt;&lt;D xsi:type="xsd:double"&gt;-8.5572605&lt;/D&gt;&lt;D xsi:type="xsd:double"&gt;-10.642302&lt;/D&gt;&lt;D xsi:type="xsd:double"&gt;-18.074232&lt;/D&gt;&lt;D xsi:type="xsd:double"&gt;-26.024372&lt;/D&gt;&lt;D xsi:type="xsd:double"&gt;-9.460831&lt;/D&gt;&lt;D xsi:type="xsd:double"&gt;-28.615635&lt;/D&gt;&lt;D xsi:type="xsd:double"&gt;-14.986837&lt;/D&gt;&lt;D xsi:type="xsd:double"&gt;-23.244493&lt;/D&gt;&lt;D xsi:type="xsd:double"&gt;-18.926685&lt;/D&gt;&lt;D xsi:type="xsd:double"&gt;-1.7407715&lt;/D&gt;&lt;D xsi:type="xsd:double"&gt;-13.602042&lt;/D&gt;&lt;D xsi:type="xsd:double"&gt;-19.374132&lt;/D&gt;&lt;D xsi:type="xsd:double"&gt;-17.01889&lt;/D&gt;&lt;D xsi:type="xsd:double"&gt;-11.447853&lt;/D&gt;&lt;D xsi:type="xsd:double"&gt;-3.4540296&lt;/D&gt;&lt;D xsi:type="xsd:double"&gt;-2.1680295&lt;/D&gt;&lt;D xsi:type="xsd:double"&gt;-7.7327194&lt;/D&gt;&lt;D xsi:type="xsd:double"&gt;5.934274&lt;/D&gt;&lt;D xsi:type="xsd:double"&gt;17.464233&lt;/D&gt;&lt;D xsi:type="xsd:double"&gt;26.940655&lt;/D&gt;&lt;D xsi:type="xsd:double"&gt;19.898092&lt;/D&gt;&lt;D xsi:type="xsd:double"&gt;4.0703535&lt;/D&gt;&lt;D xsi:type="xsd:double"&gt;1.2146592&lt;/D&gt;&lt;D xsi:type="xsd:double"&gt;10.757959&lt;/D&gt;&lt;D xsi:type="xsd:double"&gt;11.503326&lt;/D&gt;&lt;D xsi:type="xsd:double"&gt;6.6336274&lt;/D&gt;&lt;D xsi:type="xsd:double"&gt;4.8282385&lt;/D&gt;&lt;D xsi:type="xsd:double"&gt;9.623003&lt;/D&gt;&lt;D xsi:type="xsd:double"&gt;13.454628&lt;/D&gt;&lt;D xsi:type="xsd:double"&gt;11.400986&lt;/D&gt;&lt;D xsi:type="xsd:double"&gt;1.4417648&lt;/D&gt;&lt;D xsi:type="xsd:double"&gt;5.588269&lt;/D&gt;&lt;D xsi:type="xsd:double"&gt;1.7984748&lt;/D&gt;&lt;D xsi:type="xsd:double"&gt;2.6818156&lt;/D&gt;&lt;D xsi:type="xsd:double"&gt;1.3255835&lt;/D&gt;&lt;D xsi:type="xsd:double"&gt;-4.261434&lt;/D&gt;&lt;D xsi:type="xsd:double"&gt;-3.319645&lt;/D&gt;&lt;D xsi:type="xsd:double"&gt;-7.5783253&lt;/D&gt;&lt;D xsi:type="xsd:double"&gt;-5.174285&lt;/D&gt;&lt;D xsi:type="xsd:double"&gt;-9.654313&lt;/D&gt;&lt;D xsi:type="xsd:double"&gt;-11.701298&lt;/D&gt;&lt;D xsi:type="xsd:double"&gt;-5.040222&lt;/D&gt;&lt;D xsi:type="xsd:double"&gt;-12.246352&lt;/D&gt;&lt;D xsi:type="xsd:double"&gt;-16.660744&lt;/D&gt;&lt;D xsi:type="xsd:double"&gt;-14.500439&lt;/D&gt;&lt;D xsi:type="xsd:double"&gt;-8.442438&lt;/D&gt;&lt;D xsi:type="xsd:double"&gt;-2.6618183&lt;/D&gt;&lt;D xsi:type="xsd:double"&gt;-9.786898&lt;/D&gt;&lt;D xsi:type="xsd:double"&gt;-10.466188&lt;/D&gt;&lt;D xsi:type="xsd:double"&gt;-5.3418455&lt;/D&gt;&lt;D xsi:type="xsd:double"&gt;-7.968754&lt;/D&gt;&lt;D xsi:type="xsd:double"&gt;-3.468287&lt;/D&gt;&lt;D xsi:type="xsd:double"&gt;0.33739805&lt;/D&gt;&lt;D xsi:type="xsd:double"&gt;-6.5603075&lt;/D&gt;&lt;D xsi:type="xsd:double"&gt;0.5610347&lt;/D&gt;&lt;D xsi:type="xsd:double"&gt;1.507926&lt;/D&gt;&lt;D xsi:type="xsd:double"&gt;-3.5803318&lt;/D&gt;&lt;D xsi:type="xsd:double"&gt;-40.54364&lt;/D&gt;&lt;D xsi:type="xsd:double"&gt;-33.21693&lt;/D&gt;&lt;D xsi:type="xsd:double"&gt;-23.35747&lt;/D&gt;&lt;D xsi:type="xsd:double"&gt;-20.9849&lt;/D&gt;&lt;D xsi:type="xsd:double"&gt;-23.336155&lt;/D&gt;&lt;D xsi:type="xsd:double"&gt;-17.619467&lt;/D&gt;&lt;D xsi:type="xsd:double"&gt;-18.66923&lt;/D&gt;&lt;D xsi:type="xsd:double"&gt;-19.344627&lt;/D&gt;&lt;D xsi:type="xsd:double"&gt;-12.438613&lt;/D&gt;&lt;D xsi:type="xsd:double"&gt;-4.7152877&lt;/D&gt;&lt;D xsi:type="xsd:double"&gt;-1.5283704&lt;/D&gt;&lt;D xsi:type="xsd:double"&gt;5.215311&lt;/D&gt;&lt;D xsi:type="xsd:double"&gt;67.667564&lt;/D&gt;&lt;D xsi:type="xsd:double"&gt;44.609116&lt;/D&gt;&lt;D xsi:type="xsd:double"&gt;48.6207&lt;/D&gt;&lt;D xsi:type="xsd:double"&gt;46.688473&lt;/D&gt;&lt;D xsi:type="xsd:double"&gt;43.132053&lt;/D&gt;&lt;D xsi:type="xsd:double"&gt;41.032124&lt;/D&gt;&lt;D xsi:type="xsd:double"&gt;43.349503&lt;/D&gt;&lt;D xsi:type="xsd:double"&gt;43.57505&lt;/D&gt;&lt;D xsi:type="xsd:double"&gt;52.844093&lt;/D&gt;&lt;D xsi:type="xsd:double"&gt;47.97444&lt;/D&gt;&lt;D xsi:type="xsd:double"&gt;35.22183&lt;/D&gt;&lt;D xsi:type="xsd:double"&gt;38.6641&lt;/D&gt;&lt;D xsi:type="xsd:double"&gt;44.43804&lt;/D&gt;&lt;D xsi:type="xsd:double"&gt;47.93161&lt;/D&gt;&lt;D xsi:type="xsd:double"&gt;27.482164&lt;/D&gt;&lt;D xsi:type="xsd:double"&gt;15.618968&lt;/D&gt;&lt;D xsi:type="xsd:double"&gt;13.402772&lt;/D&gt;&lt;D xsi:type="xsd:double"&gt;18.062687&lt;/D&gt;&lt;D xsi:type="xsd:double"&gt;11.526072&lt;/D&gt;&lt;D xsi:type="xsd:double"&gt;6.753278&lt;/D&gt;&lt;D xsi:type="xsd:double"&gt;-2.8341413&lt;/D&gt;&lt;D xsi:type="xsd:double"&gt;-8.963328&lt;/D&gt;&lt;D xsi:type="xsd:double"&gt;-5.131775&lt;/D&gt;&lt;D xsi:type="xsd:double"&gt;-9.8035755&lt;/D&gt;&lt;D xsi:type="xsd:double"&gt;-23.341846&lt;/D&gt;&lt;D xsi:type="xsd:double"&gt;-20.05096&lt;/D&gt;&lt;D xsi:type="xsd:double"&gt;-13.636303&lt;/D&gt;&lt;D xsi:type="xsd:double"&gt;-6.0257616&lt;/D&gt;&lt;D xsi:type="xsd:double"&gt;2.2304177&lt;/D&gt;&lt;D xsi:type="xsd:double"&gt;-6.497729&lt;/D&gt;&lt;D xsi:type="xsd:double"&gt;-3.9299726&lt;/D&gt;&lt;D xsi:type="xsd:double"&gt;-4.4075785&lt;/D&gt;&lt;D xsi:type="xsd:double"&gt;-1.0112286&lt;/D&gt;&lt;D xsi:type="xsd:double"&gt;-2.7694345&lt;/D&gt;&lt;D xsi:type="xsd:double"&gt;2.2939444&lt;/D&gt;&lt;D xsi:type="xsd:double"&gt;3.670156&lt;/D&gt;&lt;D xsi:type="xsd:double"&gt;11.6125345&lt;/D&gt;&lt;D xsi:type="xsd:double"&gt;1.9243598&lt;/D&gt;&lt;/FQL&gt;&lt;FQL&gt;&lt;Q&gt;KSA^FG_TOTAL_RETURNC(-10AY,0,AM)&lt;/Q&gt;&lt;R&gt;121&lt;/R&gt;&lt;C&gt;1&lt;/C&gt;&lt;D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xsi:type="xsd:double"&gt;5.2184224&lt;/D&gt;&lt;D xsi:type="xsd:double"&gt;-7.3941229999999996&lt;/D&gt;&lt;D xsi:type="xsd:double"&gt;-0.30568838&lt;/D&gt;&lt;D xsi:type="xsd:double"&gt;-16.894896&lt;/D&gt;&lt;D xsi:type="xsd:double"&gt;1.8454671&lt;/D&gt;&lt;D xsi:type="xsd:double"&gt;10.147381&lt;/D&gt;&lt;D xsi:type="xsd:double"&gt;0.10967255&lt;/D&gt;&lt;D xsi:type="xsd:double"&gt;7.055223&lt;/D&gt;&lt;D xsi:type="xsd:double"&gt;-2.0880044&lt;/D&gt;&lt;D xsi:type="xsd:double"&gt;0.3751278&lt;/D&gt;&lt;D xsi:type="xsd:double"&gt;-5.8057365&lt;/D&gt;&lt;D xsi:type="xsd:double"&gt;-2.2593737&lt;/D&gt;&lt;D xsi:type="xsd:double"&gt;-6.911695&lt;/D&gt;&lt;D xsi:type="xsd:double"&gt;17.655827&lt;/D&gt;&lt;D xsi:type="xsd:double"&gt;7.555926&lt;/D&gt;&lt;D xsi:type="xsd:double"&gt;-4.42034&lt;/D&gt;&lt;D xsi:type="xsd:double"&gt;4.7672033&lt;/D&gt;&lt;D xsi:type="xsd:double"&gt;-2.7208984&lt;/D&gt;&lt;D xsi:type="xsd:double"&gt;2.0572424&lt;/D&gt;&lt;D xsi:type="xsd:double"&gt;-0.38816333&lt;/D&gt;&lt;D xsi:type="xsd:double"&gt;-1.2014389&lt;/D&gt;&lt;D xsi:type="xsd:double"&gt;7.2223186&lt;/D&gt;&lt;D xsi:type="xsd:double"&gt;-2.0374298&lt;/D&gt;&lt;D xsi:type="xsd:double"&gt;3.1325817&lt;/D&gt;&lt;D xsi:type="xsd:double"&gt;-5.557662&lt;/D&gt;&lt;D xsi:type="xsd:double"&gt;1.5612483&lt;/D&gt;&lt;D xsi:type="xsd:double"&gt;1.6160846&lt;/D&gt;&lt;D xsi:type="xsd:double"&gt;7.680297&lt;/D&gt;&lt;D xsi:type="xsd:double"&gt;0.5476475&lt;/D&gt;&lt;D xsi:type="xsd:double"&gt;3.4858346&lt;/D&gt;&lt;D xsi:type="xsd:double"&gt;8.421051&lt;/D&gt;&lt;D xsi:type="xsd:double"&gt;-2.7184486&lt;/D&gt;&lt;D xsi:type="xsd:double"&gt;1.9960046&lt;/D&gt;&lt;D xsi:type="xsd:double"&gt;3.0679703&lt;/D&gt;&lt;D xsi:type="xsd:double"&gt;-5.9405923&lt;/D&gt;&lt;D xsi:type="xsd:double"&gt;-3.4974575&lt;/D&gt;&lt;D xsi:type="xsd:double"&gt;-0.95003843&lt;/D&gt;&lt;D xsi:type="xsd:double"&gt;1.811719&lt;/D&gt;&lt;D xsi:type="xsd:double"&gt;3.360045&lt;/D&gt;&lt;D xsi:type="xsd:double"&gt;9.8355055&lt;/D&gt;&lt;D xsi:type="xsd:double"&gt;0.9984374&lt;/D&gt;&lt;D xsi:type="xsd:double"&gt;-0.12356043&lt;/D&gt;&lt;D xsi:type="xsd:double"&gt;7.949269&lt;/D&gt;&lt;D xsi:type="xsd:double"&gt;-6.5902653&lt;/D&gt;&lt;D xsi:type="xsd:double"&gt;5.9316754&lt;/D&gt;&lt;D xsi:type="xsd:double"&gt;-0.788784&lt;/D&gt;&lt;D xsi:type="xsd:double"&gt;-5.24146&lt;/D&gt;&lt;D xsi:type="xsd:double"&gt;-8.5767565&lt;/D&gt;&lt;D xsi:type="xsd:double"&gt;-2.5832772&lt;/D&gt;&lt;D xsi:type="xsd:double"&gt;5.5477977&lt;/D&gt;&lt;D xsi:type="xsd:double"&gt;1.9270539&lt;/D&gt;&lt;D xsi:type="xsd:double"&gt;2.856207&lt;/D&gt;&lt;D xsi:type="xsd:double"&gt;-8.330673&lt;/D&gt;&lt;D xsi:type="xsd:double"&gt;-24.2688&lt;/D&gt;&lt;D xsi:type="xsd:double"&gt;12.183905&lt;/D&gt;&lt;D xsi:type="xsd:double"&gt;6.0655713&lt;/D&gt;&lt;D xsi:type="xsd:double"&gt;5.503273&lt;/D&gt;&lt;D xsi:type="xsd:double"&gt;1.1173129&lt;/D&gt;&lt;D xsi:type="xsd:double"&gt;4.935539&lt;/D&gt;&lt;D xsi:type="xsd:double"&gt;4.808712&lt;/D&gt;&lt;D xsi:type="xsd:double"&gt;3.1480193&lt;/D&gt;&lt;D xsi:type="xsd:double"&gt;-0.25973916&lt;/D&gt;&lt;D xsi:type="xsd:double"&gt;2.296996&lt;/D&gt;&lt;D xsi:type="xsd:double"&gt;2.0427704&lt;/D&gt;&lt;D xsi:type="xsd:double"&gt;1.3450146&lt;/D&gt;&lt;D xsi:type="xsd:double"&gt;5.1543117&lt;/D&gt;&lt;D xsi:type="xsd:double"&gt;7.4552417&lt;/D&gt;&lt;D xsi:type="xsd:double"&gt;4.452336&lt;/D&gt;&lt;D xsi:type="xsd:double"&gt;2.5795102&lt;/D&gt;&lt;D xsi:type="xsd:double"&gt;0.4889369&lt;/D&gt;&lt;D xsi:type="xsd:double"&gt;5.09603&lt;/D&gt;&lt;D xsi:type="xsd:double"&gt;1.5838146&lt;/D&gt;&lt;D xsi:type="xsd:double"&gt;3.7179232&lt;/D&gt;&lt;D xsi:type="xsd:double"&gt;-0.32378435&lt;/D&gt;&lt;D xsi:type="xsd:double"&gt;-4.727954&lt;/D&gt;&lt;D xsi:type="xsd:double"&gt;9.215713&lt;/D&gt;&lt;D xsi:type="xsd:double"&gt;2.515161&lt;/D&gt;&lt;D xsi:type="xsd:double"&gt;3.3954024&lt;/D&gt;&lt;D xsi:type="xsd:double"&gt;8.093214&lt;/D&gt;&lt;D xsi:type="xsd:double"&gt;-10.976094&lt;/D&gt;&lt;D xsi:type="xsd:double"&gt;-6.071419&lt;/D&gt;&lt;D xsi:type="xsd:double"&gt;-1.9834697&lt;/D&gt;&lt;D xsi:type="xsd:double"&gt;10.3107815&lt;/D&gt;&lt;D xsi:type="xsd:double"&gt;-6.7700443&lt;/D&gt;&lt;D xsi:type="xsd:double"&gt;0.96040964&lt;/D&gt;&lt;D xsi:type="xsd:double"&gt;-5.75406&lt;/D&gt;&lt;D xsi:type="xsd:double"&gt;-8.23254&lt;/D&gt;&lt;D xsi:type="xsd:double"&gt;4.1485906&lt;/D&gt;&lt;D xsi:type="xsd:double"&gt;-1.1976004&lt;/D&gt;&lt;D xsi:type="xsd:double"&gt;-5.0592957&lt;/D&gt;&lt;D xsi:type="xsd:double"&gt;12.628376&lt;/D&gt;&lt;D xsi:type="xsd:double"&gt;2.2917628&lt;/D&gt;&lt;D xsi:type="xsd:double"&gt;2.1868825&lt;/D&gt;&lt;D xsi:type="xsd:double"&gt;1.0019183&lt;/D&gt;&lt;D xsi:type="xsd:double"&gt;-4.08597&lt;/D&gt;&lt;D xsi:type="xsd:double"&gt;-3.3735514&lt;/D&gt;&lt;D xsi:type="xsd:double"&gt;-4.001027&lt;/D&gt;&lt;D xsi:type="xsd:double"&gt;5.3889155&lt;/D&gt;&lt;D xsi:type="xsd:double"&gt;5.3652406&lt;/D&gt;&lt;D xsi:type="xsd:double"&gt;2.054131&lt;/D&gt;&lt;D xsi:type="xsd:double"&gt;5.767858&lt;/D&gt;&lt;D xsi:type="xsd:double"&gt;0.44882298&lt;/D&gt;&lt;D xsi:type="xsd:double"&gt;-2.9713988&lt;/D&gt;&lt;/FQL&gt;&lt;FQL&gt;&lt;Q&gt;ECH^FMA_PE(NTMA,-10AY,0,AM,"PORTAGG","MEANR")&lt;/Q&gt;&lt;R&gt;121&lt;/R&gt;&lt;C&gt;1&lt;/C&gt;&lt;D xsi:type="xsd:double"&gt;14.0624107082249&lt;/D&gt;&lt;D xsi:type="xsd:double"&gt;14.4315604402357&lt;/D&gt;&lt;D xsi:type="xsd:double"&gt;14.1729553248972&lt;/D&gt;&lt;D xsi:type="xsd:double"&gt;14.7368644850797&lt;/D&gt;&lt;D xsi:type="xsd:double"&gt;14.6757310797583&lt;/D&gt;&lt;D xsi:type="xsd:double"&gt;14.7092577356364&lt;/D&gt;&lt;D xsi:type="xsd:double"&gt;13.5806858426752&lt;/D&gt;&lt;D xsi:type="xsd:double"&gt;14.3324038033191&lt;/D&gt;&lt;D xsi:type="xsd:double"&gt;13.5648685308361&lt;/D&gt;&lt;D xsi:type="xsd:double"&gt;12.5753230334163&lt;/D&gt;&lt;D xsi:type="xsd:double"&gt;13.4946739982323&lt;/D&gt;&lt;D xsi:type="xsd:double"&gt;13.1240327384588&lt;/D&gt;&lt;D xsi:type="xsd:double"&gt;13.8677396297691&lt;/D&gt;&lt;D xsi:type="xsd:double"&gt;14.3740323849163&lt;/D&gt;&lt;D xsi:type="xsd:double"&gt;13.6590711444061&lt;/D&gt;&lt;D xsi:type="xsd:double"&gt;12.7734638523555&lt;/D&gt;&lt;D xsi:type="xsd:double"&gt;12.549952397211&lt;/D&gt;&lt;D xsi:type="xsd:double"&gt;12.6526238545568&lt;/D&gt;&lt;D xsi:type="xsd:double"&gt;12.7583820365659&lt;/D&gt;&lt;D xsi:type="xsd:double"&gt;13.4464858613167&lt;/D&gt;&lt;D xsi:type="xsd:double"&gt;12.4852486540555&lt;/D&gt;&lt;D xsi:type="xsd:double"&gt;11.5708546926815&lt;/D&gt;&lt;D xsi:type="xsd:double"&gt;12.5247859704169&lt;/D&gt;&lt;D xsi:type="xsd:double"&gt;13.1840699894881&lt;/D&gt;&lt;D xsi:type="xsd:double"&gt;13.4789971039577&lt;/D&gt;&lt;D xsi:type="xsd:double"&gt;13.5044981275088&lt;/D&gt;&lt;D xsi:type="xsd:double"&gt;13.7099739363254&lt;/D&gt;&lt;D xsi:type="xsd:double"&gt;15.1912682627384&lt;/D&gt;&lt;D xsi:type="xsd:double"&gt;15.7353417373858&lt;/D&gt;&lt;D xsi:type="xsd:double"&gt;15.2471023593929&lt;/D&gt;&lt;D xsi:type="xsd:double"&gt;16.2675167807037&lt;/D&gt;&lt;D xsi:type="xsd:double"&gt;15.9548406205033&lt;/D&gt;&lt;D xsi:type="xsd:double"&gt;15.665080684367&lt;/D&gt;&lt;D xsi:type="xsd:double"&gt;15.7231287139116&lt;/D&gt;&lt;D xsi:type="xsd:double"&gt;16.069168147163&lt;/D&gt;&lt;D xsi:type="xsd:double"&gt;16.5051958985177&lt;/D&gt;&lt;D xsi:type="xsd:double"&gt;17.2643807206286&lt;/D&gt;&lt;D xsi:type="xsd:double"&gt;16.9717524997709&lt;/D&gt;&lt;D xsi:type="xsd:double"&gt;16.9358473728911&lt;/D&gt;&lt;D xsi:type="xsd:double"&gt;17.708171513311&lt;/D&gt;&lt;D xsi:type="xsd:double"&gt;18.1174249178087&lt;/D&gt;&lt;D xsi:type="xsd:double"&gt;18.9143259398957&lt;/D&gt;&lt;D xsi:type="xsd:double"&gt;15.4240940498251&lt;/D&gt;&lt;D xsi:type="xsd:double"&gt;14.0315338900356&lt;/D&gt;&lt;D xsi:type="xsd:double"&gt;14.3214740086263&lt;/D&gt;&lt;D xsi:type="xsd:double"&gt;14.7267239125528&lt;/D&gt;&lt;D xsi:type="xsd:double"&gt;14.231952067522&lt;/D&gt;&lt;D xsi:type="xsd:double"&gt;14.0159084480462&lt;/D&gt;&lt;D xsi:type="xsd:double"&gt;14.031632494044&lt;/D&gt;&lt;D xsi:type="xsd:double"&gt;13.179023948407&lt;/D&gt;&lt;D xsi:type="xsd:double"&gt;11.9477789154742&lt;/D&gt;&lt;D xsi:type="xsd:double"&gt;11.7160089387129&lt;/D&gt;&lt;D xsi:type="xsd:double"&gt;11.6411822874633&lt;/D&gt;&lt;D xsi:type="xsd:double"&gt;11.879896369914&lt;/D&gt;&lt;D xsi:type="xsd:double"&gt;15.0891572795646&lt;/D&gt;&lt;D xsi:type="xsd:double"&gt;15.2078565517234&lt;/D&gt;&lt;D xsi:type="xsd:double"&gt;14.5626285834608&lt;/D&gt;&lt;D xsi:type="xsd:double"&gt;15.772756421814&lt;/D&gt;&lt;D xsi:type="xsd:double"&gt;15.77368507374&lt;/D&gt;&lt;D xsi:type="xsd:double"&gt;15.4144729532977&lt;/D&gt;&lt;D xsi:type="xsd:double"&gt;14.9971785616152&lt;/D&gt;&lt;D xsi:type="xsd:double"&gt;14.0430244522927&lt;/D&gt;&lt;D xsi:type="xsd:double"&gt;14.6745045415664&lt;/D&gt;&lt;D xsi:type="xsd:double"&gt;15.0631653242987&lt;/D&gt;&lt;D xsi:type="xsd:double"&gt;13.7387071413672&lt;/D&gt;&lt;D xsi:type="xsd:double"&gt;15.106822893228&lt;/D&gt;&lt;D xsi:type="xsd:double"&gt;15.6493848416974&lt;/D&gt;&lt;D xsi:type="xsd:double"&gt;14.2837321796005&lt;/D&gt;&lt;D xsi:type="xsd:double"&gt;13.5247965451696&lt;/D&gt;&lt;D xsi:type="xsd:double"&gt;13.985696638624&lt;/D&gt;&lt;D xsi:type="xsd:double"&gt;12.8376666811399&lt;/D&gt;&lt;D xsi:type="xsd:double"&gt;8.07770825233573&lt;/D&gt;&lt;D xsi:type="xsd:double"&gt;11.1543327223632&lt;/D&gt;&lt;D xsi:type="xsd:double"&gt;12.7918938090895&lt;/D&gt;&lt;D xsi:type="xsd:double"&gt;14.61390291739&lt;/D&gt;&lt;D xsi:type="xsd:double"&gt;14.8657337919573&lt;/D&gt;&lt;D xsi:type="xsd:double"&gt;16.1326994043871&lt;/D&gt;&lt;D xsi:type="xsd:double"&gt;14.4088126228677&lt;/D&gt;&lt;D xsi:type="xsd:double"&gt;13.8335592185958&lt;/D&gt;&lt;D xsi:type="xsd:double"&gt;15.027036966723&lt;/D&gt;&lt;D xsi:type="xsd:double"&gt;14.0874692973831&lt;/D&gt;&lt;D xsi:type="xsd:double"&gt;14.8309117520521&lt;/D&gt;&lt;D xsi:type="xsd:double"&gt;14.2908470845805&lt;/D&gt;&lt;D xsi:type="xsd:double"&gt;14.8736888382889&lt;/D&gt;&lt;D xsi:type="xsd:double"&gt;14.0510490757204&lt;/D&gt;&lt;D xsi:type="xsd:double"&gt;11.2960809286855&lt;/D&gt;&lt;D xsi:type="xsd:double"&gt;11.2624654593054&lt;/D&gt;&lt;D xsi:type="xsd:double"&gt;10.4340183518187&lt;/D&gt;&lt;D xsi:type="xsd:double"&gt;10.0973430180057&lt;/D&gt;&lt;D xsi:type="xsd:double"&gt;10.2725741032038&lt;/D&gt;&lt;D xsi:type="xsd:double"&gt;9.0954076649781&lt;/D&gt;&lt;D xsi:type="xsd:double"&gt;9.23009802288402&lt;/D&gt;&lt;D xsi:type="xsd:double"&gt;9.60686458241963&lt;/D&gt;&lt;D xsi:type="xsd:double"&gt;9.78243351988637&lt;/D&gt;&lt;D xsi:type="xsd:double"&gt;9.95924066758368&lt;/D&gt;&lt;D xsi:type="xsd:double"&gt;9.62064818604996&lt;/D&gt;&lt;D xsi:type="xsd:double"&gt;9.44340045447787&lt;/D&gt;&lt;D xsi:type="xsd:double"&gt;8.75787508739877&lt;/D&gt;&lt;D xsi:type="xsd:double"&gt;6.63906692565228&lt;/D&gt;&lt;D xsi:type="xsd:double"&gt;6.43843546475367&lt;/D&gt;&lt;D xsi:type="xsd:double"&gt;6.60406525068514&lt;/D&gt;&lt;D xsi:type="xsd:double"&gt;7.62810625464401&lt;/D&gt;&lt;D xsi:type="xsd:double"&gt;7.20926019392661&lt;/D&gt;&lt;D xsi:type="xsd:double"&gt;6.88607125172042&lt;/D&gt;&lt;D xsi:type="xsd:double"&gt;7.16176081338901&lt;/D&gt;&lt;D xsi:type="xsd:double"&gt;7.39866750122351&lt;/D&gt;&lt;D xsi:type="xsd:double"&gt;7.85729771491957&lt;/D&gt;&lt;D xsi:type="xsd:double"&gt;7.29014181484758&lt;/D&gt;&lt;D xsi:type="xsd:double"&gt;7.95078508944087&lt;/D&gt;&lt;D xsi:type="xsd:double"&gt;8.56822463403541&lt;/D&gt;&lt;D xsi:type="xsd:double"&gt;8.41598841314718&lt;/D&gt;&lt;D xsi:type="xsd:double"&gt;9.36834639398839&lt;/D&gt;&lt;D xsi:type="xsd:double"&gt;9.11325739100135&lt;/D&gt;&lt;D xsi:type="xsd:double"&gt;8.87816777435287&lt;/D&gt;&lt;D xsi:type="xsd:double"&gt;8.66883365867688&lt;/D&gt;&lt;D xsi:type="xsd:double"&gt;8.75214280367809&lt;/D&gt;&lt;D xsi:type="xsd:double"&gt;8.01900984469146&lt;/D&gt;&lt;D xsi:type="xsd:double"&gt;7.83760502529935&lt;/D&gt;&lt;D xsi:type="xsd:double"&gt;8.39300660765718&lt;/D&gt;&lt;D xsi:type="xsd:double"&gt;8.08673504800561&lt;/D&gt;&lt;D xsi:type="xsd:double"&gt;7.82077409873814&lt;/D&gt;&lt;/FQL&gt;&lt;FQL&gt;&lt;Q&gt;EPOL^FMA_PE(LTMA,-10AY,0,AM,"PORTAGG","MEANR")&lt;/Q&gt;&lt;R&gt;121&lt;/R&gt;&lt;C&gt;1&lt;/C&gt;&lt;D xsi:type="xsd:double"&gt;15.3738677151321&lt;/D&gt;&lt;D xsi:type="xsd:double"&gt;15.1494664353304&lt;/D&gt;&lt;D xsi:type="xsd:double"&gt;15.1404994798733&lt;/D&gt;&lt;D xsi:type="xsd:double"&gt;14.7440601397061&lt;/D&gt;&lt;D xsi:type="xsd:double"&gt;14.7951493025793&lt;/D&gt;&lt;D xsi:type="xsd:double"&gt;14.7725563406913&lt;/D&gt;&lt;D xsi:type="xsd:double"&gt;14.5057026845708&lt;/D&gt;&lt;D xsi:type="xsd:double"&gt;14.6404699491832&lt;/D&gt;&lt;D xsi:type="xsd:double"&gt;14.4604280099274&lt;/D&gt;&lt;D xsi:type="xsd:double"&gt;14.0318595025236&lt;/D&gt;&lt;D xsi:type="xsd:double"&gt;18.9828089337995&lt;/D&gt;&lt;D xsi:type="xsd:double"&gt;20.0323406363527&lt;/D&gt;&lt;D xsi:type="xsd:double"&gt;19.7432817296314&lt;/D&gt;&lt;D xsi:type="xsd:double"&gt;19.1343879662616&lt;/D&gt;&lt;D xsi:type="xsd:double"&gt;17.9253949471129&lt;/D&gt;&lt;D xsi:type="xsd:double"&gt;17.1758147819495&lt;/D&gt;&lt;D xsi:type="xsd:double"&gt;15.8097867762427&lt;/D&gt;&lt;D xsi:type="xsd:double"&gt;14.8753615244983&lt;/D&gt;&lt;D xsi:type="xsd:double"&gt;14.1252954275917&lt;/D&gt;&lt;D xsi:type="xsd:double"&gt;12.815834996237&lt;/D&gt;&lt;D xsi:type="xsd:double"&gt;11.2675641346133&lt;/D&gt;&lt;D xsi:type="xsd:double"&gt;10.7877067356077&lt;/D&gt;&lt;D xsi:type="xsd:dou</t>
        </r>
      </text>
    </comment>
    <comment ref="A11" authorId="0" shapeId="0" xr:uid="{C6CCDC08-BD1A-4E25-ACF9-16BD94A0E0C7}">
      <text>
        <r>
          <rPr>
            <b/>
            <sz val="9"/>
            <color indexed="81"/>
            <rFont val="Tahoma"/>
            <charset val="1"/>
          </rPr>
          <t>ble"&gt;12.2791758269036&lt;/D&gt;&lt;D xsi:type="xsd:double"&gt;12.3798005198921&lt;/D&gt;&lt;D xsi:type="xsd:double"&gt;12.4233096416872&lt;/D&gt;&lt;D xsi:type="xsd:double"&gt;12.106099370849&lt;/D&gt;&lt;D xsi:type="xsd:double"&gt;11.8986176069343&lt;/D&gt;&lt;D xsi:type="xsd:double"&gt;11.8775747926438&lt;/D&gt;&lt;D xsi:type="xsd:double"&gt;12.2997343596111&lt;/D&gt;&lt;D xsi:type="xsd:double"&gt;12.0635401507329&lt;/D&gt;&lt;D xsi:type="xsd:double"&gt;12.2786060855263&lt;/D&gt;&lt;D xsi:type="xsd:double"&gt;12.2078972960465&lt;/D&gt;&lt;D xsi:type="xsd:double"&gt;13.392399354748&lt;/D&gt;&lt;D xsi:type="xsd:double"&gt;14.0433179619547&lt;/D&gt;&lt;D xsi:type="xsd:double"&gt;16.1424623478321&lt;/D&gt;&lt;D xsi:type="xsd:double"&gt;15.6670629879934&lt;/D&gt;&lt;D xsi:type="xsd:double"&gt;15.2711512784579&lt;/D&gt;&lt;D xsi:type="xsd:double"&gt;14.9485621580888&lt;/D&gt;&lt;D xsi:type="xsd:double"&gt;14.6889004363188&lt;/D&gt;&lt;D xsi:type="xsd:double"&gt;14.5309858969526&lt;/D&gt;&lt;D xsi:type="xsd:double"&gt;14.2504415432464&lt;/D&gt;&lt;D xsi:type="xsd:double"&gt;13.988813260179&lt;/D&gt;&lt;D xsi:type="xsd:double"&gt;13.4816744360141&lt;/D&gt;&lt;D xsi:type="xsd:double"&gt;12.7757892650921&lt;/D&gt;&lt;D xsi:type="xsd:double"&gt;12.5100769323393&lt;/D&gt;&lt;D xsi:type="xsd:double"&gt;12.9640233750619&lt;/D&gt;&lt;D xsi:type="xsd:double"&gt;12.1607282606849&lt;/D&gt;&lt;D xsi:type="xsd:double"&gt;11.7036885717726&lt;/D&gt;&lt;D xsi:type="xsd:double"&gt;11.8107033717356&lt;/D&gt;&lt;D xsi:type="xsd:double"&gt;11.6816643333133&lt;/D&gt;&lt;D xsi:type="xsd:double"&gt;11.3934300275038&lt;/D&gt;&lt;D xsi:type="xsd:double"&gt;11.3109498051074&lt;/D&gt;&lt;D xsi:type="xsd:double"&gt;11.5214622393347&lt;/D&gt;&lt;D xsi:type="xsd:double"&gt;11.340484806679&lt;/D&gt;&lt;D xsi:type="xsd:double"&gt;11.2557641252701&lt;/D&gt;&lt;D xsi:type="xsd:double"&gt;11.0947908035956&lt;/D&gt;&lt;D xsi:type="xsd:double"&gt;11.6478096778056&lt;/D&gt;&lt;D xsi:type="xsd:double"&gt;11.7723150218439&lt;/D&gt;&lt;D xsi:type="xsd:double"&gt;11.5350907234721&lt;/D&gt;&lt;D xsi:type="xsd:double"&gt;11.6123619427999&lt;/D&gt;&lt;D xsi:type="xsd:double"&gt;11.6595359848644&lt;/D&gt;&lt;D xsi:type="xsd:double"&gt;11.3150919460141&lt;/D&gt;&lt;D xsi:type="xsd:double"&gt;11.5196022661449&lt;/D&gt;&lt;D xsi:type="xsd:double"&gt;11.5593951438519&lt;/D&gt;&lt;D xsi:type="xsd:double"&gt;10.77811076678&lt;/D&gt;&lt;D xsi:type="xsd:double"&gt;11.1246334516006&lt;/D&gt;&lt;D xsi:type="xsd:double"&gt;10.9181833431578&lt;/D&gt;&lt;D xsi:type="xsd:double"&gt;11.0725203643015&lt;/D&gt;&lt;D xsi:type="xsd:double"&gt;10.9094537294523&lt;/D&gt;&lt;D xsi:type="xsd:double"&gt;11.1894287380336&lt;/D&gt;&lt;D xsi:type="xsd:double"&gt;11.4004230710963&lt;/D&gt;&lt;D xsi:type="xsd:double"&gt;9.36016113723187&lt;/D&gt;&lt;D xsi:type="xsd:double"&gt;10.2350026753189&lt;/D&gt;&lt;D xsi:type="xsd:double"&gt;11.1144429160294&lt;/D&gt;&lt;D xsi:type="xsd:double"&gt;12.1090588828365&lt;/D&gt;&lt;D xsi:type="xsd:double"&gt;11.8939321850208&lt;/D&gt;&lt;D xsi:type="xsd:double"&gt;12.6442632193568&lt;/D&gt;&lt;D xsi:type="xsd:double"&gt;12.7143026648075&lt;/D&gt;&lt;D xsi:type="xsd:double"&gt;14.1949215565114&lt;/D&gt;&lt;D xsi:type="xsd:double"&gt;19.3839348441084&lt;/D&gt;&lt;D xsi:type="xsd:double"&gt;21.5571758343837&lt;/D&gt;&lt;D xsi:type="xsd:double"&gt;22.4293400423986&lt;/D&gt;&lt;D xsi:type="xsd:double"&gt;15.641020874923&lt;/D&gt;&lt;D xsi:type="xsd:double"&gt;16.8773660832187&lt;/D&gt;&lt;D xsi:type="xsd:double"&gt;16.4644113474912&lt;/D&gt;&lt;D xsi:type="xsd:double"&gt;16.3682654179499&lt;/D&gt;&lt;D xsi:type="xsd:double"&gt;15.7154821385463&lt;/D&gt;&lt;D xsi:type="xsd:double"&gt;15.0065413019328&lt;/D&gt;&lt;D xsi:type="xsd:double"&gt;14.329951279802&lt;/D&gt;&lt;D xsi:type="xsd:double"&gt;13.7604588717401&lt;/D&gt;&lt;D xsi:type="xsd:double"&gt;14.0625973561539&lt;/D&gt;&lt;D xsi:type="xsd:double"&gt;12.7848533301028&lt;/D&gt;&lt;D xsi:type="xsd:double"&gt;10.5524461947448&lt;/D&gt;&lt;D xsi:type="xsd:double"&gt;10.8459262463175&lt;/D&gt;&lt;D xsi:type="xsd:double"&gt;10.4758951834874&lt;/D&gt;&lt;D xsi:type="xsd:double"&gt;9.7964613138585&lt;/D&gt;&lt;D xsi:type="xsd:double"&gt;9.50915908926977&lt;/D&gt;&lt;D xsi:type="xsd:double"&gt;8.74886628337571&lt;/D&gt;&lt;D xsi:type="xsd:double"&gt;8.20732248477052&lt;/D&gt;&lt;D xsi:type="xsd:double"&gt;7.312033016252&lt;/D&gt;&lt;D xsi:type="xsd:double"&gt;7.08573670676653&lt;/D&gt;&lt;D xsi:type="xsd:double"&gt;6.55154302725268&lt;/D&gt;&lt;D xsi:type="xsd:double"&gt;6.55419829489173&lt;/D&gt;&lt;D xsi:type="xsd:double"&gt;6.1609067321499&lt;/D&gt;&lt;D xsi:type="xsd:double"&gt;5.91960777994779&lt;/D&gt;&lt;D xsi:type="xsd:double"&gt;6.26734025738143&lt;/D&gt;&lt;D xsi:type="xsd:double"&gt;5.48617661069264&lt;/D&gt;&lt;D xsi:type="xsd:double"&gt;5.94859963770654&lt;/D&gt;&lt;D xsi:type="xsd:double"&gt;6.09570178178832&lt;/D&gt;&lt;D xsi:type="xsd:double"&gt;6.18593214485799&lt;/D&gt;&lt;D xsi:type="xsd:double"&gt;6.63442344465798&lt;/D&gt;&lt;D xsi:type="xsd:double"&gt;6.64980798372715&lt;/D&gt;&lt;D xsi:type="xsd:double"&gt;6.75559748748255&lt;/D&gt;&lt;D xsi:type="xsd:double"&gt;6.90632644442838&lt;/D&gt;&lt;D xsi:type="xsd:double"&gt;7.47585870625319&lt;/D&gt;&lt;D xsi:type="xsd:double"&gt;7.4905205231439&lt;/D&gt;&lt;D xsi:type="xsd:double"&gt;9.57719681622213&lt;/D&gt;&lt;D xsi:type="xsd:double"&gt;8.39732587182279&lt;/D&gt;&lt;D xsi:type="xsd:double"&gt;9.02463424395756&lt;/D&gt;&lt;D xsi:type="xsd:double"&gt;8.96081581882046&lt;/D&gt;&lt;D xsi:type="xsd:double"&gt;8.80776627216549&lt;/D&gt;&lt;/FQL&gt;&lt;FQL&gt;&lt;Q&gt;WL-FDS^FG_PRICE_CHANGE(0,-1AM)&lt;/Q&gt;&lt;R&gt;1&lt;/R&gt;&lt;C&gt;1&lt;/C&gt;&lt;D xsi:type="xsd:double"&gt;-9.41082802547771&lt;/D&gt;&lt;/FQL&gt;&lt;FQL&gt;&lt;Q&gt;PLATI-FDS^FG_PRICE_CHANGE(0,-1AY)&lt;/Q&gt;&lt;R&gt;1&lt;/R&gt;&lt;C&gt;1&lt;/C&gt;&lt;D xsi:type="xsd:double"&gt;-12.5&lt;/D&gt;&lt;/FQL&gt;&lt;FQL&gt;&lt;Q&gt;W-FDS^FG_PRICE_CHANGE(0,-1AM)&lt;/Q&gt;&lt;R&gt;1&lt;/R&gt;&lt;C&gt;1&lt;/C&gt;&lt;D xsi:type="xsd:double"&gt;-1.10548134500231&lt;/D&gt;&lt;/FQL&gt;&lt;FQL&gt;&lt;Q&gt;SET-BKK^FG_PRICE_MAVG(0,,,,60)&lt;/Q&gt;&lt;R&gt;1&lt;/R&gt;&lt;C&gt;1&lt;/C&gt;&lt;D xsi:type="xsd:double"&gt;1380.9585&lt;/D&gt;&lt;/FQL&gt;&lt;FQL&gt;&lt;Q&gt;EWT^FG_PRICE_MAVG(0,,,,200)&lt;/Q&gt;&lt;R&gt;1&lt;/R&gt;&lt;C&gt;1&lt;/C&gt;&lt;D xsi:type="xsd:double"&gt;46.44&lt;/D&gt;&lt;/FQL&gt;&lt;FQL&gt;&lt;Q&gt;KSA^FG_TOTAL_RETURNC(0,-6AM)&lt;/Q&gt;&lt;R&gt;1&lt;/R&gt;&lt;C&gt;1&lt;/C&gt;&lt;D xsi:type="xsd:double"&gt;16.821087&lt;/D&gt;&lt;/FQL&gt;&lt;FQL&gt;&lt;Q&gt;GREK^P_PRICE(0)/P_PRICE_HIGH_PR(0,,,,,,"PRICE","INTRA","52W")&lt;/Q&gt;&lt;R&gt;1&lt;/R&gt;&lt;C&gt;1&lt;/C&gt;&lt;D xsi:type="xsd:double"&gt;0.93513125&lt;/D&gt;&lt;/FQL&gt;&lt;FQL&gt;&lt;Q&gt;EWZ^P_PRICE(0)/P_PRICE_HIGH_PR(0,,,,,,"PRICE","INTRA","52W")&lt;/Q&gt;&lt;R&gt;1&lt;/R&gt;&lt;C&gt;1&lt;/C&gt;&lt;D xsi:type="xsd:double"&gt;0.8424734&lt;/D&gt;&lt;/FQL&gt;&lt;FQL&gt;&lt;Q&gt;EIDO^FG_TOTAL_RETURNC(0,-12AM)&lt;/Q&gt;&lt;R&gt;1&lt;/R&gt;&lt;C&gt;1&lt;/C&gt;&lt;D xsi:type="xsd:double"&gt;-10.360694&lt;/D&gt;&lt;/FQL&gt;&lt;FQL&gt;&lt;Q&gt;URTH^P_PRICE(0)/P_PRICE_LOW_PR(0,,,,,,"PRICE","INTRA","52W")-1&lt;/Q&gt;&lt;R&gt;1&lt;/R&gt;&lt;C&gt;1&lt;/C&gt;&lt;D xsi:type="xsd:double"&gt;0.20409763&lt;/D&gt;&lt;/FQL&gt;&lt;FQL&gt;&lt;Q&gt;URTH^FMA_COS_UP("EPS","1M",+1,NOW,,,"PORTAGG","MEANR")&lt;/Q&gt;&lt;R&gt;1&lt;/R&gt;&lt;C&gt;1&lt;/C&gt;&lt;D xsi:type="xsd:double"&gt;577&lt;/D&gt;&lt;/FQL&gt;&lt;FQL&gt;&lt;Q&gt;SET-BKK^SIZE(FG_CONSTITUENTS)&lt;/Q&gt;&lt;R&gt;1&lt;/R&gt;&lt;C&gt;1&lt;/C&gt;&lt;D xsi:type="xsd:long"&gt;1&lt;/D&gt;&lt;/FQL&gt;&lt;FQL&gt;&lt;Q&gt;EPU^FMA_COS_UP("EPS","1M",+1,NOW,,,"PORTAGG","MEANR")&lt;/Q&gt;&lt;R&gt;1&lt;/R&gt;&lt;C&gt;1&lt;/C&gt;&lt;D xsi:type="xsd:double"&gt;6&lt;/D&gt;&lt;/FQL&gt;&lt;FQL&gt;&lt;Q&gt;ECH^FMA_RBICS_REV_CURRENT(30, LOC, "PORTAGG")&lt;/Q&gt;&lt;R&gt;1&lt;/R&gt;&lt;C&gt;1&lt;/C&gt;&lt;D xsi:type="xsd:double"&gt;31.8032529247924&lt;/D&gt;&lt;/FQL&gt;&lt;FQL&gt;&lt;Q&gt;EPU^FG_ROE(0)&lt;/Q&gt;&lt;R&gt;1&lt;/R&gt;&lt;C&gt;1&lt;/C&gt;&lt;D xsi:type="xsd:double"&gt;9.79876362772851&lt;/D&gt;&lt;/FQL&gt;&lt;FQL&gt;&lt;Q&gt;TRYKR10Y-FDS^FG_YIELD_NAME&lt;/Q&gt;&lt;R&gt;1&lt;/R&gt;&lt;C&gt;1&lt;/C&gt;&lt;D xsi:type="xsd:string"&gt;South Korea Benchmark Bond - 10 Year&lt;/D&gt;&lt;/FQL&gt;&lt;FQL&gt;&lt;Q&gt;REFAEREPO-FDS^FG_YIELD(NOW,,,0)&lt;/Q&gt;&lt;R&gt;1&lt;/R&gt;&lt;C&gt;1&lt;/C&gt;&lt;D xsi:type="xsd:double"&gt;5.4&lt;/D&gt;&lt;/FQL&gt;&lt;FQL&gt;&lt;Q&gt;REFEUREFI-FDS^(SUBARRAY(NOT_NA(NO_REPEAT_F(FG_YIELD(NOW,-10AY,D))),0,1)-SUBARRAY(NOT_NA(NO_REPEAT_F(FG_YIELD(NOW,-10AY,D))),1,1))*100&lt;/Q&gt;&lt;R&gt;1&lt;/R&gt;&lt;C&gt;1&lt;/C&gt;&lt;D xsi:type="xsd:double"&gt;25&lt;/D&gt;&lt;/FQL&gt;&lt;FQL&gt;&lt;Q&gt;REFTWDISC-FDS^PROPER_NAME(0,,,"SECURITY","NAME")&lt;/Q&gt;&lt;R&gt;1&lt;/R&gt;&lt;C&gt;1&lt;/C&gt;&lt;D xsi:type="xsd:string"&gt;Taiwan China Discount Rate&lt;/D&gt;&lt;/FQL&gt;&lt;FQL&gt;&lt;Q&gt;REFCLMPR-FDS^FG_YIELD(NOW,,,0)&lt;/Q&gt;&lt;R&gt;1&lt;/R&gt;&lt;C&gt;1&lt;/C&gt;&lt;D xsi:type="xsd:double"&gt;6.5&lt;/D&gt;&lt;/FQL&gt;&lt;FQL&gt;&lt;Q&gt;TRYCN10Y-FDS^PCTCHG(FG_YIELD(0,,,,"YTM"),FG_YIELD(-3AM,,,,"YTM"))&lt;/Q&gt;&lt;R&gt;1&lt;/R&gt;&lt;C&gt;1&lt;/C&gt;&lt;D xsi:type="xsd:double"&gt;-10.196567&lt;/D&gt;&lt;/FQL&gt;&lt;FQL&gt;&lt;Q&gt;TRYVN10Y-FDS^FG_YIELD_NAME&lt;/Q&gt;&lt;R&gt;1&lt;/R&gt;&lt;C&gt;1&lt;/C&gt;&lt;D xsi:type="xsd:string"&gt;Treasury - Vietnam Benchmark Bond 10Y&lt;/D&gt;&lt;/FQL&gt;&lt;FQL&gt;&lt;Q&gt;TRYBR10Y-FDS^FG_YIELD(0,,,,"YTM")&lt;/Q&gt;&lt;R&gt;1&lt;/R&gt;&lt;C&gt;1&lt;/C&gt;&lt;D xsi:type="xsd:double"&gt;11.734497&lt;/D&gt;&lt;/FQL&gt;&lt;FQL&gt;&lt;Q&gt;TRYID10Y-FDS^FG_YIELD_NAME&lt;/Q&gt;&lt;R&gt;1&lt;/R&gt;&lt;C&gt;1&lt;/C&gt;&lt;D xsi:type="xsd:string"&gt;Treasury - Indonesia Benchmark Bond 10Y&lt;/D&gt;&lt;/FQL&gt;&lt;FQL&gt;&lt;Q&gt;CC_MX^IMF_IFS_RCPI_Q(0)&lt;/Q&gt;&lt;R&gt;0&lt;/R&gt;&lt;C&gt;0&lt;/C&gt;&lt;/FQL&gt;&lt;FQL&gt;&lt;Q&gt;VGK^FMA_EVAL_EBITDA(NTMA,0,,,"PORTAGG","MEANR")&lt;/Q&gt;&lt;R&gt;1&lt;/R&gt;&lt;C&gt;1&lt;/C&gt;&lt;D xsi:type="xsd:double"&gt;9.08174988134934&lt;/D&gt;&lt;/FQL&gt;&lt;FQL&gt;&lt;Q&gt;VNM^FMA_PE(NTMA,0,,,"PORTAGG","MEANR")&lt;/Q&gt;&lt;R&gt;1&lt;/R&gt;&lt;C&gt;1&lt;/C&gt;&lt;D xsi:type="xsd:double"&gt;15.4065911340177&lt;/D&gt;&lt;/FQL&gt;&lt;FQL&gt;&lt;Q&gt;SET-BKK^FMA_EVAL_EBIT(LTMA,NOW,NOW,M,"PORTAGG","MEANR")&lt;/Q&gt;&lt;R&gt;1&lt;/R&gt;&lt;C&gt;1&lt;/C&gt;&lt;D xsi:type="xsd:double"&gt;19.0190058207713&lt;/D&gt;&lt;/FQL&gt;&lt;FQL&gt;&lt;Q&gt;MCHI^FMA_DIV_YLD(NTMA,NOW,NOW,M,"PORTAGG","MEANR")&lt;/Q&gt;&lt;R&gt;1&lt;/R&gt;&lt;C&gt;1&lt;/C&gt;&lt;D xsi:type="xsd:double"&gt;3.03275425005162&lt;/D&gt;&lt;/FQL&gt;&lt;FQL&gt;&lt;Q&gt;GREK^JULIAN(FMA_DIV_YLD(NTMA,NOW,NOW,M,"PORTAGG","MEANR").DATES)&lt;/Q&gt;&lt;R&gt;1&lt;/R&gt;&lt;C&gt;1&lt;/C&gt;&lt;D xsi:type="xsd:long"&gt;45379&lt;/D&gt;&lt;/FQL&gt;&lt;FQL&gt;&lt;Q&gt;CAGDPY@TR^EE_ACTUAL_ANNUAL(MED,+1)&lt;/Q&gt;&lt;R&gt;1&lt;/R&gt;&lt;C&gt;1&lt;/C&gt;&lt;D xsi:type="xsd:double"&gt;-2.8&lt;/D&gt;&lt;/FQL&gt;&lt;FQL&gt;&lt;Q&gt;USDQAR^STD(FG_PRICE_CHANGE(0,-1AY,AM))&lt;/Q&gt;&lt;R&gt;1&lt;/R&gt;&lt;C&gt;1&lt;/C&gt;&lt;D xsi:type="xsd:double"&gt;0.0158925670416409&lt;/D&gt;&lt;/FQL&gt;&lt;FQL&gt;&lt;Q&gt;USDTWD^STD(FG_PRICE_CHANGE(0,-1AY,AM))&lt;/Q&gt;&lt;R&gt;1&lt;/R&gt;&lt;C&gt;1&lt;/C&gt;&lt;D xsi:type="xsd:double"&gt;1.36019398876076&lt;/D&gt;&lt;/FQL&gt;&lt;FQL&gt;&lt;Q&gt;VNM^FMA_EPS(NTMA,-20AY,0,CY,,"PORTAGG","MEANR")&lt;/Q&gt;&lt;R&gt;20&lt;/R&gt;&lt;C&gt;1&lt;/C&gt;&lt;D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xsi:type="xsd:double"&gt;1.11601822649293&lt;/D&gt;&lt;D xsi:type="xsd:double"&gt;1.03737377793235&lt;/D&gt;&lt;D xsi:type="xsd:double"&gt;1.28884335629541&lt;/D&gt;&lt;D xsi:type="xsd:double"&gt;1.11127492950619&lt;/D&gt;&lt;D xsi:type="xsd:double"&gt;0.886057282514537&lt;/D&gt;&lt;/FQL&gt;&lt;FQL&gt;&lt;Q&gt;ECH^JULIAN(FG_TOTAL_RETURNC(-10AY,0,AM).DATES)&lt;/Q&gt;&lt;R&gt;121&lt;/R&gt;&lt;C&gt;1&lt;/C&gt;&lt;D xsi:type="xsd:long"&gt;41746&lt;/D&gt;&lt;D xsi:type="xsd:long"&gt;41775&lt;/D&gt;&lt;D xsi:type="xsd:long"&gt;41808&lt;/D&gt;&lt;D xsi:type="xsd:long"&gt;41838&lt;/D&gt;&lt;D xsi:type="xsd:long"&gt;41869&lt;/D&gt;&lt;D xsi:type="xsd:long"&gt;41900&lt;/D&gt;&lt;D xsi:type="xsd:long"&gt;41929&lt;/D&gt;&lt;D xsi:type="xsd:long"&gt;41961&lt;/D&gt;&lt;D xsi:type="xsd:long"&gt;41991&lt;/D&gt;&lt;D xsi:type="xsd:long"&gt;42020&lt;/D&gt;&lt;D xsi:type="xsd:long"&gt;42053&lt;/D&gt;&lt;D xsi:type="xsd:long"&gt;42081&lt;/D&gt;&lt;D xsi:type="xsd:long"&gt;42111&lt;/D&gt;&lt;D xsi:type="xsd:long"&gt;42142&lt;/D&gt;&lt;D xsi:type="xsd:long"&gt;42173&lt;/D&gt;&lt;D xsi:type="xsd:long"&gt;42202&lt;/D&gt;&lt;D xsi:type="xsd:long"&gt;42234&lt;/D&gt;&lt;D xsi:type="xsd:long"&gt;42265&lt;/D&gt;&lt;D xsi:type="xsd:long"&gt;42293&lt;/D&gt;&lt;D xsi:type="xsd:long"&gt;42326&lt;/D&gt;&lt;D xsi:type="xsd:long"&gt;42356&lt;/D&gt;&lt;D xsi:type="xsd:long"&gt;42384&lt;/D&gt;&lt;D xsi:type="xsd:long"&gt;42418&lt;/D&gt;&lt;D xsi:type="xsd:long"&gt;42447&lt;/D&gt;&lt;D xsi:type="xsd:long"&gt;42478&lt;/D&gt;&lt;D xsi:type="xsd:long"&gt;42508&lt;/D&gt;&lt;D xsi:type="xsd:long"&gt;42538&lt;/D&gt;&lt;D xsi:type="xsd:long"&gt;42569&lt;/D&gt;&lt;D xsi:type="xsd:long"&gt;42600&lt;/D&gt;&lt;D xsi:type="xsd:long"&gt;42629&lt;/D&gt;&lt;D xsi:type="xsd:long"&gt;42661&lt;/D&gt;&lt;D xsi:type="xsd:long"&gt;42692&lt;/D&gt;&lt;D xsi:type="xsd:long"&gt;42720&lt;/D&gt;&lt;D xsi:type="xsd:long"&gt;42753&lt;/D&gt;&lt;D xsi:type="xsd:long"&gt;42783&lt;/D&gt;&lt;D xsi:type="xsd:long"&gt;42811&lt;/D&gt;&lt;D xsi:type="xsd:long"&gt;42843&lt;/D&gt;&lt;D xsi:type="xsd:long"&gt;42873&lt;/D&gt;&lt;D xsi:type="xsd:long"&gt;42902&lt;/D&gt;&lt;D xsi:type="xsd:long"&gt;42934&lt;/D&gt;&lt;D xsi:type="xsd:long"&gt;42965&lt;/D&gt;&lt;D xsi:type="xsd:long"&gt;42996&lt;/D&gt;&lt;D xsi:type="xsd:long"&gt;43026&lt;/D&gt;&lt;D xsi:type="xsd:long"&gt;43056&lt;/D&gt;&lt;D xsi:type="xsd:long"&gt;43087&lt;/D&gt;&lt;D xsi:type="xsd:long"&gt;43118&lt;/D&gt;&lt;D xsi:type="xsd:long"&gt;43147&lt;/D&gt;&lt;D xsi:type="xsd:long"&gt;43175&lt;/D&gt;&lt;D xsi:type="xsd:long"&gt;43208&lt;/D&gt;&lt;D xsi:type="xsd:long"&gt;43238&lt;/D&gt;&lt;D xsi:type="xsd:long"&gt;43269&lt;/D&gt;&lt;D xsi:type="xsd:long"&gt;43299&lt;/D&gt;&lt;D xsi:type="xsd:long"&gt;43329&lt;/D&gt;&lt;D xsi:type="xsd:long"&gt;43361&lt;/D&gt;&lt;D xsi:type="xsd:long"&gt;43391&lt;/D&gt;&lt;D xsi:type="xsd:long"&gt;43420&lt;/D&gt;&lt;D xsi:type="xsd:long"&gt;43452&lt;/D&gt;&lt;D xsi:type="xsd:long"&gt;43483&lt;/D&gt;&lt;D xsi:type="xsd:long"&gt;43511&lt;/D&gt;&lt;D xsi:type="xsd:long"&gt;43542&lt;/D&gt;&lt;D xsi:type="xsd:long"&gt;43573&lt;/D&gt;&lt;D xsi:type="xsd:long"&gt;43602&lt;/D&gt;&lt;D xsi:type="xsd:long"&gt;43634&lt;/D&gt;&lt;D xsi:type="xsd:long"&gt;43664&lt;/D&gt;&lt;D xsi:type="xsd:long"&gt;43693&lt;/D&gt;&lt;D xsi:type="xsd:long"&gt;43726&lt;/D&gt;&lt;D xsi:type="xsd:long"&gt;43756&lt;/D&gt;&lt;D xsi:type="xsd:long"&gt;43787&lt;/D&gt;&lt;D xsi:type="xsd:long"&gt;43817&lt;/D&gt;&lt;D xsi:type="xsd:long"&gt;43847&lt;/D&gt;&lt;D xsi:type="xsd:long"&gt;43879&lt;/D&gt;&lt;D xsi:type="xsd:long"&gt;43908&lt;/D&gt;&lt;D xsi:type="xsd:long"&gt;43938&lt;/D&gt;&lt;D xsi:type="xsd:long"&gt;43969&lt;/D&gt;&lt;D xsi:type="xsd:long"&gt;44000&lt;/D&gt;&lt;D xsi:type="xsd:long"&gt;44029&lt;/D&gt;&lt;D xsi:type="xsd:long"&gt;44061&lt;/D&gt;&lt;D xsi:type="xsd:long"&gt;44092&lt;/D&gt;&lt;D xsi:type="xsd:long"&gt;44120&lt;/D&gt;&lt;D xsi:type="xsd:long"&gt;44153&lt;/D&gt;&lt;D xsi:type="xsd:long"&gt;44183&lt;/D&gt;&lt;D xsi:type="xsd:long"&gt;44211&lt;/D&gt;&lt;D xsi:type="xsd:long"&gt;44245&lt;/D&gt;&lt;D xsi:type="xsd:long"&gt;44273&lt;/D&gt;&lt;D xsi:type="xsd:long"&gt;44302&lt;/D&gt;&lt;D xsi:type="xsd:long"&gt;44334&lt;/D&gt;&lt;D xsi:type="xsd:long"&gt;44365&lt;/D&gt;&lt;D xsi:type="xsd:long"&gt;44393&lt;/D&gt;&lt;D xsi:type="xsd:long"&gt;44426&lt;/D&gt;&lt;D xsi:type="xsd:long"&gt;44456&lt;/D&gt;&lt;D xsi:type="xsd:long"&gt;44487&lt;/D&gt;&lt;D xsi:type="xsd:long"&gt;44518&lt;/D&gt;&lt;D xsi:type="xsd:long"&gt;44547&lt;/D&gt;&lt;D xsi:type="xsd:long"&gt;44579&lt;/D&gt;&lt;D xsi:type="xsd:long"&gt;44610&lt;/D&gt;&lt;D xsi:type="xsd:long"&gt;44638&lt;/D&gt;&lt;D xsi:type="xsd:long"&gt;44669&lt;/D&gt;&lt;D xsi:type="xsd:long"&gt;44699&lt;/D&gt;&lt;D xsi:type="xsd:long"&gt;44729&lt;/D&gt;&lt;D xsi:type="xsd:long"&gt;44760&lt;/D&gt;&lt;D xsi:type="xsd:long"&gt;44791&lt;/D&gt;&lt;D xsi:type="xsd:long"&gt;44820&lt;/D&gt;&lt;D xsi:type="xsd:long"&gt;44852&lt;/D&gt;&lt;D xsi:type="xsd:long"&gt;44883&lt;/D&gt;&lt;D xsi:type="xsd:long"&gt;44911&lt;/D&gt;&lt;D xsi:type="xsd:long"&gt;44944&lt;/D&gt;&lt;D xsi:type="xsd:long"&gt;44974&lt;/D&gt;&lt;D xsi:type="xsd:long"&gt;45002&lt;/D&gt;&lt;D xsi:type="xsd:long"&gt;45034&lt;/D&gt;&lt;D xsi:type="xsd:long"&gt;45064&lt;/D&gt;&lt;D xsi:type="xsd:long"&gt;45093&lt;/D&gt;&lt;D xsi:type="xsd:long"&gt;45125&lt;/D&gt;&lt;D xsi:type="xsd:long"&gt;45156&lt;/D&gt;&lt;D xsi:type="xsd:long"&gt;45187&lt;/D&gt;&lt;D xsi:type="xsd:long"&gt;45217&lt;/D&gt;&lt;D xsi:type="xsd:long"&gt;45247&lt;/D&gt;&lt;D xsi:type="xsd:long"&gt;45278&lt;/D&gt;&lt;D xsi:type="xsd:long"&gt;45309&lt;/D&gt;&lt;D xsi:type="xsd:long"&gt;45338&lt;/D&gt;&lt;D xsi:type="xsd:long"&gt;45369&lt;/D&gt;&lt;D xsi:type="xsd:long"&gt;45400&lt;/D&gt;&lt;/FQL&gt;&lt;FQL&gt;&lt;Q&gt;KSA^FMA_PE(NTMA,-10AY,0,AM,"PORTAGG","MEANR")&lt;/Q&gt;&lt;R&gt;121&lt;/R&gt;&lt;C&gt;1&lt;/C&gt;&lt;D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xsi:type="xsd:double"&gt;12.796116734632&lt;/D&gt;&lt;D xsi:type="xsd:double"&gt;12.1654851203808&lt;/D&gt;&lt;D xsi:type="xsd:double"&gt;12.8860824507168&lt;/D&gt;&lt;D xsi:type="xsd:double"&gt;11.1533004555651&lt;/D&gt;&lt;D xsi:type="xsd:double"&gt;11.6062340777754&lt;/D&gt;&lt;D xsi:type="xsd:double"&gt;12.8751927136001&lt;/D&gt;&lt;D xsi:type="xsd:double"&gt;12.7930501162239&lt;/D&gt;&lt;D xsi:type="xsd:double"&gt;13.6533540203889&lt;/D&gt;&lt;D xsi:type="xsd:double"&gt;13.6959097475837&lt;/D&gt;&lt;D xsi:type="xsd:double"&gt;13.6707567275179&lt;/D&gt;&lt;D xsi:type="xsd:double"&gt;12.6780899964933&lt;/D&gt;&lt;D xsi:type="xsd:double"&gt;12.5243584746743&lt;/D&gt;&lt;D xsi:type="xsd:double"&gt;11.2344257584325&lt;/D&gt;&lt;D xsi:type="xsd:double"&gt;13.5497003298933&lt;/D&gt;&lt;D xsi:type="xsd:double"&gt;14.0389781159944&lt;/D&gt;&lt;D xsi:type="xsd:double"&gt;14.1337833662174&lt;/D&gt;&lt;D xsi:type="xsd:double"&gt;14.4220166240634&lt;/D&gt;&lt;D xsi:type="xsd:double"&gt;14.1316002272573&lt;/D&gt;&lt;D xsi:type="xsd:double"&gt;13.6413305725552&lt;/D&gt;&lt;D xsi:type="xsd:double"&gt;13.5259757975097&lt;/D&gt;&lt;D xsi:type="xsd:double"&gt;13.5872037708754&lt;/D&gt;&lt;D xsi:type="xsd:double"&gt;14.4871739142347&lt;/D&gt;&lt;D xsi:type="xsd:double"&gt;13.8046839068964&lt;/D&gt;&lt;D xsi:type="xsd:double"&gt;13.9978070061469&lt;/D&gt;&lt;D xsi:type="xsd:double"&gt;12.9129385238212&lt;/D&gt;&lt;D xsi:type="xsd:double"&gt;12.9568947926625&lt;/D&gt;&lt;D xsi:type="xsd:double"&gt;13.2931168580969&lt;/D&gt;&lt;D xsi:type="xsd:double"&gt;14.033201614463&lt;/D&gt;&lt;D xsi:type="xsd:double"&gt;13.7159630940363&lt;/D&gt;&lt;D xsi:type="xsd:double"&gt;14.5244247633374&lt;/D&gt;&lt;D xsi:type="xsd:double"&gt;14.973236701594&lt;/D&gt;&lt;D xsi:type="xsd:double"&gt;14.8046802969834&lt;/D&gt;&lt;D xsi:type="xsd:double"&gt;15.0271745500035&lt;/D&gt;&lt;D xsi:type="xsd:double"&gt;15.1794610323546&lt;/D&gt;&lt;D xsi:type="xsd:double"&gt;13.8447906864698&lt;/D&gt;&lt;D xsi:type="xsd:double"&gt;13.4701244453101&lt;/D&gt;&lt;D xsi:type="xsd:double"&gt;13.692357521664&lt;/D&gt;&lt;D xsi:type="xsd:double"&gt;13.4814615291411&lt;/D&gt;&lt;D xsi:type="xsd:double"&gt;14.5420245920867&lt;/D&gt;&lt;D xsi:type="xsd:double"&gt;15.6531124061922&lt;/D&gt;&lt;D xsi:type="xsd:double"&gt;16.2000376020325&lt;/D&gt;&lt;D xsi:type="xsd:double"&gt;16.3121427851558&lt;/D&gt;&lt;D xsi:type="xsd:double"&gt;17.3602881917187&lt;/D&gt;&lt;D xsi:type="xsd:double"&gt;16.1392026692534&lt;/D&gt;&lt;D xsi:type="xsd:double"&gt;16.9721085940011&lt;/D&gt;&lt;D xsi:type="xsd:double"&gt;17.1015511075292&lt;/D&gt;&lt;D xsi:type="xsd:double"&gt;16.846133304645&lt;/D&gt;&lt;D xsi:type="xsd:double"&gt;16.5975209336687&lt;/D&gt;&lt;D xsi:type="xsd:double"&gt;16.1450996170033&lt;/D&gt;&lt;D xsi:type="xsd:double"&gt;16.5116405658981&lt;/D&gt;&lt;D xsi:type="xsd:double"&gt;16.7913315104987&lt;/D&gt;&lt;D xsi:type="xsd:double"&gt;17.2642980488982&lt;/D&gt;&lt;D xsi:type="xsd:double"&gt;15.7494230433691&lt;/D&gt;&lt;D xsi:type="xsd:double"&gt;13.3821691716184&lt;/D&gt;&lt;D xsi:type="xsd:double"&gt;15.7920940286557&lt;/D&gt;&lt;D xsi:type="xsd:double"&gt;18.2949541982242&lt;/D&gt;&lt;D xsi:type="xsd:double"&gt;19.541491012761&lt;/D&gt;&lt;D xsi:type="xsd:double"&gt;19.7142640603045&lt;/D&gt;&lt;D xsi:type="xsd:double"&gt;20.220270829832&lt;/D&gt;&lt;D xsi:type="xsd:double"&gt;21.7784685040077&lt;/D&gt;&lt;D xsi:type="xsd:double"&gt;21.6250952172542&lt;/D&gt;&lt;D xsi:type="xsd:double"&gt;20.1971747161049&lt;/D&gt;&lt;D xsi:type="xsd:double"&gt;19.3860518365039&lt;/D&gt;&lt;D xsi:type="xsd:double"&gt;19.1912864000626&lt;/D&gt;&lt;D xsi:type="xsd:double"&gt;18.4595124386552&lt;/D&gt;&lt;D xsi:type="xsd:double"&gt;18.6885989604072&lt;/D&gt;&lt;D xsi:type="xsd:double"&gt;19.0400715158906&lt;/D&gt;&lt;D xsi:type="xsd:double"&gt;19.1400452631014&lt;/D&gt;&lt;D xsi:type="xsd:double"&gt;19.425936913795&lt;/D&gt;&lt;D xsi:type="xsd:double"&gt;18.9745801902176&lt;/D&gt;&lt;D xsi:type="xsd:double"&gt;19.1754391406519&lt;/D&gt;&lt;D xsi:type="xsd:double"&gt;18.9578640583513&lt;/D&gt;&lt;D xsi:type="xsd:double"&gt;19.1402567779108&lt;/D&gt;&lt;D xsi:type="xsd:double"&gt;18.7003586319247&lt;/D&gt;&lt;D xsi:type="xsd:double"&gt;17.7405564060413&lt;/D&gt;&lt;D xsi:type="xsd:double"&gt;19.1069962615527&lt;/D&gt;&lt;D xsi:type="xsd:double"&gt;19.0718847938878&lt;/D&gt;&lt;D xsi:type="xsd:double"&gt;19.1334877987279&lt;/D&gt;&lt;D xsi:type="xsd:double"&gt;19.5917052926925&lt;/D&gt;&lt;D xsi:type="xsd:double"&gt;17.2331978358819&lt;/D&gt;&lt;D xsi:type="xsd:double"&gt;15.9852512486777&lt;/D&gt;&lt;D xsi:type="xsd:double"&gt;15.7933084363853&lt;/D&gt;&lt;D xsi:type="xsd:double"&gt;16.6388194896897&lt;/D&gt;&lt;D xsi:type="xsd:double"&gt;15.4504867703768&lt;/D&gt;&lt;D xsi:type="xsd:double"&gt;15.4312614443815&lt;/D&gt;&lt;D xsi:type="xsd:double"&gt;14.9950842314284&lt;/D&gt;&lt;D xsi:type="xsd:double"&gt;14.0612471203414&lt;/D&gt;&lt;D xsi:type="xsd:double"&gt;14.8217715212716&lt;/D&gt;&lt;D xsi:type="xsd:double"&gt;15.1325059427569&lt;/D&gt;&lt;D xsi:type="xsd:double"&gt;13.9400490441394&lt;/D&gt;&lt;D xsi:type="xsd:double"&gt;16.2236240598017&lt;/D&gt;&lt;D xsi:type="xsd:double"&gt;16.6717640339841&lt;/D&gt;&lt;D xsi:type="xsd:double"&gt;17.0960432230637&lt;/D&gt;&lt;D xsi:type="xsd:double"&gt;17.5729239852939&lt;/D&gt;&lt;D xsi:type="xsd:double"&gt;17.176583662808&lt;/D&gt;&lt;D xsi:type="xsd:double"&gt;16.2173428031535&lt;/D&gt;&lt;D xsi:type="xsd:double"&gt;15.7056742102574&lt;/D&gt;&lt;D xsi:type="xsd:double"&gt;16.4391806091156&lt;/D&gt;&lt;D xsi:type="xsd:double"&gt;17.5108639389043&lt;/D&gt;&lt;D xsi:type="xsd:double"&gt;18.2108127598656&lt;/D&gt;&lt;D xsi:type="xsd:double"&gt;18.8439885472362&lt;/D&gt;&lt;D xsi:type="xsd:double"&gt;18.4833087108227&lt;/D&gt;&lt;D xsi:type="xsd:double"&gt;18.1653646672427&lt;/D&gt;&lt;/FQL&gt;&lt;FQL&gt;&lt;Q&gt;PLATI-FDS^FG_PRICE_CHANGE(0,-6AM)&lt;/Q&gt;&lt;R&gt;1&lt;/R&gt;&lt;C&gt;1&lt;/C&gt;&lt;D xsi:type="xsd:double"&gt;4.41988950276244&lt;/D&gt;&lt;/FQL&gt;&lt;FQL&gt;&lt;Q&gt;TIOS-FDS^MAX(FG_PRICE(0,-5AY))&lt;/Q&gt;&lt;R&gt;1&lt;/R&gt;&lt;C&gt;1&lt;/C&gt;&lt;D xsi:type="xsd:double"&gt;219.77&lt;/D&gt;&lt;/FQL&gt;&lt;FQL&gt;&lt;Q&gt;KSA^FG_PRICE_MAVG(0,,,,200)&lt;/Q&gt;&lt;R&gt;1&lt;/R&gt;&lt;C&gt;1&lt;/C&gt;&lt;D xsi:type="xsd:double"&gt;41.4011&lt;/D&gt;&lt;/FQL&gt;&lt;FQL&gt;&lt;Q&gt;GREK^FG_PRICE(0)&lt;/Q&gt;&lt;R&gt;1&lt;/R&gt;&lt;C&gt;1&lt;/C&gt;&lt;D xsi:type="xsd:double"&gt;38.49&lt;/D&gt;&lt;/FQL&gt;&lt;FQL&gt;&lt;Q&gt;EPHE^FG_PRICE_MAVG(0,,,,30)&lt;/Q&gt;&lt;R&gt;1&lt;/R&gt;&lt;C&gt;1&lt;/C&gt;&lt;D xsi:type="xsd:double"&gt;26.988333&lt;/D&gt;&lt;/FQL&gt;&lt;FQL&gt;&lt;Q&gt;UAE^FG_TOTAL_RETURNC(0,-6AM)&lt;/Q&gt;&lt;R&gt;1&lt;/R&gt;&lt;C&gt;1&lt;/C&gt;&lt;D xsi:type="xsd:double"&gt;3.5654187&lt;/D&gt;&lt;/FQL&gt;&lt;FQL&gt;&lt;Q&gt;MCHI^P_PRICE(0)/P_PRICE_HIGH_PR(0,,,,,,"PRICE","INTRA","52W")&lt;/Q&gt;&lt;R&gt;1&lt;/R&gt;&lt;C&gt;1&lt;/C&gt;&lt;D xsi:type="xsd:double"&gt;0.79175013&lt;/D&gt;&lt;/FQL&gt;&lt;FQL&gt;&lt;Q&gt;GREK^FG_TOTAL_RETURNC(0,-6AM)&lt;/Q&gt;&lt;R&gt;1&lt;/R&gt;&lt;C&gt;1&lt;/C&gt;&lt;D xsi:type="xsd:double"&gt;19.434034&lt;/D&gt;&lt;/FQL&gt;&lt;FQL&gt;&lt;Q&gt;EWW^P_PRICE(0)/P_PRICE_HIGH_PR(0,,,,,,"PRICE","INTRA","52W")&lt;/Q&gt;&lt;R&gt;1&lt;/R&gt;&lt;C&gt;1&lt;/C&gt;&lt;D xsi:type="xsd:double"&gt;0.9128233&lt;/D&gt;&lt;/FQL&gt;&lt;FQL&gt;&lt;Q&gt;EPOL^P_PRICE(0)/P_PRICE_LOW_PR(0,,,,,,"PRICE","INTRA","52W")-1&lt;/Q&gt;&lt;R&gt;1&lt;/R&gt;&lt;C&gt;1&lt;/C&gt;&lt;D xsi:type="xsd:double"&gt;0.4116931&lt;/D&gt;&lt;/FQL&gt;&lt;FQL&gt;&lt;Q&gt;CNYA^FG_TOTAL_RETURNC(0,-12AM)&lt;/Q&gt;&lt;R&gt;1&lt;/R&gt;&lt;C&gt;1&lt;/C&gt;&lt;D xsi:type="xsd:double"&gt;-17.625242&lt;/D&gt;&lt;/FQL&gt;&lt;FQL&gt;&lt;Q&gt;URTH^PERCENT_CHANGE(FMA_EPS(+1,0,,,,"PORTAGG","MEAN"),FMA_EPS(+1,-3AM,,,,"PORTAGG","MEAN"))&lt;/Q&gt;&lt;R&gt;1&lt;/R&gt;&lt;C&gt;1&lt;/C&gt;&lt;D xsi:type="xsd:double"&gt;-1.46049663240197&lt;/D&gt;&lt;/FQL&gt;&lt;FQL&gt;&lt;Q&gt;VWO^SIZE(FG_CONSTITUENTS)&lt;/Q&gt;&lt;R&gt;1&lt;/R&gt;&lt;C&gt;1&lt;/C&gt;&lt;D xsi:type="xsd:long"&gt;4786&lt;/D&gt;&lt;/FQL&gt;&lt;FQL&gt;&lt;Q&gt;EWZ^SIZE(FG_CONSTITUENTS)&lt;/Q&gt;&lt;R&gt;1&lt;/R&gt;&lt;C&gt;1&lt;/C&gt;&lt;D xsi:type="xsd:long"&gt;50&lt;/D&gt;&lt;/FQL&gt;&lt;FQL&gt;&lt;Q&gt;UAE^FMA_RBICS_REV_CURRENT(30, LOC, "PORTAGG")&lt;/Q&gt;&lt;R&gt;1&lt;/R&gt;&lt;C&gt;1&lt;/C&gt;&lt;D xsi:type="xsd:double"&gt;59.5915280201608&lt;/D&gt;&lt;/FQL&gt;&lt;FQL&gt;&lt;Q&gt;TRYCN10Y-FDS^PCTCHG(FG_YIELD(0,,,,"YTM"),FG_YIELD(-1AM,,,,"YTM"))&lt;/Q&gt;&lt;R&gt;1&lt;/R&gt;&lt;C&gt;1&lt;/C&gt;&lt;D xsi:type="xsd:double"&gt;-3.0213563&lt;/D&gt;&lt;/FQL&gt;&lt;FQL&gt;&lt;Q&gt;TRYPE10Y-FDS^PCTCHG(FG_YIELD(0,,,,"YTM"),FG_YIELD(-3AM,,,,"YTM"))&lt;/Q&gt;&lt;R&gt;1&lt;/R&gt;&lt;C&gt;1&lt;/C&gt;&lt;D xsi:type="xsd:double"&gt;15.118396&lt;/D&gt;&lt;/FQL&gt;&lt;FQL&gt;&lt;Q&gt;FC0000MX^FG_PRICE(0)&lt;/Q&gt;&lt;R&gt;1&lt;/R&gt;&lt;C&gt;1&lt;/C&gt;&lt;D xsi:type="xsd:double"&gt;510.25546&lt;/D&gt;&lt;/FQL&gt;&lt;FQL&gt;&lt;Q&gt;SET-BKK^FG_PRICE_MAVG(0,,,,30)&lt;/Q&gt;&lt;R&gt;1&lt;/R&gt;&lt;C&gt;1&lt;/C&gt;&lt;D xsi:type="xsd:double"&gt;1379.437&lt;/D&gt;&lt;/FQL&gt;&lt;FQL&gt;&lt;Q&gt;EWT^FG_PRICE_MAVG(0,,,,60)&lt;/Q&gt;&lt;R&gt;1&lt;/R&gt;&lt;C&gt;1&lt;/C&gt;&lt;D xsi:type="xsd:double"&gt;47.251335&lt;/D&gt;&lt;/FQL&gt;&lt;FQL&gt;&lt;Q&gt;KSA^FG_TOTAL_RETURNC(0,-3AM)&lt;/Q&gt;&lt;R&gt;1&lt;/R&gt;&lt;C&gt;1&lt;/C&gt;&lt;D xsi:type="xsd:double"&gt;3.0856848&lt;/D&gt;&lt;/FQL&gt;&lt;FQL&gt;&lt;Q&gt;SET-BKK^FG_TOTAL_RETURNC(0,-6AM)&lt;/Q&gt;&lt;R&gt;1&lt;/R&gt;&lt;C&gt;1&lt;/C&gt;&lt;D xsi:type="xsd:double"&gt;-5.3433895&lt;/D&gt;&lt;/FQL&gt;&lt;FQL&gt;&lt;Q&gt;MCHI^FG_TOTAL_RETURNC(0,-6AM)&lt;/Q&gt;&lt;R&gt;1&lt;/R&gt;&lt;C&gt;1&lt;/C&gt;&lt;D xsi:type="xsd:double"&gt;-4.022938&lt;/D&gt;&lt;/FQL&gt;&lt;FQL&gt;&lt;Q&gt;EWZ^FG_TOTAL_RETURNC(0,-6AM)&lt;/Q&gt;&lt;R&gt;1&lt;/R&gt;&lt;C&gt;1&lt;/C&gt;&lt;D xsi:type="xsd:double"&gt;3.6144733&lt;/D&gt;&lt;/FQL&gt;&lt;FQL&gt;&lt;Q&gt;EWM^P_PRICE(0)/P_PRICE_HIGH_PR(0,,,,,,"PRICE","INTRA","52W")&lt;/Q&gt;&lt;R&gt;1&lt;/R&gt;&lt;C&gt;1&lt;/C&gt;&lt;D xsi:type="xsd:double"&gt;0.9738974&lt;/D&gt;&lt;/FQL&gt;&lt;FQL&gt;&lt;Q&gt;EIDO^P_PRICE(0)/P_PRICE_LOW_PR(0,,,,,,"PRICE","INTRA","52W")-1&lt;/Q&gt;&lt;R&gt;1&lt;/R&gt;&lt;C&gt;1&lt;/C&gt;&lt;D xsi:type="xsd:double"&gt;0.04738033&lt;/D&gt;&lt;/FQL&gt;&lt;FQL&gt;&lt;Q&gt;URTH^P_PRICE(0)/P_PRICE_HIGH_PR(0,,,,,,"PRICE","INTRA","52W")&lt;/Q&gt;&lt;R&gt;1&lt;/R&gt;&lt;C&gt;1&lt;/C&gt;&lt;D xsi:type="xsd:double"&gt;0.9512363&lt;/D&gt;&lt;/FQL&gt;&lt;FQL&gt;&lt;Q&gt;VWO^FMA_COS_DOWN("EPS","1M",+1,NOW,,,"PORTAGG","MEANR")&lt;/Q&gt;&lt;R&gt;1&lt;/R&gt;&lt;C&gt;1&lt;/C&gt;&lt;D xsi:type="xsd:double"&gt;1045&lt;/D&gt;&lt;/FQL&gt;&lt;FQL&gt;&lt;Q&gt;SET-BKK^FMA_COS_DOWN("EPS","1M",+1,NOW,,,"PORTAGG","MEANR")&lt;/Q&gt;&lt;R&gt;1&lt;/R&gt;&lt;C&gt;1&lt;/C&gt;&lt;D xsi:type="xsd:double"&gt;72&lt;/D&gt;&lt;/FQL&gt;&lt;FQL&gt;&lt;Q&gt;EWY^FMA_ROE(NTMA,-20AY,NOW,FY,"PORTAGG","MEANR")&lt;/Q&gt;&lt;R&gt;20&lt;/R&gt;&lt;C&gt;1&lt;/C&gt;&lt;D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xsi:type="xsd:double"&gt;7.67648129789124&lt;/D&gt;&lt;D xsi:type="xsd:double"&gt;8.30770317762994&lt;/D&gt;&lt;D xsi:type="xsd:double"&gt;10.1458776465552&lt;/D&gt;&lt;D xsi:type="xsd:double"&gt;7.50979396092208&lt;/D&gt;&lt;D xsi:type="xsd:double"&gt;8.90499635832024&lt;/D&gt;&lt;/FQL&gt;&lt;FQL&gt;&lt;Q&gt;CAGDPY@PH^EE_ACTUAL_ANNUAL(MED,0)&lt;/Q&gt;&lt;R&gt;1&lt;/R&gt;&lt;C&gt;1&lt;/C&gt;&lt;D xsi:type="xsd:double"&gt;-2.56663776811855&lt;/D&gt;&lt;/FQL&gt;&lt;FQL&gt;&lt;Q&gt;CC_PL^FG_COMPANY_NAME&lt;/Q&gt;&lt;R&gt;1&lt;/R&gt;&lt;C&gt;1&lt;/C&gt;&lt;D xsi:type="xsd:string"&gt;Poland&lt;/D&gt;&lt;/FQL&gt;&lt;FQL&gt;&lt;Q&gt;USDAED^FG_PRICE_CHANGE(0,-1AY)&lt;/Q&gt;&lt;R&gt;1&lt;/R&gt;&lt;C&gt;1&lt;/C&gt;&lt;D xsi:type="xsd:double"&gt;0.0054359436&lt;/D&gt;&lt;/FQL&gt;&lt;FQL&gt;&lt;Q&gt;USDEUR^STD(FG_PRICE_CHANGE(0,-1AY,AM))&lt;/Q&gt;&lt;R&gt;1&lt;/R&gt;&lt;C&gt;1&lt;/C&gt;&lt;D xsi:type="xsd:double"&gt;2.13177762255548&lt;/D&gt;&lt;/FQL&gt;&lt;FQL&gt;&lt;Q&gt;USDBRL^FG_PRICE_CHANGE(0,-1AY)&lt;/Q&gt;&lt;R&gt;1&lt;/R&gt;&lt;C&gt;1&lt;/C&gt;&lt;D xsi:type="xsd:double"&gt;5.564213&lt;/D&gt;&lt;/FQL&gt;&lt;FQL&gt;&lt;Q&gt;USDPLN^STD(FG_PRICE_CHANGE(0,-1AY,AM))&lt;/Q&gt;&lt;R&gt;1&lt;/R&gt;&lt;C&gt;1&lt;/C&gt;&lt;D xsi:type="xsd:double"&gt;3.29190385328205&lt;/D&gt;&lt;/FQL&gt;&lt;FQL&gt;&lt;Q&gt;USDIDR^FG_PRICE_CHANGE(0,-1AY)&lt;/Q&gt;&lt;R&gt;1&lt;/R&gt;&lt;C&gt;1&lt;/C&gt;&lt;D xsi:type="xsd:double"&gt;8.959246&lt;/D&gt;&lt;/FQL&gt;&lt;FQL&gt;&lt;Q&gt;TUR^P_PRICE_RETURNS_PR('52W',2,-10AY,0,AM)&lt;/Q&gt;&lt;R&gt;121&lt;/R&gt;&lt;C&gt;1&lt;/C&gt;&lt;D xsi:type="xsd:double"&gt;-24.663914&lt;/D&gt;&lt;D xsi:type="xsd:double"&gt;-27.803928&lt;/D&gt;&lt;D xsi:type="xsd:double"&gt;-8.805794&lt;/D&gt;&lt;D xsi:type="xsd:double"&gt;-1.7637253&lt;/D&gt;&lt;D xsi:type="xsd:double"&gt;-3.9099574&lt;/D&gt;&lt;D xsi:type="xsd:double"&gt;-10.366994&lt;/D&gt;&lt;D xsi:type="xsd:double"&gt;-13.806337&lt;/D&gt;&lt;D xsi:type="xsd:double"&gt;-0.29048324&lt;/D&gt;&lt;D xsi:type="xsd:double"&gt;2.9855251&lt;/D&gt;&lt;D xsi:type="xsd:double"&gt;25.65378&lt;/D&gt;&lt;D xsi:type="xsd:double"&gt;19.701397&lt;/D&gt;&lt;D xsi:type="xsd:double"&gt;5.8825135&lt;/D&gt;&lt;D xsi:type="xsd:double"&gt;-10.767567&lt;/D&gt;&lt;D xsi:type="xsd:double"&gt;-3.7389696&lt;/D&gt;&lt;D xsi:type="xsd:double"&gt;-17.903894&lt;/D&gt;&lt;D xsi:type="xsd:double"&gt;-16.17617&lt;/D&gt;&lt;D xsi:type="xsd:double"&gt;-26.26332&lt;/D&gt;&lt;D xsi:type="xsd:double"&gt;-28.5402&lt;/D&gt;&lt;D xsi:type="xsd:double"&gt;-15.89877&lt;/D&gt;&lt;D xsi:type="xsd:double"&gt;-21.346724&lt;/D&gt;&lt;D xsi:type="xsd:double"&gt;-29.564167&lt;/D&gt;&lt;D xsi:type="xsd:double"&gt;-37.11391&lt;/D&gt;&lt;D xsi:type="xsd:double"&gt;-28.148127&lt;/D&gt;&lt;D xsi:type="xsd:double"&gt;-5.589634&lt;/D&gt;&lt;D xsi:type="xsd:double"&gt;1.2467265&lt;/D&gt;&lt;D xsi:type="xsd:double"&gt;-23.56382&lt;/D&gt;&lt;D xsi:type="xsd:double"&gt;-11.526084&lt;/D&gt;&lt;D xsi:type="xsd:double"&gt;-13.741159&lt;/D&gt;&lt;D xsi:type="xsd:double"&gt;4.459238&lt;/D&gt;&lt;D xsi:type="xsd:double"&gt;5.4715037&lt;/D&gt;&lt;D xsi:type="xsd:double"&gt;-5.519408&lt;/D&gt;&lt;D xsi:type="xsd:double"&gt;-19.775217&lt;/D&gt;&lt;D xsi:type="xsd:double"&gt;-10.48106&lt;/D&gt;&lt;D xsi:type="xsd:double"&gt;-4.0390434&lt;/D&gt;&lt;D xsi:type="xsd:double"&gt;1.1419535&lt;/D&gt;&lt;D xsi:type="xsd:double"&gt;-12.337875&lt;/D&gt;&lt;D xsi:type="xsd:double"&gt;-16.992641&lt;/D&gt;&lt;D xsi:type="xsd:double"&gt;3.7081122&lt;/D&gt;&lt;D xsi:type="xsd:double"&gt;10.348129&lt;/D&gt;&lt;D xsi:type="xsd:double"&gt;15.221643&lt;/D&gt;&lt;D xsi:type="xsd:double"&gt;14.423466&lt;/D&gt;&lt;D xsi:type="xsd:double"&gt;19.618034&lt;/D&gt;&lt;D xsi:type="xsd:double"&gt;14.74682&lt;/D&gt;&lt;D xsi:type="xsd:double"&gt;24.003458&lt;/D&gt;&lt;D xsi:type="xsd:double"&gt;30.591143&lt;/D&gt;&lt;D xsi:type="xsd:double"&gt;42.67596&lt;/D&gt;&lt;D xsi:type="xsd:double"&gt;31.068539&lt;/D&gt;&lt;D xsi:type="xsd:double"&gt;19.923866&lt;/D&gt;&lt;D xsi:type="xsd:double"&gt;13.362813&lt;/D&gt;&lt;D xsi:type="xsd:double"&gt;-12.008029&lt;/D&gt;&lt;D xsi:type="xsd:double"&gt;-27.621572&lt;/D&gt;&lt;D xsi:type="xsd:double"&gt;-34.93685&lt;/D&gt;&lt;D xsi:type="xsd:double"&gt;-49.54621&lt;/D&gt;&lt;D xsi:type="xsd:double"&gt;-49.681843&lt;/D&gt;&lt;D xsi:type="xsd:double"&gt;-38.7233&lt;/D&gt;&lt;D xsi:type="xsd:double"&gt;-34.29631&lt;/D&gt;&lt;D xsi:type="xsd:double"&gt;-38.29155&lt;/D&gt;&lt;D xsi:type="xsd:double"&gt;-37.549347&lt;/D&gt;&lt;D xsi:type="xsd:double"&gt;-35.29703&lt;/D&gt;&lt;D xsi:type="xsd:double"&gt;-33.6092&lt;/D&gt;&lt;D xsi:type="xsd:double"&gt;-38.789867&lt;/D&gt;&lt;D xsi:type="xsd:double"&gt;-35.53647&lt;/D&gt;&lt;D xsi:type="xsd:double"&gt;-16.789543&lt;/D&gt;&lt;D xsi:type="xsd:double"&gt;-2.784741&lt;/D&gt;&lt;D xsi:type="xsd:double"&gt;19.133282&lt;/D&gt;&lt;D xsi:type="xsd:double"&gt;23.509323&lt;/D&gt;&lt;D xsi:type="xsd:double"&gt;1.3209224&lt;/D&gt;&lt;D xsi:type="xsd:double"&gt;8.31579&lt;/D&gt;&lt;D xsi:type="xsd:double"&gt;11.146259&lt;/D&gt;&lt;D xsi:type="xsd:double"&gt;15.164447&lt;/D&gt;&lt;D xsi:type="xsd:double"&gt;2.6943207&lt;/D&gt;&lt;D xsi:type="xsd:double"&gt;-30.617422&lt;/D&gt;&lt;D xsi:type="xsd:double"&gt;-15.3873625&lt;/D&gt;&lt;D xsi:type="xsd:double"&gt;4.7689795&lt;/D&gt;&lt;D xsi:type="xsd:double"&gt;0.25935173&lt;/D&gt;&lt;D xsi:type="xsd:double"&gt;-3.9778411&lt;/D&gt;&lt;D xsi:type="xsd:double"&gt;-16.278744&lt;/D&gt;&lt;D xsi:type="xsd:double"&gt;-21.160507&lt;/D&gt;&lt;D xsi:type="xsd:double"&gt;-11.311478&lt;/D&gt;&lt;D xsi:type="xsd:double"&gt;-13.888031&lt;/D&gt;&lt;D xsi:type="xsd:double"&gt;-4.780555&lt;/D&gt;&lt;D xsi:type="xsd:double"&gt;-4.903519&lt;/D&gt;&lt;D xsi:type="xsd:double"&gt;8.702385&lt;/D&gt;&lt;D xsi:type="xsd:double"&gt;56.698463&lt;/D&gt;&lt;D xsi:type="xsd:double"&gt;23.425175&lt;/D&gt;&lt;D xsi:type="xsd:double"&gt;15.157008&lt;/D&gt;&lt;D xsi:type="xsd:double"&gt;-2.3123622&lt;/D&gt;&lt;D xsi:type="xsd:double"&gt;-7.337153&lt;/D&gt;&lt;D xsi:type="xsd:double"&gt;16.879427&lt;/D&gt;&lt;D xsi:type="xsd:double"&gt;14.418888&lt;/D&gt;&lt;D xsi:type="xsd:double"&gt;5.162537&lt;/D&gt;&lt;D xsi:type="xsd:double"&gt;-1.88393&lt;/D&gt;&lt;D xsi:type="xsd:double"&gt;-27.646996&lt;/D&gt;&lt;D xsi:type="xsd:double"&gt;-26.761078&lt;/D&gt;&lt;D xsi:type="xsd:double"&gt;-30.1413&lt;/D&gt;&lt;D xsi:type="xsd:double"&gt;-28.88006&lt;/D&gt;&lt;D xsi:type="xsd:double"&gt;1.5200853&lt;/D&gt;&lt;D xsi:type="xsd:double"&gt;-12.089813&lt;/D&gt;&lt;D xsi:type="xsd:double"&gt;-9.190816&lt;/D&gt;&lt;D xsi:type="xsd:double"&gt;-11.189592&lt;/D&gt;&lt;D xsi:type="xsd:double"&gt;-1.5083551&lt;/D&gt;&lt;D xsi:type="xsd:double"&gt;10.639524&lt;/D&gt;&lt;D xsi:type="xsd:double"&gt;36.281597&lt;/D&gt;&lt;D xsi:type="xsd:double"&gt;44.894363&lt;/D&gt;&lt;D xsi:type="xsd:double"&gt;82.112&lt;/D&gt;&lt;D xsi:type="xsd:double"&gt;92.09002&lt;/D&gt;&lt;D xsi:type="xsd:double"&gt;75.5319&lt;/D&gt;&lt;D xsi:type="xsd:double"&gt;83.974266&lt;/D&gt;&lt;D xsi:type="xsd:double"&gt;49.491467&lt;/D&gt;&lt;D xsi:type="xsd:double"&gt;50.374985&lt;/D&gt;&lt;D xsi:type="xsd:double"&gt;60.52512&lt;/D&gt;&lt;D xsi:type="xsd:double"&gt;68.922615&lt;/D&gt;&lt;D xsi:type="xsd:double"&gt;66.40204&lt;/D&gt;&lt;D xsi:type="xsd:double"&gt;56.23584&lt;/D&gt;&lt;D xsi:type="xsd:double"&gt;38.612915&lt;/D&gt;&lt;D xsi:type="xsd:double"&gt;22.881817&lt;/D&gt;&lt;D xsi:type="xsd:double"&gt;1.4383078&lt;/D&gt;&lt;D xsi:type="xsd:double"&gt;-1.931709&lt;/D&gt;&lt;D xsi:type="xsd:double"&gt;18.232166&lt;/D&gt;&lt;D xsi:type="xsd:double"&gt;3.0524373&lt;/D&gt;&lt;D xsi:type="xsd:double"&gt;16.913902&lt;/D&gt;&lt;/FQL&gt;&lt;FQL&gt;&lt;Q&gt;VNM^FG_TOTAL_RETURNC(-10AY,0,AM)&lt;/Q&gt;&lt;R&gt;121&lt;/R&gt;&lt;C&gt;1&lt;/C&gt;&lt;D xsi:type="xsd:double"&gt;-6.1224403&lt;/D&gt;&lt;D xsi:type="xsd:double"&gt;-6.666672&lt;/D&gt;&lt;D xsi:type="xsd:double"&gt;9.213257&lt;/D&gt;&lt;D xsi:type="xsd:double"&gt;2.511847&lt;/D&gt;&lt;D xsi:type="xsd:double"&gt;2.0804524&lt;/D&gt;&lt;D xsi:type="xsd:double"&gt;2.2192001&lt;/D&gt;&lt;D xsi:type="xsd:double"&gt;-7.620734&lt;/D&gt;&lt;D xsi:type="xsd:double"&gt;1.0071874&lt;/D&gt;&lt;D xsi:type="xsd:double"&gt;-9.306741&lt;/D&gt;&lt;D xsi:type="xsd:double"&gt;1.4655709&lt;/D&gt;&lt;D xsi:type="xsd:double"&gt;3.8451672&lt;/D&gt;&lt;D xsi:type="xsd:double"&gt;-8.195984&lt;/D&gt;&lt;D xsi:type="xsd:double"&gt;1.3348103&lt;/D&gt;&lt;D xsi:type="xsd:double"&gt;-8.6169&lt;/D&gt;&lt;D xsi:type="xsd:double"&gt;10.090089&lt;/D&gt;&lt;D xsi:type="xsd:double"&gt;4.5826554&lt;/D&gt;&lt;D xsi:type="xsd:double"&gt;-10.7981205&lt;/D&gt;&lt;D xsi:type="xsd:double"&gt;-8.479536&lt;/D&gt;&lt;D xsi:type="xsd:double"&gt;11.629391&lt;/D&gt;&lt;D xsi:type="xsd:double"&gt;-5.6668577&lt;/D&gt;&lt;D xsi:type="xsd:double"&gt;-10.49757&lt;/D&gt;&lt;D xsi:type="xsd:double"&gt;-9.065247&lt;/D&gt;&lt;D xsi:type="xsd:double"&gt;7.81734&lt;/D&gt;&lt;D xsi:type="xsd:double"&gt;1.7228961&lt;/D&gt;&lt;D xsi:type="xsd:double"&gt;-0.49399734&lt;/D&gt;&lt;D xsi:type="xsd:double"&gt;3.9007068&lt;/D&gt;&lt;D xsi:type="xsd:double"&gt;-1.6382217&lt;/D&gt;&lt;D xsi:type="xsd:double"&gt;7.7029824&lt;/D&gt;&lt;D xsi:type="xsd:double"&gt;-1.1597931&lt;/D&gt;&lt;D xsi:type="xsd:double"&gt;-7.887876&lt;/D&gt;&lt;D xsi:type="xsd:double"&gt;4.3878317&lt;/D&gt;&lt;D xsi:type="xsd:double"&gt;-6.9830475&lt;/D&gt;&lt;D xsi:type="xsd:double"&gt;-4.6647253&lt;/D&gt;&lt;D xsi:type="xsd:double"&gt;5.1266193&lt;/D&gt;&lt;D xsi:type="xsd:double"&gt;3.5767436&lt;/D&gt;&lt;D xsi:type="xsd:double"&gt;-1.5827298&lt;/D&gt;&lt;D xsi:type="xsd:double"&gt;1.096487&lt;/D&gt;&lt;D xsi:type="xsd:double"&gt;0.14461279&lt;/D&gt;&lt;D xsi:type="xsd:double"&gt;5.992782&lt;/D&gt;&lt;D xsi:type="xsd:double"&gt;-0.817436&lt;/D&gt;&lt;D xsi:type="xsd:double"&gt;-2.5412142&lt;/D&gt;&lt;D xsi:type="xsd:double"&gt;5.7082534&lt;/D&gt;&lt;D xsi:type="xsd:double"&gt;2.7999997&lt;/D&gt;&lt;D xsi:type="xsd:double"&gt;8.625162&lt;/D&gt;&lt;D xsi:type="xsd:double"&gt;1.8029809&lt;/D&gt;&lt;D xsi:type="xsd:double"&gt;10.988939&lt;/D&gt;&lt;D xsi:type="xsd:double"&gt;0.9076357&lt;/D&gt;&lt;D xsi:type="xsd:double"&gt;0.89946985&lt;/D&gt;&lt;D xsi:type="xsd:double"&gt;1.1536479&lt;/D&gt;&lt;D xsi:type="xsd:double"&gt;-9.175741&lt;/D&gt;&lt;D xsi:type="xsd:double"&gt;-5.9931574&lt;/D&gt;&lt;D xsi:type="xsd:double"&gt;-2.3072183&lt;/D&gt;&lt;D xsi:type="xsd:double"&gt;1.9266605&lt;/D&gt;&lt;D xsi:type="xsd:double"&gt;2.1951199&lt;/D&gt;&lt;D xsi:type="xsd:double"&gt;-7.517898&lt;/D&gt;&lt;D xsi:type="xsd:double"&gt;-2.000004&lt;/D&gt;&lt;D xsi:type="xsd:double"&gt;0.46083927&lt;/D&gt;&lt;D xsi:type="xsd:double"&gt;2.2034287&lt;/D&gt;&lt;D xsi:type="xsd:double"&gt;6.7226887&lt;/D&gt;&lt;D xsi:type="xsd:double"&gt;3.937006&lt;/D&gt;&lt;D xsi:type="xsd:double"&gt;-2.7971983&lt;/D&gt;&lt;D xsi:type="xsd:double"&gt;-1.5587568&lt;/D&gt;&lt;D xsi:type="xsd:double"&gt;-1.7661452&lt;/D&gt;&lt;D xsi:type="xsd:double"&gt;0.92995167&lt;/D&gt;&lt;D xsi:type="xsd:double"&gt;-4.29976&lt;/D&gt;&lt;D xsi:type="xsd:double"&gt;2.695763&lt;/D&gt;&lt;D xsi:type="xsd:double"&gt;0.8749962&lt;/D&gt;&lt;D xsi:type="xsd:double"&gt;1.5489459&lt;/D&gt;&lt;D xsi:type="xsd:double"&gt;-3.2336771&lt;/D&gt;&lt;D xsi:type="xsd:double"&gt;1.9727349&lt;/D&gt;&lt;D xsi:type="xsd:double"&gt;-6.105918&lt;/D&gt;&lt;D xsi:type="xsd:double"&gt;-33.37757&lt;/D&gt;&lt;D xsi:type="xsd:double"&gt;22.011948&lt;/D&gt;&lt;D xsi:type="xsd:double"&gt;8.653069&lt;/D&gt;&lt;D xsi:type="xsd:double"&gt;3.305781&lt;/D&gt;&lt;D xsi:type="xsd:double"&gt;5.4545403&lt;/D&gt;&lt;D xsi:type="xsd:double"&gt;-0.82758665&lt;/D&gt;&lt;D xsi:type="xsd:double"&gt;3.0598044&lt;/D&gt;&lt;D xsi:type="xsd:double"&gt;2.496624&lt;/D&gt;&lt;D xsi:type="xsd:double"&gt;1.8433213&lt;/D&gt;&lt;D xsi:type="xsd:double"&gt;8.985138&lt;/D&gt;&lt;D xsi:type="xsd:double"&gt;9.826195&lt;/D&gt;&lt;D xsi:type="xsd:double"&gt;-1.3015151&lt;/D&gt;&lt;D xsi:type="xsd:double"&gt;-2.1428645&lt;/D&gt;&lt;D xsi:type="xsd:double"&gt;8.309948&lt;/D&gt;&lt;D xsi:type="xsd:double"&gt;-2.7993798&lt;/D&gt;&lt;D xsi:type="xsd:double"&gt;6.7200065&lt;/D&gt;&lt;D xsi:type="xsd:double"&gt;-3.1484306&lt;/D&gt;&lt;D xsi:type="xsd:double"&gt;0.10319948&lt;/D&gt;&lt;D xsi:type="xsd:double"&gt;2.2680402&lt;/D&gt;&lt;D xsi:type="xsd:double"&gt;-1.0584712&lt;/D&gt;&lt;D xsi:type="xsd:double"&gt;6.214988&lt;/D&gt;&lt;D xsi:type="xsd:double"&gt;-0.38369298&lt;/D&gt;&lt;D xsi:type="xsd:double"&gt;-4.773736&lt;/D&gt;&lt;D xsi:type="xsd:double"&gt;0.5589485&lt;/D&gt;&lt;D xsi:type="xsd:double"&gt;-4.749876&lt;/D&gt;&lt;D xsi:type="xsd:double"&gt;-4.509288&lt;/D&gt;&lt;D xsi:type="xsd:double"&gt;-14.333332&lt;/D&gt;&lt;D xsi:type="xsd:double"&gt;-3.8910508&lt;/D&gt;&lt;D xsi:type="xsd:double"&gt;-3.7111938&lt;/D&gt;&lt;D xsi:type="xsd:double"&gt;9.600555&lt;/D&gt;&lt;D xsi:type="xsd:double"&gt;-7.225066&lt;/D&gt;&lt;D xsi:type="xsd:double"&gt;-14.472782&lt;/D&gt;&lt;D xsi:type="xsd:double"&gt;-8.299756&lt;/D&gt;&lt;D xsi:type="xsd:double"&gt;9.929705&lt;/D&gt;&lt;D xsi:type="xsd:double"&gt;2.5529742&lt;/D&gt;&lt;D xsi:type="xsd:double"&gt;-6.5302906&lt;/D&gt;&lt;D xsi:type="xsd:double"&gt;-2.1043777&lt;/D&gt;&lt;D xsi:type="xsd:double"&gt;4.2992234&lt;/D&gt;&lt;D xsi:type="xsd:double"&gt;2.2258878&lt;/D&gt;&lt;D xsi:type="xsd:double"&gt;5.887103&lt;/D&gt;&lt;D xsi:type="xsd:double"&gt;7.387662&lt;/D&gt;&lt;D xsi:type="xsd:double"&gt;0.5673766&lt;/D&gt;&lt;D xsi:type="xsd:double"&gt;4.4428825&lt;/D&gt;&lt;D xsi:type="xsd:double"&gt;-13.706959&lt;/D&gt;&lt;D xsi:type="xsd:double"&gt;2.5821567&lt;/D&gt;&lt;D xsi:type="xsd:double"&gt;-0.49427152&lt;/D&gt;&lt;D xsi:type="xsd:double"&gt;4.3068886&lt;/D&gt;&lt;D xsi:type="xsd:double"&gt;2.0534754&lt;/D&gt;&lt;D xsi:type="xsd:double"&gt;1.29</t>
        </r>
      </text>
    </comment>
    <comment ref="A12" authorId="0" shapeId="0" xr:uid="{F71C9CFE-245B-4111-8810-A5C92D08DD8B}">
      <text>
        <r>
          <rPr>
            <b/>
            <sz val="9"/>
            <color indexed="81"/>
            <rFont val="Tahoma"/>
            <charset val="1"/>
          </rPr>
          <t>08101&lt;/D&gt;&lt;D xsi:type="xsd:double"&gt;-8.995503&lt;/D&gt;&lt;/FQL&gt;&lt;FQL&gt;&lt;Q&gt;CNYA^FMA_PE(NTMA,-10AY,0,AM,"PORTAGG","MEANR")&lt;/Q&gt;&lt;R&gt;121&lt;/R&gt;&lt;C&gt;1&lt;/C&gt;&lt;D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xsi:type="xsd:double"&gt;13.8500814876954&lt;/D&gt;&lt;D xsi:type="xsd:double"&gt;14.0454728586081&lt;/D&gt;&lt;D xsi:type="xsd:double"&gt;13.5623847013505&lt;/D&gt;&lt;D xsi:type="xsd:double"&gt;13.7648801481011&lt;/D&gt;&lt;D xsi:type="xsd:double"&gt;14.0313431092834&lt;/D&gt;&lt;D xsi:type="xsd:double"&gt;13.4695228843264&lt;/D&gt;&lt;D xsi:type="xsd:double"&gt;13.1889353920264&lt;/D&gt;&lt;D xsi:type="xsd:double"&gt;13.0546129871036&lt;/D&gt;&lt;D xsi:type="xsd:double"&gt;13.2259543670698&lt;/D&gt;&lt;D xsi:type="xsd:double"&gt;13.403437070849&lt;/D&gt;&lt;D xsi:type="xsd:double"&gt;13.2383379216025&lt;/D&gt;&lt;D xsi:type="xsd:double"&gt;13.8167507807045&lt;/D&gt;&lt;D xsi:type="xsd:double"&gt;14.0085338040852&lt;/D&gt;&lt;D xsi:type="xsd:double"&gt;13.935452134058&lt;/D&gt;&lt;D xsi:type="xsd:double"&gt;14.3515332092693&lt;/D&gt;&lt;D xsi:type="xsd:double"&gt;14.4283494140194&lt;/D&gt;&lt;D xsi:type="xsd:double"&gt;14.6994706423242&lt;/D&gt;&lt;D xsi:type="xsd:double"&gt;13.7153256863033&lt;/D&gt;&lt;D xsi:type="xsd:double"&gt;14.3351650693881&lt;/D&gt;&lt;D xsi:type="xsd:double"&gt;13.1143327651753&lt;/D&gt;&lt;D xsi:type="xsd:double"&gt;13.2436835690412&lt;/D&gt;&lt;D xsi:type="xsd:double"&gt;12.2920587830601&lt;/D&gt;&lt;D xsi:type="xsd:double"&gt;11.9740349862006&lt;/D&gt;&lt;D xsi:type="xsd:double"&gt;11.6483351539194&lt;/D&gt;&lt;D xsi:type="xsd:double"&gt;10.4459821306624&lt;/D&gt;&lt;D xsi:type="xsd:double"&gt;9.71449696073343&lt;/D&gt;&lt;D xsi:type="xsd:double"&gt;10.0671546780927&lt;/D&gt;&lt;D xsi:type="xsd:double"&gt;9.25500759347334&lt;/D&gt;&lt;D xsi:type="xsd:double"&gt;9.99064321825092&lt;/D&gt;&lt;D xsi:type="xsd:double"&gt;9.80649528751029&lt;/D&gt;&lt;D xsi:type="xsd:double"&gt;9.95436416604579&lt;/D&gt;&lt;D xsi:type="xsd:double"&gt;10.4598881089712&lt;/D&gt;&lt;D xsi:type="xsd:double"&gt;11.7236906768552&lt;/D&gt;&lt;D xsi:type="xsd:double"&gt;12.2838449241526&lt;/D&gt;&lt;D xsi:type="xsd:double"&gt;10.9778770257638&lt;/D&gt;&lt;D xsi:type="xsd:double"&gt;11.3777948194271&lt;/D&gt;&lt;D xsi:type="xsd:double"&gt;11.4221633892242&lt;/D&gt;&lt;D xsi:type="xsd:double"&gt;11.2678838894478&lt;/D&gt;&lt;D xsi:type="xsd:double"&gt;11.8783639529731&lt;/D&gt;&lt;D xsi:type="xsd:double"&gt;11.5975497512794&lt;/D&gt;&lt;D xsi:type="xsd:double"&gt;11.543027755242&lt;/D&gt;&lt;D xsi:type="xsd:double"&gt;12.560847466046&lt;/D&gt;&lt;D xsi:type="xsd:double"&gt;12.9020584914627&lt;/D&gt;&lt;D xsi:type="xsd:double"&gt;12.725447840417&lt;/D&gt;&lt;D xsi:type="xsd:double"&gt;11.462181781762&lt;/D&gt;&lt;D xsi:type="xsd:double"&gt;12.4502700806043&lt;/D&gt;&lt;D xsi:type="xsd:double"&gt;13.1504491414927&lt;/D&gt;&lt;D xsi:type="xsd:double"&gt;13.8738245983521&lt;/D&gt;&lt;D xsi:type="xsd:double"&gt;15.5474247235553&lt;/D&gt;&lt;D xsi:type="xsd:double"&gt;16.286043030456&lt;/D&gt;&lt;D xsi:type="xsd:double"&gt;16.2130969502918&lt;/D&gt;&lt;D xsi:type="xsd:double"&gt;16.172778486198&lt;/D&gt;&lt;D xsi:type="xsd:double"&gt;16.0302679025003&lt;/D&gt;&lt;D xsi:type="xsd:double"&gt;16.5684368429963&lt;/D&gt;&lt;D xsi:type="xsd:double"&gt;17.9575304388759&lt;/D&gt;&lt;D xsi:type="xsd:double"&gt;18.8216921864117&lt;/D&gt;&lt;D xsi:type="xsd:double"&gt;16.4375794922223&lt;/D&gt;&lt;D xsi:type="xsd:double"&gt;15.7195060740412&lt;/D&gt;&lt;D xsi:type="xsd:double"&gt;16.3151553479311&lt;/D&gt;&lt;D xsi:type="xsd:double"&gt;16.266167702431&lt;/D&gt;&lt;D xsi:type="xsd:double"&gt;16.0326278885455&lt;/D&gt;&lt;D xsi:type="xsd:double"&gt;15.2402711500199&lt;/D&gt;&lt;D xsi:type="xsd:double"&gt;15.3326887551888&lt;/D&gt;&lt;D xsi:type="xsd:double"&gt;15.2687099479172&lt;/D&gt;&lt;D xsi:type="xsd:double"&gt;15.0751451294717&lt;/D&gt;&lt;D xsi:type="xsd:double"&gt;15.4828243828261&lt;/D&gt;&lt;D xsi:type="xsd:double"&gt;14.7390001722724&lt;/D&gt;&lt;D xsi:type="xsd:double"&gt;13.989506481295&lt;/D&gt;&lt;D xsi:type="xsd:double"&gt;12.8872802246549&lt;/D&gt;&lt;D xsi:type="xsd:double"&gt;12.5683316563235&lt;/D&gt;&lt;D xsi:type="xsd:double"&gt;12.4243605614804&lt;/D&gt;&lt;D xsi:type="xsd:double"&gt;13.3180506462609&lt;/D&gt;&lt;D xsi:type="xsd:double"&gt;13.1835557501433&lt;/D&gt;&lt;D xsi:type="xsd:double"&gt;12.8191964407586&lt;/D&gt;&lt;D xsi:type="xsd:double"&gt;12.0341359889663&lt;/D&gt;&lt;D xsi:type="xsd:double"&gt;11.6738022531602&lt;/D&gt;&lt;D xsi:type="xsd:double"&gt;11.7725164427009&lt;/D&gt;&lt;D xsi:type="xsd:double"&gt;12.0845050286597&lt;/D&gt;&lt;D xsi:type="xsd:double"&gt;12.4848508153813&lt;/D&gt;&lt;D xsi:type="xsd:double"&gt;12.1787946481614&lt;/D&gt;&lt;D xsi:type="xsd:double"&gt;11.7486685635352&lt;/D&gt;&lt;D xsi:type="xsd:double"&gt;12.527907461448&lt;/D&gt;&lt;D xsi:type="xsd:double"&gt;12.0158166197576&lt;/D&gt;&lt;D xsi:type="xsd:double"&gt;12.2176610438714&lt;/D&gt;&lt;D xsi:type="xsd:double"&gt;11.7905137583086&lt;/D&gt;&lt;D xsi:type="xsd:double"&gt;11.693005519368&lt;/D&gt;&lt;D xsi:type="xsd:double"&gt;11.8082542901819&lt;/D&gt;&lt;D xsi:type="xsd:double"&gt;11.3056952220975&lt;/D&gt;&lt;D xsi:type="xsd:double"&gt;11.6252946229709&lt;/D&gt;&lt;D xsi:type="xsd:double"&gt;11.1122167077441&lt;/D&gt;&lt;D xsi:type="xsd:double"&gt;10.7352663592352&lt;/D&gt;&lt;D xsi:type="xsd:double"&gt;11.0467688345325&lt;/D&gt;&lt;D xsi:type="xsd:double"&gt;11.8610122281592&lt;/D&gt;&lt;D xsi:type="xsd:double"&gt;12.1761115883368&lt;/D&gt;&lt;/FQL&gt;&lt;FQL&gt;&lt;Q&gt;EPHE^FMA_PE(LTMA,-10AY,0,AM,"PORTAGG","MEANR")&lt;/Q&gt;&lt;R&gt;121&lt;/R&gt;&lt;C&gt;1&lt;/C&gt;&lt;D xsi:type="xsd:double"&gt;19.2867122571415&lt;/D&gt;&lt;D xsi:type="xsd:double"&gt;19.3490684587505&lt;/D&gt;&lt;D xsi:type="xsd:double"&gt;19.0988135208107&lt;/D&gt;&lt;D xsi:type="xsd:double"&gt;19.2291236435333&lt;/D&gt;&lt;D xsi:type="xsd:double"&gt;19.4461928174852&lt;/D&gt;&lt;D xsi:type="xsd:double"&gt;19.9747959091504&lt;/D&gt;&lt;D xsi:type="xsd:double"&gt;19.2540800128904&lt;/D&gt;&lt;D xsi:type="xsd:double"&gt;20.1291139002555&lt;/D&gt;&lt;D xsi:type="xsd:double"&gt;19.4369007907707&lt;/D&gt;&lt;D xsi:type="xsd:double"&gt;20.5331923410186&lt;/D&gt;&lt;D xsi:type="xsd:double"&gt;21.1472408682646&lt;/D&gt;&lt;D xsi:type="xsd:double"&gt;20.9159677301971&lt;/D&gt;&lt;D xsi:type="xsd:double"&gt;20.8150666100952&lt;/D&gt;&lt;D xsi:type="xsd:double"&gt;20.6682050330981&lt;/D&gt;&lt;D xsi:type="xsd:double"&gt;20.18960022849&lt;/D&gt;&lt;D xsi:type="xsd:double"&gt;20.1490566327406&lt;/D&gt;&lt;D xsi:type="xsd:double"&gt;19.6647978140566&lt;/D&gt;&lt;D xsi:type="xsd:double"&gt;19.270224119166&lt;/D&gt;&lt;D xsi:type="xsd:double"&gt;19.1039461941615&lt;/D&gt;&lt;D xsi:type="xsd:double"&gt;18.095413071724&lt;/D&gt;&lt;D xsi:type="xsd:double"&gt;18.0514983183256&lt;/D&gt;&lt;D xsi:type="xsd:double"&gt;16.6910087757462&lt;/D&gt;&lt;D xsi:type="xsd:double"&gt;17.46466795941&lt;/D&gt;&lt;D xsi:type="xsd:double"&gt;16.8910200352889&lt;/D&gt;&lt;D xsi:type="xsd:double"&gt;16.9334498796507&lt;/D&gt;&lt;D xsi:type="xsd:double"&gt;17.0140460478534&lt;/D&gt;&lt;D xsi:type="xsd:double"&gt;17.4100372474987&lt;/D&gt;&lt;D xsi:type="xsd:double"&gt;18.0066016837063&lt;/D&gt;&lt;D xsi:type="xsd:double"&gt;18.3836057057616&lt;/D&gt;&lt;D xsi:type="xsd:double"&gt;17.6635927956277&lt;/D&gt;&lt;D xsi:type="xsd:double"&gt;17.7925411380737&lt;/D&gt;&lt;D xsi:type="xsd:double"&gt;16.9275795072565&lt;/D&gt;&lt;D xsi:type="xsd:double"&gt;16.8454119637236&lt;/D&gt;&lt;D xsi:type="xsd:double"&gt;17.9181096841796&lt;/D&gt;&lt;D xsi:type="xsd:double"&gt;18.2245928325088&lt;/D&gt;&lt;D xsi:type="xsd:double"&gt;17.8785771847513&lt;/D&gt;&lt;D xsi:type="xsd:double"&gt;17.9884536324797&lt;/D&gt;&lt;D xsi:type="xsd:double"&gt;17.9518946688245&lt;/D&gt;&lt;D xsi:type="xsd:double"&gt;18.2297667178588&lt;/D&gt;&lt;D xsi:type="xsd:double"&gt;17.9218361143735&lt;/D&gt;&lt;D xsi:type="xsd:double"&gt;17.8021350744559&lt;/D&gt;&lt;D xsi:type="xsd:double"&gt;18.807429978145&lt;/D&gt;&lt;D xsi:type="xsd:double"&gt;19.5406971784705&lt;/D&gt;&lt;D xsi:type="xsd:double"&gt;19.2736967200825&lt;/D&gt;&lt;D xsi:type="xsd:double"&gt;19.502934962086&lt;/D&gt;&lt;D xsi:type="xsd:double"&gt;20.213665551955&lt;/D&gt;&lt;D xsi:type="xsd:double"&gt;19.4385026382636&lt;/D&gt;&lt;D xsi:type="xsd:double"&gt;19.230156994442&lt;/D&gt;&lt;D xsi:type="xsd:double"&gt;18.7587195943452&lt;/D&gt;&lt;D xsi:type="xsd:double"&gt;18.5604660060596&lt;/D&gt;&lt;D xsi:type="xsd:double"&gt;18.1637437663855&lt;/D&gt;&lt;D xsi:type="xsd:double"&gt;17.7955122519898&lt;/D&gt;&lt;D xsi:type="xsd:double"&gt;17.7291089052731&lt;/D&gt;&lt;D xsi:type="xsd:double"&gt;16.5696652824946&lt;/D&gt;&lt;D xsi:type="xsd:double"&gt;16.2113399799586&lt;/D&gt;&lt;D xsi:type="xsd:double"&gt;15.7076341238279&lt;/D&gt;&lt;D xsi:type="xsd:double"&gt;16.6117658310755&lt;/D&gt;&lt;D xsi:type="xsd:double"&gt;17.7490938435276&lt;/D&gt;&lt;D xsi:type="xsd:double"&gt;17.3614248376644&lt;/D&gt;&lt;D xsi:type="xsd:double"&gt;16.768016358853&lt;/D&gt;&lt;D xsi:type="xsd:double"&gt;16.6637999461895&lt;/D&gt;&lt;D xsi:type="xsd:double"&gt;16.461170021686&lt;/D&gt;&lt;D xsi:type="xsd:double"&gt;16.6287013251469&lt;/D&gt;&lt;D xsi:type="xsd:double"&gt;16.8700548913247&lt;/D&gt;&lt;D xsi:type="xsd:double"&gt;15.9342889169015&lt;/D&gt;&lt;D xsi:type="xsd:double"&gt;15.4527991047614&lt;/D&gt;&lt;D xsi:type="xsd:double"&gt;15.2020122916511&lt;/D&gt;&lt;D xsi:type="xsd:double"&gt;15.1022144611981&lt;/D&gt;&lt;D xsi:type="xsd:double"&gt;14.925942050296&lt;/D&gt;&lt;D xsi:type="xsd:double"&gt;14.8440959495594&lt;/D&gt;&lt;D xsi:type="xsd:double"&gt;13.9666795989436&lt;/D&gt;&lt;D xsi:type="xsd:double"&gt;12.4936745687876&lt;/D&gt;&lt;D xsi:type="xsd:double"&gt;12.7806348044015&lt;/D&gt;&lt;D xsi:type="xsd:double"&gt;13.4042159373437&lt;/D&gt;&lt;D xsi:type="xsd:double"&gt;15.305619168759&lt;/D&gt;&lt;D xsi:type="xsd:double"&gt;15.759421888147&lt;/D&gt;&lt;D xsi:type="xsd:double"&gt;18.026632216398&lt;/D&gt;&lt;D xsi:type="xsd:double"&gt;18.6489093016174&lt;/D&gt;&lt;D xsi:type="xsd:double"&gt;19.7447029112182&lt;/D&gt;&lt;D xsi:type="xsd:double"&gt;24.7539811226266&lt;/D&gt;&lt;D xsi:type="xsd:double"&gt;25.11024412315&lt;/D&gt;&lt;D xsi:type="xsd:double"&gt;25.8727249200815&lt;/D&gt;&lt;D xsi:type="xsd:double"&gt;24.6580433197965&lt;/D&gt;&lt;D xsi:type="xsd:double"&gt;22.5417270790327&lt;/D&gt;&lt;D xsi:type="xsd:double"&gt;21.8248731830263&lt;/D&gt;&lt;D xsi:type="xsd:double"&gt;21.1370284675519&lt;/D&gt;&lt;D xsi:type="xsd:double"&gt;21.5194520358093&lt;/D&gt;&lt;D xsi:type="xsd:double"&gt;20.8002597449878&lt;/D&gt;&lt;D xsi:type="xsd:double"&gt;20.1767701105174&lt;/D&gt;&lt;D xsi:type="xsd:double"&gt;20.4085423038778&lt;/D&gt;&lt;D xsi:type="xsd:double"&gt;21.1454165991911&lt;/D&gt;&lt;D xsi:type="xsd:double"&gt;20.4030815973589&lt;/D&gt;&lt;D xsi:type="xsd:double"&gt;20.0146997791466&lt;/D&gt;&lt;D xsi:type="xsd:double"&gt;19.840291060471&lt;/D&gt;&lt;D xsi:type="xsd:double"&gt;19.7133204765622&lt;/D&gt;&lt;D xsi:type="xsd:double"&gt;19.0246885552189&lt;/D&gt;&lt;D xsi:type="xsd:double"&gt;18.5323109192442&lt;/D&gt;&lt;D xsi:type="xsd:double"&gt;17.8087107977096&lt;/D&gt;&lt;D xsi:type="xsd:double"&gt;17.182029115861&lt;/D&gt;&lt;D xsi:type="xsd:double"&gt;16.5314265505019&lt;/D&gt;&lt;D xsi:type="xsd:double"&gt;16.5076356114916&lt;/D&gt;&lt;D xsi:type="xsd:double"&gt;15.5944043577935&lt;/D&gt;&lt;D xsi:type="xsd:double"&gt;14.38075774493&lt;/D&gt;&lt;D xsi:type="xsd:double"&gt;14.0323106552565&lt;/D&gt;&lt;D xsi:type="xsd:double"&gt;13.7817252284394&lt;/D&gt;&lt;D xsi:type="xsd:double"&gt;14.79948177815&lt;/D&gt;&lt;D xsi:type="xsd:double"&gt;13.9118509616068&lt;/D&gt;&lt;D xsi:type="xsd:double"&gt;13.1297971496075&lt;/D&gt;&lt;D xsi:type="xsd:double"&gt;12.949551790038&lt;/D&gt;&lt;D xsi:type="xsd:double"&gt;12.776252187462&lt;/D&gt;&lt;D xsi:type="xsd:double"&gt;12.162666689326&lt;/D&gt;&lt;D xsi:type="xsd:double"&gt;11.9099591461794&lt;/D&gt;&lt;D xsi:type="xsd:double"&gt;11.2777766601591&lt;/D&gt;&lt;D xsi:type="xsd:double"&gt;11.0812901694599&lt;/D&gt;&lt;D xsi:type="xsd:double"&gt;11.0959387552969&lt;/D&gt;&lt;D xsi:type="xsd:double"&gt;10.6196850154243&lt;/D&gt;&lt;D xsi:type="xsd:double"&gt;9.96958877585876&lt;/D&gt;&lt;D xsi:type="xsd:double"&gt;9.93654879899431&lt;/D&gt;&lt;D xsi:type="xsd:double"&gt;10.4349614369276&lt;/D&gt;&lt;D xsi:type="xsd:double"&gt;10.6903517610458&lt;/D&gt;&lt;D xsi:type="xsd:double"&gt;10.3215303498705&lt;/D&gt;&lt;/FQL&gt;&lt;FQL&gt;&lt;Q&gt;WL-FDS^FG_PRICE_MAVG(0,,,,30)&lt;/Q&gt;&lt;R&gt;1&lt;/R&gt;&lt;C&gt;1&lt;/C&gt;&lt;D xsi:type="xsd:double"&gt;625.09&lt;/D&gt;&lt;/FQL&gt;&lt;FQL&gt;&lt;Q&gt;W-FDS^FG_PRICE_MAVG(0,,,,30)&lt;/Q&gt;&lt;R&gt;1&lt;/R&gt;&lt;C&gt;1&lt;/C&gt;&lt;D xsi:type="xsd:double"&gt;5.4651666&lt;/D&gt;&lt;/FQL&gt;&lt;FQL&gt;&lt;Q&gt;EWW^FMA_ROE(NTMA,-20AY,NOW,FY,"PORTAGG","MEANR")&lt;/Q&gt;&lt;R&gt;20&lt;/R&gt;&lt;C&gt;1&lt;/C&gt;&lt;D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xsi:type="xsd:double"&gt;12.0869262494349&lt;/D&gt;&lt;D xsi:type="xsd:double"&gt;11.7827107678683&lt;/D&gt;&lt;D xsi:type="xsd:double"&gt;13.687162530438&lt;/D&gt;&lt;D xsi:type="xsd:double"&gt;13.3394699175221&lt;/D&gt;&lt;D xsi:type="xsd:double"&gt;13.6990100680018&lt;/D&gt;&lt;/FQL&gt;&lt;FQL&gt;&lt;Q&gt;CAGDPY@TR^EE_ACTUAL_ANNUAL(MED,0)&lt;/Q&gt;&lt;R&gt;1&lt;/R&gt;&lt;C&gt;1&lt;/C&gt;&lt;D xsi:type="xsd:double"&gt;-5.11556268477957&lt;/D&gt;&lt;/FQL&gt;&lt;FQL&gt;&lt;Q&gt;USDQAR^FG_PRICE_CHANGE(0,-6AM)&lt;/Q&gt;&lt;R&gt;1&lt;/R&gt;&lt;C&gt;1&lt;/C&gt;&lt;D xsi:type="xsd:double"&gt;0.02746582&lt;/D&gt;&lt;/FQL&gt;&lt;FQL&gt;&lt;Q&gt;USDTWD^FG_PRICE_CHANGE(0,-6AM)&lt;/Q&gt;&lt;R&gt;1&lt;/R&gt;&lt;C&gt;1&lt;/C&gt;&lt;D xsi:type="xsd:double"&gt;0.1098752&lt;/D&gt;&lt;/FQL&gt;&lt;FQL&gt;&lt;Q&gt;FC0000AE^FMA_EPS(NTMA,-20AY,0,CY,,"PORTAGG","MEANR")&lt;/Q&gt;&lt;R&gt;20&lt;/R&gt;&lt;C&gt;1&lt;/C&gt;&lt;D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xsi:type="xsd:double"&gt;7.02066550129132&lt;/D&gt;&lt;D xsi:type="xsd:double"&gt;5.12773396532515&lt;/D&gt;&lt;D xsi:type="xsd:double"&gt;7.54796836303461&lt;/D&gt;&lt;D xsi:type="xsd:double"&gt;11.3918613613101&lt;/D&gt;&lt;D xsi:type="xsd:double"&gt;11.0560462201591&lt;/D&gt;&lt;/FQL&gt;&lt;FQL&gt;&lt;Q&gt;KSA^FMA_DIV_YLD(NTMA,-10AY,0,AM,"PORTAGG","MEANR")&lt;/Q&gt;&lt;R&gt;121&lt;/R&gt;&lt;C&gt;1&lt;/C&gt;&lt;D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xsi:type="xsd:double"&gt;4.29420047613691&lt;/D&gt;&lt;D xsi:type="xsd:double"&gt;4.74747948856668&lt;/D&gt;&lt;D xsi:type="xsd:double"&gt;4.61841343589144&lt;/D&gt;&lt;D xsi:type="xsd:double"&gt;5.31237297909772&lt;/D&gt;&lt;D xsi:type="xsd:double"&gt;5.20564999675749&lt;/D&gt;&lt;D xsi:type="xsd:double"&gt;4.62433079560035&lt;/D&gt;&lt;D xsi:type="xsd:double"&gt;4.5938724304449&lt;/D&gt;&lt;D xsi:type="xsd:double"&gt;4.11592138406137&lt;/D&gt;&lt;D xsi:type="xsd:double"&gt;4.09933278824744&lt;/D&gt;&lt;D xsi:type="xsd:double"&gt;4.16471235485433&lt;/D&gt;&lt;D xsi:type="xsd:double"&gt;4.52809145204439&lt;/D&gt;&lt;D xsi:type="xsd:double"&gt;4.65766096999669&lt;/D&gt;&lt;D xsi:type="xsd:double"&gt;5.07773013456982&lt;/D&gt;&lt;D xsi:type="xsd:double"&gt;4.16489593320795&lt;/D&gt;&lt;D xsi:type="xsd:double"&gt;3.89082145041814&lt;/D&gt;&lt;D xsi:type="xsd:double"&gt;3.89327078783371&lt;/D&gt;&lt;D xsi:type="xsd:double"&gt;3.76229850007478&lt;/D&gt;&lt;D xsi:type="xsd:double"&gt;3.97020161387718&lt;/D&gt;&lt;D xsi:type="xsd:double"&gt;4.04870105116023&lt;/D&gt;&lt;D xsi:type="xsd:double"&gt;4.06792517556015&lt;/D&gt;&lt;D xsi:type="xsd:double"&gt;3.98166013901819&lt;/D&gt;&lt;D xsi:type="xsd:double"&gt;3.72719645420885&lt;/D&gt;&lt;D xsi:type="xsd:double"&gt;4.05666734163374&lt;/D&gt;&lt;D xsi:type="xsd:double"&gt;4.19575376664592&lt;/D&gt;&lt;D xsi:type="xsd:double"&gt;4.44069922326281&lt;/D&gt;&lt;D xsi:type="xsd:double"&gt;4.34809194475481&lt;/D&gt;&lt;D xsi:type="xsd:double"&gt;4.28706193929623&lt;/D&gt;&lt;D xsi:type="xsd:double"&gt;4.17569664680564&lt;/D&gt;&lt;D xsi:type="xsd:double"&gt;4.23053411055241&lt;/D&gt;&lt;D xsi:type="xsd:double"&gt;3.9790367888955&lt;/D&gt;&lt;D xsi:type="xsd:double"&gt;3.78371081141722&lt;/D&gt;&lt;D xsi:type="xsd:double"&gt;3.84573118783838&lt;/D&gt;&lt;D xsi:type="xsd:double"&gt;3.81261955392827&lt;/D&gt;&lt;D xsi:type="xsd:double"&gt;3.76230027104624&lt;/D&gt;&lt;D xsi:type="xsd:double"&gt;4.14746897139404&lt;/D&gt;&lt;D xsi:type="xsd:double"&gt;4.40890085934433&lt;/D&gt;&lt;D xsi:type="xsd:double"&gt;4.34096714588984&lt;/D&gt;&lt;D xsi:type="xsd:double"&gt;4.41798152362856&lt;/D&gt;&lt;D xsi:type="xsd:double"&gt;4.17147983160375&lt;/D&gt;&lt;D xsi:type="xsd:double"&gt;3.91614136620434&lt;/D&gt;&lt;D xsi:type="xsd:double"&gt;3.88813806913115&lt;/D&gt;&lt;D xsi:type="xsd:double"&gt;3.83822347194099&lt;/D&gt;&lt;D xsi:type="xsd:double"&gt;3.67982187089095&lt;/D&gt;&lt;D xsi:type="xsd:double"&gt;3.89757536175736&lt;/D&gt;&lt;D xsi:type="xsd:double"&gt;3.77243463257306&lt;/D&gt;&lt;D xsi:type="xsd:double"&gt;3.77814961090437&lt;/D&gt;&lt;D xsi:type="xsd:double"&gt;3.98353470641992&lt;/D&gt;&lt;D xsi:type="xsd:double"&gt;4.28569802558053&lt;/D&gt;&lt;D xsi:type="xsd:double"&gt;4.36015209378943&lt;/D&gt;&lt;D xsi:type="xsd:double"&gt;4.1342212367847&lt;/D&gt;&lt;D xsi:type="xsd:double"&gt;4.03640464070568&lt;/D&gt;&lt;D xsi:type="xsd:double"&gt;3.9550748119479&lt;/D&gt;&lt;D xsi:type="xsd:double"&gt;4.4185178751377&lt;/D&gt;&lt;D xsi:type="xsd:double"&gt;5.57333337754808&lt;/D&gt;&lt;D xsi:type="xsd:double"&gt;4.84348308220594&lt;/D&gt;&lt;D xsi:type="xsd:double"&gt;4.42431226703463&lt;/D&gt;&lt;D xsi:type="xsd:double"&gt;3.88534548316878&lt;/D&gt;&lt;D xsi:type="xsd:double"&gt;3.87150582321332&lt;/D&gt;&lt;D xsi:type="xsd:double"&gt;3.57427562253223&lt;/D&gt;&lt;D xsi:type="xsd:double"&gt;3.39675853529123&lt;/D&gt;&lt;D xsi:type="xsd:double"&gt;3.29523788562654&lt;/D&gt;&lt;D xsi:type="xsd:double"&gt;3.40297856385245&lt;/D&gt;&lt;D xsi:type="xsd:double"&gt;3.48434441497424&lt;/D&gt;&lt;D xsi:type="xsd:double"&gt;3.48966129645212&lt;/D&gt;&lt;D xsi:type="xsd:double"&gt;3.53196099722459&lt;/D&gt;&lt;D xsi:type="xsd:double"&gt;3.52191993976154&lt;/D&gt;&lt;D xsi:type="xsd:double"&gt;3.35261686559539&lt;/D&gt;&lt;D xsi:type="xsd:double"&gt;3.29162712400075&lt;/D&gt;&lt;D xsi:type="xsd:double"&gt;3.21196821025278&lt;/D&gt;&lt;D xsi:type="xsd:double"&gt;3.28245161743688&lt;/D&gt;&lt;D xsi:type="xsd:double"&gt;3.13288632897302&lt;/D&gt;&lt;D xsi:type="xsd:double"&gt;3.05331717536082&lt;/D&gt;&lt;D xsi:type="xsd:double"&gt;2.88662364874138&lt;/D&gt;&lt;D xsi:type="xsd:double"&gt;3.04633912246491&lt;/D&gt;&lt;D xsi:type="xsd:double"&gt;3.21517494722211&lt;/D&gt;&lt;D xsi:type="xsd:double"&gt;3.0143854012247&lt;/D&gt;&lt;D xsi:type="xsd:double"&gt;2.97501143276177&lt;/D&gt;&lt;D xsi:type="xsd:double"&gt;2.91450617954492&lt;/D&gt;&lt;D xsi:type="xsd:double"&gt;2.69412851105511&lt;/D&gt;&lt;D xsi:type="xsd:double"&gt;2.87128755947104&lt;/D&gt;&lt;D xsi:type="xsd:double"&gt;3.12540912346508&lt;/D&gt;&lt;D xsi:type="xsd:double"&gt;3.33206505640006&lt;/D&gt;&lt;D xsi:type="xsd:double"&gt;3.05893659573738&lt;/D&gt;&lt;D xsi:type="xsd:double"&gt;3.31702598808102&lt;/D&gt;&lt;D xsi:type="xsd:double"&gt;3.32059031423394&lt;/D&gt;&lt;D xsi:type="xsd:double"&gt;3.49702745357395&lt;/D&gt;&lt;D xsi:type="xsd:double"&gt;3.80163977434626&lt;/D&gt;&lt;D xsi:type="xsd:double"&gt;3.67457267082526&lt;/D&gt;&lt;D xsi:type="xsd:double"&gt;3.70339384238428&lt;/D&gt;&lt;D xsi:type="xsd:double"&gt;3.93805881704209&lt;/D&gt;&lt;D xsi:type="xsd:double"&gt;3.43761459692224&lt;/D&gt;&lt;D xsi:type="xsd:double"&gt;3.43984579529659&lt;/D&gt;&lt;D xsi:type="xsd:double"&gt;3.43870894264452&lt;/D&gt;&lt;D xsi:type="xsd:double"&gt;3.37165616911542&lt;/D&gt;&lt;D xsi:type="xsd:double"&gt;3.58069383906285&lt;/D&gt;&lt;D xsi:type="xsd:double"&gt;3.72496257950987&lt;/D&gt;&lt;D xsi:type="xsd:double"&gt;3.88740416173759&lt;/D&gt;&lt;D xsi:type="xsd:double"&gt;3.76140813219745&lt;/D&gt;&lt;D xsi:type="xsd:double"&gt;3.57003211887691&lt;/D&gt;&lt;D xsi:type="xsd:double"&gt;3.47229619227911&lt;/D&gt;&lt;D xsi:type="xsd:double"&gt;3.31609061731576&lt;/D&gt;&lt;D xsi:type="xsd:double"&gt;3.30738750393069&lt;/D&gt;&lt;D xsi:type="xsd:double"&gt;3.37230638198307&lt;/D&gt;&lt;/FQL&gt;&lt;FQL&gt;&lt;Q&gt;VNM^FMA_PE(NTMA,-10AY,0,AM,"PORTAGG","MEANR")&lt;/Q&gt;&lt;R&gt;121&lt;/R&gt;&lt;C&gt;1&lt;/C&gt;&lt;D xsi:type="xsd:double"&gt;11.913340996789&lt;/D&gt;&lt;D xsi:type="xsd:double"&gt;11.9748446455961&lt;/D&gt;&lt;D xsi:type="xsd:double"&gt;12.7374623562498&lt;/D&gt;&lt;D xsi:type="xsd:double"&gt;12.8716382997369&lt;/D&gt;&lt;D xsi:type="xsd:double"&gt;12.7231194313458&lt;/D&gt;&lt;D xsi:type="xsd:double"&gt;12.204395191512&lt;/D&gt;&lt;D xsi:type="xsd:double"&gt;11.7946747199448&lt;/D&gt;&lt;D xsi:type="xsd:double"&gt;11.6736275154257&lt;/D&gt;&lt;D xsi:type="xsd:double"&gt;11.475369768337&lt;/D&gt;&lt;D xsi:type="xsd:double"&gt;12.1749285776459&lt;/D&gt;&lt;D xsi:type="xsd:double"&gt;12.9596816426554&lt;/D&gt;&lt;D xsi:type="xsd:double"&gt;11.7275478955052&lt;/D&gt;&lt;D xsi:type="xsd:double"&gt;13.5019561693428&lt;/D&gt;&lt;D xsi:type="xsd:double"&gt;12.974803420946&lt;/D&gt;&lt;D xsi:type="xsd:double"&gt;13.8075342842759&lt;/D&gt;&lt;D xsi:type="xsd:double"&gt;14.7774800002214&lt;/D&gt;&lt;D xsi:type="xsd:double"&gt;14.1290161373395&lt;/D&gt;&lt;D xsi:type="xsd:double"&gt;13.6649795580947&lt;/D&gt;&lt;D xsi:type="xsd:double"&gt;15.4968099536097&lt;/D&gt;&lt;D xsi:type="xsd:double"&gt;14.5389867307254&lt;/D&gt;&lt;D xsi:type="xsd:double"&gt;11.6654600575256&lt;/D&gt;&lt;D xsi:type="xsd:string"&gt;@NA&lt;/D&gt;&lt;D xsi:type="xsd:double"&gt;14.2555815592817&lt;/D&gt;&lt;D xsi:type="xsd:double"&gt;14.5578946984045&lt;/D&gt;&lt;D xsi:type="xsd:double"&gt;12.7242354320551&lt;/D&gt;&lt;D xsi:type="xsd:double"&gt;12.823122414418&lt;/D&gt;&lt;D xsi:type="xsd:double"&gt;12.3026182081815&lt;/D&gt;&lt;D xsi:type="xsd:double"&gt;12.6434853462463&lt;/D&gt;&lt;D xsi:type="xsd:double"&gt;11.7570469034642&lt;/D&gt;&lt;D xsi:type="xsd:double"&gt;11.3972695235681&lt;/D&gt;&lt;D xsi:type="xsd:double"&gt;13.2616597343002&lt;/D&gt;&lt;D xsi:type="xsd:double"&gt;12.4861295106295&lt;/D&gt;&lt;D xsi:type="xsd:double"&gt;12.5433861743713&lt;/D&gt;&lt;D xsi:type="xsd:double"&gt;12.4644920843474&lt;/D&gt;&lt;D xsi:type="xsd:double"&gt;13.2736914088181&lt;/D&gt;&lt;D xsi:type="xsd:double"&gt;13.1172401789193&lt;/D&gt;&lt;D xsi:type="xsd:double"&gt;13.9425614030947&lt;/D&gt;&lt;D xsi:type="xsd:double"&gt;14.4539238657438&lt;/D&gt;&lt;D xsi:type="xsd:double"&gt;14.6605478033657&lt;/D&gt;&lt;D xsi:type="xsd:double"&gt;14.5355968797181&lt;/D&gt;&lt;D xsi:type="xsd:double"&gt;15.6858430957169&lt;/D&gt;&lt;D xsi:type="xsd:double"&gt;16.0112508811187&lt;/D&gt;&lt;D xsi:type="xsd:double"&gt;16.128572221112&lt;/D&gt;&lt;D xsi:type="xsd:double"&gt;17.0580999639639&lt;/D&gt;&lt;D xsi:type="xsd:double"&gt;18.3583929437309&lt;/D&gt;&lt;D xsi:type="xsd:double"&gt;20.6442421710167&lt;/D&gt;&lt;D xsi:type="xsd:double"&gt;19.7001673746152&lt;/D&gt;&lt;D xsi:type="xsd:double"&gt;20.9071496975531&lt;/D&gt;&lt;D xsi:type="xsd:double"&gt;21.0044741977439&lt;/D&gt;&lt;D xsi:type="xsd:double"&gt;20.6333389676332&lt;/D&gt;&lt;D xsi:type="xsd:double"&gt;17.9911967424071&lt;/D&gt;&lt;D xsi:type="xsd:double"&gt;17.2170630380384&lt;/D&gt;&lt;D xsi:type="xsd:double"&gt;17.7616174691116&lt;/D&gt;&lt;D xsi:type="xsd:double"&gt;17.5541002024797&lt;/D&gt;&lt;D xsi:type="xsd:double"&gt;15.2040238297189&lt;/D&gt;&lt;D xsi:type="xsd:double"&gt;14.9332846220441&lt;/D&gt;&lt;D xsi:type="xsd:double"&gt;15.457673668964&lt;/D&gt;&lt;D xsi:type="xsd:double"&gt;14.9438139911432&lt;/D&gt;&lt;D xsi:type="xsd:double"&gt;16.1410749445884&lt;/D&gt;&lt;D xsi:type="xsd:double"&gt;17.6485956244657&lt;/D&gt;&lt;D xsi:type="xsd:double"&gt;17.7738781027207&lt;/D&gt;&lt;D xsi:type="xsd:double"&gt;17.498752645337&lt;/D&gt;&lt;D xsi:type="xsd:double"&gt;16.4420604602311&lt;/D&gt;&lt;D xsi:type="xsd:double"&gt;15.6833232488219&lt;/D&gt;&lt;D xsi:type="xsd:double"&gt;14.2170749537527&lt;/D&gt;&lt;D xsi:type="xsd:double"&gt;14.2828827843049&lt;/D&gt;&lt;D xsi:type="xsd:double"&gt;14.2598339482787&lt;/D&gt;&lt;D xsi:type="xsd:double"&gt;14.9139675869335&lt;/D&gt;&lt;D xsi:type="xsd:double"&gt;14.1852982437381&lt;/D&gt;&lt;D xsi:type="xsd:double"&gt;13.9092949750972&lt;/D&gt;&lt;D xsi:type="xsd:double"&gt;13.2803834946389&lt;/D&gt;&lt;D xsi:type="xsd:double"&gt;11.4351332143304&lt;/D&gt;&lt;D xsi:type="xsd:double"&gt;13.8378111994015&lt;/D&gt;&lt;D xsi:type="xsd:double"&gt;14.0063671362476&lt;/D&gt;&lt;D xsi:type="xsd:double"&gt;15.2404493302395&lt;/D&gt;&lt;D xsi:type="xsd:double"&gt;15.2095458217463&lt;/D&gt;&lt;D xsi:type="xsd:double"&gt;14.3964890584495&lt;/D&gt;&lt;D xsi:type="xsd:double"&gt;15.4884220920532&lt;/D&gt;&lt;D xsi:type="xsd:double"&gt;15.5158470090955&lt;/D&gt;&lt;D xsi:type="xsd:double"&gt;15.2152206660114&lt;/D&gt;&lt;D xsi:type="xsd:double"&gt;16.1245946905168&lt;/D&gt;&lt;D xsi:type="xsd:double"&gt;17.3865489076084&lt;/D&gt;&lt;D xsi:type="xsd:double"&gt;17.1921291450733&lt;/D&gt;&lt;D xsi:type="xsd:double"&gt;16.8904966536966&lt;/D&gt;&lt;D xsi:type="xsd:double"&gt;17.0728022060303&lt;/D&gt;&lt;D xsi:type="xsd:double"&gt;16.3466147409146&lt;/D&gt;&lt;D xsi:type="xsd:double"&gt;18.1707510460575&lt;/D&gt;&lt;D xsi:type="xsd:double"&gt;16.7176621845871&lt;/D&gt;&lt;D xsi:type="xsd:double"&gt;16.4261922012408&lt;/D&gt;&lt;D xsi:type="xsd:double"&gt;16.1442812292174&lt;/D&gt;&lt;D xsi:type="xsd:double"&gt;16.1680817624423&lt;/D&gt;&lt;D xsi:type="xsd:double"&gt;15.9826282455548&lt;/D&gt;&lt;D xsi:type="xsd:double"&gt;16.7478559525211&lt;/D&gt;&lt;D xsi:type="xsd:double"&gt;15.0733441929224&lt;/D&gt;&lt;D xsi:type="xsd:double"&gt;15.1246788399902&lt;/D&gt;&lt;D xsi:type="xsd:double"&gt;14.3687649913126&lt;/D&gt;&lt;D xsi:type="xsd:double"&gt;13.7075236715953&lt;/D&gt;&lt;D xsi:type="xsd:double"&gt;12.2879048011886&lt;/D&gt;&lt;D xsi:type="xsd:double"&gt;11.8568909360359&lt;/D&gt;&lt;D xsi:type="xsd:double"&gt;10.8134419400205&lt;/D&gt;&lt;D xsi:type="xsd:double"&gt;11.5758040082319&lt;/D&gt;&lt;D xsi:type="xsd:double"&gt;11.1087595782273&lt;/D&gt;&lt;D xsi:type="xsd:double"&gt;10.5805383169861&lt;/D&gt;&lt;D xsi:type="xsd:double"&gt;10.2294442644407&lt;/D&gt;&lt;D xsi:type="xsd:double"&gt;11.4349097221128&lt;/D&gt;&lt;D xsi:type="xsd:double"&gt;11.6355458337702&lt;/D&gt;&lt;D xsi:type="xsd:double"&gt;12.3686393916592&lt;/D&gt;&lt;D xsi:type="xsd:double"&gt;12.4371789424153&lt;/D&gt;&lt;D xsi:type="xsd:double"&gt;13.7462983761815&lt;/D&gt;&lt;D xsi:type="xsd:double"&gt;14.3607315351806&lt;/D&gt;&lt;D xsi:type="xsd:double"&gt;14.0920282453385&lt;/D&gt;&lt;D xsi:type="xsd:double"&gt;13.7252441662606&lt;/D&gt;&lt;D xsi:type="xsd:double"&gt;13.9956502659415&lt;/D&gt;&lt;D xsi:type="xsd:double"&gt;14.5465289983685&lt;/D&gt;&lt;D xsi:type="xsd:double"&gt;13.4847140804281&lt;/D&gt;&lt;D xsi:type="xsd:double"&gt;13.9193567228888&lt;/D&gt;&lt;D xsi:type="xsd:double"&gt;13.8954229288263&lt;/D&gt;&lt;D xsi:type="xsd:double"&gt;14.4968430772928&lt;/D&gt;&lt;D xsi:type="xsd:double"&gt;14.7789865777616&lt;/D&gt;&lt;D xsi:type="xsd:double"&gt;16.1981970711366&lt;/D&gt;&lt;D xsi:type="xsd:double"&gt;15.4065911340177&lt;/D&gt;&lt;/FQL&gt;&lt;FQL&gt;&lt;Q&gt;PLATI-FDS^FG_PRICE_CHANGE(0,-3AM)&lt;/Q&gt;&lt;R&gt;1&lt;/R&gt;&lt;C&gt;1&lt;/C&gt;&lt;D xsi:type="xsd:double"&gt;5&lt;/D&gt;&lt;/FQL&gt;&lt;FQL&gt;&lt;Q&gt;TIOS-FDS^FG_PRICE(0)/MAX(FG_PRICE(0,-1AY))&lt;/Q&gt;&lt;R&gt;1&lt;/R&gt;&lt;C&gt;1&lt;/C&gt;&lt;D xsi:type="xsd:double"&gt;0.748820754716981&lt;/D&gt;&lt;/FQL&gt;&lt;FQL&gt;&lt;Q&gt;KSA^FG_PRICE_MAVG(0,,,,60)&lt;/Q&gt;&lt;R&gt;1&lt;/R&gt;&lt;C&gt;1&lt;/C&gt;&lt;D xsi:type="xsd:double"&gt;44.017334&lt;/D&gt;&lt;/FQL&gt;&lt;FQL&gt;&lt;Q&gt;EZA^FG_PRICE_MAVG(0,,,,200)&lt;/Q&gt;&lt;R&gt;1&lt;/R&gt;&lt;C&gt;1&lt;/C&gt;&lt;D xsi:type="xsd:double"&gt;39.41415&lt;/D&gt;&lt;/FQL&gt;&lt;FQL&gt;&lt;Q&gt;EPHE^FG_PRICE(0)&lt;/Q&gt;&lt;R&gt;1&lt;/R&gt;&lt;C&gt;1&lt;/C&gt;&lt;D xsi:type="xsd:double"&gt;25.07&lt;/D&gt;&lt;/FQL&gt;&lt;FQL&gt;&lt;Q&gt;UAE^FG_TOTAL_RETURNC(0,-3AM)&lt;/Q&gt;&lt;R&gt;1&lt;/R&gt;&lt;C&gt;1&lt;/C&gt;&lt;D xsi:type="xsd:double"&gt;-2.1476507&lt;/D&gt;&lt;/FQL&gt;&lt;FQL&gt;&lt;Q&gt;MCHI^FG_TOTAL_RETURNC(0,-3AM)&lt;/Q&gt;&lt;R&gt;1&lt;/R&gt;&lt;C&gt;1&lt;/C&gt;&lt;D xsi:type="xsd:double"&gt;7.06743&lt;/D&gt;&lt;/FQL&gt;&lt;FQL&gt;&lt;Q&gt;GREK^FG_TOTAL_RETURNC(0,-3AM)&lt;/Q&gt;&lt;R&gt;1&lt;/R&gt;&lt;C&gt;1&lt;/C&gt;&lt;D xsi:type="xsd:double"&gt;0.07801056&lt;/D&gt;&lt;/FQL&gt;&lt;FQL&gt;&lt;Q&gt;EWW^FG_TOTAL_RETURNC(0,-6AM)&lt;/Q&gt;&lt;R&gt;1&lt;/R&gt;&lt;C&gt;1&lt;/C&gt;&lt;D xsi:type="xsd:double"&gt;21.582329&lt;/D&gt;&lt;/FQL&gt;&lt;FQL&gt;&lt;Q&gt;EPOL^P_PRICE(0)/P_PRICE_HIGH_PR(0,,,,,,"PRICE","INTRA","52W")&lt;/Q&gt;&lt;R&gt;1&lt;/R&gt;&lt;C&gt;1&lt;/C&gt;&lt;D xsi:type="xsd:double"&gt;0.93242157&lt;/D&gt;&lt;/FQL&gt;&lt;FQL&gt;&lt;Q&gt;CNYA^P_PRICE(0)/P_PRICE_LOW_PR(0,,,,,,"PRICE","INTRA","52W")-1&lt;/Q&gt;&lt;R&gt;1&lt;/R&gt;&lt;C&gt;1&lt;/C&gt;&lt;D xsi:type="xsd:double"&gt;0.1441598&lt;/D&gt;&lt;/FQL&gt;&lt;FQL&gt;&lt;Q&gt;URTH^PERCENT_CHANGE(FMA_EPS(+1,0,,,,"PORTAGG","MEAN"),FMA_EPS(+1,-1AM,,,,"PORTAGG","MEAN"))&lt;/Q&gt;&lt;R&gt;1&lt;/R&gt;&lt;C&gt;1&lt;/C&gt;&lt;D xsi:type="xsd:double"&gt;-1.00881174015027&lt;/D&gt;&lt;/FQL&gt;&lt;FQL&gt;&lt;Q&gt;VWO^FMA_COS_UP("EPS","1M",+1,NOW,,,"PORTAGG","MEANR")&lt;/Q&gt;&lt;R&gt;1&lt;/R&gt;&lt;C&gt;1&lt;/C&gt;&lt;D xsi:type="xsd:double"&gt;716&lt;/D&gt;&lt;/FQL&gt;&lt;FQL&gt;&lt;Q&gt;EWZ^FMA_COS_DOWN("EPS","1M",+1,NOW,,,"PORTAGG","MEANR")&lt;/Q&gt;&lt;R&gt;1&lt;/R&gt;&lt;C&gt;1&lt;/C&gt;&lt;D xsi:type="xsd:double"&gt;22&lt;/D&gt;&lt;/FQL&gt;&lt;FQL&gt;&lt;Q&gt;TUR^FMA_RBICS_REV_CURRENT(30, LOC, "PORTAGG")&lt;/Q&gt;&lt;R&gt;1&lt;/R&gt;&lt;C&gt;1&lt;/C&gt;&lt;D xsi:type="xsd:double"&gt;20.6004314734115&lt;/D&gt;&lt;/FQL&gt;&lt;FQL&gt;&lt;Q&gt;REFCNRMB-FDS^(SUBARRAY(NOT_NA(NO_REPEAT_F(FG_YIELD(NOW,-10AY,D))),0,1)-SUBARRAY(NOT_NA(NO_REPEAT_F(FG_YIELD(NOW,-10AY,D))),1,1))*100&lt;/Q&gt;&lt;R&gt;1&lt;/R&gt;&lt;C&gt;1&lt;/C&gt;&lt;D xsi:type="xsd:double"&gt;-9.99999999999996&lt;/D&gt;&lt;/FQL&gt;&lt;FQL&gt;&lt;Q&gt;TRYIN10Y-FDS^PCTCHG(FG_YIELD(0,,,,"YTM"),FG_YIELD(-3AM,,,,"YTM"))&lt;/Q&gt;&lt;R&gt;1&lt;/R&gt;&lt;C&gt;1&lt;/C&gt;&lt;D xsi:type="xsd:double"&gt;-0.048814293&lt;/D&gt;&lt;/FQL&gt;&lt;FQL&gt;&lt;Q&gt;EIDO^JULIAN(FMA_DIV_YLD(NTMA,NOW,NOW,M,"PORTAGG","MEANR").DATES)&lt;/Q&gt;&lt;R&gt;1&lt;/R&gt;&lt;C&gt;1&lt;/C&gt;&lt;D xsi:type="xsd:long"&gt;45379&lt;/D&gt;&lt;/FQL&gt;&lt;FQL&gt;&lt;Q&gt;KSA^FG_TOTAL_RETURNC(0,-1AM)&lt;/Q&gt;&lt;R&gt;1&lt;/R&gt;&lt;C&gt;1&lt;/C&gt;&lt;D xsi:type="xsd:double"&gt;-2.9713988&lt;/D&gt;&lt;/FQL&gt;&lt;FQL&gt;&lt;Q&gt;SET-BKK^FG_TOTAL_RETURNC(0,-3AM)&lt;/Q&gt;&lt;R&gt;1&lt;/R&gt;&lt;C&gt;1&lt;/C&gt;&lt;D xsi:type="xsd:double"&gt;-1.227206&lt;/D&gt;&lt;/FQL&gt;&lt;FQL&gt;&lt;Q&gt;MCHI^FG_TOTAL_RETURNC(0,-1AM)&lt;/Q&gt;&lt;R&gt;1&lt;/R&gt;&lt;C&gt;1&lt;/C&gt;&lt;D xsi:type="xsd:double"&gt;-1.8858492&lt;/D&gt;&lt;/FQL&gt;&lt;FQL&gt;&lt;Q&gt;EWZ^FG_TOTAL_RETURNC(0,-3AM)&lt;/Q&gt;&lt;R&gt;1&lt;/R&gt;&lt;C&gt;1&lt;/C&gt;&lt;D xsi:type="xsd:double"&gt;-8.508051&lt;/D&gt;&lt;/FQL&gt;&lt;FQL&gt;&lt;Q&gt;EWM^FG_TOTAL_RETURNC(0,-6AM)&lt;/Q&gt;&lt;R&gt;1&lt;/R&gt;&lt;C&gt;1&lt;/C&gt;&lt;D xsi:type="xsd:double"&gt;6.440246&lt;/D&gt;&lt;/FQL&gt;&lt;FQL&gt;&lt;Q&gt;URTH^FG_TOTAL_RETURNC(0,-6AM)&lt;/Q&gt;&lt;R&gt;1&lt;/R&gt;&lt;C&gt;1&lt;/C&gt;&lt;D xsi:type="xsd:double"&gt;15.9934635&lt;/D&gt;&lt;/FQL&gt;&lt;FQL&gt;&lt;Q&gt;VGK^FMA_DIV_YLD(NTMA,NOW,NOW,M,"PORTAGG","MEANR")&lt;/Q&gt;&lt;R&gt;1&lt;/R&gt;&lt;C&gt;1&lt;/C&gt;&lt;D xsi:type="xsd:double"&gt;3.58646501222304&lt;/D&gt;&lt;/FQL&gt;&lt;FQL&gt;&lt;Q&gt;SET-BKK^FG_FCF_YIELD_NTM(0)&lt;/Q&gt;&lt;R&gt;1&lt;/R&gt;&lt;C&gt;1&lt;/C&gt;&lt;D xsi:type="xsd:double"&gt;5.06146290348731&lt;/D&gt;&lt;/FQL&gt;&lt;FQL&gt;&lt;Q&gt;EWM^FMA_EVAL_EBIT(LTMA,NOW,NOW,M,"PORTAGG","MEANR")&lt;/Q&gt;&lt;R&gt;1&lt;/R&gt;&lt;C&gt;1&lt;/C&gt;&lt;D xsi:type="xsd:double"&gt;17.9776642364183&lt;/D&gt;&lt;/FQL&gt;&lt;FQL&gt;&lt;Q&gt;EPHE^FG_COMPANY_NAME&lt;/Q&gt;&lt;R&gt;1&lt;/R&gt;&lt;C&gt;1&lt;/C&gt;&lt;D xsi:type="xsd:string"&gt;iShares MSCI Philippines ETF&lt;/D&gt;&lt;/FQL&gt;&lt;FQL&gt;&lt;Q&gt;KSA^FG_PRICE_MAVG(0,,,,30)&lt;/Q&gt;&lt;R&gt;1&lt;/R&gt;&lt;C&gt;1&lt;/C&gt;&lt;D xsi:type="xsd:double"&gt;44.343666&lt;/D&gt;&lt;/FQL&gt;&lt;FQL&gt;&lt;Q&gt;UAE^FG_TOTAL_RETURNC(0,-1AM)&lt;/Q&gt;&lt;R&gt;1&lt;/R&gt;&lt;C&gt;1&lt;/C&gt;&lt;D xsi:type="xsd:double"&gt;-1.4864862&lt;/D&gt;&lt;/FQL&gt;&lt;FQL&gt;&lt;Q&gt;SET-BKK^FG_TOTAL_RETURNC(0,-1AM)&lt;/Q&gt;&lt;R&gt;1&lt;/R&gt;&lt;C&gt;1&lt;/C&gt;&lt;D xsi:type="xsd:double"&gt;-1.7980516&lt;/D&gt;&lt;/FQL&gt;&lt;FQL&gt;&lt;Q&gt;GREK^FG_TOTAL_RETURNC(0,-1AM)&lt;/Q&gt;&lt;R&gt;1&lt;/R&gt;&lt;C&gt;1&lt;/C&gt;&lt;D xsi:type="xsd:double"&gt;-4.1106043&lt;/D&gt;&lt;/FQL&gt;&lt;FQL&gt;&lt;Q&gt;EWW^FG_TOTAL_RETURNC(0,-3AM)&lt;/Q&gt;&lt;R&gt;1&lt;/R&gt;&lt;C&gt;1&lt;/C&gt;&lt;D xsi:type="xsd:double"&gt;1.5326858&lt;/D&gt;&lt;/FQL&gt;&lt;FQL&gt;&lt;Q&gt;EPOL^FG_TOTAL_RETURNC(0,-6AM)&lt;/Q&gt;&lt;R&gt;1&lt;/R&gt;&lt;C&gt;1&lt;/C&gt;&lt;D xsi:type="xsd:double"&gt;23.422623&lt;/D&gt;&lt;/FQL&gt;&lt;FQL&gt;&lt;Q&gt;CNYA^P_PRICE(0)/P_PRICE_HIGH_PR(0,,,,,,"PRICE","INTRA","52W")&lt;/Q&gt;&lt;R&gt;1&lt;/R&gt;&lt;C&gt;1&lt;/C&gt;&lt;D xsi:type="xsd:double"&gt;0.7943926&lt;/D&gt;&lt;/FQL&gt;&lt;FQL&gt;&lt;Q&gt;TRYJP10Y-FDS^FG_YIELD(-10AY,0,Y,,"YTM")&lt;/Q&gt;&lt;R&gt;10&lt;/R&gt;&lt;C&gt;1&lt;/C&gt;&lt;D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xsi:type="xsd:double"&gt;0.6127&lt;/D&gt;&lt;/FQL&gt;&lt;FQL&gt;&lt;Q&gt;CAGDPY@ID^EE_ACTUAL_ANNUAL(MED,+1)&lt;/Q&gt;&lt;R&gt;1&lt;/R&gt;&lt;C&gt;1&lt;/C&gt;&lt;D xsi:type="xsd:double"&gt;-0.5&lt;/D&gt;&lt;/FQL&gt;&lt;FQL&gt;&lt;Q&gt;USDEUR^FG_PRICE_CHANGE(0,-6AM)&lt;/Q&gt;&lt;R&gt;1&lt;/R&gt;&lt;C&gt;1&lt;/C&gt;&lt;D xsi:type="xsd:double"&gt;-1.0980248&lt;/D&gt;&lt;/FQL&gt;&lt;FQL&gt;&lt;Q&gt;USDPLN^FG_PRICE_CHANGE(0,-6AM)&lt;/Q&gt;&lt;R&gt;1&lt;/R&gt;&lt;C&gt;1&lt;/C&gt;&lt;D xsi:type="xsd:double"&gt;-3.668642&lt;/D&gt;&lt;/FQL&gt;&lt;FQL&gt;&lt;Q&gt;SET-BKK^P_PRICE_RETURNS_PR('52W',2,-10AY,0,AM)&lt;/Q&gt;&lt;R&gt;121&lt;/R&gt;&lt;C&gt;1&lt;/C&gt;&lt;D xsi:type="xsd:double"&gt;-7.8822794&lt;/D&gt;&lt;D xsi:type="xsd:double"&gt;-13.142425&lt;/D&gt;&lt;D xsi:type="xsd:double"&gt;1.6771436&lt;/D&gt;&lt;D xsi:type="xsd:double"&gt;3.1078815&lt;/D&gt;&lt;D xsi:type="xsd:double"&gt;6.681609&lt;/D&gt;&lt;D xsi:type="xsd:double"&gt;10.082483&lt;/D&gt;&lt;D xsi:type="xsd:double"&gt;4.0582895&lt;/D&gt;&lt;D xsi:type="xsd:double"&gt;11.047363&lt;/D&gt;&lt;D xsi:type="xsd:double"&gt;12.366474&lt;/D&gt;&lt;D xsi:type="xsd:double"&gt;16.616463&lt;/D&gt;&lt;D xsi:type="xsd:double"&gt;20.881308&lt;/D&gt;&lt;D xsi:type="xsd:double"&gt;11.537563&lt;/D&gt;&lt;D xsi:type="xsd:double"&gt;11.220348&lt;/D&gt;&lt;D xsi:type="xsd:double"&gt;7.4826&lt;/D&gt;&lt;D xsi:type="xsd:double"&gt;3.9053082&lt;/D&gt;&lt;D xsi:type="xsd:double"&gt;-3.6694288&lt;/D&gt;&lt;D xsi:type="xsd:double"&gt;-11.00586&lt;/D&gt;&lt;D xsi:type="xsd:double"&gt;-12.240017&lt;/D&gt;&lt;D xsi:type="xsd:double"&gt;-7.0615587&lt;/D&gt;&lt;D xsi:type="xsd:double"&gt;-12.929487&lt;/D&gt;&lt;D xsi:type="xsd:double"&gt;-15.286886&lt;/D&gt;&lt;D xsi:type="xsd:double"&gt;-17.966843&lt;/D&gt;&lt;D xsi:type="xsd:double"&gt;-19.246609&lt;/D&gt;&lt;D xsi:type="xsd:double"&gt;-9.698993&lt;/D&gt;&lt;D xsi:type="xsd:double"&gt;-10.727251&lt;/D&gt;&lt;D xsi:type="xsd:double"&gt;-7.276833&lt;/D&gt;&lt;D xsi:type="xsd:double"&gt;-6.1704993&lt;/D&gt;&lt;D xsi:type="xsd:double"&gt;0.35378933&lt;/D&gt;&lt;D xsi:type="xsd:double"&gt;12.705719&lt;/D&gt;&lt;D xsi:type="xsd:double"&gt;7.039356&lt;/D&gt;&lt;D xsi:type="xsd:double"&gt;4.170954&lt;/D&gt;&lt;D xsi:type="xsd:double"&gt;7.04813&lt;/D&gt;&lt;D xsi:type="xsd:double"&gt;17.195488&lt;/D&gt;&lt;D xsi:type="xsd:double"&gt;25.362825&lt;/D&gt;&lt;D xsi:type="xsd:double"&gt;22.458422&lt;/D&gt;&lt;D xsi:type="xsd:double"&gt;13.098108&lt;/D&gt;&lt;D xsi:type="xsd:double"&gt;12.557459&lt;/D&gt;&lt;D xsi:type="xsd:double"&gt;10.380578&lt;/D&gt;&lt;D xsi:type="xsd:double"&gt;11.719894&lt;/D&gt;&lt;D xsi:type="xsd:double"&gt;5.329764&lt;/D&gt;&lt;D xsi:type="xsd:double"&gt;1.2617946&lt;/D&gt;&lt;D xsi:type="xsd:double"&gt;12.922311&lt;/D&gt;&lt;D xsi:type="xsd:double"&gt;15.565741&lt;/D&gt;&lt;D xsi:type="xsd:double"&gt;15.980601&lt;/D&gt;&lt;D xsi:type="xsd:double"&gt;13.215017&lt;/D&gt;&lt;D xsi:type="xsd:double"&gt;16.561054&lt;/D&gt;&lt;D xsi:type="xsd:double"&gt;14.58329&lt;/D&gt;&lt;D xsi:type="xsd:double"&gt;16.358494&lt;/D&gt;&lt;D xsi:type="xsd:double"&gt;12.521434&lt;/D&gt;&lt;D xsi:type="xsd:double"&gt;13.473881&lt;/D&gt;&lt;D xsi:type="xsd:double"&gt;6.539476&lt;/D&gt;&lt;D xsi:type="xsd:double"&gt;4.093492&lt;/D&gt;&lt;D xsi:type="xsd:double"&gt;7.7179074&lt;/D&gt;&lt;D xsi:type="xsd:double"&gt;4.4437885&lt;/D&gt;&lt;D xsi:type="xsd:double"&gt;-1.4418483&lt;/D&gt;&lt;D xsi:type="xsd:double"&gt;-3.3259451&lt;/D&gt;&lt;D xsi:type="xsd:double"&gt;-8.152187&lt;/D&gt;&lt;D xsi:type="xsd:double"&gt;-12.947142&lt;/D&gt;&lt;D xsi:type="xsd:double"&gt;-9.423614&lt;/D&gt;&lt;D xsi:type="xsd:double"&gt;-10.718309&lt;/D&gt;&lt;D xsi:type="xsd:double"&gt;-5.4505644&lt;/D&gt;&lt;D xsi:type="xsd:double"&gt;-8.170968&lt;/D&gt;&lt;D xsi:type="xsd:double"&gt;0.23337603&lt;/D&gt;&lt;D xsi:type="xsd:double"&gt;5.3544044&lt;/D&gt;&lt;D xsi:type="xsd:double"&gt;-2.948314&lt;/D&gt;&lt;D xsi:type="xsd:double"&gt;-5.175358&lt;/D&gt;&lt;D xsi:type="xsd:double"&gt;-3.0589879&lt;/D&gt;&lt;D xsi:type="xsd:double"&gt;-1.6513765&lt;/D&gt;&lt;D xsi:type="xsd:double"&gt;-1.2285292&lt;/D&gt;&lt;D xsi:type="xsd:double"&gt;1.2769699&lt;/D&gt;&lt;D xsi:type="xsd:double"&gt;-7.4603615&lt;/D&gt;&lt;D xsi:type="xsd:double"&gt;-35.202183&lt;/D&gt;&lt;D xsi:type="xsd:double"&gt;-25.93593&lt;/D&gt;&lt;D xsi:type="xsd:double"&gt;-19.997389&lt;/D&gt;&lt;D xsi:type="xsd:double"&gt;-18.449747&lt;/D&gt;&lt;D xsi:type="xsd:double"&gt;-20.90177&lt;/D&gt;&lt;D xsi:type="xsd:double"&gt;-18.46819&lt;/D&gt;&lt;D xsi:type="xsd:double"&gt;-22.111189&lt;/D&gt;&lt;D xsi:type="xsd:double"&gt;-24.52063&lt;/D&gt;&lt;D xsi:type="xsd:double"&gt;-15.13744&lt;/D&gt;&lt;D xsi:type="xsd:double"&gt;-5.2029076&lt;/D&gt;&lt;D xsi:type="xsd:double"&gt;-5.6451797&lt;/D&gt;&lt;D xsi:type="xsd:double"&gt;-0.17507076&lt;/D&gt;&lt;D xsi:type="xsd:double"&gt;49.675133&lt;/D&gt;&lt;D xsi:type="xsd:double"&gt;29.063856&lt;/D&gt;&lt;D xsi:type="xsd:double"&gt;21.784962&lt;/D&gt;&lt;D xsi:type="xsd:double"&gt;17.48023&lt;/D&gt;&lt;D xsi:type="xsd:double"&gt;16.80516&lt;/D&gt;&lt;D xsi:type="xsd:double"&gt;16.672302&lt;/D&gt;&lt;D xsi:type="xsd:double"&gt;26.56883&lt;/D&gt;&lt;D xsi:type="xsd:double"&gt;33.25335&lt;/D&gt;&lt;D xsi:type="xsd:double"&gt;20.990192&lt;/D&gt;&lt;D xsi:type="xsd:double"&gt;10.636902&lt;/D&gt;&lt;D xsi:type="xsd:double"&gt;9.942186&lt;/D&gt;&lt;D xsi:type="xsd:double"&gt;13.37961&lt;/D&gt;&lt;D xsi:type="xsd:double"&gt;6.991887&lt;/D&gt;&lt;D xsi:type="xsd:double"&gt;7.689035&lt;/D&gt;&lt;D xsi:type="xsd:double"&gt;3.4165144&lt;/D&gt;&lt;D xsi:type="xsd:double"&gt;-3.6015213&lt;/D&gt;&lt;D xsi:type="xsd:double"&gt;-1.8775702&lt;/D&gt;&lt;D xsi:type="xsd:double"&gt;5.4257035&lt;/D&gt;&lt;D xsi:type="xsd:double"&gt;-0.07966757&lt;/D&gt;&lt;D xsi:type="xsd:double"&gt;-3.2580674&lt;/D&gt;&lt;D xsi:type="xsd:double"&gt;-2.0375311&lt;/D&gt;&lt;D xsi:type="xsd:double"&gt;-1.5990794&lt;/D&gt;&lt;D xsi:type="xsd:double"&gt;1.5160084&lt;/D&gt;&lt;D xsi:type="xsd:double"&gt;-3.5002708&lt;/D&gt;&lt;D xsi:type="xsd:double"&gt;-7.0218086&lt;/D&gt;&lt;D xsi:type</t>
        </r>
      </text>
    </comment>
    <comment ref="A13" authorId="0" shapeId="0" xr:uid="{EA62795D-DBAC-446C-ADE0-DF17DE4FA5EB}">
      <text>
        <r>
          <rPr>
            <b/>
            <sz val="9"/>
            <color indexed="81"/>
            <rFont val="Tahoma"/>
            <charset val="1"/>
          </rPr>
          <t>="xsd:double"&gt;-4.448885&lt;/D&gt;&lt;D xsi:type="xsd:double"&gt;-5.77907&lt;/D&gt;&lt;D xsi:type="xsd:double"&gt;-0.109535456&lt;/D&gt;&lt;D xsi:type="xsd:double"&gt;-0.6156087&lt;/D&gt;&lt;D xsi:type="xsd:double"&gt;-7.148224&lt;/D&gt;&lt;D xsi:type="xsd:double"&gt;-6.307048&lt;/D&gt;&lt;D xsi:type="xsd:double"&gt;-9.589654&lt;/D&gt;&lt;D xsi:type="xsd:double"&gt;-12.332887&lt;/D&gt;&lt;D xsi:type="xsd:double"&gt;-13.93444&lt;/D&gt;&lt;D xsi:type="xsd:double"&gt;-18.245083&lt;/D&gt;&lt;D xsi:type="xsd:double"&gt;-16.403645&lt;/D&gt;&lt;D xsi:type="xsd:double"&gt;-11.366213&lt;/D&gt;&lt;D xsi:type="xsd:double"&gt;-14.60802&lt;/D&gt;&lt;/FQL&gt;&lt;FQL&gt;&lt;Q&gt;EIDO^FMA_PE(LTMA,-10AY,0,AM,"PORTAGG","MEANR")&lt;/Q&gt;&lt;R&gt;121&lt;/R&gt;&lt;C&gt;1&lt;/C&gt;&lt;D xsi:type="xsd:double"&gt;15.7437423780365&lt;/D&gt;&lt;D xsi:type="xsd:double"&gt;15.7703186710426&lt;/D&gt;&lt;D xsi:type="xsd:double"&gt;15.4743432883062&lt;/D&gt;&lt;D xsi:type="xsd:double"&gt;15.8008753441489&lt;/D&gt;&lt;D xsi:type="xsd:double"&gt;15.9294883367803&lt;/D&gt;&lt;D xsi:type="xsd:double"&gt;15.9412337458988&lt;/D&gt;&lt;D xsi:type="xsd:double"&gt;15.896663151606&lt;/D&gt;&lt;D xsi:type="xsd:double"&gt;16.0872926816006&lt;/D&gt;&lt;D xsi:type="xsd:double"&gt;16.6100997673079&lt;/D&gt;&lt;D xsi:type="xsd:double"&gt;16.6690620800283&lt;/D&gt;&lt;D xsi:type="xsd:double"&gt;17.7556124243023&lt;/D&gt;&lt;D xsi:type="xsd:double"&gt;17.8869628250073&lt;/D&gt;&lt;D xsi:type="xsd:double"&gt;17.8008324346129&lt;/D&gt;&lt;D xsi:type="xsd:double"&gt;17.4949706912407&lt;/D&gt;&lt;D xsi:type="xsd:double"&gt;17.0304662147191&lt;/D&gt;&lt;D xsi:type="xsd:double"&gt;16.8268583675978&lt;/D&gt;&lt;D xsi:type="xsd:double"&gt;16.2177719797437&lt;/D&gt;&lt;D xsi:type="xsd:double"&gt;15.8215603905147&lt;/D&gt;&lt;D xsi:type="xsd:double"&gt;16.3381128166099&lt;/D&gt;&lt;D xsi:type="xsd:double"&gt;16.2456243308863&lt;/D&gt;&lt;D xsi:type="xsd:double"&gt;15.7986612129838&lt;/D&gt;&lt;D xsi:type="xsd:double"&gt;15.9414047993457&lt;/D&gt;&lt;D xsi:type="xsd:double"&gt;16.822762598546&lt;/D&gt;&lt;D xsi:type="xsd:double"&gt;16.8355097600451&lt;/D&gt;&lt;D xsi:type="xsd:double"&gt;16.6713742858443&lt;/D&gt;&lt;D xsi:type="xsd:double"&gt;16.3289831494955&lt;/D&gt;&lt;D xsi:type="xsd:double"&gt;16.5335784164228&lt;/D&gt;&lt;D xsi:type="xsd:double"&gt;17.1941217565881&lt;/D&gt;&lt;D xsi:type="xsd:double"&gt;18.0903131828085&lt;/D&gt;&lt;D xsi:type="xsd:double"&gt;17.6236908650807&lt;/D&gt;&lt;D xsi:type="xsd:double"&gt;18.3662199041819&lt;/D&gt;&lt;D xsi:type="xsd:double"&gt;17.1159082846515&lt;/D&gt;&lt;D xsi:type="xsd:double"&gt;17.3348753503809&lt;/D&gt;&lt;D xsi:type="xsd:double"&gt;17.7277430246406&lt;/D&gt;&lt;D xsi:type="xsd:double"&gt;17.5651246521615&lt;/D&gt;&lt;D xsi:type="xsd:double"&gt;17.5090147983414&lt;/D&gt;&lt;D xsi:type="xsd:double"&gt;17.3375450607249&lt;/D&gt;&lt;D xsi:type="xsd:double"&gt;17.3016195682143&lt;/D&gt;&lt;D xsi:type="xsd:double"&gt;17.2621129963733&lt;/D&gt;&lt;D xsi:type="xsd:double"&gt;17.3425066410833&lt;/D&gt;&lt;D xsi:type="xsd:double"&gt;17.3356003359079&lt;/D&gt;&lt;D xsi:type="xsd:double"&gt;17.1739759074583&lt;/D&gt;&lt;D xsi:type="xsd:double"&gt;17.3450613892638&lt;/D&gt;&lt;D xsi:type="xsd:double"&gt;17.3364580759484&lt;/D&gt;&lt;D xsi:type="xsd:double"&gt;17.3437163783742&lt;/D&gt;&lt;D xsi:type="xsd:double"&gt;18.3307823683631&lt;/D&gt;&lt;D xsi:type="xsd:double"&gt;17.8494631541533&lt;/D&gt;&lt;D xsi:type="xsd:double"&gt;17.4315487692011&lt;/D&gt;&lt;D xsi:type="xsd:double"&gt;17.2767421239673&lt;/D&gt;&lt;D xsi:type="xsd:double"&gt;16.4068307984122&lt;/D&gt;&lt;D xsi:type="xsd:double"&gt;16.2390703132329&lt;/D&gt;&lt;D xsi:type="xsd:double"&gt;15.6767437456039&lt;/D&gt;&lt;D xsi:type="xsd:double"&gt;15.5591073194015&lt;/D&gt;&lt;D xsi:type="xsd:double"&gt;15.2590829815009&lt;/D&gt;&lt;D xsi:type="xsd:double"&gt;15.0938822338818&lt;/D&gt;&lt;D xsi:type="xsd:double"&gt;15.6243955580947&lt;/D&gt;&lt;D xsi:type="xsd:double"&gt;15.4235954437307&lt;/D&gt;&lt;D xsi:type="xsd:double"&gt;16.4321237215147&lt;/D&gt;&lt;D xsi:type="xsd:double"&gt;15.7545144494723&lt;/D&gt;&lt;D xsi:type="xsd:double"&gt;15.9147470545852&lt;/D&gt;&lt;D xsi:type="xsd:double"&gt;15.755407035165&lt;/D&gt;&lt;D xsi:type="xsd:double"&gt;14.9630766041044&lt;/D&gt;&lt;D xsi:type="xsd:double"&gt;15.4249010866126&lt;/D&gt;&lt;D xsi:type="xsd:double"&gt;16.014966617622&lt;/D&gt;&lt;D xsi:type="xsd:double"&gt;15.836604478639&lt;/D&gt;&lt;D xsi:type="xsd:double"&gt;16.0028999668204&lt;/D&gt;&lt;D xsi:type="xsd:double"&gt;15.9073852116549&lt;/D&gt;&lt;D xsi:type="xsd:double"&gt;16.1350659583894&lt;/D&gt;&lt;D xsi:type="xsd:double"&gt;16.7570939041681&lt;/D&gt;&lt;D xsi:type="xsd:double"&gt;17.5387959743094&lt;/D&gt;&lt;D xsi:type="xsd:double"&gt;16.432279794063&lt;/D&gt;&lt;D xsi:type="xsd:double"&gt;14.255533717703&lt;/D&gt;&lt;D xsi:type="xsd:double"&gt;14.2248862529076&lt;/D&gt;&lt;D xsi:type="xsd:double"&gt;14.4579224921895&lt;/D&gt;&lt;D xsi:type="xsd:double"&gt;16.442839739367&lt;/D&gt;&lt;D xsi:type="xsd:double"&gt;17.2319971436305&lt;/D&gt;&lt;D xsi:type="xsd:double"&gt;18.523344705387&lt;/D&gt;&lt;D xsi:type="xsd:double"&gt;18.357434207611&lt;/D&gt;&lt;D xsi:type="xsd:double"&gt;19.4539756279404&lt;/D&gt;&lt;D xsi:type="xsd:double"&gt;22.2889150869759&lt;/D&gt;&lt;D xsi:type="xsd:double"&gt;26.1366572044874&lt;/D&gt;&lt;D xsi:type="xsd:double"&gt;25.8672002045072&lt;/D&gt;&lt;D xsi:type="xsd:double"&gt;24.1808487951857&lt;/D&gt;&lt;D xsi:type="xsd:double"&gt;23.7693738384561&lt;/D&gt;&lt;D xsi:type="xsd:double"&gt;23.0075383946551&lt;/D&gt;&lt;D xsi:type="xsd:double"&gt;22.0027060959364&lt;/D&gt;&lt;D xsi:type="xsd:double"&gt;21.2456348608542&lt;/D&gt;&lt;D xsi:type="xsd:double"&gt;20.4347044948871&lt;/D&gt;&lt;D xsi:type="xsd:double"&gt;20.1024713044675&lt;/D&gt;&lt;D xsi:type="xsd:double"&gt;19.3301172730702&lt;/D&gt;&lt;D xsi:type="xsd:double"&gt;19.6960325927375&lt;/D&gt;&lt;D xsi:type="xsd:double"&gt;18.0633045088667&lt;/D&gt;&lt;D xsi:type="xsd:double"&gt;17.1385322806067&lt;/D&gt;&lt;D xsi:type="xsd:double"&gt;16.9018084436581&lt;/D&gt;&lt;D xsi:type="xsd:double"&gt;17.3597099202146&lt;/D&gt;&lt;D xsi:type="xsd:double"&gt;17.2868471298465&lt;/D&gt;&lt;D xsi:type="xsd:double"&gt;16.9420125302126&lt;/D&gt;&lt;D xsi:type="xsd:double"&gt;16.2862734433097&lt;/D&gt;&lt;D xsi:type="xsd:double"&gt;15.5724901027013&lt;/D&gt;&lt;D xsi:type="xsd:double"&gt;14.872655721258&lt;/D&gt;&lt;D xsi:type="xsd:double"&gt;14.9176418471668&lt;/D&gt;&lt;D xsi:type="xsd:double"&gt;14.6311599363719&lt;/D&gt;&lt;D xsi:type="xsd:double"&gt;13.5971549054277&lt;/D&gt;&lt;D xsi:type="xsd:double"&gt;13.3133602378342&lt;/D&gt;&lt;D xsi:type="xsd:double"&gt;12.7100510218622&lt;/D&gt;&lt;D xsi:type="xsd:double"&gt;12.1764421207123&lt;/D&gt;&lt;D xsi:type="xsd:double"&gt;12.4240757561&lt;/D&gt;&lt;D xsi:type="xsd:double"&gt;11.98695577943&lt;/D&gt;&lt;D xsi:type="xsd:double"&gt;12.1527988842019&lt;/D&gt;&lt;D xsi:type="xsd:double"&gt;12.059747343667&lt;/D&gt;&lt;D xsi:type="xsd:double"&gt;13.0402822889052&lt;/D&gt;&lt;D xsi:type="xsd:double"&gt;13.1785410446973&lt;/D&gt;&lt;D xsi:type="xsd:double"&gt;13.3924293857721&lt;/D&gt;&lt;D xsi:type="xsd:double"&gt;13.4323946038228&lt;/D&gt;&lt;D xsi:type="xsd:double"&gt;13.2111735307624&lt;/D&gt;&lt;D xsi:type="xsd:double"&gt;13.2817878150657&lt;/D&gt;&lt;D xsi:type="xsd:double"&gt;13.5734042174032&lt;/D&gt;&lt;D xsi:type="xsd:double"&gt;14.0184522843598&lt;/D&gt;&lt;D xsi:type="xsd:double"&gt;14.4413576669619&lt;/D&gt;&lt;D xsi:type="xsd:double"&gt;14.0888992026858&lt;/D&gt;&lt;D xsi:type="xsd:double"&gt;13.882490911276&lt;/D&gt;&lt;/FQL&gt;&lt;FQL&gt;&lt;Q&gt;WL-FDS^FG_PRICE(0)&lt;/Q&gt;&lt;R&gt;1&lt;/R&gt;&lt;C&gt;1&lt;/C&gt;&lt;D xsi:type="xsd:double"&gt;568.9&lt;/D&gt;&lt;/FQL&gt;&lt;FQL&gt;&lt;Q&gt;W-FDS^FG_PRICE(0)&lt;/Q&gt;&lt;R&gt;1&lt;/R&gt;&lt;C&gt;1&lt;/C&gt;&lt;D xsi:type="xsd:double"&gt;5.3675&lt;/D&gt;&lt;/FQL&gt;&lt;FQL&gt;&lt;Q&gt;FC0000TR^FG_PRICE(0)&lt;/Q&gt;&lt;R&gt;1&lt;/R&gt;&lt;C&gt;1&lt;/C&gt;&lt;D xsi:type="xsd:double"&gt;234.78787&lt;/D&gt;&lt;/FQL&gt;&lt;FQL&gt;&lt;Q&gt;FC0000PH^FG_PRICE(0)&lt;/Q&gt;&lt;R&gt;1&lt;/R&gt;&lt;C&gt;1&lt;/C&gt;&lt;D xsi:type="xsd:double"&gt;311.1771&lt;/D&gt;&lt;/FQL&gt;&lt;FQL&gt;&lt;Q&gt;EWT^FG_PRICE_MAVG(0,,,,30)&lt;/Q&gt;&lt;R&gt;1&lt;/R&gt;&lt;C&gt;1&lt;/C&gt;&lt;D xsi:type="xsd:double"&gt;48.494&lt;/D&gt;&lt;/FQL&gt;&lt;FQL&gt;&lt;Q&gt;EIDO^P_PRICE(0)/P_PRICE_HIGH_PR(0,,,,,,"PRICE","INTRA","52W")&lt;/Q&gt;&lt;R&gt;1&lt;/R&gt;&lt;C&gt;1&lt;/C&gt;&lt;D xsi:type="xsd:double"&gt;0.84301853&lt;/D&gt;&lt;/FQL&gt;&lt;FQL&gt;&lt;Q&gt;URTH^FMA_PCT_ABOVE_MAVG(200,0,,,,"PORTAGG")&lt;/Q&gt;&lt;R&gt;1&lt;/R&gt;&lt;C&gt;1&lt;/C&gt;&lt;D xsi:type="xsd:double"&gt;66.3934426229508&lt;/D&gt;&lt;/FQL&gt;&lt;FQL&gt;&lt;Q&gt;SET-BKK^FMA_COS_UP("EPS","1M",+1,NOW,,,"PORTAGG","MEANR")&lt;/Q&gt;&lt;R&gt;1&lt;/R&gt;&lt;C&gt;1&lt;/C&gt;&lt;D xsi:type="xsd:double"&gt;60&lt;/D&gt;&lt;/FQL&gt;&lt;FQL&gt;&lt;Q&gt;EPOL^FMA_COS_DOWN("EPS","1M",+1,NOW,,,"PORTAGG","MEANR")&lt;/Q&gt;&lt;R&gt;1&lt;/R&gt;&lt;C&gt;1&lt;/C&gt;&lt;D xsi:type="xsd:double"&gt;9&lt;/D&gt;&lt;/FQL&gt;&lt;FQL&gt;&lt;Q&gt;KSA^FG_ROE(0)&lt;/Q&gt;&lt;R&gt;1&lt;/R&gt;&lt;C&gt;1&lt;/C&gt;&lt;D xsi:type="xsd:double"&gt;10.6554395702785&lt;/D&gt;&lt;/FQL&gt;&lt;FQL&gt;&lt;Q&gt;EPHE^FG_ROE(0)&lt;/Q&gt;&lt;R&gt;1&lt;/R&gt;&lt;C&gt;1&lt;/C&gt;&lt;D xsi:type="xsd:double"&gt;12.37237537183&lt;/D&gt;&lt;/FQL&gt;&lt;FQL&gt;&lt;Q&gt;TRYTW10Y-FDS^FG_YIELD_NAME&lt;/Q&gt;&lt;R&gt;1&lt;/R&gt;&lt;C&gt;1&lt;/C&gt;&lt;D xsi:type="xsd:string"&gt;Taiwan China Benchmark Bond - 10 Year&lt;/D&gt;&lt;/FQL&gt;&lt;FQL&gt;&lt;Q&gt;REFTR1WREPO-FDS^(SUBARRAY(NOT_NA(NO_REPEAT_F(FG_YIELD(NOW,-10AY,D))),0,1)-SUBARRAY(NOT_NA(NO_REPEAT_F(FG_YIELD(NOW,-10AY,D))),1,1))*100&lt;/Q&gt;&lt;R&gt;1&lt;/R&gt;&lt;C&gt;1&lt;/C&gt;&lt;D xsi:type="xsd:double"&gt;500&lt;/D&gt;&lt;/FQL&gt;&lt;FQL&gt;&lt;Q&gt;REFEUREFI-FDS^PROPER_NAME(0,,,"SECURITY","NAME")&lt;/Q&gt;&lt;R&gt;1&lt;/R&gt;&lt;C&gt;1&lt;/C&gt;&lt;D xsi:type="xsd:string"&gt;Eurozone Main Refinancing Operations Minimum Bid Rate&lt;/D&gt;&lt;/FQL&gt;&lt;FQL&gt;&lt;Q&gt;REFMYON-FDS^FG_YIELD(NOW,,,0)&lt;/Q&gt;&lt;R&gt;1&lt;/R&gt;&lt;C&gt;1&lt;/C&gt;&lt;D xsi:type="xsd:double"&gt;3&lt;/D&gt;&lt;/FQL&gt;&lt;FQL&gt;&lt;Q&gt;TRYIN10Y-FDS^PCTCHG(FG_YIELD(0,,,,"YTM"),FG_YIELD(-1AM,,,,"YTM"))&lt;/Q&gt;&lt;R&gt;1&lt;/R&gt;&lt;C&gt;1&lt;/C&gt;&lt;D xsi:type="xsd:double"&gt;1.2146031&lt;/D&gt;&lt;/FQL&gt;&lt;FQL&gt;&lt;Q&gt;TRYPL10Y-FDS^PCTCHG(FG_YIELD(0,,,,"YTM"),FG_YIELD(-3AM,,,,"YTM"))&lt;/Q&gt;&lt;R&gt;1&lt;/R&gt;&lt;C&gt;1&lt;/C&gt;&lt;D xsi:type="xsd:double"&gt;9.512426&lt;/D&gt;&lt;/FQL&gt;&lt;FQL&gt;&lt;Q&gt;TRYAE10Y-FDS^FG_YIELD_NAME&lt;/Q&gt;&lt;R&gt;1&lt;/R&gt;&lt;C&gt;1&lt;/C&gt;&lt;D xsi:type="xsd:string"&gt;Treasury - United Arab Emirates USD Benchmark Bond 10Y&lt;/D&gt;&lt;/FQL&gt;&lt;FQL&gt;&lt;Q&gt;TRYKR10Y-FDS^FG_YIELD(0,,,,"YTM")&lt;/Q&gt;&lt;R&gt;1&lt;/R&gt;&lt;C&gt;1&lt;/C&gt;&lt;D xsi:type="xsd:double"&gt;3.5651&lt;/D&gt;&lt;/FQL&gt;&lt;FQL&gt;&lt;Q&gt;TIPSCL10Y-FDS^FG_YIELD_NAME&lt;/Q&gt;&lt;R&gt;1&lt;/R&gt;&lt;C&gt;1&lt;/C&gt;&lt;D xsi:type="xsd:string"&gt;Treasury - Chile Inflation-Indexed (TIPS) Bond 10Y&lt;/D&gt;&lt;/FQL&gt;&lt;FQL&gt;&lt;Q&gt;CC_MY^IMF_IFS_RCPI_Q(0)&lt;/Q&gt;&lt;R&gt;0&lt;/R&gt;&lt;C&gt;0&lt;/C&gt;&lt;/FQL&gt;&lt;FQL&gt;&lt;Q&gt;VNM^JULIAN(FMA_DIV_YLD(NTMA,NOW,NOW,M,"PORTAGG","MEANR").DATES)&lt;/Q&gt;&lt;R&gt;1&lt;/R&gt;&lt;C&gt;1&lt;/C&gt;&lt;D xsi:type="xsd:long"&gt;45379&lt;/D&gt;&lt;/FQL&gt;&lt;FQL&gt;&lt;Q&gt;MCHI^FMA_PE(LTM,0,,,"PORTAGG","MEANR")&lt;/Q&gt;&lt;R&gt;1&lt;/R&gt;&lt;C&gt;1&lt;/C&gt;&lt;D xsi:type="xsd:double"&gt;12.7597852518373&lt;/D&gt;&lt;/FQL&gt;&lt;FQL&gt;&lt;Q&gt;EZA^FMA_EVAL_EBITDA(NTMA,0,,,"PORTAGG","MEANR")&lt;/Q&gt;&lt;R&gt;1&lt;/R&gt;&lt;C&gt;1&lt;/C&gt;&lt;D xsi:type="xsd:double"&gt;7.74126213008124&lt;/D&gt;&lt;/FQL&gt;&lt;FQL&gt;&lt;Q&gt;EWY^FMA_PE(NTMA,0,,,"PORTAGG","MEANR")&lt;/Q&gt;&lt;R&gt;1&lt;/R&gt;&lt;C&gt;1&lt;/C&gt;&lt;D xsi:type="xsd:double"&gt;10.2084010963625&lt;/D&gt;&lt;/FQL&gt;&lt;FQL&gt;&lt;Q&gt;EPOL^FMA_DIV_YLD(NTMA,NOW,NOW,M,"PORTAGG","MEANR")&lt;/Q&gt;&lt;R&gt;1&lt;/R&gt;&lt;C&gt;1&lt;/C&gt;&lt;D xsi:type="xsd:double"&gt;4.89190910053165&lt;/D&gt;&lt;/FQL&gt;&lt;FQL&gt;&lt;Q&gt;VNM^FG_COMPANY_NAME&lt;/Q&gt;&lt;R&gt;1&lt;/R&gt;&lt;C&gt;1&lt;/C&gt;&lt;D xsi:type="xsd:string"&gt;VanEck Vietnam ETF&lt;/D&gt;&lt;/FQL&gt;&lt;FQL&gt;&lt;Q&gt;EZA^FG_PRICE_MAVG(0,,,,60)&lt;/Q&gt;&lt;R&gt;1&lt;/R&gt;&lt;C&gt;1&lt;/C&gt;&lt;D xsi:type="xsd:double"&gt;38.784668&lt;/D&gt;&lt;/FQL&gt;&lt;FQL&gt;&lt;Q&gt;EIDO^FG_PRICE_MAVG(0,,,,200)&lt;/Q&gt;&lt;R&gt;1&lt;/R&gt;&lt;C&gt;1&lt;/C&gt;&lt;D xsi:type="xsd:double"&gt;22.27945&lt;/D&gt;&lt;/FQL&gt;&lt;FQL&gt;&lt;Q&gt;EWT^FMA_ROE(NTMA,-20AY,NOW,FY,"PORTAGG","MEANR")&lt;/Q&gt;&lt;R&gt;20&lt;/R&gt;&lt;C&gt;1&lt;/C&gt;&lt;D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xsi:type="xsd:double"&gt;10.8983134823894&lt;/D&gt;&lt;D xsi:type="xsd:double"&gt;11.6209108675926&lt;/D&gt;&lt;D xsi:type="xsd:double"&gt;14.724411980088&lt;/D&gt;&lt;D xsi:type="xsd:double"&gt;12.9407920839873&lt;/D&gt;&lt;D xsi:type="xsd:double"&gt;11.9152161134331&lt;/D&gt;&lt;/FQL&gt;&lt;FQL&gt;&lt;Q&gt;CAGDPY@TH^EE_ACTUAL_ANNUAL(MED,+1)&lt;/Q&gt;&lt;R&gt;1&lt;/R&gt;&lt;C&gt;1&lt;/C&gt;&lt;D xsi:type="xsd:double"&gt;2.4&lt;/D&gt;&lt;/FQL&gt;&lt;FQL&gt;&lt;Q&gt;USDSAR^STD(FG_PRICE_CHANGE(0,-3AY,M))&lt;/Q&gt;&lt;R&gt;1&lt;/R&gt;&lt;C&gt;1&lt;/C&gt;&lt;D xsi:type="xsd:double"&gt;0.0431109638636383&lt;/D&gt;&lt;/FQL&gt;&lt;FQL&gt;&lt;Q&gt;USDAED^FG_COMPANY_NAME&lt;/Q&gt;&lt;R&gt;1&lt;/R&gt;&lt;C&gt;1&lt;/C&gt;&lt;D xsi:type="xsd:string"&gt;UAE Dirham per U.S. Dollar&lt;/D&gt;&lt;/FQL&gt;&lt;FQL&gt;&lt;Q&gt;USDQAR^FG_PRICE_CHANGE(0,-3AM)&lt;/Q&gt;&lt;R&gt;1&lt;/R&gt;&lt;C&gt;1&lt;/C&gt;&lt;D xsi:type="xsd:double"&gt;0&lt;/D&gt;&lt;/FQL&gt;&lt;FQL&gt;&lt;Q&gt;USDBRL^FG_COMPANY_NAME&lt;/Q&gt;&lt;R&gt;1&lt;/R&gt;&lt;C&gt;1&lt;/C&gt;&lt;D xsi:type="xsd:string"&gt;Brazilian Real per U.S. Dollar&lt;/D&gt;&lt;/FQL&gt;&lt;FQL&gt;&lt;Q&gt;USDTWD^FG_PRICE_CHANGE(0,-3AM)&lt;/Q&gt;&lt;R&gt;1&lt;/R&gt;&lt;C&gt;1&lt;/C&gt;&lt;D xsi:type="xsd:double"&gt;2.3899674&lt;/D&gt;&lt;/FQL&gt;&lt;FQL&gt;&lt;Q&gt;USDIDR^FG_COMPANY_NAME&lt;/Q&gt;&lt;R&gt;1&lt;/R&gt;&lt;C&gt;1&lt;/C&gt;&lt;D xsi:type="xsd:string"&gt;Indonesian Rupiah per U.S. Dollar&lt;/D&gt;&lt;/FQL&gt;&lt;FQL&gt;&lt;Q&gt;FC0000TR^FMA_EPS(NTMA,-20AY,0,CY,,"PORTAGG","MEANR")&lt;/Q&gt;&lt;R&gt;20&lt;/R&gt;&lt;C&gt;1&lt;/C&gt;&lt;D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xsi:type="xsd:double"&gt;22.5659653832585&lt;/D&gt;&lt;D xsi:type="xsd:double"&gt;23.2814278835731&lt;/D&gt;&lt;D xsi:type="xsd:double"&gt;19.7583566298998&lt;/D&gt;&lt;D xsi:type="xsd:double"&gt;36.4008265142301&lt;/D&gt;&lt;D xsi:type="xsd:double"&gt;47.7168770163727&lt;/D&gt;&lt;/FQL&gt;&lt;FQL&gt;&lt;Q&gt;TUR^FG_TOTAL_RETURNC(-10AY,0,AM)&lt;/Q&gt;&lt;R&gt;121&lt;/R&gt;&lt;C&gt;1&lt;/C&gt;&lt;D xsi:type="xsd:double"&gt;17.264425&lt;/D&gt;&lt;D xsi:type="xsd:double"&gt;3.3434749&lt;/D&gt;&lt;D xsi:type="xsd:double"&gt;3.9705873&lt;/D&gt;&lt;D xsi:type="xsd:double"&gt;4.3847203&lt;/D&gt;&lt;D xsi:type="xsd:double"&gt;-7.295245&lt;/D&gt;&lt;D xsi:type="xsd:double"&gt;-3.2479584&lt;/D&gt;&lt;D xsi:type="xsd:double"&gt;-3.625548&lt;/D&gt;&lt;D xsi:type="xsd:double"&gt;9.116232&lt;/D&gt;&lt;D xsi:type="xsd:double"&gt;-2.2254646&lt;/D&gt;&lt;D xsi:type="xsd:double"&gt;5.279851&lt;/D&gt;&lt;D xsi:type="xsd:double"&gt;-7.7441034&lt;/D&gt;&lt;D xsi:type="xsd:double"&gt;-10.122937&lt;/D&gt;&lt;D xsi:type="xsd:double"&gt;-1.1754632&lt;/D&gt;&lt;D xsi:type="xsd:double"&gt;11.483562&lt;/D&gt;&lt;D xsi:type="xsd:double"&gt;-11.328804&lt;/D&gt;&lt;D xsi:type="xsd:double"&gt;3.555727&lt;/D&gt;&lt;D xsi:type="xsd:double"&gt;-16.06834&lt;/D&gt;&lt;D xsi:type="xsd:double"&gt;-6.23551&lt;/D&gt;&lt;D xsi:type="xsd:double"&gt;11.459196&lt;/D&gt;&lt;D xsi:type="xsd:double"&gt;3.8461447&lt;/D&gt;&lt;D xsi:type="xsd:double"&gt;-12.4406395&lt;/D&gt;&lt;D xsi:type="xsd:double"&gt;-6.8874955&lt;/D&gt;&lt;D xsi:type="xsd:double"&gt;6.4083815&lt;/D&gt;&lt;D xsi:type="xsd:double"&gt;18.094719&lt;/D&gt;&lt;D xsi:type="xsd:double"&gt;5.9805274&lt;/D&gt;&lt;D xsi:type="xsd:double"&gt;-15.835524&lt;/D&gt;&lt;D xsi:type="xsd:double"&gt;1.7151713&lt;/D&gt;&lt;D xsi:type="xsd:double"&gt;1.8768549&lt;/D&gt;&lt;D xsi:type="xsd:double"&gt;1.6410232&lt;/D&gt;&lt;D xsi:type="xsd:double"&gt;-4.364276&lt;/D&gt;&lt;D xsi:type="xsd:double"&gt;-1.1606395&lt;/D&gt;&lt;D xsi:type="xsd:double"&gt;-11.82279&lt;/D&gt;&lt;D xsi:type="xsd:double"&gt;-1.4225245&lt;/D&gt;&lt;D xsi:type="xsd:double"&gt;-1.072079&lt;/D&gt;&lt;D xsi:type="xsd:double"&gt;12.092018&lt;/D&gt;&lt;D xsi:type="xsd:double"&gt;1.5807033&lt;/D&gt;&lt;D xsi:type="xsd:double"&gt;1.1739016&lt;/D&gt;&lt;D xsi:type="xsd:double"&gt;5.153799&lt;/D&gt;&lt;D xsi:type="xsd:double"&gt;7.6469064&lt;/D&gt;&lt;D xsi:type="xsd:double"&gt;6.9500804&lt;/D&gt;&lt;D xsi:type="xsd:double"&gt;0.9369254&lt;/D&gt;&lt;D xsi:type="xsd:double"&gt;-0.022637844&lt;/D&gt;&lt;D xsi:type="xsd:double"&gt;-5.1856875&lt;/D&gt;&lt;D xsi:type="xsd:double"&gt;-5.5170717&lt;/D&gt;&lt;D xsi:type="xsd:double"&gt;4.7017097&lt;/D&gt;&lt;D xsi:type="xsd:double"&gt;8.08264&lt;/D&gt;&lt;D xsi:type="xsd:double"&gt;0.7168412&lt;/D&gt;&lt;D xsi:type="xsd:double"&gt;-5.1823797&lt;/D&gt;&lt;D xsi:type="xsd:double"&gt;-4.152006&lt;/D&gt;&lt;D xsi:type="xsd:double"&gt;-18.379837&lt;/D&gt;&lt;D xsi:type="xsd:double"&gt;-11.454267&lt;/D&gt;&lt;D xsi:type="xsd:double"&gt;-3.859365&lt;/D&gt;&lt;D xsi:type="xsd:double"&gt;-22.75536&lt;/D&gt;&lt;D xsi:type="xsd:double"&gt;1.035285&lt;/D&gt;&lt;D xsi:type="xsd:double"&gt;15.463448&lt;/D&gt;&lt;D xsi:type="xsd:double"&gt;2.7430296&lt;/D&gt;&lt;D xsi:type="xsd:double"&gt;-3.0374467&lt;/D&gt;&lt;D xsi:type="xsd:double"&gt;9.382618&lt;/D&gt;&lt;D xsi:type="xsd:double"&gt;3.8618565&lt;/D&gt;&lt;D xsi:type="xsd:double"&gt;-2.2524118&lt;/D&gt;&lt;D xsi:type="xsd:double"&gt;-11.6313095&lt;/D&gt;&lt;D xsi:type="xsd:double"&gt;-13.990063&lt;/D&gt;&lt;D xsi:type="xsd:double"&gt;14.227605&lt;/D&gt;&lt;D xsi:type="xsd:double"&gt;12.321663&lt;/D&gt;&lt;D xsi:type="xsd:double"&gt;-4.849887&lt;/D&gt;&lt;D xsi:type="xsd:double"&gt;4.2071223&lt;/D&gt;&lt;D xsi:type="xsd:double"&gt;-5.2795053&lt;/D&gt;&lt;D xsi:type="xsd:double"&gt;9.836065&lt;/D&gt;&lt;D xsi:type="xsd:double"&gt;-0.5036533&lt;/D&gt;&lt;D xsi:type="xsd:double"&gt;10.769808&lt;/D&gt;&lt;D xsi:type="xsd:double"&gt;-5.2379313&lt;/D&gt;&lt;D xsi:type="xsd:double"&gt;-33.959538&lt;/D&gt;&lt;D xsi:type="xsd:double"&gt;10.175049&lt;/D&gt;&lt;D xsi:type="xsd:double"&gt;4.170811&lt;/D&gt;&lt;D xsi:type="xsd:double"&gt;9.310854&lt;/D&gt;&lt;D xsi:type="xsd:double"&gt;3.5996437&lt;/D&gt;&lt;D xsi:type="xsd:double"&gt;-13.855934&lt;/D&gt;&lt;D xsi:type="xsd:double"&gt;-1.869154&lt;/D&gt;&lt;D xsi:type="xsd:double"&gt;0.7017493&lt;/D&gt;&lt;D xsi:type="xsd:double"&gt;12.842215&lt;/D&gt;&lt;D xsi:type="xsd:double"&gt;10.019398&lt;/D&gt;&lt;D xsi:type="xsd:double"&gt;10.096539&lt;/D&gt;&lt;D xsi:type="xsd:double"&gt;8.841801&lt;/D&gt;&lt;D xsi:type="xsd:double"&gt;-4.800272&lt;/D&gt;&lt;D xsi:type="xsd:double"&gt;-16.149504&lt;/D&gt;&lt;D xsi:type="xsd:double"&gt;0.588727&lt;/D&gt;&lt;D xsi:type="xsd:double"&gt;-7.2716594&lt;/D&gt;&lt;D xsi:type="xsd:double"&gt;-1.0213614&lt;/D&gt;&lt;D xsi:type="xsd:double"&gt;7.879925&lt;/D&gt;&lt;D xsi:type="xsd:double"&gt;-3.2608688&lt;/D&gt;&lt;D xsi:type="xsd:double"&gt;-8.089882&lt;/D&gt;&lt;D xsi:type="xsd:double"&gt;5.281174&lt;/D&gt;&lt;D xsi:type="xsd:double"&gt;-20.174616&lt;/D&gt;&lt;D xsi:type="xsd:double"&gt;13.267088&lt;/D&gt;&lt;D xsi:type="xsd:double"&gt;3.8183808&lt;/D&gt;&lt;D xsi:type="xsd:double"&gt;-3.0815125&lt;/D&gt;&lt;D xsi:type="xsd:double"&gt;19.692314&lt;/D&gt;&lt;D xsi:type="xsd:double"&gt;-12.8963175&lt;/D&gt;&lt;D xsi:type="xsd:double"&gt;-2.5239527&lt;/D&gt;&lt;D xsi:type="xsd:double"&gt;-4.87805&lt;/D&gt;&lt;D xsi:type="xsd:double"&gt;19.639933&lt;/D&gt;&lt;D xsi:type="xsd:double"&gt;9.94072&lt;/D&gt;&lt;D xsi:type="xsd:double"&gt;11.903774&lt;/D&gt;&lt;D xsi:type="xsd:double"&gt;11.934769&lt;/D&gt;&lt;D xsi:type="xsd:double"&gt;16.572046&lt;/D&gt;&lt;D xsi:type="xsd:double"&gt;2.8261542&lt;/D&gt;&lt;D xsi:type="xsd:double"&gt;-5.4136634&lt;/D&gt;&lt;D xsi:type="xsd:double"&gt;2.8764248&lt;/D&gt;&lt;D xsi:type="xsd:double"&gt;-3.6804616&lt;/D&gt;&lt;D xsi:type="xsd:double"&gt;-12.381512&lt;/D&gt;&lt;D xsi:type="xsd:double"&gt;2.6515841&lt;/D&gt;&lt;D xsi:type="xsd:double"&gt;1.467073&lt;/D&gt;&lt;D xsi:type="xsd:double"&gt;17.854738&lt;/D&gt;&lt;D xsi:type="xsd:double"&gt;3.2239676&lt;/D&gt;&lt;D xsi:type="xsd:double"&gt;-0.7186353&lt;/D&gt;&lt;D xsi:type="xsd:double"&gt;-2.11581&lt;/D&gt;&lt;D xsi:type="xsd:double"&gt;-2.445966&lt;/D&gt;&lt;D xsi:type="xsd:double"&gt;-0.5899787&lt;/D&gt;&lt;D xsi:type="xsd:double"&gt;13.900412&lt;/D&gt;&lt;D xsi:type="xsd:double"&gt;-10.226387&lt;/D&gt;&lt;D xsi:type="xsd:double"&gt;9.275365&lt;/D&gt;&lt;/FQL&gt;&lt;FQL&gt;&lt;Q&gt;VNM^FMA_DIV_YLD(NTMA,-10AY,0,AM,"PORTAGG","MEANR")&lt;/Q&gt;&lt;R&gt;121&lt;/R&gt;&lt;C&gt;1&lt;/C&gt;&lt;D xsi:type="xsd:double"&gt;3.5200057640271&lt;/D&gt;&lt;D xsi:type="xsd:double"&gt;3.49412409445649&lt;/D&gt;&lt;D xsi:type="xsd:double"&gt;3.03216132490548&lt;/D&gt;&lt;D xsi:type="xsd:double"&gt;3.47747513251527&lt;/D&gt;&lt;D xsi:type="xsd:double"&gt;3.40202072852364&lt;/D&gt;&lt;D xsi:type="xsd:double"&gt;3.35334703513347&lt;/D&gt;&lt;D xsi:type="xsd:double"&gt;2.95908303817102&lt;/D&gt;&lt;D xsi:type="xsd:double"&gt;2.95142703269469&lt;/D&gt;&lt;D xsi:type="xsd:double"&gt;3.42021413364255&lt;/D&gt;&lt;D xsi:type="xsd:double"&gt;3.02455429132026&lt;/D&gt;&lt;D xsi:type="xsd:double"&gt;2.95935290456168&lt;/D&gt;&lt;D xsi:type="xsd:double"&gt;3.06197019815305&lt;/D&gt;&lt;D xsi:type="xsd:double"&gt;2.93282452830795&lt;/D&gt;&lt;D xsi:type="xsd:double"&gt;2.82783648804957&lt;/D&gt;&lt;D xsi:type="xsd:double"&gt;2.77379101025554&lt;/D&gt;&lt;D xsi:type="xsd:double"&gt;4.14815619479581&lt;/D&gt;&lt;D xsi:type="xsd:double"&gt;3.90582848179013&lt;/D&gt;&lt;D xsi:type="xsd:double"&gt;3.59926456356795&lt;/D&gt;&lt;D xsi:type="xsd:double"&gt;3.02964857633873&lt;/D&gt;&lt;D xsi:type="xsd:double"&gt;2.99333407286872&lt;/D&gt;&lt;D xsi:type="xsd:double"&gt;2.74308481790733&lt;/D&gt;&lt;D xsi:type="xsd:string"&gt;@NA&lt;/D&gt;&lt;D xsi:type="xsd:string"&gt;@NA&lt;/D&gt;&lt;D xsi:type="xsd:double"&gt;2.72272928974773&lt;/D&gt;&lt;D xsi:type="xsd:double"&gt;3.11052129949917&lt;/D&gt;&lt;D xsi:type="xsd:double"&gt;3.14487474839181&lt;/D&gt;&lt;D xsi:type="xsd:double"&gt;3.25522395616727&lt;/D&gt;&lt;D xsi:type="xsd:double"&gt;3.08195878665171&lt;/D&gt;&lt;D xsi:type="xsd:double"&gt;3.01272170131768&lt;/D&gt;&lt;D xsi:type="xsd:double"&gt;3.28934241415557&lt;/D&gt;&lt;D xsi:type="xsd:double"&gt;2.59451055226831&lt;/D&gt;&lt;D xsi:type="xsd:double"&gt;2.66682466436244&lt;/D&gt;&lt;D xsi:type="xsd:double"&gt;2.90621293601166&lt;/D&gt;&lt;D xsi:type="xsd:double"&gt;2.89456241881118&lt;/D&gt;&lt;D xsi:type="xsd:double"&gt;3.05556637747703&lt;/D&gt;&lt;D xsi:type="xsd:double"&gt;2.9990710541441&lt;/D&gt;&lt;D xsi:type="xsd:double"&gt;2.65065803600327&lt;/D&gt;&lt;D xsi:type="xsd:double"&gt;2.38634273304137&lt;/D&gt;&lt;D xsi:type="xsd:double"&gt;2.00507333143532&lt;/D&gt;&lt;D xsi:type="xsd:double"&gt;1.61274115216492&lt;/D&gt;&lt;D xsi:type="xsd:double"&gt;1.76684506354282&lt;/D&gt;&lt;D xsi:type="xsd:double"&gt;1.71718606936538&lt;/D&gt;&lt;D xsi:type="xsd:double"&gt;1.86355372799909&lt;/D&gt;&lt;D xsi:type="xsd:double"&gt;1.91777624901664&lt;/D&gt;&lt;D xsi:type="xsd:double"&gt;1.66360190247411&lt;/D&gt;&lt;D xsi:type="xsd:double"&gt;1.54764280692054&lt;/D&gt;&lt;D xsi:type="xsd:double"&gt;1.81365169415972&lt;/D&gt;&lt;D xsi:type="xsd:double"&gt;1.66913273267879&lt;/D&gt;&lt;D xsi:type="xsd:double"&gt;1.90369816592183&lt;/D&gt;&lt;D xsi:type="xsd:double"&gt;1.74168276279057&lt;/D&gt;&lt;D xsi:type="xsd:double"&gt;1.60501104215392&lt;/D&gt;&lt;D xsi:type="xsd:double"&gt;1.79616364727527&lt;/D&gt;&lt;D xsi:type="xsd:double"&gt;1.51602796850531&lt;/D&gt;&lt;D xsi:type="xsd:double"&gt;1.73471224707454&lt;/D&gt;&lt;D xsi:type="xsd:double"&gt;1.71972524078413&lt;/D&gt;&lt;D xsi:type="xsd:double"&gt;1.97359077317909&lt;/D&gt;&lt;D xsi:type="xsd:double"&gt;1.56733643745118&lt;/D&gt;&lt;D xsi:type="xsd:double"&gt;1.7909513862762&lt;/D&gt;&lt;D xsi:type="xsd:double"&gt;1.73042350809203&lt;/D&gt;&lt;D xsi:type="xsd:double"&gt;1.58697539426747&lt;/D&gt;&lt;D xsi:type="xsd:double"&gt;1.59451659741918&lt;/D&gt;&lt;D xsi:type="xsd:double"&gt;1.52507640090095&lt;/D&gt;&lt;D xsi:type="xsd:double"&gt;1.63065517721819&lt;/D&gt;&lt;D xsi:type="xsd:double"&gt;1.78540637895559&lt;/D&gt;&lt;D xsi:type="xsd:double"&gt;1.9296630082448&lt;/D&gt;&lt;D xsi:type="xsd:double"&gt;1.88729491767557&lt;/D&gt;&lt;D xsi:type="xsd:double"&gt;1.83335759794364&lt;/D&gt;&lt;D xsi:type="xsd:double"&gt;1.68188643730239&lt;/D&gt;&lt;D xsi:type="xsd:double"&gt;1.61679880750034&lt;/D&gt;&lt;D xsi:type="xsd:double"&gt;1.49597976014791&lt;/D&gt;&lt;D xsi:type="xsd:double"&gt;1.55212508989675&lt;/D&gt;&lt;D xsi:type="xsd:double"&gt;2.03515811743189&lt;/D&gt;&lt;D xsi:type="xsd:double"&gt;1.86996616040809&lt;/D&gt;&lt;D xsi:type="xsd:double"&gt;1.66068373004499&lt;/D&gt;&lt;D xsi:type="xsd:double"&gt;1.35962165417474&lt;/D&gt;&lt;D xsi:type="xsd:double"&gt;1.36211084656047&lt;/D&gt;&lt;D xsi:type="xsd:double"&gt;1.39905843746182&lt;/D&gt;&lt;D xsi:type="xsd:double"&gt;1.29966457455912&lt;/D&gt;&lt;D xsi:type="xsd:double"&gt;1.34302974917722&lt;/D&gt;&lt;D xsi:type="xsd:double"&gt;1.33704065659009&lt;/D&gt;&lt;D xsi:type="xsd:double"&gt;1.22525497678663&lt;/D&gt;&lt;D xsi:type="xsd:double"&gt;1.14389172889483&lt;/D&gt;&lt;D xsi:type="xsd:double"&gt;1.18024879243529&lt;/D&gt;&lt;D xsi:type="xsd:double"&gt;1.16746220349162&lt;/D&gt;&lt;D xsi:type="xsd:double"&gt;1.1291390071621&lt;/D&gt;&lt;D xsi:type="xsd:double"&gt;1.21997481669363&lt;/D&gt;&lt;D xsi:type="xsd:double"&gt;1.21571532612557&lt;/D&gt;&lt;D xsi:type="xsd:double"&gt;1.42289338011281&lt;/D&gt;&lt;D xsi:type="xsd:double"&gt;1.4164518024174&lt;/D&gt;&lt;D xsi:type="xsd:double"&gt;1.38742215910019&lt;/D&gt;&lt;D xsi:type="xsd:double"&gt;1.42270180366986&lt;/D&gt;&lt;D xsi:type="xsd:double"&gt;1.35832141516672&lt;/D&gt;&lt;D xsi:type="xsd:double"&gt;1.49641966948078&lt;/D&gt;&lt;D xsi:type="xsd:double"&gt;1.58097612840908&lt;/D&gt;&lt;D xsi:type="xsd:double"&gt;1.68370543285006&lt;/D&gt;&lt;D xsi:type="xsd:double"&gt;1.82603732556838&lt;/D&gt;&lt;D xsi:type="xsd:double"&gt;1.66567620839856&lt;/D&gt;&lt;D xsi:type="xsd:double"&gt;1.83203987358267&lt;/D&gt;&lt;D xsi:type="xsd:double"&gt;1.93318143088679&lt;/D&gt;&lt;D xsi:type="xsd:double"&gt;1.95834494579692&lt;/D&gt;&lt;D xsi:type="xsd:double"&gt;1.91582686997958&lt;/D&gt;&lt;D xsi:type="xsd:double"&gt;1.98134720072978&lt;/D&gt;&lt;D xsi:type="xsd:double"&gt;2.46744240663898&lt;/D&gt;&lt;D xsi:type="xsd:double"&gt;2.58118127534687&lt;/D&gt;&lt;D xsi:type="xsd:double"&gt;2.74594406672498&lt;/D&gt;&lt;D xsi:type="xsd:double"&gt;2.64901470713659&lt;/D&gt;&lt;D xsi:type="xsd:double"&gt;2.56749621842434&lt;/D&gt;&lt;D xsi:type="xsd:double"&gt;2.45542535800974&lt;/D&gt;&lt;D xsi:type="xsd:double"&gt;2.48882958886852&lt;/D&gt;&lt;D xsi:type="xsd:double"&gt;2.53206485002144&lt;/D&gt;&lt;D xsi:type="xsd:double"&gt;2.59064496316789&lt;/D&gt;&lt;D xsi:type="xsd:double"&gt;2.60666531972366&lt;/D&gt;&lt;D xsi:type="xsd:double"&gt;2.55466088080445&lt;/D&gt;&lt;D xsi:type="xsd:double"&gt;2.63838591076353&lt;/D&gt;&lt;D xsi:type="xsd:double"&gt;3.13530436924477&lt;/D&gt;&lt;D xsi:type="xsd:double"&gt;2.8620937845771&lt;/D&gt;&lt;D xsi:type="xsd:double"&gt;2.99276882480235&lt;/D&gt;&lt;D xsi:type="xsd:double"&gt;2.7553412622541&lt;/D&gt;&lt;D xsi:type="xsd:double"&gt;2.77391612489346&lt;/D&gt;&lt;D xsi:type="xsd:double"&gt;2.29531055440262&lt;/D&gt;&lt;D xsi:type="xsd:double"&gt;2.41076057328158&lt;/D&gt;&lt;/FQL&gt;&lt;FQL&gt;&lt;Q&gt;UAE^FMA_PE(NTMA,-10AY,0,AM,"PORTAGG","MEANR")&lt;/Q&gt;&lt;R&gt;121&lt;/R&gt;&lt;C&gt;1&lt;/C&gt;&lt;D xsi:type="xsd:string"&gt;@NA&lt;/D&gt;&lt;D xsi:type="xsd:string"&gt;@NA&lt;/D&gt;&lt;D xsi:type="xsd:double"&gt;14.881458773364&lt;/D&gt;&lt;D xsi:type="xsd:double"&gt;14.9309503090862&lt;/D&gt;&lt;D xsi:type="xsd:double"&gt;14.8070223041751&lt;/D&gt;&lt;D xsi:type="xsd:double"&gt;15.4646407396082&lt;/D&gt;&lt;D xsi:type="xsd:double"&gt;13.168143197639&lt;/D&gt;&lt;D xsi:type="xsd:double"&gt;14.3895476286626&lt;/D&gt;&lt;D xsi:type="xsd:double"&gt;11.4565733061913&lt;/D&gt;&lt;D xsi:type="xsd:double"&gt;11.8648387486469&lt;/D&gt;&lt;D xsi:type="xsd:double"&gt;12.825333020292&lt;/D&gt;&lt;D xsi:type="xsd:double"&gt;11.4423248259491&lt;/D&gt;&lt;D xsi:type="xsd:double"&gt;13.7690440242599&lt;/D&gt;&lt;D xsi:type="xsd:double"&gt;13.9129542259067&lt;/D&gt;&lt;D xsi:type="xsd:double"&gt;12.9593506983145&lt;/D&gt;&lt;D xsi:type="xsd:double"&gt;12.986024869343&lt;/D&gt;&lt;D xsi:type="xsd:double"&gt;11.6540497734614&lt;/D&gt;&lt;D xsi:type="xsd:double"&gt;11.9587812688973&lt;/D&gt;&lt;D xsi:type="xsd:double"&gt;12.2140115123307&lt;/D&gt;&lt;D xsi:type="xsd:double"&gt;10.5739327222479&lt;/D&gt;&lt;D xsi:type="xsd:double"&gt;10.6569439235031&lt;/D&gt;&lt;D xsi:type="xsd:double"&gt;10.5068222604021&lt;/D&gt;&lt;D xsi:type="xsd:double"&gt;10.8744842922359&lt;/D&gt;&lt;D xsi:type="xsd:double"&gt;12.5149723748218&lt;/D&gt;&lt;D xsi:type="xsd:double"&gt;13.2756169537707&lt;/D&gt;&lt;D xsi:type="xsd:double"&gt;12.5822775402072&lt;/D&gt;&lt;D xsi:type="xsd:double"&gt;12.2049712234254&lt;/D&gt;&lt;D xsi:type="xsd:double"&gt;13.033714888646&lt;/D&gt;&lt;D xsi:type="xsd:double"&gt;12.6695453452161&lt;/D&gt;&lt;D xsi:type="xsd:double"&gt;12.1977333338052&lt;/D&gt;&lt;D xsi:type="xsd:double"&gt;12.0428715736635&lt;/D&gt;&lt;D xsi:type="xsd:double"&gt;11.4954053625686&lt;/D&gt;&lt;D xsi:type="xsd:double"&gt;11.6151234202061&lt;/D&gt;&lt;D xsi:type="xsd:double"&gt;12.2165678577967&lt;/D&gt;&lt;D xsi:type="xsd:double"&gt;12.41047611544&lt;/D&gt;&lt;D xsi:type="xsd:double"&gt;11.9461344128287&lt;/D&gt;&lt;D xsi:type="xsd:double"&gt;11.9918389086298&lt;/D&gt;&lt;D xsi:type="xsd:double"&gt;11.7582731383624&lt;/D&gt;&lt;D xsi:type="xsd:double"&gt;11.3249102422058&lt;/D&gt;&lt;D xsi:type="xsd:double"&gt;11.6753635514892&lt;/D&gt;&lt;D xsi:type="xsd:double"&gt;11.6590966084659&lt;/D&gt;&lt;D xsi:type="xsd:double"&gt;11.223993389086&lt;/D&gt;&lt;D xsi:type="xsd:double"&gt;11.4660320739569&lt;/D&gt;&lt;D xsi:type="xsd:double"&gt;10.7581234967223&lt;/D&gt;&lt;D xsi:type="xsd:double"&gt;10.8721979491861&lt;/D&gt;&lt;D xsi:type="xsd:double"&gt;11.6440763710311&lt;/D&gt;&lt;D xsi:type="xsd:double"&gt;11.2272114129561&lt;/D&gt;&lt;D xsi:type="xsd:double"&gt;10.9948478517939&lt;/D&gt;&lt;D xsi:type="xsd:double"&gt;11.3496007582068&lt;/D&gt;&lt;D xsi:type="xsd:double"&gt;10.5543339892876&lt;/D&gt;&lt;D xsi:type="xsd:double"&gt;10.8552098695051&lt;/D&gt;&lt;D xsi:type="xsd:double"&gt;11.2417111447383&lt;/D&gt;&lt;D xsi:type="xsd:double"&gt;11.1049123000374&lt;/D&gt;&lt;D xsi:type="xsd:double"&gt;11.8897961209712&lt;/D&gt;&lt;D xsi:type="xsd:double"&gt;11.5539191169851&lt;/D&gt;&lt;D xsi:type="xsd:double"&gt;11.9549923224593&lt;/D&gt;&lt;D xsi:type="xsd:double"&gt;11.1057414934917&lt;/D&gt;&lt;D xsi:type="xsd:double"&gt;10.8262752635315&lt;/D&gt;&lt;D xsi:type="xsd:double"&gt;10.8327181709897&lt;/D&gt;&lt;D xsi:type="xsd:double"&gt;11.9232803310653&lt;/D&gt;&lt;D xsi:type="xsd:double"&gt;12.2003979170539&lt;/D&gt;&lt;D xsi:type="xsd:double"&gt;10.787377731115&lt;/D&gt;&lt;D xsi:type="xsd:double"&gt;11.5619026781663&lt;/D&gt;&lt;D xsi:type="xsd:double"&gt;11.9946376143629&lt;/D&gt;&lt;D xsi:type="xsd:double"&gt;12.2216151949673&lt;/D&gt;&lt;D xsi:type="xsd:double"&gt;12.9920015600898&lt;/D&gt;&lt;D xsi:type="xsd:double"&gt;13.2143654764733&lt;/D&gt;&lt;D xsi:type="xsd:double"&gt;13.225589931374&lt;/D&gt;&lt;D xsi:type="xsd:double"&gt;13.8445021097038&lt;/D&gt;&lt;D xsi:type="xsd:double"&gt;13.8579964019212&lt;/D&gt;&lt;D xsi:type="xsd:double"&gt;12.7922314800277&lt;/D&gt;&lt;D xsi:type="xsd:double"&gt;8.59075954624816&lt;/D&gt;&lt;D xsi:type="xsd:double"&gt;14.1370324979449&lt;/D&gt;&lt;D xsi:type="xsd:double"&gt;15.6217180308774&lt;/D&gt;&lt;D xsi:type="xsd:double"&gt;17.3724939831742&lt;/D&gt;&lt;D xsi:type="xsd:double"&gt;16.3948576997962&lt;/D&gt;&lt;D xsi:type="xsd:double"&gt;13.746406720071&lt;/D&gt;&lt;D xsi:type="xsd:double"&gt;13.9507570575322&lt;/D&gt;&lt;D xsi:type="xsd:double"&gt;12.3332910888812&lt;/D&gt;&lt;D xsi:type="xsd:double"&gt;15.9471901257206&lt;/D&gt;&lt;D xsi:type="xsd:double"&gt;15.4945525453735&lt;/D&gt;&lt;D xsi:type="xsd:double"&gt;15.6982114013043&lt;/D&gt;&lt;D xsi:type="xsd:double"&gt;15.114117991493&lt;/D&gt;&lt;D xsi:type="xsd:double"&gt;15.3726986316837&lt;/D&gt;&lt;D xsi:type="xsd:double"&gt;14.1706649499181&lt;/D&gt;&lt;D xsi:type="xsd:double"&gt;14.3134684444406&lt;/D&gt;&lt;D xsi:type="xsd:double"&gt;15.0821755500173&lt;/D&gt;&lt;D xsi:type="xsd:double"&gt;14.2875653915374&lt;/D&gt;&lt;D xsi:type="xsd:double"&gt;14.6173599306583&lt;/D&gt;&lt;D xsi:type="xsd:double"&gt;14.7478241527882&lt;/D&gt;&lt;D xsi:type="xsd:double"&gt;14.5934149791916&lt;/D&gt;&lt;D xsi:type="xsd:double"&gt;16.075909900974&lt;/D&gt;&lt;D xsi:type="xsd:double"&gt;16.505792946027&lt;/D&gt;&lt;D xsi:type="xsd:double"&gt;15.4382073883679&lt;/D&gt;&lt;D xsi:type="xsd:double"&gt;15.7388866128649&lt;/D&gt;&lt;D xsi:type="xsd:double"&gt;15.9891842839623&lt;/D&gt;&lt;D xsi:type="xsd:double"&gt;16.4491011023619&lt;/D&gt;&lt;D xsi:type="xsd:double"&gt;14.8133834344329&lt;/D&gt;&lt;D xsi:type="xsd:double"&gt;13.4235947805851&lt;/D&gt;&lt;D xsi:type="xsd:double"&gt;12.7988625752785&lt;/D&gt;&lt;D xsi:type="xsd:double"&gt;13.4900280427998&lt;/D&gt;&lt;D xsi:type="xsd:double"&gt;13.365147096456&lt;/D&gt;&lt;D xsi:type="xsd:double"&gt;12.4507658470661&lt;/D&gt;&lt;D xsi:type="xsd:double"&gt;12.3806320222815&lt;/D&gt;&lt;D xsi:type="xsd:double"&gt;12.1546246042866&lt;/D&gt;&lt;D xsi:type="xsd:double"&gt;12.1621022107333&lt;/D&gt;&lt;D xsi:type="xsd:double"&gt;12.0893469515157&lt;/D&gt;&lt;D xsi:type="xsd:double"&gt;10.8822992430503&lt;/D&gt;&lt;D xsi:type="xsd:double"&gt;11.3146713659015&lt;/D&gt;&lt;D xsi:type="xsd:double"&gt;11.0234395208669&lt;/D&gt;&lt;D xsi:type="xsd:double"&gt;11.1444175022158&lt;/D&gt;&lt;D xsi:type="xsd:double"&gt;11.4458574160669&lt;/D&gt;&lt;D xsi:type="xsd:double"&gt;11.3021917973215&lt;/D&gt;&lt;D xsi:type="xsd:double"&gt;11.0000210203929&lt;/D&gt;&lt;D xsi:type="xsd:double"&gt;10.2335947566867&lt;/D&gt;&lt;D xsi:type="xsd:double"&gt;10.3870938803016&lt;/D&gt;&lt;D xsi:type="xsd:double"&gt;10.2548246201774&lt;/D&gt;&lt;D xsi:type="xsd:double"&gt;10.542264174489&lt;/D&gt;&lt;D xsi:type="xsd:double"&gt;10.2362120002613&lt;/D&gt;&lt;D xsi:type="xsd:double"&gt;9.60731102569698&lt;/D&gt;&lt;D xsi:type="xsd:double"&gt;9.43922459919065&lt;/D&gt;&lt;/FQL&gt;&lt;FQL&gt;&lt;Q&gt;PLATI-FDS^FG_PRICE_CHANGE(0,-1AM)&lt;/Q&gt;&lt;R&gt;1&lt;/R&gt;&lt;C&gt;1&lt;/C&gt;&lt;D xsi:type="xsd:double"&gt;1.06951871657754&lt;/D&gt;&lt;/FQL&gt;&lt;FQL&gt;&lt;Q&gt;TIOS-FDS^FG_PRICE_CHANGE(0,-1AY)&lt;/Q&gt;&lt;R&gt;1&lt;/R&gt;&lt;C&gt;1&lt;/C&gt;&lt;D xsi:type="xsd:double"&gt;-10.2958284859565&lt;/D&gt;&lt;/FQL&gt;&lt;FQL&gt;&lt;Q&gt;EWM^JULIAN(FMA_ROE(NTMA,-20AY,NOW,FY,"PORTAGG","MEANR").DATES)&lt;/Q&gt;&lt;R&gt;20&lt;/R&gt;&lt;C&gt;1&lt;/C&gt;&lt;D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xsi:type="xsd:double"&gt;3.955&lt;/D&gt;&lt;/FQL&gt;&lt;FQL&gt;&lt;Q&gt;USDSAR^STD(FG_PRICE_CHANGE(0,-1AY,AM))&lt;/Q&gt;&lt;R&gt;1&lt;/R&gt;&lt;C&gt;1&lt;/C&gt;&lt;D xsi:type="xsd:double"&gt;0.0483937277345659&lt;/D&gt;&lt;/FQL&gt;&lt;FQL&gt;&lt;Q&gt;USDEUR^FG_PRICE_CHANGE(0,-3AM)&lt;/Q&gt;&lt;R&gt;1&lt;/R&gt;&lt;C&gt;1&lt;/C&gt;&lt;D xsi:type="xsd:double"&gt;1.8394232&lt;/D&gt;&lt;/FQL&gt;&lt;FQL&gt;&lt;Q&gt;USDPLN^FG_PRICE_CHANGE(0,-3AM)&lt;/Q&gt;&lt;R&gt;1&lt;/R&gt;&lt;C&gt;1&lt;/C&gt;&lt;D xsi:type="xsd:double"&gt;0.33231974&lt;/D&gt;&lt;/FQL&gt;&lt;FQL&gt;&lt;Q&gt;QAT^P_PRICE_RETURNS_PR('52W',2,-10AY,0,AM)&lt;/Q&gt;&lt;R&gt;121&lt;/R&gt;&lt;C&gt;1&lt;/C&gt;&lt;D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xsi:type="xsd:double"&gt;-3.4771562&lt;/D&gt;&lt;D xsi:type="xsd:double"&gt;-3.7520409&lt;/D&gt;&lt;D xsi:type="xsd:double"&gt;-9.465581&lt;/D&gt;&lt;D xsi:type="xsd:double"&gt;-13.815719&lt;/D&gt;&lt;D xsi:type="xsd:double"&gt;-19.081974&lt;/D&gt;&lt;D xsi:type="xsd:double"&gt;-8.746803&lt;/D&gt;&lt;D xsi:type="xsd:double"&gt;-22.112852&lt;/D&gt;&lt;D xsi:type="xsd:double"&gt;-18.58114&lt;/D&gt;&lt;D xsi:type="xsd:double"&gt;-23.72176&lt;/D&gt;&lt;D xsi:type="xsd:double"&gt;-20.67871&lt;/D&gt;&lt;D xsi:type="xsd:double"&gt;-10.677796&lt;/D&gt;&lt;D xsi:type="xsd:double"&gt;-13.362056&lt;/D&gt;&lt;D xsi:type="xsd:double"&gt;-19.87275&lt;/D&gt;&lt;D xsi:type="xsd:double"&gt;-16.978&lt;/D&gt;&lt;D xsi:type="xsd:double"&gt;-12.324304&lt;/D&gt;&lt;D xsi:type="xsd:double"&gt;-1.5006661&lt;/D&gt;&lt;D xsi:type="xsd:double"&gt;-7.711017&lt;/D&gt;&lt;D xsi:type="xsd:double"&gt;-7.7987313&lt;/D&gt;&lt;D xsi:type="xsd:double"&gt;-4.184169&lt;/D&gt;&lt;D xsi:type="xsd:double"&gt;5.4581046&lt;/D&gt;&lt;D xsi:type="xsd:double"&gt;23.511087&lt;/D&gt;&lt;D xsi:type="xsd:double"&gt;12.996459&lt;/D&gt;&lt;D xsi:type="xsd:double"&gt;0.25583506&lt;/D&gt;&lt;D xsi:type="xsd:double"&gt;6.573355&lt;/D&gt;&lt;D xsi:type="xsd:double"&gt;3.801&lt;/D&gt;&lt;D xsi:type="xsd:double"&gt;0.41359663&lt;/D&gt;&lt;D xsi:type="xsd:double"&gt;-4.3582497&lt;/D&gt;&lt;D xsi:type="xsd:double"&gt;-16.151398&lt;/D&gt;&lt;D xsi:type="xsd:double"&gt;-15.373373&lt;/D&gt;&lt;D xsi:type="xsd:double"&gt;-18.843508&lt;/D&gt;&lt;D xsi:type="xsd:double"&gt;-22.451735&lt;/D&gt;&lt;D xsi:type="xsd:double"&gt;-13.191223&lt;/D&gt;&lt;D xsi:type="xsd:double"&gt;-10.290056&lt;/D&gt;&lt;D xsi:type="xsd:double"&gt;-13.5638&lt;/D&gt;&lt;D xsi:type="xsd:double"&gt;-10.681671&lt;/D&gt;&lt;D xsi:type="xsd:double"&gt;-11.376887&lt;/D&gt;&lt;D xsi:type="xsd:double"&gt;-8.343416&lt;/D&gt;&lt;D xsi:type="xsd:double"&gt;0.2827406&lt;/D&gt;&lt;D xsi:type="xsd:double"&gt;1.7144918&lt;/D&gt;&lt;D xsi:type="xsd:double"&gt;7.464659&lt;/D&gt;&lt;D xsi:type="xsd:double"&gt;16.504728&lt;/D&gt;&lt;D xsi:type="xsd:double"&gt;24.319136&lt;/D&gt;&lt;D xsi:type="xsd:double"&gt;46.684967&lt;/D&gt;&lt;D xsi:type="xsd:double"&gt;26.753378&lt;/D&gt;&lt;D xsi:type="xsd:double"&gt;21.266472&lt;/D&gt;&lt;D xsi:type="xsd:double"&gt;14.401174&lt;/D&gt;&lt;D xsi:type="xsd:double"&gt;15.950787&lt;/D&gt;&lt;D xsi:type="xsd:double"&gt;16.776525&lt;/D&gt;&lt;D xsi:type="xsd:double"&gt;11.0942955&lt;/D&gt;&lt;D xsi:type="xsd:double"&gt;14.6565075&lt;/D&gt;&lt;D xsi:type="xsd:double"&gt;10.176479&lt;/D&gt;&lt;D xsi:type="xsd:double"&gt;-0.10357499&lt;/D&gt;&lt;D xsi:type="xsd:double"&gt;6.3191175&lt;/D&gt;&lt;D xsi:type="xsd:double"&gt;4.147053&lt;/D&gt;&lt;D xsi:type="xsd:double"&gt;-2.3332655&lt;/D&gt;&lt;D xsi:type="xsd:double"&gt;-2.6275814&lt;/D&gt;&lt;D xsi:type="xsd:double"&gt;-3.9188683&lt;/D&gt;&lt;D xsi:type="xsd:double"&gt;-2.5587916&lt;/D&gt;&lt;D xsi:type="xsd:double"&gt;-16.790659&lt;/D&gt;&lt;D xsi:type="xsd:double"&gt;-13.893682&lt;/D&gt;&lt;D xsi:type="xsd:double"&gt;-5.7003617&lt;/D&gt;&lt;D xsi:type="xsd:double"&gt;-6.7776737&lt;/D&gt;&lt;D xsi:type="xsd:double"&gt;-2.9235303&lt;/D&gt;&lt;D xsi:type="xsd:double"&gt;8.975136&lt;/D&gt;&lt;D xsi:type="xsd:double"&gt;3.9891362&lt;/D&gt;&lt;D xsi:type="xsd:double"&gt;3.8375616&lt;/D&gt;&lt;D xsi:type="xsd:double"&gt;4.61818&lt;/D&gt;&lt;D xsi:type="xsd:double"&gt;7.691622&lt;/D&gt;&lt;D xsi:type="xsd:double"&gt;7.533872&lt;/D&gt;&lt;D xsi:type="xsd:double"&gt;11.815739&lt;/D&gt;&lt;D xsi:type="xsd:double"&gt;30.031036&lt;/D&gt;&lt;D xsi:type="xsd:double"&gt;29.212904&lt;/D&gt;&lt;D xsi:type="xsd:double"&gt;24.883211&lt;/D&gt;&lt;D xsi:type="xsd:double"&gt;17.758633&lt;/D&gt;&lt;D xsi:</t>
        </r>
      </text>
    </comment>
    <comment ref="A14" authorId="0" shapeId="0" xr:uid="{3DED4463-F42D-4371-A658-3ABD89689347}">
      <text>
        <r>
          <rPr>
            <b/>
            <sz val="9"/>
            <color indexed="81"/>
            <rFont val="Tahoma"/>
            <charset val="1"/>
          </rPr>
          <t>type="xsd:double"&gt;14.739096&lt;/D&gt;&lt;D xsi:type="xsd:double"&gt;16.253674&lt;/D&gt;&lt;D xsi:type="xsd:double"&gt;12.7144575&lt;/D&gt;&lt;D xsi:type="xsd:double"&gt;18.652582&lt;/D&gt;&lt;D xsi:type="xsd:double"&gt;19.303703&lt;/D&gt;&lt;D xsi:type="xsd:double"&gt;12.227285&lt;/D&gt;&lt;D xsi:type="xsd:double"&gt;17.116463&lt;/D&gt;&lt;D xsi:type="xsd:double"&gt;26.23893&lt;/D&gt;&lt;D xsi:type="xsd:double"&gt;32.5544&lt;/D&gt;&lt;D xsi:type="xsd:double"&gt;29.617548&lt;/D&gt;&lt;D xsi:type="xsd:double"&gt;20.78079&lt;/D&gt;&lt;D xsi:type="xsd:double"&gt;16.46105&lt;/D&gt;&lt;D xsi:type="xsd:double"&gt;12.697554&lt;/D&gt;&lt;D xsi:type="xsd:double"&gt;24.287106&lt;/D&gt;&lt;D xsi:type="xsd:double"&gt;16.928768&lt;/D&gt;&lt;D xsi:type="xsd:double"&gt;6.6779137&lt;/D&gt;&lt;D xsi:type="xsd:double"&gt;2.2253036&lt;/D&gt;&lt;D xsi:type="xsd:double"&gt;-4.2423544&lt;/D&gt;&lt;D xsi:type="xsd:double"&gt;-13.912815&lt;/D&gt;&lt;D xsi:type="xsd:double"&gt;-15.626269&lt;/D&gt;&lt;D xsi:type="xsd:double"&gt;-24.24034&lt;/D&gt;&lt;D xsi:type="xsd:double"&gt;-24.168074&lt;/D&gt;&lt;D xsi:type="xsd:double"&gt;-12.077284&lt;/D&gt;&lt;D xsi:type="xsd:double"&gt;-10.444522&lt;/D&gt;&lt;D xsi:type="xsd:double"&gt;-8.820253&lt;/D&gt;&lt;D xsi:type="xsd:double"&gt;-19.564236&lt;/D&gt;&lt;D xsi:type="xsd:double"&gt;-17.239874&lt;/D&gt;&lt;D xsi:type="xsd:double"&gt;-18.572437&lt;/D&gt;&lt;D xsi:type="xsd:double"&gt;-11.859667&lt;/D&gt;&lt;D xsi:type="xsd:double"&gt;-4.75688&lt;/D&gt;&lt;D xsi:type="xsd:double"&gt;0.99031925&lt;/D&gt;&lt;D xsi:type="xsd:double"&gt;-1.0752678&lt;/D&gt;&lt;D xsi:type="xsd:double"&gt;7.4899435&lt;/D&gt;&lt;D xsi:type="xsd:double"&gt;0.44510365&lt;/D&gt;&lt;/FQL&gt;&lt;FQL&gt;&lt;Q&gt;KSA^FMA_PE(LTMA,-10AY,0,AM,"PORTAGG","MEANR")&lt;/Q&gt;&lt;R&gt;121&lt;/R&gt;&lt;C&gt;1&lt;/C&gt;&lt;D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xsi:type="xsd:double"&gt;11.7929194961715&lt;/D&gt;&lt;D xsi:type="xsd:double"&gt;11.1669074043934&lt;/D&gt;&lt;D xsi:type="xsd:double"&gt;11.8033989922631&lt;/D&gt;&lt;D xsi:type="xsd:double"&gt;11.952694713207&lt;/D&gt;&lt;D xsi:type="xsd:double"&gt;12.4406243186758&lt;/D&gt;&lt;D xsi:type="xsd:double"&gt;12.7448847562232&lt;/D&gt;&lt;D xsi:type="xsd:double"&gt;13.0289036538939&lt;/D&gt;&lt;D xsi:type="xsd:double"&gt;12.7826490205322&lt;/D&gt;&lt;D xsi:type="xsd:double"&gt;12.8853663981605&lt;/D&gt;&lt;D xsi:type="xsd:double"&gt;12.0567332240588&lt;/D&gt;&lt;D xsi:type="xsd:double"&gt;13.9553568358771&lt;/D&gt;&lt;D xsi:type="xsd:double"&gt;14.957079204894&lt;/D&gt;&lt;D xsi:type="xsd:double"&gt;14.6828382870619&lt;/D&gt;&lt;D xsi:type="xsd:double"&gt;15.3127913489727&lt;/D&gt;&lt;D xsi:type="xsd:double"&gt;15.3474771819022&lt;/D&gt;&lt;D xsi:type="xsd:double"&gt;15.1538396954899&lt;/D&gt;&lt;D xsi:type="xsd:double"&gt;15.0317938294016&lt;/D&gt;&lt;D xsi:type="xsd:double"&gt;14.9360929814188&lt;/D&gt;&lt;D xsi:type="xsd:double"&gt;15.353376185266&lt;/D&gt;&lt;D xsi:type="xsd:double"&gt;15.0257468088265&lt;/D&gt;&lt;D xsi:type="xsd:double"&gt;15.1520270229239&lt;/D&gt;&lt;D xsi:type="xsd:double"&gt;14.2937138042882&lt;/D&gt;&lt;D xsi:type="xsd:double"&gt;14.2644436978604&lt;/D&gt;&lt;D xsi:type="xsd:double"&gt;14.495319048007&lt;/D&gt;&lt;D xsi:type="xsd:double"&gt;15.2395293862862&lt;/D&gt;&lt;D xsi:type="xsd:double"&gt;15.1638314019045&lt;/D&gt;&lt;D xsi:type="xsd:double"&gt;15.1733050511349&lt;/D&gt;&lt;D xsi:type="xsd:double"&gt;15.3288713814211&lt;/D&gt;&lt;D xsi:type="xsd:double"&gt;15.2966683315114&lt;/D&gt;&lt;D xsi:type="xsd:double"&gt;15.476362161049&lt;/D&gt;&lt;D xsi:type="xsd:double"&gt;15.6420796286788&lt;/D&gt;&lt;D xsi:type="xsd:double"&gt;14.8330708820394&lt;/D&gt;&lt;D xsi:type="xsd:double"&gt;14.5381799806291&lt;/D&gt;&lt;D xsi:type="xsd:double"&gt;14.715553584984&lt;/D&gt;&lt;D xsi:type="xsd:double"&gt;14.6723373130585&lt;/D&gt;&lt;D xsi:type="xsd:double"&gt;15.6422880786208&lt;/D&gt;&lt;D xsi:type="xsd:double"&gt;16.8566496734161&lt;/D&gt;&lt;D xsi:type="xsd:double"&gt;17.567304559385&lt;/D&gt;&lt;D xsi:type="xsd:double"&gt;17.2506770744538&lt;/D&gt;&lt;D xsi:type="xsd:double"&gt;17.5422659581207&lt;/D&gt;&lt;D xsi:type="xsd:double"&gt;17.1423795560315&lt;/D&gt;&lt;D xsi:type="xsd:double"&gt;17.5027025261723&lt;/D&gt;&lt;D xsi:type="xsd:double"&gt;17.6553534645121&lt;/D&gt;&lt;D xsi:type="xsd:double"&gt;17.7473080339651&lt;/D&gt;&lt;D xsi:type="xsd:double"&gt;17.8299796349805&lt;/D&gt;&lt;D xsi:type="xsd:double"&gt;17.8170223141703&lt;/D&gt;&lt;D xsi:type="xsd:double"&gt;18.5005165571151&lt;/D&gt;&lt;D xsi:type="xsd:double"&gt;19.6054605129537&lt;/D&gt;&lt;D xsi:type="xsd:double"&gt;20.2444810821466&lt;/D&gt;&lt;D xsi:type="xsd:double"&gt;18.2232251828248&lt;/D&gt;&lt;D xsi:type="xsd:double"&gt;17.028554768778&lt;/D&gt;&lt;D xsi:type="xsd:double"&gt;17.5019593713419&lt;/D&gt;&lt;D xsi:type="xsd:double"&gt;18.4959914032866&lt;/D&gt;&lt;D xsi:type="xsd:double"&gt;19.4395003119628&lt;/D&gt;&lt;D xsi:type="xsd:double"&gt;19.799341273037&lt;/D&gt;&lt;D xsi:type="xsd:double"&gt;20.9785243635878&lt;/D&gt;&lt;D xsi:type="xsd:double"&gt;24.3711002665434&lt;/D&gt;&lt;D xsi:type="xsd:double"&gt;25.9918562059268&lt;/D&gt;&lt;D xsi:type="xsd:double"&gt;26.9654330654694&lt;/D&gt;&lt;D xsi:type="xsd:double"&gt;28.2855289967611&lt;/D&gt;&lt;D xsi:type="xsd:double"&gt;29.1404225386867&lt;/D&gt;&lt;D xsi:type="xsd:double"&gt;26.5668131591645&lt;/D&gt;&lt;D xsi:type="xsd:double"&gt;26.2018541828217&lt;/D&gt;&lt;D xsi:type="xsd:double"&gt;25.6836176035265&lt;/D&gt;&lt;D xsi:type="xsd:double"&gt;25.0222517131656&lt;/D&gt;&lt;D xsi:type="xsd:double"&gt;24.5087838852368&lt;/D&gt;&lt;D xsi:type="xsd:double"&gt;23.6804515770967&lt;/D&gt;&lt;D xsi:type="xsd:double"&gt;23.3446094597982&lt;/D&gt;&lt;D xsi:type="xsd:double"&gt;22.6314214826175&lt;/D&gt;&lt;D xsi:type="xsd:double"&gt;22.2447959697718&lt;/D&gt;&lt;D xsi:type="xsd:double"&gt;21.1975168880498&lt;/D&gt;&lt;D xsi:type="xsd:double"&gt;19.8212980030091&lt;/D&gt;&lt;D xsi:type="xsd:double"&gt;21.1009780636574&lt;/D&gt;&lt;D xsi:type="xsd:double"&gt;21.4221181279028&lt;/D&gt;&lt;D xsi:type="xsd:double"&gt;21.3415164722482&lt;/D&gt;&lt;D xsi:type="xsd:double"&gt;21.3468230381295&lt;/D&gt;&lt;D xsi:type="xsd:double"&gt;20.3234277392663&lt;/D&gt;&lt;D xsi:type="xsd:double"&gt;19.4591547066226&lt;/D&gt;&lt;D xsi:type="xsd:double"&gt;19.0252077464065&lt;/D&gt;&lt;D xsi:type="xsd:double"&gt;19.1585322174228&lt;/D&gt;&lt;D xsi:type="xsd:double"&gt;18.1478548586206&lt;/D&gt;&lt;D xsi:type="xsd:double"&gt;17.5354218798422&lt;/D&gt;&lt;D xsi:type="xsd:double"&gt;16.8436848048914&lt;/D&gt;&lt;D xsi:type="xsd:double"&gt;15.3794709796337&lt;/D&gt;&lt;D xsi:type="xsd:double"&gt;15.8658959363573&lt;/D&gt;&lt;D xsi:type="xsd:double"&gt;15.8637741254669&lt;/D&gt;&lt;D xsi:type="xsd:double"&gt;15.1200888088379&lt;/D&gt;&lt;D xsi:type="xsd:double"&gt;15.7711663131994&lt;/D&gt;&lt;D xsi:type="xsd:double"&gt;16.1466529863595&lt;/D&gt;&lt;D xsi:type="xsd:double"&gt;16.6708345186171&lt;/D&gt;&lt;D xsi:type="xsd:double"&gt;17.3701001925401&lt;/D&gt;&lt;D xsi:type="xsd:double"&gt;17.6831490388947&lt;/D&gt;&lt;D xsi:type="xsd:double"&gt;17.4452090712349&lt;/D&gt;&lt;D xsi:type="xsd:double"&gt;17.4174843034793&lt;/D&gt;&lt;D xsi:type="xsd:double"&gt;18.5021481716619&lt;/D&gt;&lt;D xsi:type="xsd:double"&gt;20.2271228822899&lt;/D&gt;&lt;D xsi:type="xsd:double"&gt;21.0929534990425&lt;/D&gt;&lt;D xsi:type="xsd:double"&gt;21.5670792294633&lt;/D&gt;&lt;D xsi:type="xsd:double"&gt;21.7042710012326&lt;/D&gt;&lt;D xsi:type="xsd:double"&gt;21.4171880739277&lt;/D&gt;&lt;/FQL&gt;&lt;FQL&gt;&lt;Q&gt;ECH^FMA_PE(LTMA,-10AY,0,AM,"PORTAGG","MEANR")&lt;/Q&gt;&lt;R&gt;121&lt;/R&gt;&lt;C&gt;1&lt;/C&gt;&lt;D xsi:type="xsd:double"&gt;15.6804360516041&lt;/D&gt;&lt;D xsi:type="xsd:double"&gt;15.8634635294108&lt;/D&gt;&lt;D xsi:type="xsd:double"&gt;15.8608115779745&lt;/D&gt;&lt;D xsi:type="xsd:double"&gt;16.2429579890756&lt;/D&gt;&lt;D xsi:type="xsd:double"&gt;16.5072253212311&lt;/D&gt;&lt;D xsi:type="xsd:double"&gt;16.5759126873308&lt;/D&gt;&lt;D xsi:type="xsd:double"&gt;15.9503131629912&lt;/D&gt;&lt;D xsi:type="xsd:double"&gt;16.4729846021348&lt;/D&gt;&lt;D xsi:type="xsd:double"&gt;16.5123787654125&lt;/D&gt;&lt;D xsi:type="xsd:double"&gt;15.8195303560521&lt;/D&gt;&lt;D xsi:type="xsd:double"&gt;16.7710152279911&lt;/D&gt;&lt;D xsi:type="xsd:double"&gt;16.4570774452319&lt;/D&gt;&lt;D xsi:type="xsd:double"&gt;16.4125894930093&lt;/D&gt;&lt;D xsi:type="xsd:double"&gt;16.4822811838958&lt;/D&gt;&lt;D xsi:type="xsd:double"&gt;16.0810158865101&lt;/D&gt;&lt;D xsi:type="xsd:double"&gt;15.4629178595361&lt;/D&gt;&lt;D xsi:type="xsd:double"&gt;15.1873053484214&lt;/D&gt;&lt;D xsi:type="xsd:double"&gt;15.2491403495275&lt;/D&gt;&lt;D xsi:type="xsd:double"&gt;15.5300597461282&lt;/D&gt;&lt;D xsi:type="xsd:double"&gt;15.9533104751634&lt;/D&gt;&lt;D xsi:type="xsd:double"&gt;16.1911612172335&lt;/D&gt;&lt;D xsi:type="xsd:double"&gt;15.0357859978968&lt;/D&gt;&lt;D xsi:type="xsd:double"&gt;15.9157414722057&lt;/D&gt;&lt;D xsi:type="xsd:double"&gt;15.5052879218636&lt;/D&gt;&lt;D xsi:type="xsd:double"&gt;15.4067798382634&lt;/D&gt;&lt;D xsi:type="xsd:double"&gt;15.2381070178044&lt;/D&gt;&lt;D xsi:type="xsd:double"&gt;15.0581759543624&lt;/D&gt;&lt;D xsi:type="xsd:double"&gt;15.6852227278986&lt;/D&gt;&lt;D xsi:type="xsd:double"&gt;16.0112796871015&lt;/D&gt;&lt;D xsi:type="xsd:double"&gt;15.9132599866376&lt;/D&gt;&lt;D xsi:type="xsd:double"&gt;16.7512499372745&lt;/D&gt;&lt;D xsi:type="xsd:double"&gt;16.5210429490199&lt;/D&gt;&lt;D xsi:type="xsd:double"&gt;15.7173605005766&lt;/D&gt;&lt;D xsi:type="xsd:double"&gt;15.9257945465215&lt;/D&gt;&lt;D xsi:type="xsd:double"&gt;16.6580976431446&lt;/D&gt;&lt;D xsi:type="xsd:double"&gt;16.8913525316466&lt;/D&gt;&lt;D xsi:type="xsd:double"&gt;17.1548103906497&lt;/D&gt;&lt;D xsi:type="xsd:double"&gt;17.1243870173514&lt;/D&gt;&lt;D xsi:type="xsd:double"&gt;17.2597546538869&lt;/D&gt;&lt;D xsi:type="xsd:double"&gt;17.9614092759218&lt;/D&gt;&lt;D xsi:type="xsd:double"&gt;18.6637709372066&lt;/D&gt;&lt;D xsi:type="xsd:double"&gt;19.8124534591969&lt;/D&gt;&lt;D xsi:type="xsd:double"&gt;18.1180812753764&lt;/D&gt;&lt;D xsi:type="xsd:double"&gt;17.7309264664813&lt;/D&gt;&lt;D xsi:type="xsd:double"&gt;18.1767539837664&lt;/D&gt;&lt;D xsi:type="xsd:double"&gt;18.644859497051&lt;/D&gt;&lt;D xsi:type="xsd:double"&gt;17.7731302512759&lt;/D&gt;&lt;D xsi:type="xsd:double"&gt;17.403595880641&lt;/D&gt;&lt;D xsi:type="xsd:double"&gt;17.1214397853161&lt;/D&gt;&lt;D xsi:type="xsd:double"&gt;16.576042224374&lt;/D&gt;&lt;D xsi:type="xsd:double"&gt;15.6812116030079&lt;/D&gt;&lt;D xsi:type="xsd:double"&gt;15.2329281763352&lt;/D&gt;&lt;D xsi:type="xsd:double"&gt;14.9892561298481&lt;/D&gt;&lt;D xsi:type="xsd:double"&gt;15.3000652249413&lt;/D&gt;&lt;D xsi:type="xsd:double"&gt;17.0578716955294&lt;/D&gt;&lt;D xsi:type="xsd:double"&gt;17.5421625913305&lt;/D&gt;&lt;D xsi:type="xsd:double"&gt;16.499133914358&lt;/D&gt;&lt;D xsi:type="xsd:double"&gt;17.9570462244064&lt;/D&gt;&lt;D xsi:type="xsd:double"&gt;17.9091967838578&lt;/D&gt;&lt;D xsi:type="xsd:double"&gt;15.8345451400402&lt;/D&gt;&lt;D xsi:type="xsd:double"&gt;15.7366059194631&lt;/D&gt;&lt;D xsi:type="xsd:double"&gt;15.4770310117659&lt;/D&gt;&lt;D xsi:type="xsd:double"&gt;15.7850354548395&lt;/D&gt;&lt;D xsi:type="xsd:double"&gt;16.0442753811193&lt;/D&gt;&lt;D xsi:type="xsd:double"&gt;15.2364089401442&lt;/D&gt;&lt;D xsi:type="xsd:double"&gt;16.5962226897398&lt;/D&gt;&lt;D xsi:type="xsd:double"&gt;17.257701474651&lt;/D&gt;&lt;D xsi:type="xsd:double"&gt;15.9443230409394&lt;/D&gt;&lt;D xsi:type="xsd:double"&gt;15.8218559248257&lt;/D&gt;&lt;D xsi:type="xsd:double"&gt;15.8187486157745&lt;/D&gt;&lt;D xsi:type="xsd:double"&gt;14.4296613814745&lt;/D&gt;&lt;D xsi:type="xsd:double"&gt;14.6823467426219&lt;/D&gt;&lt;D xsi:type="xsd:double"&gt;15.0457315775878&lt;/D&gt;&lt;D xsi:type="xsd:double"&gt;15.5028218064061&lt;/D&gt;&lt;D xsi:type="xsd:double"&gt;16.5983664857315&lt;/D&gt;&lt;D xsi:type="xsd:double"&gt;17.2611759547868&lt;/D&gt;&lt;D xsi:type="xsd:double"&gt;19.6738581593617&lt;/D&gt;&lt;D xsi:type="xsd:double"&gt;19.156203054582&lt;/D&gt;&lt;D xsi:type="xsd:double"&gt;19.6346614063867&lt;/D&gt;&lt;D xsi:type="xsd:double"&gt;22.6066311606968&lt;/D&gt;&lt;D xsi:type="xsd:double"&gt;24.4593752295033&lt;/D&gt;&lt;D xsi:type="xsd:double"&gt;24.1942776128309&lt;/D&gt;&lt;D xsi:type="xsd:double"&gt;26.1714157673701&lt;/D&gt;&lt;D xsi:type="xsd:double"&gt;31.5564713258596&lt;/D&gt;&lt;D xsi:type="xsd:double"&gt;29.6861737272538&lt;/D&gt;&lt;D xsi:type="xsd:double"&gt;26.6584252562034&lt;/D&gt;&lt;D xsi:type="xsd:double"&gt;24.5397708729601&lt;/D&gt;&lt;D xsi:type="xsd:double"&gt;22.2318377908955&lt;/D&gt;&lt;D xsi:type="xsd:double"&gt;19.779897903225&lt;/D&gt;&lt;D xsi:type="xsd:double"&gt;17.7221313433416&lt;/D&gt;&lt;D xsi:type="xsd:double"&gt;14.7892171664223&lt;/D&gt;&lt;D xsi:type="xsd:double"&gt;12.4357288277889&lt;/D&gt;&lt;D xsi:type="xsd:double"&gt;10.304767456444&lt;/D&gt;&lt;D xsi:type="xsd:double"&gt;9.50394748245626&lt;/D&gt;&lt;D xsi:type="xsd:double"&gt;9.5141230796243&lt;/D&gt;&lt;D xsi:type="xsd:double"&gt;9.86291314331253&lt;/D&gt;&lt;D xsi:type="xsd:double"&gt;9.76959852321252&lt;/D&gt;&lt;D xsi:type="xsd:double"&gt;9.46553284627795&lt;/D&gt;&lt;D xsi:type="xsd:double"&gt;8.21553395742917&lt;/D&gt;&lt;D xsi:type="xsd:double"&gt;7.71208829567127&lt;/D&gt;&lt;D xsi:type="xsd:double"&gt;7.35583542443636&lt;/D&gt;&lt;D xsi:type="xsd:double"&gt;7.83346265691851&lt;/D&gt;&lt;D xsi:type="xsd:double"&gt;7.15866531268849&lt;/D&gt;&lt;D xsi:type="xsd:double"&gt;5.86246720152969&lt;/D&gt;&lt;D xsi:type="xsd:double"&gt;5.50410130679804&lt;/D&gt;&lt;D xsi:type="xsd:double"&gt;5.63449268773716&lt;/D&gt;&lt;D xsi:type="xsd:double"&gt;6.00289673766216&lt;/D&gt;&lt;D xsi:type="xsd:double"&gt;5.82892355392102&lt;/D&gt;&lt;D xsi:type="xsd:double"&gt;6.17133148658655&lt;/D&gt;&lt;D xsi:type="xsd:double"&gt;6.63045977265721&lt;/D&gt;&lt;D xsi:type="xsd:double"&gt;6.81181734648101&lt;/D&gt;&lt;D xsi:type="xsd:double"&gt;7.71142584264075&lt;/D&gt;&lt;D xsi:type="xsd:double"&gt;7.82948341550506&lt;/D&gt;&lt;D xsi:type="xsd:double"&gt;7.9337290246761&lt;/D&gt;&lt;D xsi:type="xsd:double"&gt;7.995594142972&lt;/D&gt;&lt;D xsi:type="xsd:double"&gt;8.19762712442327&lt;/D&gt;&lt;D xsi:type="xsd:double"&gt;8.4256566987584&lt;/D&gt;&lt;D xsi:type="xsd:double"&gt;8.42839165002412&lt;/D&gt;&lt;D xsi:type="xsd:double"&gt;8.98482666740024&lt;/D&gt;&lt;D xsi:type="xsd:double"&gt;7.34553509233567&lt;/D&gt;&lt;D xsi:type="xsd:double"&gt;7.4115865748896&lt;/D&gt;&lt;/FQL&gt;&lt;FQL&gt;&lt;Q&gt;PASP-FDS^FG_PRICE_CHANGE(0,-1AY)&lt;/Q&gt;&lt;R&gt;1&lt;/R&gt;&lt;C&gt;1&lt;/C&gt;&lt;D xsi:type="xsd:double"&gt;-35.1681957186544&lt;/D&gt;&lt;/FQL&gt;&lt;FQL&gt;&lt;Q&gt;BRENT-FDS^MAX(FG_PRICE(0,-5AY))&lt;/Q&gt;&lt;R&gt;1&lt;/R&gt;&lt;C&gt;1&lt;/C&gt;&lt;D xsi:type="xsd:double"&gt;140.85&lt;/D&gt;&lt;/FQL&gt;&lt;FQL&gt;&lt;Q&gt;QAT^FG_PRICE_MAVG(0,,,,200)&lt;/Q&gt;&lt;R&gt;1&lt;/R&gt;&lt;C&gt;1&lt;/C&gt;&lt;D xsi:type="xsd:double"&gt;17.641172&lt;/D&gt;&lt;/FQL&gt;&lt;FQL&gt;&lt;Q&gt;EWT^FG_PRICE(0)&lt;/Q&gt;&lt;R&gt;1&lt;/R&gt;&lt;C&gt;1&lt;/C&gt;&lt;D xsi:type="xsd:double"&gt;46.69&lt;/D&gt;&lt;/FQL&gt;&lt;FQL&gt;&lt;Q&gt;KSA^PERCENT_CHANGE(FMA_EPS(+1,0,,,,"PORTAGG","MEAN"),FMA_EPS(+1,-3AM,,,,"PORTAGG","MEAN"))&lt;/Q&gt;&lt;R&gt;1&lt;/R&gt;&lt;C&gt;1&lt;/C&gt;&lt;D xsi:type="xsd:double"&gt;1.33146622112402&lt;/D&gt;&lt;/FQL&gt;&lt;FQL&gt;&lt;Q&gt;SET-BKK^PERCENT_CHANGE(FMA_EPS(+1,0,,,,"PORTAGG","MEAN"),FMA_EPS(+1,-3AM,,,,"PORTAGG","MEAN"))&lt;/Q&gt;&lt;R&gt;1&lt;/R&gt;&lt;C&gt;1&lt;/C&gt;&lt;D xsi:type="xsd:double"&gt;-3.25100025850264&lt;/D&gt;&lt;/FQL&gt;&lt;FQL&gt;&lt;Q&gt;MCHI^PERCENT_CHANGE(FMA_EPS(+1,0,,,,"PORTAGG","MEAN"),FMA_EPS(+1,-3AM,,,,"PORTAGG","MEAN"))&lt;/Q&gt;&lt;R&gt;1&lt;/R&gt;&lt;C&gt;1&lt;/C&gt;&lt;D xsi:type="xsd:double"&gt;-4.20483126536305&lt;/D&gt;&lt;/FQL&gt;&lt;FQL&gt;&lt;Q&gt;EWZ^FG_TOTAL_RETURNC(0,-1AM)&lt;/Q&gt;&lt;R&gt;1&lt;/R&gt;&lt;C&gt;1&lt;/C&gt;&lt;D xsi:type="xsd:double"&gt;-5.876833&lt;/D&gt;&lt;/FQL&gt;&lt;FQL&gt;&lt;Q&gt;EWM^FG_TOTAL_RETURNC(0,-3AM)&lt;/Q&gt;&lt;R&gt;1&lt;/R&gt;&lt;C&gt;1&lt;/C&gt;&lt;D xsi:type="xsd:double"&gt;3.3922553&lt;/D&gt;&lt;/FQL&gt;&lt;FQL&gt;&lt;Q&gt;EIDO^FG_TOTAL_RETURNC(0,-6AM)&lt;/Q&gt;&lt;R&gt;1&lt;/R&gt;&lt;C&gt;1&lt;/C&gt;&lt;D xsi:type="xsd:double"&gt;-1.2247622&lt;/D&gt;&lt;/FQL&gt;&lt;FQL&gt;&lt;Q&gt;URTH^FG_TOTAL_RETURNC(0,-3AM)&lt;/Q&gt;&lt;R&gt;1&lt;/R&gt;&lt;C&gt;1&lt;/C&gt;&lt;D xsi:type="xsd:double"&gt;4.4309974&lt;/D&gt;&lt;/FQL&gt;&lt;FQL&gt;&lt;Q&gt;VWO^PERCENT_CHANGE(FMA_EPS(+1,0,,,,"PORTAGG","MEAN"),FMA_EPS(+1,-1AM,,,,"PORTAGG","MEAN"))&lt;/Q&gt;&lt;R&gt;1&lt;/R&gt;&lt;C&gt;1&lt;/C&gt;&lt;D xsi:type="xsd:double"&gt;-13.2809604611122&lt;/D&gt;&lt;/FQL&gt;&lt;FQL&gt;&lt;Q&gt;QAT^SIZE(FG_CONSTITUENTS)&lt;/Q&gt;&lt;R&gt;1&lt;/R&gt;&lt;C&gt;1&lt;/C&gt;&lt;D xsi:type="xsd:long"&gt;34&lt;/D&gt;&lt;/FQL&gt;&lt;FQL&gt;&lt;Q&gt;EPOL^FMA_COS_UP("EPS","1M",+1,NOW,,,"PORTAGG","MEANR")&lt;/Q&gt;&lt;R&gt;1&lt;/R&gt;&lt;C&gt;1&lt;/C&gt;&lt;D xsi:type="xsd:double"&gt;13&lt;/D&gt;&lt;/FQL&gt;&lt;FQL&gt;&lt;Q&gt;VNM^FG_ROE(0)&lt;/Q&gt;&lt;R&gt;1&lt;/R&gt;&lt;C&gt;1&lt;/C&gt;&lt;D xsi:type="xsd:double"&gt;9.16036961877221&lt;/D&gt;&lt;/FQL&gt;&lt;FQL&gt;&lt;Q&gt;EIDO^FG_ROE(0)&lt;/Q&gt;&lt;R&gt;1&lt;/R&gt;&lt;C&gt;1&lt;/C&gt;&lt;D xsi:type="xsd:double"&gt;11.9277721101005&lt;/D&gt;&lt;/FQL&gt;&lt;FQL&gt;&lt;Q&gt;TRYMY10Y-FDS^FG_YIELD_NAME&lt;/Q&gt;&lt;R&gt;1&lt;/R&gt;&lt;C&gt;1&lt;/C&gt;&lt;D xsi:type="xsd:string"&gt;Treasury - Malaysia Benchmark Bond 10Y&lt;/D&gt;&lt;/FQL&gt;&lt;FQL&gt;&lt;Q&gt;REFTR1WREPO-FDS^FG_YIELD(NOW,,,0)&lt;/Q&gt;&lt;R&gt;1&lt;/R&gt;&lt;C&gt;1&lt;/C&gt;&lt;D xsi:type="xsd:double"&gt;50&lt;/D&gt;&lt;/FQL&gt;&lt;FQL&gt;&lt;Q&gt;REFZAREPO-FDS^(SUBARRAY(NOT_NA(NO_REPEAT_F(FG_YIELD(NOW,-10AY,D))),0,1)-SUBARRAY(NOT_NA(NO_REPEAT_F(FG_YIELD(NOW,-10AY,D))),1,1))*100&lt;/Q&gt;&lt;R&gt;1&lt;/R&gt;&lt;C&gt;1&lt;/C&gt;&lt;D xsi:type="xsd:double"&gt;50&lt;/D&gt;&lt;/FQL&gt;&lt;FQL&gt;&lt;Q&gt;TRYGR10Y-FDS^PCTCHG(FG_YIELD(0,,,,"YTM"),FG_YIELD(-3AM,,,,"YTM"))&lt;/Q&gt;&lt;R&gt;1&lt;/R&gt;&lt;C&gt;1&lt;/C&gt;&lt;D xsi:type="xsd:double"&gt;5.0118594&lt;/D&gt;&lt;/FQL&gt;&lt;FQL&gt;&lt;Q&gt;TRYPL10Y-FDS^PCTCHG(FG_YIELD(0,,,,"YTM"),FG_YIELD(-1AM,,,,"YTM"))&lt;/Q&gt;&lt;R&gt;1&lt;/R&gt;&lt;C&gt;1&lt;/C&gt;&lt;D xsi:type="xsd:double"&gt;3.3075302&lt;/D&gt;&lt;/FQL&gt;&lt;FQL&gt;&lt;Q&gt;TRYTR7Y-FDS^FG_YIELD(0,,,,"YTM")&lt;/Q&gt;&lt;R&gt;1&lt;/R&gt;&lt;C&gt;1&lt;/C&gt;&lt;D xsi:type="xsd:double"&gt;24.072645&lt;/D&gt;&lt;/FQL&gt;&lt;FQL&gt;&lt;Q&gt;TRYCN10Y-FDS^FG_YIELD(0,,,,"YTM")&lt;/Q&gt;&lt;R&gt;1&lt;/R&gt;&lt;C&gt;1&lt;/C&gt;&lt;D xsi:type="xsd:double"&gt;2.2661&lt;/D&gt;&lt;/FQL&gt;&lt;FQL&gt;&lt;Q&gt;TRYEU10Y-FDS^FG_YIELD(-10AY,0,Y,,"YTM")&lt;/Q&gt;&lt;R&gt;10&lt;/R&gt;&lt;C&gt;1&lt;/C&gt;&lt;D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xsi:type="xsd:double"&gt;2.004&lt;/D&gt;&lt;/FQL&gt;&lt;FQL&gt;&lt;Q&gt;CAGDPY@TH^EE_ACTUAL_ANNUAL(MED,0)&lt;/Q&gt;&lt;R&gt;1&lt;/R&gt;&lt;C&gt;1&lt;/C&gt;&lt;D xsi:type="xsd:double"&gt;1.19750030313238&lt;/D&gt;&lt;/FQL&gt;&lt;FQL&gt;&lt;Q&gt;CAGDPY@CL^EE_ACTUAL_ANNUAL(MED,+1)&lt;/Q&gt;&lt;R&gt;1&lt;/R&gt;&lt;C&gt;1&lt;/C&gt;&lt;D xsi:type="xsd:double"&gt;-3.55&lt;/D&gt;&lt;/FQL&gt;&lt;FQL&gt;&lt;Q&gt;USDTRY^STD(FG_PRICE_CHANGE(0,-3AY,M))&lt;/Q&gt;&lt;R&gt;1&lt;/R&gt;&lt;C&gt;1&lt;/C&gt;&lt;D xsi:type="xsd:double"&gt;7.54164088201957&lt;/D&gt;&lt;/FQL&gt;&lt;FQL&gt;&lt;Q&gt;USDKRW^STD(FG_PRICE_CHANGE(0,-3AY,M))&lt;/Q&gt;&lt;R&gt;1&lt;/R&gt;&lt;C&gt;1&lt;/C&gt;&lt;D xsi:type="xsd:double"&gt;3.01225887495795&lt;/D&gt;&lt;/FQL&gt;&lt;FQL&gt;&lt;Q&gt;USDCLP^STD(FG_PRICE_CHANGE(0,-3AY,M))&lt;/Q&gt;&lt;R&gt;1&lt;/R&gt;&lt;C&gt;1&lt;/C&gt;&lt;D xsi:type="xsd:double"&gt;4.36671661427803&lt;/D&gt;&lt;/FQL&gt;&lt;FQL&gt;&lt;Q&gt;SET-BKK^FG_TOTAL_RETURNC(-10AY,0,AM)&lt;/Q&gt;&lt;R&gt;121&lt;/R&gt;&lt;C&gt;1&lt;/C&gt;&lt;D xsi:type="xsd:double"&gt;2.629137&lt;/D&gt;&lt;D xsi:type="xsd:double"&gt;-0.27818084&lt;/D&gt;&lt;D xsi:type="xsd:double"&gt;3.2805324&lt;/D&gt;&lt;D xsi:type="xsd:double"&gt;5.6533217&lt;/D&gt;&lt;D xsi:type="xsd:double"&gt;0.5836606&lt;/D&gt;&lt;D xsi:type="xsd:double"&gt;2.7146697&lt;/D&gt;&lt;D xsi:type="xsd:double"&gt;-3.5045445&lt;/D&gt;&lt;D xsi:type="xsd:double"&gt;3.4381986&lt;/D&gt;&lt;D xsi:type="xsd:double"&gt;-4.0777326&lt;/D&gt;&lt;D xsi:type="xsd:double"&gt;0.06263256&lt;/D&gt;&lt;D xsi:type="xsd:double"&gt;5.6267858&lt;/D&gt;&lt;D xsi:type="xsd:double"&gt;-4.468733&lt;/D&gt;&lt;D xsi:type="xsd:double"&gt;2.3081899&lt;/D&gt;&lt;D xsi:type="xsd:double"&gt;-3.6021292&lt;/D&gt;&lt;D xsi:type="xsd:double"&gt;-0.15690923&lt;/D&gt;&lt;D xsi:type="xsd:double"&gt;-1.9051194&lt;/D&gt;&lt;D xsi:type="xsd:double"&gt;-7.2128296&lt;/D&gt;&lt;D xsi:type="xsd:double"&gt;1.2902379&lt;/D&gt;&lt;D xsi:type="xsd:double"&gt;2.018249&lt;/D&gt;&lt;D xsi:type="xsd:double"&gt;-2.9301047&lt;/D&gt;&lt;D xsi:type="xsd:double"&gt;-6.674796&lt;/D&gt;&lt;D xsi:type="xsd:double"&gt;-3.1029165&lt;/D&gt;&lt;D xsi:type="xsd:double"&gt;3.9789557&lt;/D&gt;&lt;D xsi:type="xsd:double"&gt;6.8261027&lt;/D&gt;&lt;D xsi:type="xsd:double"&gt;1.1432052&lt;/D&gt;&lt;D xsi:type="xsd:double"&gt;0.12367964&lt;/D&gt;&lt;D xsi:type="xsd:double"&gt;1.4866114&lt;/D&gt;&lt;D xsi:type="xsd:double"&gt;4.9728513&lt;/D&gt;&lt;D xsi:type="xsd:double"&gt;3.6870003&lt;/D&gt;&lt;D xsi:type="xsd:double"&gt;-4.3917&lt;/D&gt;&lt;D xsi:type="xsd:double"&gt;-0.1034379&lt;/D&gt;&lt;D xsi:type="xsd:double"&gt;-0.24906397&lt;/D&gt;&lt;D xsi:type="xsd:double"&gt;3.3008575&lt;/D&gt;&lt;D xsi:type="xsd:double"&gt;2.5168896&lt;/D&gt;&lt;D xsi:type="xsd:double"&gt;1.0898113&lt;/D&gt;&lt;D xsi:type="xsd:double"&gt;-1.0685503&lt;/D&gt;&lt;D xsi:type="xsd:double"&gt;0.861001&lt;/D&gt;&lt;D xsi:type="xsd:double"&gt;-1.8127322&lt;/D&gt;&lt;D xsi:type="xsd:double"&gt;1.9859195&lt;/D&gt;&lt;D xsi:type="xsd:double"&gt;-0.3209412&lt;/D&gt;&lt;D xsi:type="xsd:double"&gt;-0.31752586&lt;/D&gt;&lt;D xsi:type="xsd:double"&gt;6.6178083&lt;/D&gt;&lt;D xsi:type="xsd:double"&gt;2.235067&lt;/D&gt;&lt;D xsi:type="xsd:double"&gt;0.1083374&lt;/D&gt;&lt;D xsi:type="xsd:double"&gt;0.8383155&lt;/D&gt;&lt;D xsi:type="xsd:double"&gt;5.5467606&lt;/D&gt;&lt;D xsi:type="xsd:double"&gt;-0.73818564&lt;/D&gt;&lt;D xsi:type="xsd:double"&gt;0.32504797&lt;/D&gt;&lt;D xsi:type="xsd:double"&gt;-2.2188365&lt;/D&gt;&lt;D xsi:type="xsd:double"&gt;-0.98162293&lt;/D&gt;&lt;D xsi:type="xsd:double"&gt;-4.2464495&lt;/D&gt;&lt;D xsi:type="xsd:double"&gt;-2.6094317&lt;/D&gt;&lt;D xsi:type="xsd:double"&gt;3.3126593&lt;/D&gt;&lt;D xsi:type="xsd:double"&gt;3.2176733&lt;/D&gt;&lt;D xsi:type="xsd:double"&gt;-3.5261035&lt;/D&gt;&lt;D xsi:type="xsd:double"&gt;-2.846855&lt;/D&gt;&lt;D xsi:type="xsd:double"&gt;-3.1688094&lt;/D&gt;&lt;D xsi:type="xsd:double"&gt;0.036644936&lt;/D&gt;&lt;D xsi:type="xsd:double"&gt;3.2795072&lt;/D&gt;&lt;D xsi:type="xsd:double"&gt;-1.1089981&lt;/D&gt;&lt;D xsi:type="xsd:double"&gt;3.5503864&lt;/D&gt;&lt;D xsi:type="xsd:double"&gt;-3.9934337&lt;/D&gt;&lt;D xsi:type="xsd:double"&gt;4.6943307&lt;/D&gt;&lt;D xsi:type="xsd:double"&gt;2.366352&lt;/D&gt;&lt;D xsi:type="xsd:double"&gt;-5.340475&lt;/D&gt;&lt;D xsi:type="xsd:double"&gt;1.3938904&lt;/D&gt;&lt;D xsi:type="xsd:double"&gt;-1.3729155&lt;/D&gt;&lt;D xsi:type="xsd:double"&gt;-1.436168&lt;/D&gt;&lt;D xsi:type="xsd:double"&gt;-2.7524889&lt;/D&gt;&lt;D xsi:type="xsd:double"&gt;2.349496&lt;/D&gt;&lt;D xsi:type="xsd:double"&gt;-5.423367&lt;/D&gt;&lt;D xsi:type="xsd:double"&gt;-30.754852&lt;/D&gt;&lt;D xsi:type="xsd:double"&gt;18.231165&lt;/D&gt;&lt;D xsi:type="xsd:double"&gt;3.8160563&lt;/D&gt;&lt;D xsi:type="xsd:double"&gt;6.719625&lt;/D&gt;&lt;D xsi:type="xsd:double"&gt;-0.9759784&lt;/D&gt;&lt;D xsi:type="xsd:double"&gt;-2.1675766&lt;/D&gt;&lt;D xsi:type="xsd:double"&gt;-3.1365812&lt;/D&gt;&lt;D xsi:type="xsd:double"&gt;-4.2463837&lt;/D&gt;&lt;D xsi:type="xsd:double"&gt;10.611332&lt;/D&gt;&lt;D xsi:type="xsd:double"&gt;8.631897&lt;/D&gt;&lt;D xsi:type="xsd:double"&gt;1.8719912&lt;/D&gt;&lt;D xsi:type="xsd:double"&gt;0.059604645&lt;/D&gt;&lt;D xsi:type="xsd:double"&gt;3.824532&lt;/D&gt;&lt;D xsi:type="xsd:double"&gt;-1.2659192&lt;/D&gt;&lt;D xsi:type="xsd:double"&gt;1.1517406&lt;/D&gt;&lt;D xsi:type="xsd:double"&gt;2.947402&lt;/D&gt;&lt;D xsi:type="xsd:double"&gt;-2.3937047&lt;/D&gt;&lt;D xsi:type="xsd:double"&gt;-1.4291406&lt;/D&gt;&lt;D xsi:type="xsd:double"&gt;4.754269&lt;/D&gt;&lt;D xsi:type="xsd:double"&gt;1.1238575&lt;/D&gt;&lt;D xsi:type="xsd:double"&gt;0.43189526&lt;/D&gt;&lt;D xsi:type="xsd:double"&gt;-0.5626857&lt;/D&gt;&lt;D xsi:type="xsd:double"&gt;1.1292934&lt;/D&gt;&lt;D xsi:type="xsd:double"&gt;3.188026&lt;/D&gt;&lt;D xsi:type="xsd:double"&gt;-2.0248652&lt;/D&gt;&lt;D xsi:type="xsd:double"&gt;-0.6225705&lt;/D&gt;&lt;D xsi:type="xsd:double"&gt;-2.8614163&lt;/D&gt;&lt;D xsi:type="xsd:double"&gt;-3.7609577&lt;/D&gt;&lt;D xsi:type="xsd:double"&gt;-0.93497634&lt;/D&gt;&lt;D xsi:type="xsd:double"&gt;5.9075117&lt;/D&gt;&lt;D xsi:type="xsd:double"&gt;-0.3465593&lt;/D&gt;&lt;D xsi:type="xsd:double"&gt;-2.4558425&lt;/D&gt;&lt;D xsi:type="xsd:double"&gt;1.6989827&lt;/D&gt;&lt;D xsi:type="xsd:double"&gt;0.10077953&lt;/D&gt;&lt;D xsi:type="xsd:double"&gt;4.103124&lt;/D&gt;&lt;D xsi:type="xsd:double"&gt;-2.003628&lt;/D&gt;&lt;D xsi:type="xsd:double"&gt;-5.32794&lt;/D&gt;&lt;D xsi:type="xsd:double"&gt;1.9300699&lt;/D&gt;&lt;D xsi:type="xsd:double"&gt;-4.2136965&lt;/D&gt;&lt;D xsi:type="xsd:double"&gt;2.141893&lt;/D&gt;&lt;D xsi:type="xsd:double"&gt;-1.5448332&lt;/D&gt;&lt;D xsi:type="xsd:double"&gt;-1.0538697&lt;/D&gt;&lt;D xsi:type="xsd:double"&gt;0.55624247&lt;/D&gt;&lt;D xsi:type="xsd:double"&gt;-5.873376&lt;/D&gt;&lt;D xsi:type="xsd:double"&gt;-1.5349269&lt;/D&gt;&lt;D xsi:type="xsd:double"&gt;-1.5800476&lt;/D&gt;&lt;D xsi:type="xsd:double"&gt;-1.1109412&lt;/D&gt;&lt;D xsi:type="xsd:double"&gt;0.6052494&lt;/D&gt;&lt;D xsi:type="xsd:double"&gt;-0.023812056&lt;/D&gt;&lt;D xsi:type="xsd:double"&gt;-1.7980516&lt;/D&gt;&lt;/FQL&gt;&lt;FQL&gt;&lt;Q&gt;TUR^FMA_PE(NTMA,-10AY,0,AM,"PORTAGG","MEANR")&lt;/Q&gt;&lt;R&gt;121&lt;/R&gt;&lt;C&gt;1&lt;/C&gt;&lt;D xsi:type="xsd:double"&gt;10.4336745338638&lt;/D&gt;&lt;D xsi:type="xsd:double"&gt;10.4829715735827&lt;/D&gt;&lt;D xsi:type="xsd:double"&gt;10.4818093327091&lt;/D&gt;&lt;D xsi:type="xsd:double"&gt;10.8905495978136&lt;/D&gt;&lt;D xsi:type="xsd:double"&gt;9.98756512140164&lt;/D&gt;&lt;D xsi:type="xsd:double"&gt;9.79670788457188&lt;/D&gt;&lt;D xsi:type="xsd:double"&gt;9.49224516641816&lt;/D&gt;&lt;D xsi:type="xsd:double"&gt;10.1067940159607&lt;/D&gt;&lt;D xsi:type="xsd:double"&gt;10.2219624533536&lt;/D&gt;&lt;D xsi:type="xsd:double"&gt;10.7551082482589&lt;/D&gt;&lt;D xsi:type="xsd:double"&gt;10.5144338781864&lt;/D&gt;&lt;D xsi:type="xsd:double"&gt;9.80326215525018&lt;/D&gt;&lt;D xsi:type="xsd:double"&gt;10.0604018131133&lt;/D&gt;&lt;D xsi:type="xsd:double"&gt;10.8714350553543&lt;/D&gt;&lt;D xsi:type="xsd:double"&gt;9.93907055153425&lt;/D&gt;&lt;D xsi:type="xsd:double"&gt;9.98283093551732&lt;/D&gt;&lt;D xsi:type="xsd:double"&gt;9.02248916352941&lt;/D&gt;&lt;D xsi:type="xsd:double"&gt;8.92475458111996&lt;/D&gt;&lt;D xsi:type="xsd:double"&gt;9.24993478957793&lt;/D&gt;&lt;D xsi:type="xsd:double"&gt;9.38726523978514&lt;/D&gt;&lt;D xsi:type="xsd:double"&gt;8.24796757776098&lt;/D&gt;&lt;D xsi:type="xsd:double"&gt;7.99406386727756&lt;/D&gt;&lt;D xsi:type="xsd:double"&gt;8.33283016815222&lt;/D&gt;&lt;D xsi:type="xsd:double"&gt;9.28209980035454&lt;/D&gt;&lt;D xsi:type="xsd:double"&gt;9.42254323628296&lt;/D&gt;&lt;D xsi:type="xsd:double"&gt;8.45301973793533&lt;/D&gt;&lt;D xsi:type="xsd:double"&gt;8.1618370031192&lt;/D&gt;&lt;D xsi:type="xsd:double"&gt;8.28532433847657&lt;/D&gt;&lt;D xsi:type="xsd:double"&gt;8.44575297775118&lt;/D&gt;&lt;D xsi:type="xsd:double"&gt;8.2455665342079&lt;/D&gt;&lt;D xsi:type="xsd:double"&gt;8.29250663182948&lt;/D&gt;&lt;D xsi:type="xsd:double"&gt;7.70074457444191&lt;/D&gt;&lt;D xsi:type="xsd:double"&gt;7.68921707414215&lt;/D&gt;&lt;D xsi:type="xsd:double"&gt;8.08724520713452&lt;/D&gt;&lt;D xsi:type="xsd:double"&gt;8.6423529837716&lt;/D&gt;&lt;D xsi:type="xsd:double"&gt;8.55348959048189&lt;/D&gt;&lt;D xsi:type="xsd:double"&gt;8.44624529722153&lt;/D&gt;&lt;D xsi:type="xsd:double"&gt;8.57153155000002&lt;/D&gt;&lt;D xsi:type="xsd:double"&gt;8.56005218274547&lt;/D&gt;&lt;D xsi:type="xsd:double"&gt;8.88985536689853&lt;/D&gt;&lt;D xsi:type="xsd:double"&gt;8.54420577807073&lt;/D&gt;&lt;D xsi:type="xsd:double"&gt;8.3494492086029&lt;/D&gt;&lt;D xsi:type="xsd:double"&gt;8.21462352007367&lt;/D&gt;&lt;D xsi:type="xsd:double"&gt;8.01638829958981&lt;/D&gt;&lt;D xsi:type="xsd:double"&gt;7.91854993110828&lt;/D&gt;&lt;D xsi:type="xsd:double"&gt;8.27021375080591&lt;/D&gt;&lt;D xsi:type="xsd:double"&gt;8.0900156144236&lt;/D&gt;&lt;D xsi:type="xsd:double"&gt;7.94841788281917&lt;/D&gt;&lt;D xsi:type="xsd:double"&gt;7.46839869857083&lt;/D&gt;&lt;D xsi:type="xsd:double"&gt;6.7291145030929&lt;/D&gt;&lt;D xsi:type="xsd:double"&gt;6.13577109846178&lt;/D&gt;&lt;D xsi:type="xsd:double"&gt;5.97164557694507&lt;/D&gt;&lt;D xsi:type="xsd:double"&gt;5.71468686541867&lt;/D&gt;&lt;D xsi:type="xsd:double"&gt;5.90848263964936&lt;/D&gt;&lt;D xsi:type="xsd:double"&gt;6.1077261956729&lt;/D&gt;&lt;D xsi:type="xsd:double"&gt;5.74315710231343&lt;/D&gt;&lt;D xsi:type="xsd:double"&gt;5.93007994360784&lt;/D&gt;&lt;D xsi:type="xsd:double"&gt;6.84228789649919&lt;/D&gt;&lt;D xsi:type="xsd:double"&gt;7.08567069049646&lt;/D&gt;&lt;D xsi:type="xsd:double"&gt;7.28863928080979&lt;/D&gt;&lt;D xsi:type="xsd:double"&gt;6.31080147274818&lt;/D&gt;&lt;D xsi:type="xsd:double"&gt;5.60049207781887&lt;/D&gt;&lt;D xsi:type="xsd:double"&gt;6.16346991385466&lt;/D&gt;&lt;D xsi:type="xsd:double"&gt;6.53234600002272&lt;/D&gt;&lt;D xsi:type="xsd:double"&gt;6.25789216800859&lt;/D&gt;&lt;D xsi:type="xsd:double"&gt;6.40961096438337&lt;/D&gt;&lt;D xsi:type="xsd:double"&gt;6.06573345899039&lt;/D&gt;&lt;D xsi:type="xsd:double"&gt;6.33782746280113&lt;/D&gt;&lt;D xsi:type="xsd:double"&gt;6.34576533673099&lt;/D&gt;&lt;D xsi:type="xsd:double"&gt;6.77014972873887&lt;/D&gt;&lt;D xsi:type="xsd:double"&gt;6.5877363219665&lt;/D&gt;&lt;D xsi:type="xsd:double"&gt;4.88515622771718&lt;/D&gt;&lt;D xsi:type="xsd:double"&gt;5.889639411704&lt;/D&gt;&lt;D xsi:type="xsd:double"&gt;6.94574798448442&lt;/D&gt;&lt;D xsi:type="xsd:double"&gt;8.32433255790033&lt;/D&gt;&lt;D xsi:type="xsd:double"&gt;8.38443402084842&lt;/D&gt;&lt;D xsi:type="xsd:double"&gt;7.71286934043337&lt;/D&gt;&lt;D xsi:type="xsd:double"&gt;7.50646387829296&lt;/D&gt;&lt;D xsi:type="xsd:double"&gt;7.68699671497188&lt;/D&gt;&lt;D xsi:type="xsd:double"&gt;8.13501189059139&lt;/D&gt;&lt;D xsi:type="xsd:double"&gt;7.80935869323849&lt;/D&gt;&lt;D xsi:type="xsd:double"&gt;7.8337100526554&lt;/D&gt;&lt;D xsi:type="xsd:double"&gt;7.34369346569397&lt;/D&gt;&lt;D xsi:type="xsd:double"&gt;7.38967766561149&lt;/D&gt;&lt;D xsi:type="xsd:double"&gt;6.35144210860013&lt;/D&gt;&lt;D xsi:type="xsd:double"&gt;6.34668127499866&lt;/D&gt;&lt;D xsi:type="xsd:double"&gt;5.84824028303584&lt;/D&gt;&lt;D xsi:type="xsd:double"&gt;5.53722139494622&lt;/D&gt;&lt;D xsi:type="xsd:double"&gt;5.48647986450391&lt;/D&gt;&lt;D xsi:type="xsd:double"&gt;5.26329901982502&lt;/D&gt;&lt;D xsi:type="xsd:double"&gt;5.09978249200857&lt;/D&gt;&lt;D xsi:type="xsd:double"&gt;5.91734264220592&lt;/D&gt;&lt;D xsi:type="xsd:double"&gt;6.48543394975834&lt;/D&gt;&lt;D xsi:type="xsd:double"&gt;5.44897415054272&lt;/D&gt;&lt;D xsi:type="xsd:double"&gt;4.58168783240002&lt;/D&gt;&lt;D xsi:type="xsd:double"&gt;4.64877426249647&lt;/D&gt;&lt;D xsi:type="xsd:double"&gt;5.17335692293895&lt;/D&gt;&lt;D xsi:type="xsd:double"&gt;4.38346217925952&lt;/D&gt;&lt;D xsi:type="xsd:double"&gt;4.82426979964986&lt;/D&gt;&lt;D xsi:type="xsd:double"&gt;4.25179976737141&lt;/D&gt;&lt;D xsi:type="xsd:double"&gt;4.51332429693141&lt;/D&gt;&lt;D xsi:type="xsd:double"&gt;4.72089434720909&lt;/D&gt;&lt;D xsi:type="xsd:double"&gt;4.90820559175962&lt;/D&gt;&lt;D xsi:type="xsd:double"&gt;5.24111271224208&lt;/D&gt;&lt;D xsi:type="xsd:double"&gt;5.54630241281755&lt;/D&gt;&lt;D xsi:type="xsd:double"&gt;5.55168642331843&lt;/D&gt;&lt;D xsi:type="xsd:double"&gt;4.98500118979521&lt;/D&gt;&lt;D xsi:type="xsd:double"&gt;4.98773079258878&lt;/D&gt;&lt;D xsi:type="xsd:double"&gt;4.69637562386252&lt;/D&gt;&lt;D xsi:type="xsd:double"&gt;4.05289749029707&lt;/D&gt;&lt;D xsi:type="xsd:double"&gt;4.91888638830917&lt;/D&gt;&lt;D xsi:type="xsd:double"&gt;5.45549465383582&lt;/D&gt;&lt;D xsi:type="xsd:double"&gt;5.97869731370294&lt;/D&gt;&lt;D xsi:type="xsd:double"&gt;5.61293025101573&lt;/D&gt;&lt;D xsi:type="xsd:double"&gt;5.53700263122815&lt;/D&gt;&lt;D xsi:type="xsd:double"&gt;4.85958741580417&lt;/D&gt;&lt;D xsi:type="xsd:double"&gt;4.6243850987044&lt;/D&gt;&lt;D xsi:type="xsd:double"&gt;4.71416828168158&lt;/D&gt;&lt;D xsi:type="xsd:double"&gt;5.3434517258969&lt;/D&gt;&lt;D xsi:type="xsd:double"&gt;4.88302642437406&lt;/D&gt;&lt;D xsi:type="xsd:double"&gt;5.3949236640789&lt;/D&gt;&lt;/FQL&gt;&lt;FQL&gt;&lt;Q&gt;PLATI-FDS^FG_PRICE_MAVG(0,,,,30)&lt;/Q&gt;&lt;R&gt;1&lt;/R&gt;&lt;C&gt;1&lt;/C&gt;&lt;D xsi:type="xsd:double"&gt;938.13336&lt;/D&gt;&lt;/FQL&gt;&lt;FQL&gt;&lt;Q&gt;TIOS-FDS^FG_PRICE_CHANGE(0,-6AM)&lt;/Q&gt;&lt;R&gt;1&lt;/R&gt;&lt;C&gt;1&lt;/C&gt;&lt;D xsi:type="xsd:double"&gt;-9.29333669439543&lt;/D&gt;&lt;/FQL&gt;&lt;FQL&gt;&lt;Q&gt;TRYVN10Y-FDS^FG_YIELD(-10AY,0,Y,,"YTM")&lt;/Q&gt;&lt;R&gt;10&lt;/R&gt;&lt;C&gt;1&lt;/C&gt;&lt;D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xsi:type="xsd:double"&gt;2.9473283&lt;/D&gt;&lt;/FQL&gt;&lt;FQL&gt;&lt;Q&gt;USDTRY^FG_PRICE_CHANGE(0,-6AM)&lt;/Q&gt;&lt;R&gt;1&lt;/R&gt;&lt;C&gt;1&lt;/C&gt;&lt;D xsi:type="xsd:double"&gt;15.986431&lt;/D&gt;&lt;/FQL&gt;&lt;FQL&gt;&lt;Q&gt;USDKRW^FG_PRICE_CHANGE(0,-6AM)&lt;/Q&gt;&lt;R&gt;1&lt;/R&gt;&lt;C&gt;1&lt;/C&gt;&lt;D xsi:type="xsd:double"&gt;1.7338991&lt;/D&gt;&lt;/FQL&gt;&lt;FQL&gt;&lt;Q&gt;USDCLP^FG_PRICE_CHANGE(0,-6AM)&lt;/Q&gt;&lt;R&gt;1&lt;/R&gt;&lt;C&gt;1&lt;/C&gt;&lt;D xsi:type="xsd:double"&gt;3.006351&lt;/D&gt;&lt;/FQL&gt;&lt;FQL&gt;&lt;Q&gt;MCHI^FG_TOTAL_RETURNC(-10AY,0,AM)&lt;/Q&gt;&lt;R&gt;121&lt;/R&gt;&lt;C&gt;1&lt;/C&gt;&lt;D xsi:type="xsd:double"&gt;5.1620364&lt;/D&gt;&lt;D xsi:type="xsd:double"&gt;-0.7704139&lt;/D&gt;&lt;D xsi:type="xsd:double"&gt;5.30169&lt;/D&gt;&lt;D xsi:type="xsd:double"&gt;2.4872541&lt;/D&gt;&lt;D xsi:type="xsd:double"&gt;6.9325566&lt;/D&gt;&lt;D xsi:type="xsd:double"&gt;-2.6557326&lt;/D&gt;&lt;D xsi:type="xsd:double"&gt;-5.1755247&lt;/D&gt;&lt;D xsi:type="xsd:double"&gt;1.9674182&lt;/D&gt;&lt;D xsi:type="xsd:double"&gt;1.9962907&lt;/D&gt;&lt;D xsi:type="xsd:double"&gt;4.5986533&lt;/D&gt;&lt;D xsi:type="xsd:double"&gt;2.433753&lt;/D&gt;&lt;D xsi:type="xsd:double"&gt;1.3795733&lt;/D&gt;&lt;D xsi:type="xsd:double"&gt;15.705919&lt;/D&gt;&lt;D xsi:type="xsd:double"&gt;-0.21235347&lt;/D&gt;&lt;D xsi:type="xsd:double"&gt;-5.369127&lt;/D&gt;&lt;D xsi:type="xsd:double"&gt;-7.787955&lt;/D&gt;&lt;D xsi:type="xsd:double"&gt;-8.206969&lt;/D&gt;&lt;D xsi:type="xsd:double"&gt;-7.5985966&lt;/D&gt;&lt;D xsi:type="xsd:double"&gt;9.318436&lt;/D&gt;&lt;D xsi:type="xsd:double"&gt;-3.4955025&lt;/D&gt;&lt;D xsi:type="xsd:double"&gt;-3.9398432&lt;/D&gt;&lt;D xsi:type="xsd:double"&gt;-15.48335&lt;/D&gt;&lt;D xsi:type="xsd:double"&gt;1.3227463&lt;/D&gt;&lt;D xsi:type="xsd:double"&gt;10.052228&lt;/D&gt;&lt;D xsi:type="xsd:double"&gt;3.89086&lt;/D&gt;&lt;D xsi:type="xsd:double"&gt;-8.951818&lt;/D&gt;&lt;D xsi:type="xsd:double"&gt;2.2824168&lt;/D&gt;&lt;D xsi:type="xsd:double"&gt;9.249806&lt;/D&gt;&lt;D xsi:type="xsd:double"&gt;7.302737&lt;/D&gt;&lt;D xsi:type="xsd:double"&gt;1.5802741&lt;/D&gt;&lt;D xsi:type="xsd:double"&gt;0.10371208&lt;/D&gt;&lt;D xsi:type="xsd:double"&gt;-6.0712757&lt;/D&gt;&lt;D xsi:type="xsd:double"&gt;-2.911985&lt;/D&gt;&lt;D xsi:type="xsd:double"&gt;6.4769506&lt;/D&gt;&lt;D xsi:type="xsd:double"&gt;5.6022406&lt;/D&gt;&lt;D xsi:type="xsd:double"&gt;2.6321173&lt;/D&gt;&lt;D xsi:type="xsd:double"&gt;-1.2723625&lt;/D&gt;&lt;D xsi:type="xsd:double"&gt;5.678618&lt;/D&gt;&lt;D xsi:type="xsd:double"&gt;2.7058005&lt;/D&gt;&lt;D xsi:type="xsd:double"&gt;7.4282885&lt;/D&gt;&lt;D xsi:type="xsd:double"&gt;3.4142017&lt;/D&gt;&lt;D xsi:type="xsd:double"&gt;7.692313&lt;/D&gt;&lt;D xsi:type="xsd:double"&gt;3.0034184&lt;/D&gt;&lt;D xsi:type="xsd:double"&gt;2.084899&lt;/D&gt;&lt;D xsi:type="xsd:double"&gt;-1.9535303&lt;/D&gt;&lt;D xsi:type="xsd:double"&gt;10.931576&lt;/D&gt;&lt;D xsi:type="xsd:double"&gt;-1.8056571&lt;/D&gt;&lt;D xsi:type="xsd:double"&gt;1.965189&lt;/D&gt;&lt;D xsi:type="xsd:double"&gt;-6.7180576&lt;/D&gt;&lt;D xsi:type="xsd:double"&gt;2.0661235&lt;/D&gt;&lt;D xsi:type="xsd:double"&gt;0.44822693&lt;/D&gt;&lt;D xsi:type="xsd:double"&gt;-7.3301673&lt;/D&gt;&lt;D xsi:type="xsd:double"&gt;-7.0068717&lt;/D&gt;&lt;D xsi:type="xsd:double"&gt;-2.5843263&lt;/D&gt;&lt;D xsi:type="xsd:double"&gt;-9.078383&lt;/D&gt;&lt;D xsi:type="xsd:double"&gt;6.9533944&lt;/D&gt;&lt;D xsi:type="xsd:double"&gt;-4.1548433&lt;/D&gt;&lt;D xsi:type="xsd:double"&gt;6.662929&lt;/D&gt;&lt;D xsi:type="xsd:double"&gt;2.8871298&lt;/D&gt;&lt;D xsi:type="xsd:double"&gt;6.5816283&lt;/D&gt;&lt;D xsi:type="xsd:double"&gt;3.5423636&lt;/D&gt;&lt;D xsi:type="xsd:double"&gt;-11.111111&lt;/D&gt;&lt;D xsi:type="xsd:double"&gt;0.8454919&lt;/D&gt;&lt;D xsi:type="xsd:double"&gt;2.647066&lt;/D&gt;&lt;D xsi:type="xsd:double"&gt;-6.674534&lt;/D&gt;&lt;D xsi:type="xsd:double"&gt;6.122446&lt;/D&gt;&lt;D xsi:type="xsd:double"&gt;-1.7528892&lt;/D&gt;&lt;D xsi:type="xsd:double"&gt;2.7195573&lt;/D&gt;&lt;D xsi:type="xsd:double"&gt;7.9146624&lt;/D&gt;&lt;D xsi:type="xsd:double"&gt;6.3554645&lt;/D&gt;&lt;D xsi:type="xsd:double"&gt;-3.8849413&lt;/D&gt;&lt;D xsi:type="xsd:double"&gt;-19.222462&lt;/D&gt;&lt;D xsi:type="xsd:double"&gt;14.915967&lt;/D&gt;&lt;D xsi:type="xsd:double"&gt;4.204762&lt;/D&gt;&lt;D xsi:type="xsd:double"&gt;4.3108463&lt;/D&gt;&lt;D xsi:type="xsd:double"&gt;9.192753&lt;/D&gt;&lt;D xsi:type="xsd:double"&gt;4.0196776&lt;/D&gt;&lt;D xsi:type="xsd:double"&gt;-0.027030706&lt;/D&gt;&lt;D xsi:type="xsd:double"&gt;5.162859&lt;/D&gt;&lt;D xsi:type="xsd:double"&gt;2.6474833&lt;/D&gt;&lt;D xsi:type="xsd:double"&gt;1.3617516&lt;/D&gt;&lt;D xsi:type="xsd:double"&gt;6.609416&lt;/D&gt;&lt;D xsi:type="xsd:double"&gt;10.799766&lt;/D&gt;&lt;D xsi:type="xsd:double"&gt;-11.180192&lt;/D&gt;&lt;D xsi:type="xsd:double"&gt;-2.4913967&lt;/D&gt;&lt;D xsi:type="xsd:double"&gt;-2.786231&lt;/D&gt;&lt;D xsi:type="xsd:double"&gt;0.7437706&lt;/D&gt;&lt;D xsi:type="xsd:double"&gt;-2.8759956&lt;/D&gt;&lt;D xsi:type="xsd:double"&gt;-12.447119&lt;/D&gt;&lt;D xsi:type="xsd:double"&gt;0.893116&lt;/D&gt;&lt;D xsi:type="xsd:double"&gt;2.6556253&lt;/D&gt;&lt;D xsi:type="xsd:double"&gt;-3.4209728&lt;/D&gt;&lt;D xsi:type="xsd:double"&gt;-8.444511&lt;/D&gt;&lt;D xsi:type="xsd:double"&gt;1.2723446&lt;/D&gt;&lt;D xsi:type="xsd:double"&gt;-2.0833373&lt;/D&gt;&lt;D xsi:type="xsd:double"&gt;-10.573328&lt;/D&gt;&lt;D xsi:type="xsd:double"&gt;-5.9026537&lt;/D&gt;&lt;D xsi:type="xsd:double"&gt;-6.6203413&lt;/D&gt;&lt;D xsi:type="xsd:double"&gt;9.732998&lt;/D&gt;&lt;D xsi:type="xsd:double"&gt;-1.1936307&lt;/D&gt;&lt;D xsi:type="xsd:double"&gt;-6.3854275&lt;/D&gt;&lt;D xsi:type="xsd:double"&gt;-5.3871393&lt;/D&gt;&lt;D xsi:type="xsd:double"&gt;-11.279493&lt;/D&gt;&lt;D xsi:type="xsd:double"&gt;7.5158715&lt;/D&gt;&lt;D xsi:type="xsd:double"&gt;9.036409&lt;/D&gt;&lt;D xsi:type="xsd:double"&gt;11.026621&lt;/D&gt;&lt;D xsi:type="xsd:double"&gt;-4.4140043&lt;/D&gt;&lt;D xsi:type="xsd:double"&gt;-6.3694296&lt;/D&gt;&lt;D xsi:type="xsd:double"&gt;5.654764&lt;/D&gt;&lt;D xsi:type="xsd:double"&gt;-6.599605&lt;/D&gt;&lt;D xsi:type="xsd:double"&gt;3.6065578&lt;/D&gt;&lt;D xsi:type="xsd:double"&gt;-4.638958&lt;/D&gt;&lt;D xsi:type="xsd:double"&gt;-4.6445074&lt;/D&gt;&lt;D xsi:type="xsd:double"&gt;1.8928885&lt;/D&gt;&lt;D xsi:type="xsd:double"&gt;-4.3044806&lt;/D&gt;&lt;D xsi:type="xsd:double"&gt;2.4384499&lt;/D&gt;&lt;D xsi:type="xsd:double"&gt;-5.5696783&lt;/D&gt;&lt;D xsi:type="xsd:double"&gt;-7.330757&lt;/D&gt;&lt;D xsi:type="xsd:double"&gt;5.0365567&lt;/D&gt;&lt;D xsi:type="xsd:double"&gt;3.8927555&lt;/D&gt;&lt;D xsi:type="xsd:double"&gt;-1.8858492&lt;/D&gt;&lt;/FQL&gt;&lt;FQL&gt;&lt;Q&gt;QAT^FMA_PE(NTMA,-10AY,0,AM,"PORTAGG","MEANR")&lt;/Q&gt;&lt;R&gt;121&lt;/R&gt;&lt;C&gt;1&lt;/C&gt;&lt;D xsi:type="xsd:string"&gt;@NA&lt;/D&gt;&lt;D xsi:type="xsd:string"&gt;@NA&lt;/D&gt;&lt;D xsi:type="xsd:double"&gt;15.2264854321487&lt;/D&gt;&lt;D xsi:type="xsd:double"&gt;15.8135612087406&lt;/D&gt;&lt;D xsi:type="xsd:double"&gt;16.0096483699728&lt;/D&gt;&lt;D xsi:type="xsd:double"&gt;16.1312389950942&lt;/D&gt;&lt;D xsi:type="xsd:double"&gt;14.5630225522606&lt;/D&gt;&lt;D xsi:type="xsd:double"&gt;15.1409156917883&lt;/D&gt;&lt;D xsi:type="xsd:double"&gt;12.3758981227572&lt;/D&gt;&lt;D xsi:type="xsd:double"&gt;13.3506664029115&lt;/D&gt;&lt;D xsi:type="xsd:double"&gt;13.9975278887764&lt;/D&gt;&lt;D xsi:type="xsd:double"&gt;12.8188031292583&lt;/D&gt;&lt;D xsi:type="xsd:double"&gt;13.308492723342&lt;/D&gt;&lt;D xsi:type="xsd:double"&gt;13.7057685245544&lt;/D&gt;&lt;D xsi:type="xsd:double"&gt;13.1146954832892&lt;/D&gt;&lt;D xsi:type="xsd:double"&gt;13.4224668322726&lt;/D&gt;&lt;D xsi:type="xsd:double"&gt;12.8666587463514&lt;/D&gt;&lt;D xsi:type="xsd:double"&gt;12.6773699049401&lt;/D&gt;&lt;D xsi:type="xsd:double"&gt;12.8665511197149&lt;/D&gt;&lt;D xsi:type="xsd:double"&gt;11.904360080069&lt;/D&gt;&lt;D xsi:type="xsd:double"&gt;10.1023022231707&lt;/D&gt;&lt;D xsi:type="xsd:double"&gt;10.2101735179562&lt;/D&gt;&lt;D xsi:type="xsd:double"&gt;11.</t>
        </r>
      </text>
    </comment>
    <comment ref="A15" authorId="0" shapeId="0" xr:uid="{1E7AB12D-CFB4-49FF-A295-593FB0AF82C7}">
      <text>
        <r>
          <rPr>
            <b/>
            <sz val="9"/>
            <color indexed="81"/>
            <rFont val="Tahoma"/>
            <charset val="1"/>
          </rPr>
          <t>5011108194353&lt;/D&gt;&lt;D xsi:type="xsd:double"&gt;12.1761635537777&lt;/D&gt;&lt;D xsi:type="xsd:double"&gt;12.2422125058341&lt;/D&gt;&lt;D xsi:type="xsd:double"&gt;11.6812715955601&lt;/D&gt;&lt;D xsi:type="xsd:double"&gt;11.6985473208104&lt;/D&gt;&lt;D xsi:type="xsd:double"&gt;12.5555126964517&lt;/D&gt;&lt;D xsi:type="xsd:double"&gt;13.6493772899908&lt;/D&gt;&lt;D xsi:type="xsd:double"&gt;12.8487988942578&lt;/D&gt;&lt;D xsi:type="xsd:double"&gt;12.9913093303261&lt;/D&gt;&lt;D xsi:type="xsd:double"&gt;12.1909818873993&lt;/D&gt;&lt;D xsi:type="xsd:double"&gt;12.9373656813778&lt;/D&gt;&lt;D xsi:type="xsd:double"&gt;13.7897280497861&lt;/D&gt;&lt;D xsi:type="xsd:double"&gt;13.4409867796861&lt;/D&gt;&lt;D xsi:type="xsd:double"&gt;12.7918310245181&lt;/D&gt;&lt;D xsi:type="xsd:double"&gt;13.1020053981824&lt;/D&gt;&lt;D xsi:type="xsd:double"&gt;13.0338410236465&lt;/D&gt;&lt;D xsi:type="xsd:double"&gt;12.2972789935589&lt;/D&gt;&lt;D xsi:type="xsd:double"&gt;12.3073310194879&lt;/D&gt;&lt;D xsi:type="xsd:double"&gt;12.101783107213&lt;/D&gt;&lt;D xsi:type="xsd:double"&gt;10.7367937031044&lt;/D&gt;&lt;D xsi:type="xsd:double"&gt;10.7183107540422&lt;/D&gt;&lt;D xsi:type="xsd:double"&gt;10.8631341534545&lt;/D&gt;&lt;D xsi:type="xsd:double"&gt;11.4284280320538&lt;/D&gt;&lt;D xsi:type="xsd:double"&gt;12.3636834472046&lt;/D&gt;&lt;D xsi:type="xsd:double"&gt;11.6819665172141&lt;/D&gt;&lt;D xsi:type="xsd:double"&gt;11.2674250618214&lt;/D&gt;&lt;D xsi:type="xsd:double"&gt;11.5270884358979&lt;/D&gt;&lt;D xsi:type="xsd:double"&gt;11.2761461153949&lt;/D&gt;&lt;D xsi:type="xsd:double"&gt;11.3707242467246&lt;/D&gt;&lt;D xsi:type="xsd:double"&gt;11.5558029216252&lt;/D&gt;&lt;D xsi:type="xsd:double"&gt;11.9207790361592&lt;/D&gt;&lt;D xsi:type="xsd:double"&gt;12.4022659862354&lt;/D&gt;&lt;D xsi:type="xsd:double"&gt;12.6894354007422&lt;/D&gt;&lt;D xsi:type="xsd:double"&gt;12.812483997434&lt;/D&gt;&lt;D xsi:type="xsd:double"&gt;13.1231800664832&lt;/D&gt;&lt;D xsi:type="xsd:double"&gt;13.5428392907554&lt;/D&gt;&lt;D xsi:type="xsd:double"&gt;12.4303379523311&lt;/D&gt;&lt;D xsi:type="xsd:double"&gt;12.4677118785625&lt;/D&gt;&lt;D xsi:type="xsd:double"&gt;12.9962644744029&lt;/D&gt;&lt;D xsi:type="xsd:double"&gt;12.170677221671&lt;/D&gt;&lt;D xsi:type="xsd:double"&gt;13.0438206764936&lt;/D&gt;&lt;D xsi:type="xsd:double"&gt;13.3115234487672&lt;/D&gt;&lt;D xsi:type="xsd:double"&gt;12.1668059470565&lt;/D&gt;&lt;D xsi:type="xsd:double"&gt;13.4875036376243&lt;/D&gt;&lt;D xsi:type="xsd:double"&gt;13.6425230361022&lt;/D&gt;&lt;D xsi:type="xsd:double"&gt;13.2210676211205&lt;/D&gt;&lt;D xsi:type="xsd:double"&gt;13.7171819784842&lt;/D&gt;&lt;D xsi:type="xsd:double"&gt;14.2186545133171&lt;/D&gt;&lt;D xsi:type="xsd:double"&gt;13.0079259482272&lt;/D&gt;&lt;D xsi:type="xsd:double"&gt;11.7262539365635&lt;/D&gt;&lt;D xsi:type="xsd:double"&gt;12.3037472347858&lt;/D&gt;&lt;D xsi:type="xsd:double"&gt;13.7443655735223&lt;/D&gt;&lt;D xsi:type="xsd:double"&gt;14.7275830750282&lt;/D&gt;&lt;D xsi:type="xsd:double"&gt;15.0764675781205&lt;/D&gt;&lt;D xsi:type="xsd:double"&gt;15.6770369783221&lt;/D&gt;&lt;D xsi:type="xsd:double"&gt;15.2475068020761&lt;/D&gt;&lt;D xsi:type="xsd:double"&gt;15.5297693414096&lt;/D&gt;&lt;D xsi:type="xsd:double"&gt;15.2248392304765&lt;/D&gt;&lt;D xsi:type="xsd:double"&gt;14.3315133225311&lt;/D&gt;&lt;D xsi:type="xsd:double"&gt;14.5416431230183&lt;/D&gt;&lt;D xsi:type="xsd:double"&gt;13.4700859950704&lt;/D&gt;&lt;D xsi:type="xsd:double"&gt;13.4922349382203&lt;/D&gt;&lt;D xsi:type="xsd:double"&gt;13.9954084314394&lt;/D&gt;&lt;D xsi:type="xsd:double"&gt;13.8812600440257&lt;/D&gt;&lt;D xsi:type="xsd:double"&gt;13.5269807528396&lt;/D&gt;&lt;D xsi:type="xsd:double"&gt;13.0227591643071&lt;/D&gt;&lt;D xsi:type="xsd:double"&gt;13.4476637028857&lt;/D&gt;&lt;D xsi:type="xsd:double"&gt;13.2319191044104&lt;/D&gt;&lt;D xsi:type="xsd:double"&gt;13.3827099552327&lt;/D&gt;&lt;D xsi:type="xsd:double"&gt;13.6621306282737&lt;/D&gt;&lt;D xsi:type="xsd:double"&gt;13.1443345649706&lt;/D&gt;&lt;D xsi:type="xsd:double"&gt;13.9525318785132&lt;/D&gt;&lt;D xsi:type="xsd:double"&gt;13.6645929212682&lt;/D&gt;&lt;D xsi:type="xsd:double"&gt;14.1950607397659&lt;/D&gt;&lt;D xsi:type="xsd:double"&gt;14.0733843837809&lt;/D&gt;&lt;D xsi:type="xsd:double"&gt;13.058374826146&lt;/D&gt;&lt;D xsi:type="xsd:double"&gt;12.1075388375578&lt;/D&gt;&lt;D xsi:type="xsd:double"&gt;12.3041571621443&lt;/D&gt;&lt;D xsi:type="xsd:double"&gt;14.2862437500818&lt;/D&gt;&lt;D xsi:type="xsd:double"&gt;13.1982022803935&lt;/D&gt;&lt;D xsi:type="xsd:double"&gt;12.5981953455907&lt;/D&gt;&lt;D xsi:type="xsd:double"&gt;12.639232483208&lt;/D&gt;&lt;D xsi:type="xsd:double"&gt;11.5021569341794&lt;/D&gt;&lt;D xsi:type="xsd:double"&gt;11.0831664560403&lt;/D&gt;&lt;D xsi:type="xsd:double"&gt;11.1677464538976&lt;/D&gt;&lt;D xsi:type="xsd:double"&gt;10.4911925378643&lt;/D&gt;&lt;D xsi:type="xsd:double"&gt;10.6075991757183&lt;/D&gt;&lt;D xsi:type="xsd:double"&gt;11.3452584332889&lt;/D&gt;&lt;D xsi:type="xsd:double"&gt;11.231356362982&lt;/D&gt;&lt;D xsi:type="xsd:double"&gt;11.186632261391&lt;/D&gt;&lt;D xsi:type="xsd:double"&gt;11.3329025335136&lt;/D&gt;&lt;D xsi:type="xsd:double"&gt;10.8460142145147&lt;/D&gt;&lt;D xsi:type="xsd:double"&gt;10.4505695632937&lt;/D&gt;&lt;D xsi:type="xsd:double"&gt;10.7528516656098&lt;/D&gt;&lt;D xsi:type="xsd:double"&gt;10.2723370080645&lt;/D&gt;&lt;D xsi:type="xsd:double"&gt;10.7332498920387&lt;/D&gt;&lt;D xsi:type="xsd:double"&gt;10.5547570925604&lt;/D&gt;&lt;D xsi:type="xsd:double"&gt;10.5175773424597&lt;/D&gt;&lt;D xsi:type="xsd:double"&gt;10.1685685834051&lt;/D&gt;&lt;/FQL&gt;&lt;FQL&gt;&lt;Q&gt;CPALM-FDS^MAX(FG_PRICE(0,-5AY))&lt;/Q&gt;&lt;R&gt;1&lt;/R&gt;&lt;C&gt;1&lt;/C&gt;&lt;D xsi:type="xsd:double"&gt;8163&lt;/D&gt;&lt;/FQL&gt;&lt;FQL&gt;&lt;Q&gt;TIOS-FDS^FG_PRICE_CHANGE(0,-1AM)&lt;/Q&gt;&lt;R&gt;1&lt;/R&gt;&lt;C&gt;1&lt;/C&gt;&lt;D xsi:type="xsd:double"&gt;-2.28116230650856&lt;/D&gt;&lt;/FQL&gt;&lt;FQL&gt;&lt;Q&gt;FC0000TW^FG_PRICE(0)&lt;/Q&gt;&lt;R&gt;1&lt;/R&gt;&lt;C&gt;1&lt;/C&gt;&lt;D xsi:type="xsd:double"&gt;339.9226&lt;/D&gt;&lt;/FQL&gt;&lt;FQL&gt;&lt;Q&gt;VNM^FG_PRICE_MAVG(0,,,,60)&lt;/Q&gt;&lt;R&gt;1&lt;/R&gt;&lt;C&gt;1&lt;/C&gt;&lt;D xsi:type="xsd:double"&gt;13.251833&lt;/D&gt;&lt;/FQL&gt;&lt;FQL&gt;&lt;Q&gt;EWZ^FG_PRICE_MAVG(0,,,,200)&lt;/Q&gt;&lt;R&gt;1&lt;/R&gt;&lt;C&gt;1&lt;/C&gt;&lt;D xsi:type="xsd:double"&gt;32.34835&lt;/D&gt;&lt;/FQL&gt;&lt;FQL&gt;&lt;Q&gt;EIDO^FG_PRICE(0)&lt;/Q&gt;&lt;R&gt;1&lt;/R&gt;&lt;C&gt;1&lt;/C&gt;&lt;D xsi:type="xsd:double"&gt;20.89&lt;/D&gt;&lt;/FQL&gt;&lt;FQL&gt;&lt;Q&gt;VNM^FG_TOTAL_RETURNC(0,-12AM)&lt;/Q&gt;&lt;R&gt;1&lt;/R&gt;&lt;C&gt;1&lt;/C&gt;&lt;D xsi:type="xsd:double"&gt;5.5269957&lt;/D&gt;&lt;/FQL&gt;&lt;FQL&gt;&lt;Q&gt;QAT^FG_TOTAL_RETURNC(0,-12AM)&lt;/Q&gt;&lt;R&gt;1&lt;/R&gt;&lt;C&gt;1&lt;/C&gt;&lt;D xsi:type="xsd:double"&gt;0.44510365&lt;/D&gt;&lt;/FQL&gt;&lt;FQL&gt;&lt;Q&gt;GREK^FMA_PCT_ABOVE_MAVG(200,0,,,,"PORTAGG")&lt;/Q&gt;&lt;R&gt;1&lt;/R&gt;&lt;C&gt;1&lt;/C&gt;&lt;D xsi:type="xsd:double"&gt;65.5172413793103&lt;/D&gt;&lt;/FQL&gt;&lt;FQL&gt;&lt;Q&gt;EWW^PERCENT_CHANGE(FMA_EPS(+1,0,,,,"PORTAGG","MEAN"),FMA_EPS(+1,-1AM,,,,"PORTAGG","MEAN"))&lt;/Q&gt;&lt;R&gt;1&lt;/R&gt;&lt;C&gt;1&lt;/C&gt;&lt;D xsi:type="xsd:double"&gt;-0.970628375248747&lt;/D&gt;&lt;/FQL&gt;&lt;FQL&gt;&lt;Q&gt;EPOL^PERCENT_CHANGE(FMA_EPS(+1,0,,,,"PORTAGG","MEAN"),FMA_EPS(+1,-3AM,,,,"PORTAGG","MEAN"))&lt;/Q&gt;&lt;R&gt;1&lt;/R&gt;&lt;C&gt;1&lt;/C&gt;&lt;D xsi:type="xsd:double"&gt;-0.642927876658953&lt;/D&gt;&lt;/FQL&gt;&lt;FQL&gt;&lt;Q&gt;CNYA^PERCENT_CHANGE(FMA_EPS(+1,0,,,,"PORTAGG","MEAN"),FMA_EPS(+1,-3AM,,,,"PORTAGG","MEAN"))&lt;/Q&gt;&lt;R&gt;1&lt;/R&gt;&lt;C&gt;1&lt;/C&gt;&lt;D xsi:type="xsd:double"&gt;-7.27897336566593&lt;/D&gt;&lt;/FQL&gt;&lt;FQL&gt;&lt;Q&gt;VWO^FG_TOTAL_RETURNC(0,-3AM)&lt;/Q&gt;&lt;R&gt;1&lt;/R&gt;&lt;C&gt;1&lt;/C&gt;&lt;D xsi:type="xsd:double"&gt;4.5274973&lt;/D&gt;&lt;/FQL&gt;&lt;FQL&gt;&lt;Q&gt;KSA^SIZE(FG_CONSTITUENTS)&lt;/Q&gt;&lt;R&gt;1&lt;/R&gt;&lt;C&gt;1&lt;/C&gt;&lt;D xsi:type="xsd:long"&gt;122&lt;/D&gt;&lt;/FQL&gt;&lt;FQL&gt;&lt;Q&gt;EWY^FMA_COS_UP("EPS","1M",+1,NOW,,,"PORTAGG","MEANR")&lt;/Q&gt;&lt;R&gt;1&lt;/R&gt;&lt;C&gt;1&lt;/C&gt;&lt;D xsi:type="xsd:double"&gt;29&lt;/D&gt;&lt;/FQL&gt;&lt;FQL&gt;&lt;Q&gt;INDA^FMA_RBICS_REV_CURRENT(30, LOC, "PORTAGG")&lt;/Q&gt;&lt;R&gt;1&lt;/R&gt;&lt;C&gt;1&lt;/C&gt;&lt;D xsi:type="xsd:double"&gt;29.4085045540727&lt;/D&gt;&lt;/FQL&gt;&lt;FQL&gt;&lt;Q&gt;TRYPH10Y-FDS^FG_YIELD_NAME&lt;/Q&gt;&lt;R&gt;1&lt;/R&gt;&lt;C&gt;1&lt;/C&gt;&lt;D xsi:type="xsd:string"&gt;Philippines Benchmark Bond - 10 Year&lt;/D&gt;&lt;/FQL&gt;&lt;FQL&gt;&lt;Q&gt;REFTHREPO-FDS^FG_YIELD(NOW,,,0)&lt;/Q&gt;&lt;R&gt;1&lt;/R&gt;&lt;C&gt;1&lt;/C&gt;&lt;D xsi:type="xsd:double"&gt;2.5&lt;/D&gt;&lt;/FQL&gt;&lt;FQL&gt;&lt;Q&gt;EZA^FMA_PE(LTM,0,,,"PORTAGG","MEANR")&lt;/Q&gt;&lt;R&gt;1&lt;/R&gt;&lt;C&gt;1&lt;/C&gt;&lt;D xsi:type="xsd:double"&gt;10.7912225749682&lt;/D&gt;&lt;/FQL&gt;&lt;FQL&gt;&lt;Q&gt;EWW^FMA_EVAL_EBITDA(NTMA,0,,,"PORTAGG","MEANR")&lt;/Q&gt;&lt;R&gt;1&lt;/R&gt;&lt;C&gt;1&lt;/C&gt;&lt;D xsi:type="xsd:double"&gt;6.06773096218205&lt;/D&gt;&lt;/FQL&gt;&lt;FQL&gt;&lt;Q&gt;USDSAR^FG_PRICE_CHANGE(0,-1AY)&lt;/Q&gt;&lt;R&gt;1&lt;/R&gt;&lt;C&gt;1&lt;/C&gt;&lt;D xsi:type="xsd:double"&gt;0.015997887&lt;/D&gt;&lt;/FQL&gt;&lt;FQL&gt;&lt;Q&gt;USDCNH^FG_PRICE_CHANGE(0,-6AM)&lt;/Q&gt;&lt;R&gt;1&lt;/R&gt;&lt;C&gt;1&lt;/C&gt;&lt;D xsi:type="xsd:double"&gt;-1.0595858&lt;/D&gt;&lt;/FQL&gt;&lt;FQL&gt;&lt;Q&gt;USDMYR^FG_PRICE_CHANGE(0,-6AM)&lt;/Q&gt;&lt;R&gt;1&lt;/R&gt;&lt;C&gt;1&lt;/C&gt;&lt;D xsi:type="xsd:double"&gt;0.82200766&lt;/D&gt;&lt;/FQL&gt;&lt;FQL&gt;&lt;Q&gt;FC0000BR^FMA_EPS(NTMA,-20AY,0,CY,,"PORTAGG","MEANR")&lt;/Q&gt;&lt;R&gt;20&lt;/R&gt;&lt;C&gt;1&lt;/C&gt;&lt;D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xsi:type="xsd:double"&gt;20.1211778098761&lt;/D&gt;&lt;D xsi:type="xsd:double"&gt;14.9233563414379&lt;/D&gt;&lt;D xsi:type="xsd:double"&gt;18.5568689204014&lt;/D&gt;&lt;D xsi:type="xsd:double"&gt;21.0713566871922&lt;/D&gt;&lt;D xsi:type="xsd:double"&gt;24.0594592102074&lt;/D&gt;&lt;/FQL&gt;&lt;FQL&gt;&lt;Q&gt;GREK^FMA_DIV_YLD(NTMA,-10AY,0,AM,"PORTAGG","MEANR")&lt;/Q&gt;&lt;R&gt;121&lt;/R&gt;&lt;C&gt;1&lt;/C&gt;&lt;D xsi:type="xsd:double"&gt;2.41009357210545&lt;/D&gt;&lt;D xsi:type="xsd:double"&gt;2.33179796179743&lt;/D&gt;&lt;D xsi:type="xsd:double"&gt;1.84270685918267&lt;/D&gt;&lt;D xsi:type="xsd:double"&gt;2.08721824855684&lt;/D&gt;&lt;D xsi:type="xsd:double"&gt;2.16635321962321&lt;/D&gt;&lt;D xsi:type="xsd:double"&gt;2.26303758247649&lt;/D&gt;&lt;D xsi:type="xsd:double"&gt;2.61802277647803&lt;/D&gt;&lt;D xsi:type="xsd:double"&gt;2.69491621676231&lt;/D&gt;&lt;D xsi:type="xsd:double"&gt;2.91731181511837&lt;/D&gt;&lt;D xsi:type="xsd:double"&gt;3.60899969862101&lt;/D&gt;&lt;D xsi:type="xsd:double"&gt;3.34910213196731&lt;/D&gt;&lt;D xsi:type="xsd:double"&gt;3.58833825890715&lt;/D&gt;&lt;D xsi:type="xsd:double"&gt;3.66154340668784&lt;/D&gt;&lt;D xsi:type="xsd:double"&gt;3.21812823482856&lt;/D&gt;&lt;D xsi:type="xsd:double"&gt;3.96491029136417&lt;/D&gt;&lt;D xsi:type="xsd:double"&gt;3.30617860635291&lt;/D&gt;&lt;D xsi:type="xsd:double"&gt;4.04671167381939&lt;/D&gt;&lt;D xsi:type="xsd:double"&gt;3.11404360513014&lt;/D&gt;&lt;D xsi:type="xsd:double"&gt;2.8855669707654&lt;/D&gt;&lt;D xsi:type="xsd:double"&gt;3.1134229942629&lt;/D&gt;&lt;D xsi:type="xsd:double"&gt;2.90757794228433&lt;/D&gt;&lt;D xsi:type="xsd:double"&gt;2.86472892098702&lt;/D&gt;&lt;D xsi:type="xsd:double"&gt;2.76194123277789&lt;/D&gt;&lt;D xsi:type="xsd:double"&gt;3.44566767175808&lt;/D&gt;&lt;D xsi:type="xsd:double"&gt;3.05138570724564&lt;/D&gt;&lt;D xsi:type="xsd:double"&gt;2.33648198802622&lt;/D&gt;&lt;D xsi:type="xsd:double"&gt;2.72675923679299&lt;/D&gt;&lt;D xsi:type="xsd:double"&gt;2.92437512902665&lt;/D&gt;&lt;D xsi:type="xsd:double"&gt;2.9218631488369&lt;/D&gt;&lt;D xsi:type="xsd:double"&gt;3.3428007106985&lt;/D&gt;&lt;D xsi:type="xsd:double"&gt;2.9686051179748&lt;/D&gt;&lt;D xsi:type="xsd:double"&gt;2.85477613468777&lt;/D&gt;&lt;D xsi:type="xsd:double"&gt;2.85507827577969&lt;/D&gt;&lt;D xsi:type="xsd:double"&gt;2.90872295588828&lt;/D&gt;&lt;D xsi:type="xsd:double"&gt;3.07410737168593&lt;/D&gt;&lt;D xsi:type="xsd:double"&gt;2.97531318444258&lt;/D&gt;&lt;D xsi:type="xsd:double"&gt;2.639324826674&lt;/D&gt;&lt;D xsi:type="xsd:double"&gt;2.61471071290147&lt;/D&gt;&lt;D xsi:type="xsd:double"&gt;2.62058831772555&lt;/D&gt;&lt;D xsi:type="xsd:double"&gt;2.46011684140214&lt;/D&gt;&lt;D xsi:type="xsd:double"&gt;2.60920331957911&lt;/D&gt;&lt;D xsi:type="xsd:double"&gt;2.82956624847088&lt;/D&gt;&lt;D xsi:type="xsd:double"&gt;2.81821966652202&lt;/D&gt;&lt;D xsi:type="xsd:double"&gt;3.19578527443219&lt;/D&gt;&lt;D xsi:type="xsd:double"&gt;2.66334768556753&lt;/D&gt;&lt;D xsi:type="xsd:double"&gt;2.61580401181327&lt;/D&gt;&lt;D xsi:type="xsd:double"&gt;2.79456183343588&lt;/D&gt;&lt;D xsi:type="xsd:double"&gt;3.15799083377507&lt;/D&gt;&lt;D xsi:type="xsd:double"&gt;2.9432838792929&lt;/D&gt;&lt;D xsi:type="xsd:double"&gt;3.29463712883514&lt;/D&gt;&lt;D xsi:type="xsd:double"&gt;3.36721608931771&lt;/D&gt;&lt;D xsi:type="xsd:double"&gt;3.39766842882545&lt;/D&gt;&lt;D xsi:type="xsd:double"&gt;3.73774602904968&lt;/D&gt;&lt;D xsi:type="xsd:double"&gt;3.79881767056452&lt;/D&gt;&lt;D xsi:type="xsd:double"&gt;4.2269627263721&lt;/D&gt;&lt;D xsi:type="xsd:double"&gt;4.27262105124867&lt;/D&gt;&lt;D xsi:type="xsd:double"&gt;4.35640353766411&lt;/D&gt;&lt;D xsi:type="xsd:double"&gt;4.33863614094183&lt;/D&gt;&lt;D xsi:type="xsd:double"&gt;4.16976064416968&lt;/D&gt;&lt;D xsi:type="xsd:double"&gt;3.74052897862379&lt;/D&gt;&lt;D xsi:type="xsd:double"&gt;3.50498654083963&lt;/D&gt;&lt;D xsi:type="xsd:double"&gt;3.95551916881588&lt;/D&gt;&lt;D xsi:type="xsd:double"&gt;3.27165483908624&lt;/D&gt;&lt;D xsi:type="xsd:double"&gt;3.20981758555009&lt;/D&gt;&lt;D xsi:type="xsd:double"&gt;3.48413958397812&lt;/D&gt;&lt;D xsi:type="xsd:double"&gt;3.35300145804032&lt;/D&gt;&lt;D xsi:type="xsd:double"&gt;3.21346317057911&lt;/D&gt;&lt;D xsi:type="xsd:double"&gt;3.23707512259538&lt;/D&gt;&lt;D xsi:type="xsd:double"&gt;2.93619211406523&lt;/D&gt;&lt;D xsi:type="xsd:double"&gt;2.88206360311812&lt;/D&gt;&lt;D xsi:type="xsd:double"&gt;2.8617037573601&lt;/D&gt;&lt;D xsi:type="xsd:double"&gt;5.91169658314749&lt;/D&gt;&lt;D xsi:type="xsd:double"&gt;4.62749065745145&lt;/D&gt;&lt;D xsi:type="xsd:double"&gt;4.43589550852477&lt;/D&gt;&lt;D xsi:type="xsd:double"&gt;3.66320452197803&lt;/D&gt;&lt;D xsi:type="xsd:double"&gt;3.72317270173529&lt;/D&gt;&lt;D xsi:type="xsd:double"&gt;3.54889311027969&lt;/D&gt;&lt;D xsi:type="xsd:double"&gt;3.46831000489887&lt;/D&gt;&lt;D xsi:type="xsd:double"&gt;3.81101229466886&lt;/D&gt;&lt;D xsi:type="xsd:double"&gt;3.46288056099518&lt;/D&gt;&lt;D xsi:type="xsd:double"&gt;3.1714598156205&lt;/D&gt;&lt;D xsi:type="xsd:double"&gt;3.26698571973193&lt;/D&gt;&lt;D xsi:type="xsd:double"&gt;3.34278590305744&lt;/D&gt;&lt;D xsi:type="xsd:double"&gt;3.23634925610155&lt;/D&gt;&lt;D xsi:type="xsd:double"&gt;3.30347815738547&lt;/D&gt;&lt;D xsi:type="xsd:double"&gt;3.12150711689834&lt;/D&gt;&lt;D xsi:type="xsd:double"&gt;3.01799367182912&lt;/D&gt;&lt;D xsi:type="xsd:double"&gt;3.08125227370752&lt;/D&gt;&lt;D xsi:type="xsd:double"&gt;3.03592325123004&lt;/D&gt;&lt;D xsi:type="xsd:double"&gt;2.97510693293806&lt;/D&gt;&lt;D xsi:type="xsd:double"&gt;3.06776092710702&lt;/D&gt;&lt;D xsi:type="xsd:double"&gt;2.79538391931672&lt;/D&gt;&lt;D xsi:type="xsd:double"&gt;3.19194342304003&lt;/D&gt;&lt;D xsi:type="xsd:double"&gt;3.12401615416437&lt;/D&gt;&lt;D xsi:type="xsd:double"&gt;2.92729105841992&lt;/D&gt;&lt;D xsi:type="xsd:double"&gt;3.09770474731636&lt;/D&gt;&lt;D xsi:type="xsd:double"&gt;3.15141233493162&lt;/D&gt;&lt;D xsi:type="xsd:double"&gt;3.62885521978808&lt;/D&gt;&lt;D xsi:type="xsd:double"&gt;4.18882760044691&lt;/D&gt;&lt;D xsi:type="xsd:double"&gt;4.37582419413487&lt;/D&gt;&lt;D xsi:type="xsd:double"&gt;3.90292775842099&lt;/D&gt;&lt;D xsi:type="xsd:double"&gt;4.4498643456885&lt;/D&gt;&lt;D xsi:type="xsd:double"&gt;4.36155726453194&lt;/D&gt;&lt;D xsi:type="xsd:double"&gt;4.55789534554149&lt;/D&gt;&lt;D xsi:type="xsd:double"&gt;4.44134206563192&lt;/D&gt;&lt;D xsi:type="xsd:double"&gt;4.430505264781&lt;/D&gt;&lt;D xsi:type="xsd:double"&gt;3.94314303253781&lt;/D&gt;&lt;D xsi:type="xsd:double"&gt;4.45894832458081&lt;/D&gt;&lt;D xsi:type="xsd:double"&gt;4.05103571656194&lt;/D&gt;&lt;D xsi:type="xsd:double"&gt;4.25292155268519&lt;/D&gt;&lt;D xsi:type="xsd:double"&gt;3.82356991215569&lt;/D&gt;&lt;D xsi:type="xsd:double"&gt;4.02565353944393&lt;/D&gt;&lt;D xsi:type="xsd:double"&gt;4.49086712994062&lt;/D&gt;&lt;D xsi:type="xsd:double"&gt;4.53848093321284&lt;/D&gt;&lt;D xsi:type="xsd:double"&gt;5.07652671115823&lt;/D&gt;&lt;D xsi:type="xsd:double"&gt;4.51071334092343&lt;/D&gt;&lt;D xsi:type="xsd:double"&gt;4.48345571026266&lt;/D&gt;&lt;D xsi:type="xsd:double"&gt;4.61688247263391&lt;/D&gt;&lt;D xsi:type="xsd:double"&gt;4.52509557887347&lt;/D&gt;&lt;D xsi:type="xsd:double"&gt;4.87735093002859&lt;/D&gt;&lt;D xsi:type="xsd:double"&gt;5.43483015362543&lt;/D&gt;&lt;/FQL&gt;&lt;FQL&gt;&lt;Q&gt;TUR^FMA_PE(LTMA,-10AY,0,AM,"PORTAGG","MEANR")&lt;/Q&gt;&lt;R&gt;121&lt;/R&gt;&lt;C&gt;1&lt;/C&gt;&lt;D xsi:type="xsd:double"&gt;9.74307225752458&lt;/D&gt;&lt;D xsi:type="xsd:double"&gt;9.98513311862473&lt;/D&gt;&lt;D xsi:type="xsd:double"&gt;10.2397699092893&lt;/D&gt;&lt;D xsi:type="xsd:double"&gt;10.7556040256946&lt;/D&gt;&lt;D xsi:type="xsd:double"&gt;10.3948495395251&lt;/D&gt;&lt;D xsi:type="xsd:double"&gt;10.5265162071944&lt;/D&gt;&lt;D xsi:type="xsd:double"&gt;10.4004087720125&lt;/D&gt;&lt;D xsi:type="xsd:double"&gt;11.1952970471707&lt;/D&gt;&lt;D xsi:type="xsd:double"&gt;11.4366883790243&lt;/D&gt;&lt;D xsi:type="xsd:double"&gt;12.1369073121561&lt;/D&gt;&lt;D xsi:type="xsd:double"&gt;12.117875603333&lt;/D&gt;&lt;D xsi:type="xsd:double"&gt;11.7439996999072&lt;/D&gt;&lt;D xsi:type="xsd:double"&gt;11.6942712353265&lt;/D&gt;&lt;D xsi:type="xsd:double"&gt;11.9588631058213&lt;/D&gt;&lt;D xsi:type="xsd:double"&gt;11.5231549471074&lt;/D&gt;&lt;D xsi:type="xsd:double"&gt;11.4996496795064&lt;/D&gt;&lt;D xsi:type="xsd:double"&gt;10.8249761278495&lt;/D&gt;&lt;D xsi:type="xsd:double"&gt;10.6624499311918&lt;/D&gt;&lt;D xsi:type="xsd:double"&gt;10.9556289963821&lt;/D&gt;&lt;D xsi:type="xsd:double"&gt;11.2940846625826&lt;/D&gt;&lt;D xsi:type="xsd:double"&gt;9.99622692082334&lt;/D&gt;&lt;D xsi:type="xsd:double"&gt;9.6571973471253&lt;/D&gt;&lt;D xsi:type="xsd:double"&gt;9.72789804810802&lt;/D&gt;&lt;D xsi:type="xsd:double"&gt;9.87324968359107&lt;/D&gt;&lt;D xsi:type="xsd:double"&gt;9.9182388146094&lt;/D&gt;&lt;D xsi:type="xsd:double"&gt;9.57593243637776&lt;/D&gt;&lt;D xsi:type="xsd:double"&gt;9.4003335441376&lt;/D&gt;&lt;D xsi:type="xsd:double"&gt;9.41885195164569&lt;/D&gt;&lt;D xsi:type="xsd:double"&gt;9.48295328258802&lt;/D&gt;&lt;D xsi:type="xsd:double"&gt;9.36880386291964&lt;/D&gt;&lt;D xsi:type="xsd:double"&gt;9.40916852099439&lt;/D&gt;&lt;D xsi:type="xsd:double"&gt;8.97706567035386&lt;/D&gt;&lt;D xsi:type="xsd:double"&gt;9.00858118836742&lt;/D&gt;&lt;D xsi:type="xsd:double"&gt;9.38066675013423&lt;/D&gt;&lt;D xsi:type="xsd:double"&gt;10.0518872123403&lt;/D&gt;&lt;D xsi:type="xsd:double"&gt;9.84499741559439&lt;/D&gt;&lt;D xsi:type="xsd:double"&gt;9.73005550173899&lt;/D&gt;&lt;D xsi:type="xsd:double"&gt;9.72632429729975&lt;/D&gt;&lt;D xsi:type="xsd:double"&gt;9.64916558016753&lt;/D&gt;&lt;D xsi:type="xsd:double"&gt;9.7729476440724&lt;/D&gt;&lt;D xsi:type="xsd:double"&gt;9.49050807802057&lt;/D&gt;&lt;D xsi:type="xsd:double"&gt;9.32181120651213&lt;/D&gt;&lt;D xsi:type="xsd:double"&gt;9.13004754714125&lt;/D&gt;&lt;D xsi:type="xsd:double"&gt;8.87312362116291&lt;/D&gt;&lt;D xsi:type="xsd:double"&gt;8.77266344821074&lt;/D&gt;&lt;D xsi:type="xsd:double"&gt;9.06661903826189&lt;/D&gt;&lt;D xsi:type="xsd:double"&gt;9.08109711466462&lt;/D&gt;&lt;D xsi:type="xsd:double"&gt;9.14654616654227&lt;/D&gt;&lt;D xsi:type="xsd:double"&gt;8.91771547963449&lt;/D&gt;&lt;D xsi:type="xsd:double"&gt;8.52414530250322&lt;/D&gt;&lt;D xsi:type="xsd:double"&gt;8.07965777060153&lt;/D&gt;&lt;D xsi:type="xsd:double"&gt;7.77791844905277&lt;/D&gt;&lt;D xsi:type="xsd:double"&gt;7.36379810236724&lt;/D&gt;&lt;D xsi:type="xsd:double"&gt;7.47862048311682&lt;/D&gt;&lt;D xsi:type="xsd:double"&gt;7.48110847255532&lt;/D&gt;&lt;D xsi:type="xsd:double"&gt;6.90629407842536&lt;/D&gt;&lt;D xsi:type="xsd:double"&gt;6.59947809464733&lt;/D&gt;&lt;D xsi:type="xsd:double"&gt;7.13176287036923&lt;/D&gt;&lt;D xsi:type="xsd:double"&gt;7.2792640252697&lt;/D&gt;&lt;D xsi:type="xsd:double"&gt;7.47624924890046&lt;/D&gt;&lt;D xsi:type="xsd:double"&gt;7.23709283046403&lt;/D&gt;&lt;D xsi:type="xsd:double"&gt;6.95084271763806&lt;/D&gt;&lt;D xsi:type="xsd:double"&gt;7.24646229593109&lt;/D&gt;&lt;D xsi:type="xsd:double"&gt;7.52829828138823&lt;/D&gt;&lt;D xsi:type="xsd:double"&gt;7.45230382904439&lt;/D&gt;&lt;D xsi:type="xsd:double"&gt;7.70395231960314&lt;/D&gt;&lt;D xsi:type="xsd:double"&gt;7.54716626690305&lt;/D&gt;&lt;D xsi:type="xsd:double"&gt;8.20958056538277&lt;/D&gt;&lt;D xsi:type="xsd:double"&gt;8.81104759684988&lt;/D&gt;&lt;D xsi:type="xsd:double"&gt;9.53087487025108&lt;/D&gt;&lt;D xsi:type="xsd:double"&gt;9.20194757470058&lt;/D&gt;&lt;D xsi:type="xsd:double"&gt;7.75804469477033&lt;/D&gt;&lt;D xsi:type="xsd:double"&gt;7.82160345596527&lt;/D&gt;&lt;D xsi:type="xsd:double"&gt;8.24775368416919&lt;/D&gt;&lt;D xsi:type="xsd:double"&gt;9.26166264017359&lt;/D&gt;&lt;D xsi:type="xsd:double"&gt;9.69855773414091&lt;/D&gt;&lt;D xsi:type="xsd:double"&gt;9.78196931990797&lt;/D&gt;&lt;D xsi:type="xsd:double"&gt;10.1096421209303&lt;/D&gt;&lt;D xsi:type="xsd:double"&gt;11.0679961256138&lt;/D&gt;&lt;D xsi:type="xsd:double"&gt;12.769725784525&lt;/D&gt;&lt;D xsi:type="xsd:double"&gt;12.8337132015554&lt;/D&gt;&lt;D xsi:type="xsd:double"&gt;13.5199657887803&lt;/D&gt;&lt;D xsi:type="xsd:double"&gt;12.2785323139801&lt;/D&gt;&lt;D xsi:type="xsd:double"&gt;11.3859572325332&lt;/D&gt;&lt;D xsi:type="xsd:double"&gt;10.7459625067498&lt;/D&gt;&lt;D xsi:type="xsd:double"&gt;10.285545295787&lt;/D&gt;&lt;D xsi:type="xsd:double"&gt;9.59984014208276&lt;/D&gt;&lt;D xsi:type="xsd:double"&gt;9.01785725714687&lt;/D&gt;&lt;D xsi:type="xsd:double"&gt;8.3882379118185&lt;/D&gt;&lt;D xsi:type="xsd:double"&gt;7.76543577494811&lt;/D&gt;&lt;D xsi:type="xsd:double"&gt;7.09535242649016&lt;/D&gt;&lt;D xsi:type="xsd:double"&gt;7.31497518724589&lt;/D&gt;&lt;D xsi:type="xsd:double"&gt;7.79242891673102&lt;/D&gt;&lt;D xsi:type="xsd:double"&gt;6.84426501532192&lt;/D&gt;&lt;D xsi:type="xsd:double"&gt;6.11279640604659&lt;/D&gt;&lt;D xsi:type="xsd:double"&gt;5.76179892475635&lt;/D&gt;&lt;D xsi:type="xsd:double"&gt;5.82646075981571&lt;/D&gt;&lt;D xsi:type="xsd:double"&gt;5.43344477503247&lt;/D&gt;&lt;D xsi:type="xsd:double"&gt;5.5322974376761&lt;/D&gt;&lt;D xsi:type="xsd:double"&gt;5.15448624729996&lt;/D&gt;&lt;D xsi:type="xsd:double"&gt;4.9663316172939&lt;/D&gt;&lt;D xsi:type="xsd:double"&gt;4.90469305234085&lt;/D&gt;&lt;D xsi:type="xsd:double"&gt;5.01640497869761&lt;/D&gt;&lt;D xsi:type="xsd:double"&gt;4.94457787063507&lt;/D&gt;&lt;D xsi:type="xsd:double"&gt;5.00421266312151&lt;/D&gt;&lt;D xsi:type="xsd:double"&gt;5.19367057823985&lt;/D&gt;&lt;D xsi:type="xsd:double"&gt;4.57277930256252&lt;/D&gt;&lt;D xsi:type="xsd:double"&gt;4.71664434485855&lt;/D&gt;&lt;D xsi:type="xsd:double"&gt;4.68441997706121&lt;/D&gt;&lt;D xsi:type="xsd:double"&gt;4.47333816805314&lt;/D&gt;&lt;D xsi:type="xsd:double"&gt;4.89004377317573&lt;/D&gt;&lt;D xsi:type="xsd:double"&gt;5.37615751962244&lt;/D&gt;&lt;D xsi:type="xsd:double"&gt;6.04551978526257&lt;/D&gt;&lt;D xsi:type="xsd:double"&gt;6.07941193114&lt;/D&gt;&lt;D xsi:type="xsd:double"&gt;6.24227391174733&lt;/D&gt;&lt;D xsi:type="xsd:double"&gt;5.66921348179749&lt;/D&gt;&lt;D xsi:type="xsd:double"&gt;5.60917951806062&lt;/D&gt;&lt;D xsi:type="xsd:double"&gt;5.82435677776441&lt;/D&gt;&lt;D xsi:type="xsd:double"&gt;6.74277971542336&lt;/D&gt;&lt;D xsi:type="xsd:double"&gt;6.47933342080602&lt;/D&gt;&lt;D xsi:type="xsd:double"&gt;6.53914960108455&lt;/D&gt;&lt;/FQL&gt;&lt;FQL&gt;&lt;Q&gt;DDR3512M-FDS^FG_PRICE_CHANGE(0,-1AY)&lt;/Q&gt;&lt;R&gt;1&lt;/R&gt;&lt;C&gt;1&lt;/C&gt;&lt;D xsi:type="xsd:double"&gt;-11.8436036363637&lt;/D&gt;&lt;/FQL&gt;&lt;FQL&gt;&lt;Q&gt;PASP-FDS^FG_PRICE_MAVG(0,,,,30)&lt;/Q&gt;&lt;R&gt;1&lt;/R&gt;&lt;C&gt;1&lt;/C&gt;&lt;D xsi:type="xsd:double"&gt;1043.0667&lt;/D&gt;&lt;/FQL&gt;&lt;FQL&gt;&lt;Q&gt;BRENT-FDS^FG_PRICE_CHANGE(0,-6AM)&lt;/Q&gt;&lt;R&gt;1&lt;/R&gt;&lt;C&gt;1&lt;/C&gt;&lt;D xsi:type="xsd:double"&gt;-9.55440851153482&lt;/D&gt;&lt;/FQL&gt;&lt;FQL&gt;&lt;Q&gt;TRYSA10Y-FDS^FG_YIELD(-10AY,0,Y,,"YTM")&lt;/Q&gt;&lt;R&gt;10&lt;/R&gt;&lt;C&gt;1&lt;/C&gt;&lt;D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xsi:type="xsd:double"&gt;4.608568&lt;/D&gt;&lt;/FQL&gt;&lt;FQL&gt;&lt;Q&gt;CAGDPY@ZA^EE_ACTUAL_ANNUAL(MED,0)&lt;/Q&gt;&lt;R&gt;1&lt;/R&gt;&lt;C&gt;1&lt;/C&gt;&lt;D xsi:type="xsd:double"&gt;-1.6&lt;/D&gt;&lt;/FQL&gt;&lt;FQL&gt;&lt;Q&gt;CC_SA^FG_COMPANY_NAME&lt;/Q&gt;&lt;R&gt;1&lt;/R&gt;&lt;C&gt;1&lt;/C&gt;&lt;D xsi:type="xsd:string"&gt;Saudi Arabia&lt;/D&gt;&lt;/FQL&gt;&lt;FQL&gt;&lt;Q&gt;USDSAR^FG_COMPANY_NAME&lt;/Q&gt;&lt;R&gt;1&lt;/R&gt;&lt;C&gt;1&lt;/C&gt;&lt;D xsi:type="xsd:string"&gt;Saudi Arabian Riyal per U.S. Dollar&lt;/D&gt;&lt;/FQL&gt;&lt;FQL&gt;&lt;Q&gt;USDZAR^STD(FG_PRICE_CHANGE(0,-3AY,M))&lt;/Q&gt;&lt;R&gt;1&lt;/R&gt;&lt;C&gt;1&lt;/C&gt;&lt;D xsi:type="xsd:double"&gt;4.02718919601863&lt;/D&gt;&lt;/FQL&gt;&lt;FQL&gt;&lt;Q&gt;USDPHP^STD(FG_PRICE_CHANGE(0,-3AY,M))&lt;/Q&gt;&lt;R&gt;1&lt;/R&gt;&lt;C&gt;1&lt;/C&gt;&lt;D xsi:type="xsd:double"&gt;1.76766994368113&lt;/D&gt;&lt;/FQL&gt;&lt;FQL&gt;&lt;Q&gt;EWZ^P_PRICE_RETURNS_PR('52W',2,-10AY,0,AM)&lt;/Q&gt;&lt;R&gt;121&lt;/R&gt;&lt;C&gt;1&lt;/C&gt;&lt;D xsi:type="xsd:double"&gt;-6.586343&lt;/D&gt;&lt;D xsi:type="xsd:double"&gt;-6.487417&lt;/D&gt;&lt;D xsi:type="xsd:double"&gt;9.603977&lt;/D&gt;&lt;D xsi:type="xsd:double"&gt;17.600441&lt;/D&gt;&lt;D xsi:type="xsd:double"&gt;20.011187&lt;/D&gt;&lt;D xsi:type="xsd:double"&gt;0.53310394&lt;/D&gt;&lt;D xsi:type="xsd:double"&gt;-8.476991&lt;/D&gt;&lt;D xsi:type="xsd:double"&gt;-16.624243&lt;/D&gt;&lt;D xsi:type="xsd:double"&gt;-17.662466&lt;/D&gt;&lt;D xsi:type="xsd:double"&gt;-10.568523&lt;/D&gt;&lt;D xsi:type="xsd:double"&gt;-7.5935183&lt;/D&gt;&lt;D xsi:type="xsd:double"&gt;-19.87114&lt;/D&gt;&lt;D xsi:type="xsd:double"&gt;-24.95625&lt;/D&gt;&lt;D xsi:type="xsd:double"&gt;-24.325974&lt;/D&gt;&lt;D xsi:type="xsd:double"&gt;-28.690237&lt;/D&gt;&lt;D xsi:type="xsd:double"&gt;-33.23519&lt;/D&gt;&lt;D xsi:type="xsd:double"&gt;-45.75866&lt;/D&gt;&lt;D xsi:type="xsd:double"&gt;-51.55533&lt;/D&gt;&lt;D xsi:type="xsd:double"&gt;-43.47596&lt;/D&gt;&lt;D xsi:type="xsd:double"&gt;-36.20308&lt;/D&gt;&lt;D xsi:type="xsd:double"&gt;-39.361084&lt;/D&gt;&lt;D xsi:type="xsd:double"&gt;-46.838642&lt;/D&gt;&lt;D xsi:type="xsd:double"&gt;-42.684044&lt;/D&gt;&lt;D xsi:type="xsd:double"&gt;-11.9060335&lt;/D&gt;&lt;D xsi:type="xsd:double"&gt;-17.281855&lt;/D&gt;&lt;D xsi:type="xsd:double"&gt;-23.6993&lt;/D&gt;&lt;D xsi:type="xsd:double"&gt;-16.662848&lt;/D&gt;&lt;D xsi:type="xsd:double"&gt;5.36654&lt;/D&gt;&lt;D xsi:type="xsd:double"&gt;32.6396&lt;/D&gt;&lt;D xsi:type="xsd:double"&gt;36.29339&lt;/D&gt;&lt;D xsi:type="xsd:double"&gt;60.391174&lt;/D&gt;&lt;D xsi:type="xsd:double"&gt;34.937393&lt;/D&gt;&lt;D xsi:type="xsd:double"&gt;40.575336&lt;/D&gt;&lt;D xsi:type="xsd:double"&gt;98.41715&lt;/D&gt;&lt;D xsi:type="xsd:double"&gt;98.0804&lt;/D&gt;&lt;D xsi:type="xsd:double"&gt;43.597244&lt;/D&gt;&lt;D xsi:type="xsd:double"&gt;37.15284&lt;/D&gt;&lt;D xsi:type="xsd:double"&gt;24.854446&lt;/D&gt;&lt;D xsi:type="xsd:double"&gt;28.99667&lt;/D&gt;&lt;D xsi:type="xsd:double"&gt;16.275715&lt;/D&gt;&lt;D xsi:type="xsd:double"&gt;16.13146&lt;/D&gt;&lt;D xsi:type="xsd:double"&gt;34.81214&lt;/D&gt;&lt;D xsi:type="xsd:double"&gt;16.713106&lt;/D&gt;&lt;D xsi:type="xsd:double"&gt;25.61227&lt;/D&gt;&lt;D xsi:type="xsd:double"&gt;27.02297&lt;/D&gt;&lt;D xsi:type="xsd:double"&gt;25.642527&lt;/D&gt;&lt;D xsi:type="xsd:double"&gt;17.863035&lt;/D&gt;&lt;D xsi:type="xsd:double"&gt;20.123137&lt;/D&gt;&lt;D xsi:type="xsd:double"&gt;19.854677&lt;/D&gt;&lt;D xsi:type="xsd:double"&gt;19.192183&lt;/D&gt;&lt;D xsi:type="xsd:double"&gt;-2.766806&lt;/D&gt;&lt;D xsi:type="xsd:double"&gt;-4.8456373&lt;/D&gt;&lt;D xsi:type="xsd:double"&gt;-10.567152&lt;/D&gt;&lt;D xsi:type="xsd:double"&gt;-22.53437&lt;/D&gt;&lt;D xsi:type="xsd:double"&gt;-7.177913&lt;/D&gt;&lt;D xsi:type="xsd:double"&gt;5.8996916&lt;/D&gt;&lt;D xsi:type="xsd:double"&gt;0.12702942&lt;/D&gt;&lt;D xsi:type="xsd:double"&gt;1.3889909&lt;/D&gt;&lt;D xsi:type="xsd:double"&gt;0.7696271&lt;/D&gt;&lt;D xsi:type="xsd:double"&gt;2.6870012&lt;/D&gt;&lt;D xsi:type="xsd:double"&gt;-4.7817826&lt;/D&gt;&lt;D xsi:type="xsd:double"&gt;-2.3449957&lt;/D&gt;&lt;D xsi:type="xsd:double"&gt;37.33709&lt;/D&gt;&lt;D xsi:type="xsd:double"&gt;39.532482&lt;/D&gt;&lt;D xsi:type="xsd:double"&gt;27.337969&lt;/D&gt;&lt;D xsi:type="xsd:double"&gt;34.678185&lt;/D&gt;&lt;D xsi:type="xsd:double"&gt;13.022685&lt;/D&gt;&lt;D xsi:type="xsd:double"&gt;7.212305&lt;/D&gt;&lt;D xsi:type="xsd:double"&gt;25.786114&lt;/D&gt;&lt;D xsi:type="xsd:double"&gt;11.702574&lt;/D&gt;&lt;D xsi:type="xsd:double"&gt;0.1557231&lt;/D&gt;&lt;D xsi:type="xsd:double"&gt;-50.490685&lt;/D&gt;&lt;D xsi:type="xsd:double"&gt;-35.25983&lt;/D&gt;&lt;D xsi:type="xsd:double"&gt;-34.12717&lt;/D&gt;&lt;D xsi:type="xsd:double"&gt;-29.491352&lt;/D&gt;&lt;D xsi:type="xsd:double"&gt;-29.981548&lt;/D&gt;&lt;D xsi:type="xsd:double"&gt;-24.29729&lt;/D&gt;&lt;D xsi:type="xsd:double"&gt;-28.172165&lt;/D&gt;&lt;D xsi:type="xsd:double"&gt;-30.512249&lt;/D&gt;&lt;D xsi:type="xsd:double"&gt;-21.238249&lt;/D&gt;&lt;D xsi:type="xsd:double"&gt;-16.591364&lt;/D&gt;&lt;D xsi:type="xsd:double"&gt;-17.767954&lt;/D&gt;&lt;D xsi:type="xsd:double"&gt;-16.23915&lt;/D&gt;&lt;D xsi:type="xsd:double"&gt;59.385635&lt;/D&gt;&lt;D xsi:type="xsd:double"&gt;44.873966&lt;/D&gt;&lt;D xsi:type="xsd:double"&gt;63.4465&lt;/D&gt;&lt;D xsi:type="xsd:double"&gt;39.690758&lt;/D&gt;&lt;D xsi:type="xsd:double"&gt;30.041254&lt;/D&gt;&lt;D xsi:type="xsd:double"&gt;16.134823&lt;/D&gt;&lt;D xsi:type="xsd:double"&gt;9.086334&lt;/D&gt;&lt;D xsi:type="xsd:double"&gt;17.297697&lt;/D&gt;&lt;D xsi:type="xsd:double"&gt;-7.871503&lt;/D&gt;&lt;D xsi:type="xsd:double"&gt;-18.898499&lt;/D&gt;&lt;D xsi:type="xsd:double"&gt;-14.44366&lt;/D&gt;&lt;D xsi:type="xsd:double"&gt;1.0804534&lt;/D&gt;&lt;D xsi:type="xsd:double"&gt;13.234865&lt;/D&gt;&lt;D xsi:type="xsd:double"&gt;16.819906&lt;/D&gt;&lt;D xsi:type="xsd:double"&gt;-7.599229&lt;/D&gt;&lt;D xsi:type="xsd:double"&gt;-21.845795&lt;/D&gt;&lt;D xsi:type="xsd:double"&gt;-25.519735&lt;/D&gt;&lt;D xsi:type="xsd:double"&gt;3.053224&lt;/D&gt;&lt;D xsi:type="xsd:double"&gt;-1.2343109&lt;/D&gt;&lt;D xsi:type="xsd:double"&gt;10.117424&lt;/D&gt;&lt;D xsi:type="xsd:double"&gt;13.96203&lt;/D&gt;&lt;D xsi:type="xsd:double"&gt;3.8542628&lt;/D&gt;&lt;D xsi:type="xsd:double"&gt;14.62797&lt;/D&gt;&lt;D xsi:type="xsd:double"&gt;-1.7037749&lt;/D&gt;&lt;D xsi:type="xsd:double"&gt;-12.050104&lt;/D&gt;&lt;D xsi:type="xsd:double"&gt;-12.749797&lt;/D&gt;&lt;D xsi:type="xsd:double"&gt;5.00139&lt;/D&gt;&lt;D xsi:type="xsd:double"&gt;26.068401&lt;/D&gt;&lt;D xsi:type="xsd:double"&gt;36.819122&lt;/D&gt;&lt;D xsi:type="xsd:double"&gt;5.7021976&lt;/D&gt;&lt;D xsi:type="xsd:double"&gt;18.57792&lt;/D&gt;&lt;D xsi:type="xsd:double"&gt;3.4347534&lt;/D&gt;&lt;D xsi:type="xsd:double"&gt;25.270403&lt;/D&gt;&lt;D xsi:type="xsd:double"&gt;37.557137&lt;/D&gt;&lt;D xsi:type="xsd:double"&gt;18.952965&lt;/D&gt;&lt;D xsi:type="xsd:double"&gt;22.726261&lt;/D&gt;&lt;D xsi:type="xsd:double"&gt;28.733265&lt;/D&gt;&lt;D xsi:type="xsd:double"&gt;10.182953&lt;/D&gt;&lt;/FQL&gt;&lt;FQL&gt;&lt;Q&gt;INDA^FMA_PE(NTMA,-10AY,0,AM,"PORTAGG","MEANR")&lt;/Q&gt;&lt;R&gt;121&lt;/R&gt;&lt;C&gt;1&lt;/C&gt;&lt;D xsi:type="xsd:double"&gt;15.143550600283&lt;/D&gt;&lt;D xsi:type="xsd:double"&gt;15.8014089195868&lt;/D&gt;&lt;D xsi:type="xsd:double"&gt;16.4714094909452&lt;/D&gt;&lt;D xsi:type="xsd:double"&gt;16.4631343661138&lt;/D&gt;&lt;D xsi:type="xsd:double"&gt;16.6453088821655&lt;/D&gt;&lt;D xsi:type="xsd:double"&gt;16.862178539895&lt;/D&gt;&lt;D xsi:type="xsd:double"&gt;16.0204870182654&lt;/D&gt;&lt;D xsi:type="xsd:double"&gt;17.3246652265059&lt;/D&gt;&lt;D xsi:type="xsd:double"&gt;16.591959332091&lt;/D&gt;&lt;D xsi:type="xsd:double"&gt;17.3709722653611&lt;/D&gt;&lt;D xsi:type="xsd:double"&gt;18.4534594472553&lt;/D&gt;&lt;D xsi:type="xsd:double"&gt;18.1448014212394&lt;/D&gt;&lt;D xsi:type="xsd:double"&gt;17.9890809828313&lt;/D&gt;&lt;D xsi:type="xsd:double"&gt;17.500469029596&lt;/D&gt;&lt;D xsi:type="xsd:double"&gt;17.204929279785&lt;/D&gt;&lt;D xsi:type="xsd:double"&gt;18.7260932784283&lt;/D&gt;&lt;D xsi:type="xsd:double"&gt;18.8286335390393&lt;/D&gt;&lt;D xsi:type="xsd:double"&gt;17.6740777824187&lt;/D&gt;&lt;D xsi:type="xsd:double"&gt;17.8528609206821&lt;/D&gt;&lt;D xsi:type="xsd:double"&gt;16.8911150333323&lt;/D&gt;&lt;D xsi:type="xsd:double"&gt;17.0727251778956&lt;/D&gt;&lt;D xsi:type="xsd:double"&gt;16.3736735836096&lt;/D&gt;&lt;D xsi:type="xsd:double"&gt;16.5135791042635&lt;/D&gt;&lt;D xsi:type="xsd:double"&gt;17.1126043892995&lt;/D&gt;&lt;D xsi:type="xsd:double"&gt;17.5500436598682&lt;/D&gt;&lt;D xsi:type="xsd:double"&gt;17.3660359082069&lt;/D&gt;&lt;D xsi:type="xsd:double"&gt;17.521122375317&lt;/D&gt;&lt;D xsi:type="xsd:double"&gt;18.0188847180992&lt;/D&gt;&lt;D xsi:type="xsd:double"&gt;18.1517629232322&lt;/D&gt;&lt;D xsi:type="xsd:double"&gt;17.9540750068415&lt;/D&gt;&lt;D xsi:type="xsd:double"&gt;17.6675387201486&lt;/D&gt;&lt;D xsi:type="xsd:double"&gt;16.0804730817845&lt;/D&gt;&lt;D xsi:type="xsd:double"&gt;16.2771874717784&lt;/D&gt;&lt;D xsi:type="xsd:double"&gt;16.6725498445479&lt;/D&gt;&lt;D xsi:type="xsd:double"&gt;17.6601497883186&lt;/D&gt;&lt;D xsi:type="xsd:double"&gt;17.9922840093869&lt;/D&gt;&lt;D xsi:type="xsd:double"&gt;17.8145685044734&lt;/D&gt;&lt;D xsi:type="xsd:double"&gt;18.1576806914514&lt;/D&gt;&lt;D xsi:type="xsd:double"&gt;18.0986672739405&lt;/D&gt;&lt;D xsi:type="xsd:double"&gt;18.5878572000492&lt;/D&gt;&lt;D xsi:type="xsd:double"&gt;18.6130695862644&lt;/D&gt;&lt;D xsi:type="xsd:double"&gt;19.0307894682312&lt;/D&gt;&lt;D xsi:type="xsd:double"&gt;18.7818361037235&lt;/D&gt;&lt;D xsi:type="xsd:double"&gt;18.708040797051&lt;/D&gt;&lt;D xsi:type="xsd:double"&gt;18.7560104763651&lt;/D&gt;&lt;D xsi:type="xsd:double"&gt;19.3071586971618&lt;/D&gt;&lt;D xsi:type="xsd:double"&gt;18.3976652615247&lt;/D&gt;&lt;D xsi:type="xsd:double"&gt;17.9436520385328&lt;/D&gt;&lt;D xsi:type="xsd:double"&gt;18.3305018814371&lt;/D&gt;&lt;D xsi:type="xsd:double"&gt;17.9041888385877&lt;/D&gt;&lt;D xsi:type="xsd:double"&gt;18.7052557222084&lt;/D&gt;&lt;D xsi:type="xsd:double"&gt;18.5976413706217&lt;/D&gt;&lt;D xsi:type="xsd:double"&gt;19.6882777528549&lt;/D&gt;&lt;D xsi:type="xsd:double"&gt;19.2324897948254&lt;/D&gt;&lt;D xsi:type="xsd:double"&gt;17.3953634246595&lt;/D&gt;&lt;D xsi:type="xsd:double"&gt;18.0244612268993&lt;/D&gt;&lt;D xsi:type="xsd:double"&gt;18.2013088943882&lt;/D&gt;&lt;D xsi:type="xsd:double"&gt;17.9892849709342&lt;/D&gt;&lt;D xsi:type="xsd:double"&gt;17.9592192484022&lt;/D&gt;&lt;D xsi:type="xsd:double"&gt;18.9204105560966&lt;/D&gt;&lt;D xsi:type="xsd:double"&gt;18.9454741358223&lt;/D&gt;&lt;D xsi:type="xsd:double"&gt;18.4023638156031&lt;/D&gt;&lt;D xsi:type="xsd:double"&gt;18.7706370961466&lt;/D&gt;&lt;D xsi:type="xsd:double"&gt;18.5905743759005&lt;/D&gt;&lt;D xsi:type="xsd:double"&gt;18.1370501294622&lt;/D&gt;&lt;D xsi:type="xsd:double"&gt;17.8545594840025&lt;/D&gt;&lt;D xsi:type="xsd:double"&gt;18.6166600731407&lt;/D&gt;&lt;D xsi:type="xsd:double"&gt;19.0988972582636&lt;/D&gt;&lt;D xsi:type="xsd:double"&gt;19.2643590437732&lt;/D&gt;&lt;D xsi:type="xsd:double"&gt;19.4343133067459&lt;/D&gt;&lt;D xsi:type="xsd:double"&gt;19.0472388408039&lt;/D&gt;&lt;D xsi:type="xsd:double"&gt;13.7053323226518&lt;/D&gt;&lt;D xsi:type="xsd:double"&gt;16.6840947342274&lt;/D&gt;&lt;D xsi:type="xsd:double"&gt;17.8430698931331&lt;/D&gt;&lt;D xsi:type="xsd:double"&gt;21.5320750008689&lt;/D&gt;&lt;D xsi:type="xsd:double"&gt;23.3362949387457&lt;/D&gt;&lt;D xsi:type="xsd:double"&gt;23.7425414674504&lt;/D&gt;&lt;D xsi:type="xsd:double"&gt;23.2556067480873&lt;/D&gt;&lt;D xsi:type="xsd:double"&gt;22.7736252921197&lt;/D&gt;&lt;D xsi:type="xsd:double"&gt;22.9530784320586&lt;/D&gt;&lt;D xsi:type="xsd:double"&gt;24.2059002993814&lt;/D&gt;&lt;D xsi:type="xsd:double"&gt;24.3330271687907&lt;/D&gt;&lt;D xsi:type="xsd:double"&gt;23.7243816882503&lt;/D&gt;&lt;D xsi:type="xsd:double"&gt;22.6940260831892&lt;/D&gt;&lt;D xsi:type="xsd:double"&gt;22.4335772722746&lt;/D&gt;&lt;D xsi:type="xsd:double"&gt;22.769030867875&lt;/D&gt;&lt;D xsi:type="xsd:double"&gt;23.2609799236276&lt;/D&gt;&lt;D xsi:type="xsd:double"&gt;23.1803764472908&lt;/D&gt;&lt;D xsi:type="xsd:double"&gt;23.7893244695728&lt;/D&gt;&lt;D xsi:type="xsd:double"&gt;24.7678438108857&lt;/D&gt;&lt;D xsi:type="xsd:double"&gt;25.0730867126381&lt;/D&gt;&lt;D xsi:type="xsd:double"&gt;23.7137810346149&lt;/D&gt;&lt;D xsi:type="xsd:double"&gt;22.7569594414794&lt;/D&gt;&lt;D xsi:type="xsd:double"&gt;23.7056794182672&lt;/D&gt;&lt;D xsi:type="xsd:double"&gt;22.0661768626847&lt;/D&gt;&lt;D xsi:type="xsd:double"&gt;21.902347326594&lt;/D&gt;&lt;D xsi:type="xsd:double"&gt;21.8641011861114&lt;/D&gt;&lt;D xsi:type="xsd:double"&gt;20.4377302682401&lt;/D&gt;&lt;D xsi:type="xsd:double"&gt;19.3491407415235&lt;/D&gt;&lt;D xsi:type="xsd:double"&gt;20.6542642620775&lt;/D&gt;&lt;D xsi:type="xsd:double"&gt;23.0030004404857&lt;/D&gt;&lt;D xsi:type="xsd:double"&gt;22.2244218250566&lt;/D&gt;&lt;D xsi:type="xsd:double"&gt;21.7088968427769&lt;/D&gt;&lt;D xsi:type="xsd:double"&gt;22.3900818441834&lt;/D&gt;&lt;D xsi:type="xsd:double"&gt;22.3406411805606&lt;/D&gt;&lt;D xsi:type="xsd:double"&gt;21.8540284205734&lt;/D&gt;&lt;D xsi:type="xsd:double"&gt;20.9841355089705&lt;/D&gt;&lt;D xsi:type="xsd:double"&gt;19.8131906333782&lt;/D&gt;&lt;D xsi:type="xsd:double"&gt;20.2178539062656&lt;/D&gt;&lt;D xsi:type="xsd:double"&gt;20.7410480099998&lt;/D&gt;&lt;D xsi:type="xsd:double"&gt;21.6675500472938&lt;/D&gt;&lt;D xsi:type="xsd:double"&gt;21.7993304555242&lt;/D&gt;&lt;D xsi:type="xsd:double"&gt;20.6703771935161&lt;/D&gt;&lt;D xsi:type="xsd:double"&gt;21.0800633635381&lt;/D&gt;&lt;D xsi:type="xsd:double"&gt;20.5043975505912&lt;/D&gt;&lt;D xsi:type="xsd:double"&gt;20.378829935589&lt;/D&gt;&lt;D xsi:type="xsd:double"&gt;21.8243179000352&lt;/D&gt;&lt;D xsi:type="xsd:double"&gt;21.8743455563628&lt;/D&gt;&lt;D xsi:type="xsd:double"&gt;22.6030229191173&lt;/D&gt;&lt;D xsi:type="xsd:double"&gt;22.0632731449209&lt;/D&gt;&lt;D xsi:type="xsd:double"&gt;22.3314852528465&lt;/D&gt;&lt;/FQL&gt;&lt;FQL&gt;&lt;Q&gt;CPALM-FDS^FG_PRICE_CHANGE(0,-1AY)&lt;/Q&gt;&lt;R&gt;1&lt;/R&gt;&lt;C&gt;1&lt;/C&gt;&lt;D xsi:type="xsd:double"&gt;-0.362318840579712&lt;/D&gt;&lt;/FQL&gt;&lt;FQL&gt;&lt;Q&gt;TIOS-FDS^FG_PRICE(0)&lt;/Q&gt;&lt;R&gt;1&lt;/R&gt;&lt;C&gt;1&lt;/C&gt;&lt;D xsi:type="xsd:double"&gt;107.95&lt;/D&gt;&lt;/FQL&gt;&lt;FQL&gt;&lt;Q&gt;FC0000QA^FG_PRICE(0)&lt;/Q&gt;&lt;R&gt;1&lt;/R&gt;&lt;C&gt;1&lt;/C&gt;&lt;D xsi:type="xsd:double"&gt;100.21059&lt;/D&gt;&lt;/FQL&gt;&lt;FQL&gt;&lt;Q&gt;FC0000MY^FG_PRICE(0)&lt;/Q&gt;&lt;R&gt;1&lt;/R&gt;&lt;C&gt;1&lt;/C&gt;&lt;D xsi:type="xsd:double"&gt;234.28168&lt;/D&gt;&lt;/FQL&gt;&lt;FQL&gt;&lt;Q&gt;VNM^FG_PRICE(0)&lt;/Q&gt;&lt;R&gt;1&lt;/R&gt;&lt;C&gt;1&lt;/C&gt;&lt;D xsi:type="xsd:double"&gt;12.14&lt;/D&gt;&lt;/FQL&gt;&lt;FQL&gt;&lt;Q&gt;EWZ^FG_PRICE_MAVG(0,,,,30)&lt;/Q&gt;&lt;R&gt;1&lt;/R&gt;&lt;C&gt;1&lt;/C&gt;&lt;D xsi:type="xsd:double"&gt;31.998667&lt;/D&gt;&lt;/FQL&gt;&lt;FQL&gt;&lt;Q&gt;ECH^FG_PRICE_MAVG(0,,,,30)&lt;/Q&gt;&lt;R&gt;1&lt;/R&gt;&lt;C&gt;1&lt;/C&gt;&lt;D xsi:type="xsd:double"&gt;26.666666&lt;/D&gt;&lt;/FQL&gt;&lt;FQL&gt;&lt;Q&gt;VNM^FG_TOTAL_RETURNC(0,-6AM)&lt;/Q&gt;&lt;R&gt;1&lt;/R&gt;&lt;C&gt;1&lt;/C&gt;&lt;D xsi:type="xsd:double"&gt;0.1598239&lt;/D&gt;&lt;/FQL&gt;&lt;FQL&gt;&lt;Q&gt;QAT^P_PRICE(0)/P_PRICE_HIGH_PR(0,,,,,,"PRICE","INTRA","52W")&lt;/Q&gt;&lt;R&gt;1&lt;/R&gt;&lt;C&gt;1&lt;/C&gt;&lt;D xsi:type="xsd:double"&gt;0.8849693&lt;/D&gt;&lt;/FQL&gt;&lt;FQL&gt;&lt;Q&gt;EZA^P_PRICE(0)/P_PRICE_LOW_PR(0,,,,,,"PRICE","INTRA","52W")-1&lt;/Q&gt;&lt;R&gt;1&lt;/R&gt;&lt;C&gt;1&lt;/C&gt;&lt;D xsi:type="xsd:double"&gt;0.06991053&lt;/D&gt;&lt;/FQL&gt;&lt;FQL&gt;&lt;Q&gt;EWT^FG_TOTAL_RETURNC(0,-12AM)&lt;/Q&gt;&lt;R&gt;1&lt;/R&gt;&lt;C&gt;1&lt;/C&gt;&lt;D xsi:type="xsd:double"&gt;17.194033&lt;/D&gt;&lt;/FQL&gt;&lt;FQL&gt;&lt;Q&gt;EPOL^FMA_PCT_ABOVE_MAVG(200,0,,,,"PORTAGG")&lt;/Q&gt;&lt;R&gt;1&lt;/R&gt;&lt;C&gt;1&lt;/C&gt;&lt;D xsi:type="xsd:double"&gt;51.5151515151515&lt;/D&gt;&lt;/FQL&gt;&lt;FQL&gt;&lt;Q&gt;ECH^FG_TOTAL_RETURNC(0,-12AM)&lt;/Q&gt;&lt;R&gt;1&lt;/R&gt;&lt;C&gt;1&lt;/C&gt;&lt;D xsi:type="xsd:double"&gt;-7.2434845&lt;/D&gt;&lt;/FQL&gt;&lt;FQL&gt;&lt;Q&gt;VGK^P_PRICE(0)/P_PRICE_HIGH_PR(0,,,,,,"PRICE","INTRA","52W")&lt;/Q&gt;&lt;R&gt;1&lt;/R&gt;&lt;C&gt;1&lt;/C&gt;&lt;D xsi:type="xsd:double"&gt;0.95190316&lt;/D&gt;&lt;/FQL&gt;&lt;FQL&gt;&lt;Q&gt;KSA^FMA_COS_UP("EPS","1M",+1,NOW,,,"PORTAGG","MEANR")&lt;/Q&gt;&lt;R&gt;1&lt;/R&gt;&lt;C&gt;1&lt;/C&gt;&lt;D xsi:type="xsd:double"&gt;33&lt;/D&gt;&lt;/FQL&gt;&lt;FQL&gt;&lt;Q&gt;EWW^FMA_COS_DOWN("EPS","1M",+1,NOW,,,"PORTAGG","MEANR")&lt;/Q&gt;&lt;R&gt;1&lt;/R&gt;&lt;C&gt;1&lt;/C&gt;&lt;D xsi:type="xsd:double"&gt;18&lt;/D&gt;&lt;/FQL&gt;&lt;FQL&gt;&lt;Q&gt;EZA^FMA_RBICS_REV_CURRENT(30, LOC, "PORTAGG")&lt;/Q&gt;&lt;R&gt;1&lt;/R&gt;&lt;C&gt;1&lt;/C&gt;&lt;D xsi:type="xsd:double"&gt;43.9097961797831&lt;/D&gt;&lt;/FQL&gt;&lt;FQL&gt;&lt;Q&gt;MCHI^FG_ROE(0)&lt;/Q&gt;&lt;R&gt;1&lt;/R&gt;&lt;C&gt;1&lt;/C&gt;&lt;D xsi:type="xsd:double"&gt;9.99353458004486&lt;/D&gt;&lt;/FQL&gt;&lt;FQL&gt;&lt;Q&gt;QAT^FMA_EVAL_EBITDA(NTMA,0,,,"PORTAGG","MEANR")&lt;/Q&gt;&lt;R&gt;1&lt;/R&gt;&lt;C&gt;1&lt;/C&gt;&lt;D xsi:type="xsd:double"&gt;9.13632408735479&lt;/D&gt;&lt;/FQL&gt;&lt;FQL&gt;&lt;Q&gt;INDA^FMA_PE(NTMA,0,,,"PORTAGG","MEANR")&lt;/Q&gt;&lt;R&gt;1&lt;/R&gt;&lt;C&gt;1&lt;/C&gt;&lt;D xsi:type="xsd:double"&gt;22.3314852528465</t>
        </r>
      </text>
    </comment>
    <comment ref="A16" authorId="0" shapeId="0" xr:uid="{3973DF5F-4762-450D-A4BA-290DA533B71A}">
      <text>
        <r>
          <rPr>
            <b/>
            <sz val="9"/>
            <color indexed="81"/>
            <rFont val="Tahoma"/>
            <charset val="1"/>
          </rPr>
          <t>&lt;/D&gt;&lt;/FQL&gt;&lt;FQL&gt;&lt;Q&gt;CAGDPY@KR^EE_ACTUAL_ANNUAL(MED,+1)&lt;/Q&gt;&lt;R&gt;1&lt;/R&gt;&lt;C&gt;1&lt;/C&gt;&lt;D xsi:type="xsd:double"&gt;2.45&lt;/D&gt;&lt;/FQL&gt;&lt;FQL&gt;&lt;Q&gt;USDTHB^STD(FG_PRICE_CHANGE(0,-3AY,M))&lt;/Q&gt;&lt;R&gt;1&lt;/R&gt;&lt;C&gt;1&lt;/C&gt;&lt;D xsi:type="xsd:double"&gt;2.98881820893653&lt;/D&gt;&lt;/FQL&gt;&lt;FQL&gt;&lt;Q&gt;USDKRW^STD(FG_PRICE_CHANGE(0,-1AY,AM))&lt;/Q&gt;&lt;R&gt;1&lt;/R&gt;&lt;C&gt;1&lt;/C&gt;&lt;D xsi:type="xsd:double"&gt;2.89481301450045&lt;/D&gt;&lt;/FQL&gt;&lt;FQL&gt;&lt;Q&gt;SET-BKK^FMA_PE(NTMA,-10AY,0,AM,"PORTAGG","MEANR")&lt;/Q&gt;&lt;R&gt;121&lt;/R&gt;&lt;C&gt;1&lt;/C&gt;&lt;D xsi:type="xsd:double"&gt;14.0001434060664&lt;/D&gt;&lt;D xsi:type="xsd:double"&gt;14.1097050926805&lt;/D&gt;&lt;D xsi:type="xsd:double"&gt;13.9542555379686&lt;/D&gt;&lt;D xsi:type="xsd:double"&gt;14.5446386850911&lt;/D&gt;&lt;D xsi:type="xsd:double"&gt;15.7320269379681&lt;/D&gt;&lt;D xsi:type="xsd:double"&gt;15.955959733419&lt;/D&gt;&lt;D xsi:type="xsd:double"&gt;15.1146051196524&lt;/D&gt;&lt;D xsi:type="xsd:double"&gt;15.6442117160587&lt;/D&gt;&lt;D xsi:type="xsd:double"&gt;14.9351327565011&lt;/D&gt;&lt;D xsi:type="xsd:double"&gt;15.0887547461386&lt;/D&gt;&lt;D xsi:type="xsd:double"&gt;16.1854151460213&lt;/D&gt;&lt;D xsi:type="xsd:double"&gt;15.1558208527231&lt;/D&gt;&lt;D xsi:type="xsd:double"&gt;15.4686431114522&lt;/D&gt;&lt;D xsi:type="xsd:double"&gt;15.4033230407266&lt;/D&gt;&lt;D xsi:type="xsd:double"&gt;15.2857779874383&lt;/D&gt;&lt;D xsi:type="xsd:double"&gt;15.1021129395085&lt;/D&gt;&lt;D xsi:type="xsd:double"&gt;14.0150626230546&lt;/D&gt;&lt;D xsi:type="xsd:double"&gt;14.2270590592297&lt;/D&gt;&lt;D xsi:type="xsd:double"&gt;14.4670535608703&lt;/D&gt;&lt;D xsi:type="xsd:double"&gt;13.6909769324534&lt;/D&gt;&lt;D xsi:type="xsd:double"&gt;12.5688727577878&lt;/D&gt;&lt;D xsi:type="xsd:double"&gt;12.3748589665589&lt;/D&gt;&lt;D xsi:type="xsd:double"&gt;13.3262210652127&lt;/D&gt;&lt;D xsi:type="xsd:double"&gt;14.4472508465625&lt;/D&gt;&lt;D xsi:type="xsd:double"&gt;14.4095431384612&lt;/D&gt;&lt;D xsi:type="xsd:double"&gt;14.3595438984337&lt;/D&gt;&lt;D xsi:type="xsd:double"&gt;14.5286279308166&lt;/D&gt;&lt;D xsi:type="xsd:double"&gt;15.1904959968906&lt;/D&gt;&lt;D xsi:type="xsd:double"&gt;15.3820594574746&lt;/D&gt;&lt;D xsi:type="xsd:double"&gt;14.5076450255281&lt;/D&gt;&lt;D xsi:type="xsd:double"&gt;14.4510141115261&lt;/D&gt;&lt;D xsi:type="xsd:double"&gt;14.3932849099911&lt;/D&gt;&lt;D xsi:type="xsd:double"&gt;14.7480424829128&lt;/D&gt;&lt;D xsi:type="xsd:double"&gt;14.9424999216996&lt;/D&gt;&lt;D xsi:type="xsd:double"&gt;15.0811295955032&lt;/D&gt;&lt;D xsi:type="xsd:double"&gt;14.9080257090736&lt;/D&gt;&lt;D xsi:type="xsd:double"&gt;14.9194592187162&lt;/D&gt;&lt;D xsi:type="xsd:double"&gt;14.5157279335103&lt;/D&gt;&lt;D xsi:type="xsd:double"&gt;14.8511463765353&lt;/D&gt;&lt;D xsi:type="xsd:double"&gt;14.5947463374127&lt;/D&gt;&lt;D xsi:type="xsd:double"&gt;14.6650443118385&lt;/D&gt;&lt;D xsi:type="xsd:double"&gt;15.5289407415219&lt;/D&gt;&lt;D xsi:type="xsd:double"&gt;15.6855450608913&lt;/D&gt;&lt;D xsi:type="xsd:double"&gt;15.6508901130631&lt;/D&gt;&lt;D xsi:type="xsd:double"&gt;15.6546596877155&lt;/D&gt;&lt;D xsi:type="xsd:double"&gt;16.4160023515774&lt;/D&gt;&lt;D xsi:type="xsd:double"&gt;16.0419343777833&lt;/D&gt;&lt;D xsi:type="xsd:double"&gt;15.6676018028088&lt;/D&gt;&lt;D xsi:type="xsd:double"&gt;15.1568187437693&lt;/D&gt;&lt;D xsi:type="xsd:double"&gt;15.351356326588&lt;/D&gt;&lt;D xsi:type="xsd:double"&gt;14.590349439667&lt;/D&gt;&lt;D xsi:type="xsd:double"&gt;14.1524485810217&lt;/D&gt;&lt;D xsi:type="xsd:double"&gt;14.5353843625206&lt;/D&gt;&lt;D xsi:type="xsd:double"&gt;14.9766764493233&lt;/D&gt;&lt;D xsi:type="xsd:double"&gt;14.3827594033602&lt;/D&gt;&lt;D xsi:type="xsd:double"&gt;14.0359657358717&lt;/D&gt;&lt;D xsi:type="xsd:double"&gt;13.6249220116611&lt;/D&gt;&lt;D xsi:type="xsd:double"&gt;13.9237088175466&lt;/D&gt;&lt;D xsi:type="xsd:double"&gt;14.6464529142207&lt;/D&gt;&lt;D xsi:type="xsd:double"&gt;14.6591343939612&lt;/D&gt;&lt;D xsi:type="xsd:double"&gt;15.1135884698721&lt;/D&gt;&lt;D xsi:type="xsd:double"&gt;14.5630058959758&lt;/D&gt;&lt;D xsi:type="xsd:double"&gt;15.3770670003706&lt;/D&gt;&lt;D xsi:type="xsd:double"&gt;15.7356392666009&lt;/D&gt;&lt;D xsi:type="xsd:double"&gt;15.1225410171399&lt;/D&gt;&lt;D xsi:type="xsd:double"&gt;15.4277509661679&lt;/D&gt;&lt;D xsi:type="xsd:double"&gt;15.4786461798009&lt;/D&gt;&lt;D xsi:type="xsd:double"&gt;15.7470278910169&lt;/D&gt;&lt;D xsi:type="xsd:double"&gt;15.2068630163688&lt;/D&gt;&lt;D xsi:type="xsd:double"&gt;15.7376733832686&lt;/D&gt;&lt;D xsi:type="xsd:double"&gt;15.2578756117801&lt;/D&gt;&lt;D xsi:type="xsd:double"&gt;11.5985836056287&lt;/D&gt;&lt;D xsi:type="xsd:double"&gt;15.056628183375&lt;/D&gt;&lt;D xsi:type="xsd:double"&gt;17.7926697754129&lt;/D&gt;&lt;D xsi:type="xsd:double"&gt;19.4700147337792&lt;/D&gt;&lt;D xsi:type="xsd:double"&gt;19.3228142802044&lt;/D&gt;&lt;D xsi:type="xsd:double"&gt;19.454278745522&lt;/D&gt;&lt;D xsi:type="xsd:double"&gt;18.9190665214113&lt;/D&gt;&lt;D xsi:type="xsd:double"&gt;17.795792576543&lt;/D&gt;&lt;D xsi:type="xsd:double"&gt;18.7193852414019&lt;/D&gt;&lt;D xsi:type="xsd:double"&gt;19.3802832007204&lt;/D&gt;&lt;D xsi:type="xsd:double"&gt;19.9129479354119&lt;/D&gt;&lt;D xsi:type="xsd:double"&gt;19.3205179335544&lt;/D&gt;&lt;D xsi:type="xsd:double"&gt;19.6065550837511&lt;/D&gt;&lt;D xsi:type="xsd:double"&gt;18.8725199335869&lt;/D&gt;&lt;D xsi:type="xsd:double"&gt;17.7257120973963&lt;/D&gt;&lt;D xsi:type="xsd:double"&gt;17.8084851142774&lt;/D&gt;&lt;D xsi:type="xsd:double"&gt;17.1232057802351&lt;/D&gt;&lt;D xsi:type="xsd:double"&gt;16.8574270693315&lt;/D&gt;&lt;D xsi:type="xsd:double"&gt;17.5152952231717&lt;/D&gt;&lt;D xsi:type="xsd:double"&gt;17.451477751099&lt;/D&gt;&lt;D xsi:type="xsd:double"&gt;17.5620614454222&lt;/D&gt;&lt;D xsi:type="xsd:double"&gt;17.1089118680161&lt;/D&gt;&lt;D xsi:type="xsd:double"&gt;17.324127973367&lt;/D&gt;&lt;D xsi:type="xsd:double"&gt;17.6300519446527&lt;/D&gt;&lt;D xsi:type="xsd:double"&gt;17.0491697868283&lt;/D&gt;&lt;D xsi:type="xsd:double"&gt;16.6036219311564&lt;/D&gt;&lt;D xsi:type="xsd:double"&gt;16.1021693286623&lt;/D&gt;&lt;D xsi:type="xsd:double"&gt;15.1457237051998&lt;/D&gt;&lt;D xsi:type="xsd:double"&gt;14.9680083947007&lt;/D&gt;&lt;D xsi:type="xsd:double"&gt;15.576807472569&lt;/D&gt;&lt;D xsi:type="xsd:double"&gt;15.397232848781&lt;/D&gt;&lt;D xsi:type="xsd:double"&gt;15.1172226026938&lt;/D&gt;&lt;D xsi:type="xsd:double"&gt;15.5600871417349&lt;/D&gt;&lt;D xsi:type="xsd:double"&gt;15.5084830921101&lt;/D&gt;&lt;D xsi:type="xsd:double"&gt;15.9988530239435&lt;/D&gt;&lt;D xsi:type="xsd:double"&gt;15.8946070673442&lt;/D&gt;&lt;D xsi:type="xsd:double"&gt;15.3366922491202&lt;/D&gt;&lt;D xsi:type="xsd:double"&gt;15.808335473182&lt;/D&gt;&lt;D xsi:type="xsd:double"&gt;15.4529588347032&lt;/D&gt;&lt;D xsi:type="xsd:double"&gt;15.9349404223829&lt;/D&gt;&lt;D xsi:type="xsd:double"&gt;15.868788498368&lt;/D&gt;&lt;D xsi:type="xsd:double"&gt;15.71861527191&lt;/D&gt;&lt;D xsi:type="xsd:double"&gt;15.7138710498721&lt;/D&gt;&lt;D xsi:type="xsd:double"&gt;14.7536823508141&lt;/D&gt;&lt;D xsi:type="xsd:double"&gt;14.6301911850141&lt;/D&gt;&lt;D xsi:type="xsd:double"&gt;14.3671625109076&lt;/D&gt;&lt;D xsi:type="xsd:double"&gt;14.1597807821065&lt;/D&gt;&lt;D xsi:type="xsd:double"&gt;14.3397431800045&lt;/D&gt;&lt;D xsi:type="xsd:double"&gt;14.3664101410308&lt;/D&gt;&lt;D xsi:type="xsd:double"&gt;14.1412293440708&lt;/D&gt;&lt;/FQL&gt;&lt;FQL&gt;&lt;Q&gt;ECH^FG_PRICE(0)&lt;/Q&gt;&lt;R&gt;1&lt;/R&gt;&lt;C&gt;1&lt;/C&gt;&lt;D xsi:type="xsd:double"&gt;26.27&lt;/D&gt;&lt;/FQL&gt;&lt;FQL&gt;&lt;Q&gt;TUR^FG_TOTAL_RETURNC(0,-6AM)&lt;/Q&gt;&lt;R&gt;1&lt;/R&gt;&lt;C&gt;1&lt;/C&gt;&lt;D xsi:type="xsd:double"&gt;6.0679674&lt;/D&gt;&lt;/FQL&gt;&lt;FQL&gt;&lt;Q&gt;INDA^P_PRICE(0)/P_PRICE_HIGH_PR(0,,,,,,"PRICE","INTRA","52W")&lt;/Q&gt;&lt;R&gt;1&lt;/R&gt;&lt;C&gt;1&lt;/C&gt;&lt;D xsi:type="xsd:double"&gt;0.9736892&lt;/D&gt;&lt;/FQL&gt;&lt;FQL&gt;&lt;Q&gt;EWY^P_PRICE(0)/P_PRICE_LOW_PR(0,,,,,,"PRICE","INTRA","52W")-1&lt;/Q&gt;&lt;R&gt;1&lt;/R&gt;&lt;C&gt;1&lt;/C&gt;&lt;D xsi:type="xsd:double"&gt;0.13415301&lt;/D&gt;&lt;/FQL&gt;&lt;FQL&gt;&lt;Q&gt;EIDO^FG_TOTAL_RETURNC(0,-3AM)&lt;/Q&gt;&lt;R&gt;1&lt;/R&gt;&lt;C&gt;1&lt;/C&gt;&lt;D xsi:type="xsd:double"&gt;-5.8584986&lt;/D&gt;&lt;/FQL&gt;&lt;FQL&gt;&lt;Q&gt;QAT^FMA_COS_UP("EPS","1M",+1,NOW,,,"PORTAGG","MEANR")&lt;/Q&gt;&lt;R&gt;1&lt;/R&gt;&lt;C&gt;1&lt;/C&gt;&lt;D xsi:type="xsd:double"&gt;6&lt;/D&gt;&lt;/FQL&gt;&lt;FQL&gt;&lt;Q&gt;EWM^FMA_COS_DOWN("EPS","1M",+1,NOW,,,"PORTAGG","MEANR")&lt;/Q&gt;&lt;R&gt;1&lt;/R&gt;&lt;C&gt;1&lt;/C&gt;&lt;D xsi:type="xsd:double"&gt;14&lt;/D&gt;&lt;/FQL&gt;&lt;FQL&gt;&lt;Q&gt;REFINREPO-FDS^FG_YIELD(NOW,,,0)&lt;/Q&gt;&lt;R&gt;1&lt;/R&gt;&lt;C&gt;1&lt;/C&gt;&lt;D xsi:type="xsd:double"&gt;6.5&lt;/D&gt;&lt;/FQL&gt;&lt;FQL&gt;&lt;Q&gt;REFPL7D-FDS^FG_YIELD(NOW,,,0)&lt;/Q&gt;&lt;R&gt;1&lt;/R&gt;&lt;C&gt;1&lt;/C&gt;&lt;D xsi:type="xsd:double"&gt;5.75&lt;/D&gt;&lt;/FQL&gt;&lt;FQL&gt;&lt;Q&gt;TIPSCL10Y-FDS^PCTCHG(FG_YIELD(0,,,,"YTM"),FG_YIELD(-3AM,,,,"YTM"))&lt;/Q&gt;&lt;R&gt;1&lt;/R&gt;&lt;C&gt;1&lt;/C&gt;&lt;D xsi:type="xsd:double"&gt;-47.263405&lt;/D&gt;&lt;/FQL&gt;&lt;FQL&gt;&lt;Q&gt;VWO^FG_PE_NTM(0,,,90,0)&lt;/Q&gt;&lt;R&gt;1&lt;/R&gt;&lt;C&gt;1&lt;/C&gt;&lt;D xsi:type="xsd:double"&gt;14.2345516611312&lt;/D&gt;&lt;/FQL&gt;&lt;FQL&gt;&lt;Q&gt;QAT^FG_FCF_YIELD_NTM(0)&lt;/Q&gt;&lt;R&gt;0&lt;/R&gt;&lt;C&gt;0&lt;/C&gt;&lt;/FQL&gt;&lt;FQL&gt;&lt;Q&gt;EWY^FMA_PE(LTM,0,,,"PORTAGG","MEANR")&lt;/Q&gt;&lt;R&gt;1&lt;/R&gt;&lt;C&gt;1&lt;/C&gt;&lt;D xsi:type="xsd:double"&gt;17.8995666953474&lt;/D&gt;&lt;/FQL&gt;&lt;FQL&gt;&lt;Q&gt;EWM^JULIAN(FMA_DIV_YLD(NTMA,NOW,NOW,M,"PORTAGG","MEANR").DATES)&lt;/Q&gt;&lt;R&gt;1&lt;/R&gt;&lt;C&gt;1&lt;/C&gt;&lt;D xsi:type="xsd:long"&gt;45379&lt;/D&gt;&lt;/FQL&gt;&lt;FQL&gt;&lt;Q&gt;EPHE^JULIAN(FMA_DIV_YLD(NTMA,NOW,NOW,M,"PORTAGG","MEANR").DATES)&lt;/Q&gt;&lt;R&gt;1&lt;/R&gt;&lt;C&gt;1&lt;/C&gt;&lt;D xsi:type="xsd:long"&gt;45379&lt;/D&gt;&lt;/FQL&gt;&lt;FQL&gt;&lt;Q&gt;CNYA^JULIAN(FMA_DIV_YLD(NTMA,NOW,NOW,M,"PORTAGG","MEANR").DATES)&lt;/Q&gt;&lt;R&gt;1&lt;/R&gt;&lt;C&gt;1&lt;/C&gt;&lt;D xsi:type="xsd:long"&gt;45379&lt;/D&gt;&lt;/FQL&gt;&lt;FQL&gt;&lt;Q&gt;QAT^FMA_DIV_YLD(NTMA,NOW,NOW,M,"PORTAGG","MEANR")&lt;/Q&gt;&lt;R&gt;1&lt;/R&gt;&lt;C&gt;1&lt;/C&gt;&lt;D xsi:type="xsd:double"&gt;5.03284622965552&lt;/D&gt;&lt;/FQL&gt;&lt;FQL&gt;&lt;Q&gt;CNYA^FG_COMPANY_NAME&lt;/Q&gt;&lt;R&gt;1&lt;/R&gt;&lt;C&gt;1&lt;/C&gt;&lt;D xsi:type="xsd:string"&gt;iShares MSCI China A ETF&lt;/D&gt;&lt;/FQL&gt;&lt;FQL&gt;&lt;Q&gt;USDCLP^FG_PRICE_CHANGE(0,-3AM)&lt;/Q&gt;&lt;R&gt;1&lt;/R&gt;&lt;C&gt;1&lt;/C&gt;&lt;D xsi:type="xsd:double"&gt;4.9634695&lt;/D&gt;&lt;/FQL&gt;&lt;FQL&gt;&lt;Q&gt;EWW^FG_PRICE(0)&lt;/Q&gt;&lt;R&gt;1&lt;/R&gt;&lt;C&gt;1&lt;/C&gt;&lt;D xsi:type="xsd:double"&gt;64.92&lt;/D&gt;&lt;/FQL&gt;&lt;FQL&gt;&lt;Q&gt;INDA^FMA_COS_DOWN("EPS","1M",+1,NOW,,,"PORTAGG","MEANR")&lt;/Q&gt;&lt;R&gt;1&lt;/R&gt;&lt;C&gt;1&lt;/C&gt;&lt;D xsi:type="xsd:double"&gt;66&lt;/D&gt;&lt;/FQL&gt;&lt;FQL&gt;&lt;Q&gt;EWZ^FMA_EVAL_EBIT(LTMA,NOW,NOW,M,"PORTAGG","MEANR")&lt;/Q&gt;&lt;R&gt;1&lt;/R&gt;&lt;C&gt;1&lt;/C&gt;&lt;D xsi:type="xsd:double"&gt;6.77506445894763&lt;/D&gt;&lt;/FQL&gt;&lt;FQL&gt;&lt;Q&gt;EPOL^FMA_EVAL_EBIT(LTMA,NOW,NOW,M,"PORTAGG","MEANR")&lt;/Q&gt;&lt;R&gt;1&lt;/R&gt;&lt;C&gt;1&lt;/C&gt;&lt;D xsi:type="xsd:double"&gt;7.69053519997406&lt;/D&gt;&lt;/FQL&gt;&lt;FQL&gt;&lt;Q&gt;GREK^FG_COMPANY_NAME&lt;/Q&gt;&lt;R&gt;1&lt;/R&gt;&lt;C&gt;1&lt;/C&gt;&lt;D xsi:type="xsd:string"&gt;Global X MSCI Greece ETF&lt;/D&gt;&lt;/FQL&gt;&lt;FQL&gt;&lt;Q&gt;EWJ^PERCENT_CHANGE(FMA_EPS(+1,0,,,,"PORTAGG","MEAN"),FMA_EPS(+1,-3AM,,,,"PORTAGG","MEAN"))&lt;/Q&gt;&lt;R&gt;1&lt;/R&gt;&lt;C&gt;1&lt;/C&gt;&lt;D xsi:type="xsd:double"&gt;-2.91053547423555&lt;/D&gt;&lt;/FQL&gt;&lt;FQL&gt;&lt;Q&gt;REFTHREPO-FDS^(SUBARRAY(NOT_NA(NO_REPEAT_F(FG_YIELD(NOW,-10AY,D))),0,1)-SUBARRAY(NOT_NA(NO_REPEAT_F(FG_YIELD(NOW,-10AY,D))),1,1))*100&lt;/Q&gt;&lt;R&gt;1&lt;/R&gt;&lt;C&gt;1&lt;/C&gt;&lt;D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xsi:type="xsd:double"&gt;25&lt;/D&gt;&lt;/FQL&gt;&lt;FQL&gt;&lt;Q&gt;CC_PL^IMF_IFS_RCPI_Q(0)&lt;/Q&gt;&lt;R&gt;0&lt;/R&gt;&lt;C&gt;0&lt;/C&gt;&lt;/FQL&gt;&lt;FQL&gt;&lt;Q&gt;USDPHP^FG_PRICE_CHANGE(0,-3AM)&lt;/Q&gt;&lt;R&gt;1&lt;/R&gt;&lt;C&gt;1&lt;/C&gt;&lt;D xsi:type="xsd:double"&gt;2.4235368&lt;/D&gt;&lt;/FQL&gt;&lt;FQL&gt;&lt;Q&gt;EWY^P_PRICE_RETURNS_PR('52W',2,-10AY,0,AM)&lt;/Q&gt;&lt;R&gt;121&lt;/R&gt;&lt;C&gt;1&lt;/C&gt;&lt;D xsi:type="xsd:double"&gt;16.100227&lt;/D&gt;&lt;D xsi:type="xsd:double"&gt;13.467193&lt;/D&gt;&lt;D xsi:type="xsd:double"&gt;19.823254&lt;/D&gt;&lt;D xsi:type="xsd:double"&gt;19.885517&lt;/D&gt;&lt;D xsi:type="xsd:double"&gt;19.176805&lt;/D&gt;&lt;D xsi:type="xsd:double"&gt;0.28187037&lt;/D&gt;&lt;D xsi:type="xsd:double"&gt;-11.749506&lt;/D&gt;&lt;D xsi:type="xsd:double"&gt;-9.82604&lt;/D&gt;&lt;D xsi:type="xsd:double"&gt;-11.429346&lt;/D&gt;&lt;D xsi:type="xsd:double"&gt;-6.3290176&lt;/D&gt;&lt;D xsi:type="xsd:double"&gt;-5.7839336&lt;/D&gt;&lt;D xsi:type="xsd:double"&gt;-2.0769775&lt;/D&gt;&lt;D xsi:type="xsd:double"&gt;-3.0418694&lt;/D&gt;&lt;D xsi:type="xsd:double"&gt;-7.4999332&lt;/D&gt;&lt;D xsi:type="xsd:double"&gt;-12.774235&lt;/D&gt;&lt;D xsi:type="xsd:double"&gt;-16.167486&lt;/D&gt;&lt;D xsi:type="xsd:double"&gt;-26.583815&lt;/D&gt;&lt;D xsi:type="xsd:double"&gt;-20.393068&lt;/D&gt;&lt;D xsi:type="xsd:double"&gt;-3.3718884&lt;/D&gt;&lt;D xsi:type="xsd:double"&gt;-7.5909195&lt;/D&gt;&lt;D xsi:type="xsd:double"&gt;-7.3113203&lt;/D&gt;&lt;D xsi:type="xsd:double"&gt;-17.298508&lt;/D&gt;&lt;D xsi:type="xsd:double"&gt;-14.287334&lt;/D&gt;&lt;D xsi:type="xsd:double"&gt;-7.9072237&lt;/D&gt;&lt;D xsi:type="xsd:double"&gt;-10.73032&lt;/D&gt;&lt;D xsi:type="xsd:double"&gt;-15.869617&lt;/D&gt;&lt;D xsi:type="xsd:double"&gt;-6.334609&lt;/D&gt;&lt;D xsi:type="xsd:double"&gt;5.485153&lt;/D&gt;&lt;D xsi:type="xsd:double"&gt;22.519625&lt;/D&gt;&lt;D xsi:type="xsd:double"&gt;11.612821&lt;/D&gt;&lt;D xsi:type="xsd:double"&gt;6.6889763&lt;/D&gt;&lt;D xsi:type="xsd:double"&gt;2.215004&lt;/D&gt;&lt;D xsi:type="xsd:double"&gt;6.333196&lt;/D&gt;&lt;D xsi:type="xsd:double"&gt;25.171684&lt;/D&gt;&lt;D xsi:type="xsd:double"&gt;23.831345&lt;/D&gt;&lt;D xsi:type="xsd:double"&gt;18.697762&lt;/D&gt;&lt;D xsi:type="xsd:double"&gt;13.287973&lt;/D&gt;&lt;D xsi:type="xsd:double"&gt;35.671616&lt;/D&gt;&lt;D xsi:type="xsd:double"&gt;34.52636&lt;/D&gt;&lt;D xsi:type="xsd:double"&gt;30.704521&lt;/D&gt;&lt;D xsi:type="xsd:double"&gt;18.41452&lt;/D&gt;&lt;D xsi:type="xsd:double"&gt;28.052319&lt;/D&gt;&lt;D xsi:type="xsd:double"&gt;29.677223&lt;/D&gt;&lt;D xsi:type="xsd:double"&gt;47.2458&lt;/D&gt;&lt;D xsi:type="xsd:double"&gt;40.887405&lt;/D&gt;&lt;D xsi:type="xsd:double"&gt;41.483963&lt;/D&gt;&lt;D xsi:type="xsd:double"&gt;34.140278&lt;/D&gt;&lt;D xsi:type="xsd:double"&gt;28.447842&lt;/D&gt;&lt;D xsi:type="xsd:double"&gt;31.120323&lt;/D&gt;&lt;D xsi:type="xsd:double"&gt;14.816594&lt;/D&gt;&lt;D xsi:type="xsd:double"&gt;6.2023044&lt;/D&gt;&lt;D xsi:type="xsd:double"&gt;-3.253919&lt;/D&gt;&lt;D xsi:type="xsd:double"&gt;-0.31349063&lt;/D&gt;&lt;D xsi:type="xsd:double"&gt;-1.8494487&lt;/D&gt;&lt;D xsi:type="xsd:double"&gt;-13.940573&lt;/D&gt;&lt;D xsi:type="xsd:double"&gt;-18.276423&lt;/D&gt;&lt;D xsi:type="xsd:double"&gt;-19.236475&lt;/D&gt;&lt;D xsi:type="xsd:double"&gt;-19.419039&lt;/D&gt;&lt;D xsi:type="xsd:double"&gt;-14.911252&lt;/D&gt;&lt;D xsi:type="xsd:double"&gt;-17.368866&lt;/D&gt;&lt;D xsi:type="xsd:double"&gt;-15.4082775&lt;/D&gt;&lt;D xsi:type="xsd:double"&gt;-23.37923&lt;/D&gt;&lt;D xsi:type="xsd:double"&gt;-14.835972&lt;/D&gt;&lt;D xsi:type="xsd:double"&gt;-11.647815&lt;/D&gt;&lt;D xsi:type="xsd:double"&gt;-17.243969&lt;/D&gt;&lt;D xsi:type="xsd:double"&gt;-13.280993&lt;/D&gt;&lt;D xsi:type="xsd:double"&gt;-3.6818087&lt;/D&gt;&lt;D xsi:type="xsd:double"&gt;1.8354654&lt;/D&gt;&lt;D xsi:type="xsd:double"&gt;7.3282003&lt;/D&gt;&lt;D xsi:type="xsd:double"&gt;7.0317388&lt;/D&gt;&lt;D xsi:type="xsd:double"&gt;-1.5859783&lt;/D&gt;&lt;D xsi:type="xsd:double"&gt;-33.185726&lt;/D&gt;&lt;D xsi:type="xsd:double"&gt;-19.330042&lt;/D&gt;&lt;D xsi:type="xsd:double"&gt;-4.042876&lt;/D&gt;&lt;D xsi:type="xsd:double"&gt;0.32778978&lt;/D&gt;&lt;D xsi:type="xsd:double"&gt;6.597793&lt;/D&gt;&lt;D xsi:type="xsd:double"&gt;26.28144&lt;/D&gt;&lt;D xsi:type="xsd:double"&gt;18.475628&lt;/D&gt;&lt;D xsi:type="xsd:double"&gt;16.926777&lt;/D&gt;&lt;D xsi:type="xsd:double"&gt;25.082064&lt;/D&gt;&lt;D xsi:type="xsd:double"&gt;33.39188&lt;/D&gt;&lt;D xsi:type="xsd:double"&gt;47.13403&lt;/D&gt;&lt;D xsi:type="xsd:double"&gt;51.14565&lt;/D&gt;&lt;D xsi:type="xsd:double"&gt;117.13531&lt;/D&gt;&lt;D xsi:type="xsd:double"&gt;92.36759&lt;/D&gt;&lt;D xsi:type="xsd:double"&gt;75.43856&lt;/D&gt;&lt;D xsi:type="xsd:double"&gt;60.387505&lt;/D&gt;&lt;D xsi:type="xsd:double"&gt;55.173637&lt;/D&gt;&lt;D xsi:type="xsd:double"&gt;31.794394&lt;/D&gt;&lt;D xsi:type="xsd:double"&gt;26.032936&lt;/D&gt;&lt;D xsi:type="xsd:double"&gt;20.596563&lt;/D&gt;&lt;D xsi:type="xsd:double"&gt;5.339527&lt;/D&gt;&lt;D xsi:type="xsd:double"&gt;-1.7744005&lt;/D&gt;&lt;D xsi:type="xsd:double"&gt;-16.943377&lt;/D&gt;&lt;D xsi:type="xsd:double"&gt;-18.622541&lt;/D&gt;&lt;D xsi:type="xsd:double"&gt;-16.651768&lt;/D&gt;&lt;D xsi:type="xsd:double"&gt;-24.91718&lt;/D&gt;&lt;D xsi:type="xsd:double"&gt;-27.396631&lt;/D&gt;&lt;D xsi:type="xsd:double"&gt;-33.510445&lt;/D&gt;&lt;D xsi:type="xsd:double"&gt;-35.495358&lt;/D&gt;&lt;D xsi:type="xsd:double"&gt;-27.31508&lt;/D&gt;&lt;D xsi:type="xsd:double"&gt;-33.54435&lt;/D&gt;&lt;D xsi:type="xsd:double"&gt;-35.61042&lt;/D&gt;&lt;D xsi:type="xsd:double"&gt;-24.199509&lt;/D&gt;&lt;D xsi:type="xsd:double"&gt;-27.158142&lt;/D&gt;&lt;D xsi:type="xsd:double"&gt;-17.250072&lt;/D&gt;&lt;D xsi:type="xsd:double"&gt;-15.705853&lt;/D&gt;&lt;D xsi:type="xsd:double"&gt;-17.013395&lt;/D&gt;&lt;D xsi:type="xsd:double"&gt;-7.2161856&lt;/D&gt;&lt;D xsi:type="xsd:double"&gt;-3.5766244&lt;/D&gt;&lt;D xsi:type="xsd:double"&gt;13.565075&lt;/D&gt;&lt;D xsi:type="xsd:double"&gt;18.970394&lt;/D&gt;&lt;D xsi:type="xsd:double"&gt;2.2591352&lt;/D&gt;&lt;D xsi:type="xsd:double"&gt;17.660439&lt;/D&gt;&lt;D xsi:type="xsd:double"&gt;17.868614&lt;/D&gt;&lt;D xsi:type="xsd:double"&gt;9.215164&lt;/D&gt;&lt;D xsi:type="xsd:double"&gt;13.993967&lt;/D&gt;&lt;D xsi:type="xsd:double"&gt;-2.053225&lt;/D&gt;&lt;D xsi:type="xsd:double"&gt;7.191229&lt;/D&gt;&lt;D xsi:type="xsd:double"&gt;15.686739&lt;/D&gt;&lt;D xsi:type="xsd:double"&gt;0.70905685&lt;/D&gt;&lt;/FQL&gt;&lt;FQL&gt;&lt;Q&gt;DDR3512M-FDS^FG_PRICE(0)&lt;/Q&gt;&lt;R&gt;1&lt;/R&gt;&lt;C&gt;1&lt;/C&gt;&lt;D xsi:type="xsd:double"&gt;0.96972036&lt;/D&gt;&lt;/FQL&gt;&lt;FQL&gt;&lt;Q&gt;BRENT-FDS^FG_PRICE_CHANGE(0,-1AY)&lt;/Q&gt;&lt;R&gt;1&lt;/R&gt;&lt;C&gt;1&lt;/C&gt;&lt;D xsi:type="xsd:double"&gt;-2.56468452110759&lt;/D&gt;&lt;/FQL&gt;&lt;FQL&gt;&lt;Q&gt;UAE^FG_PRICE_MAVG(0,,,,200)&lt;/Q&gt;&lt;R&gt;1&lt;/R&gt;&lt;C&gt;1&lt;/C&gt;&lt;D xsi:type="xsd:double"&gt;14.831117&lt;/D&gt;&lt;/FQL&gt;&lt;FQL&gt;&lt;Q&gt;EWZ^FG_PRICE(0)&lt;/Q&gt;&lt;R&gt;1&lt;/R&gt;&lt;C&gt;1&lt;/C&gt;&lt;D xsi:type="xsd:double"&gt;30.11&lt;/D&gt;&lt;/FQL&gt;&lt;FQL&gt;&lt;Q&gt;EWM^FMA_PCT_ABOVE_MAVG(200,0,,,,"PORTAGG")&lt;/Q&gt;&lt;R&gt;1&lt;/R&gt;&lt;C&gt;1&lt;/C&gt;&lt;D xsi:type="xsd:double"&gt;63.6363636363636&lt;/D&gt;&lt;/FQL&gt;&lt;FQL&gt;&lt;Q&gt;SPY^FMA_COS_UP("EPS","1M",+1,NOW,,,"PORTAGG","MEANR")&lt;/Q&gt;&lt;R&gt;1&lt;/R&gt;&lt;C&gt;1&lt;/C&gt;&lt;D xsi:type="xsd:double"&gt;180&lt;/D&gt;&lt;/FQL&gt;&lt;FQL&gt;&lt;Q&gt;MCHI^SIZE(FG_CONSTITUENTS)&lt;/Q&gt;&lt;R&gt;1&lt;/R&gt;&lt;C&gt;1&lt;/C&gt;&lt;D xsi:type="xsd:long"&gt;661&lt;/D&gt;&lt;/FQL&gt;&lt;FQL&gt;&lt;Q&gt;GREK^FMA_RBICS_REV_CURRENT(30, LOC, "PORTAGG")&lt;/Q&gt;&lt;R&gt;1&lt;/R&gt;&lt;C&gt;1&lt;/C&gt;&lt;D xsi:type="xsd:double"&gt;44.6988114809499&lt;/D&gt;&lt;/FQL&gt;&lt;FQL&gt;&lt;Q&gt;EWT^FG_ROE(0)&lt;/Q&gt;&lt;R&gt;1&lt;/R&gt;&lt;C&gt;1&lt;/C&gt;&lt;D xsi:type="xsd:double"&gt;9.86027007664882&lt;/D&gt;&lt;/FQL&gt;&lt;FQL&gt;&lt;Q&gt;REFPL7D-FDS^PROPER_NAME(0,,,"SECURITY","NAME")&lt;/Q&gt;&lt;R&gt;1&lt;/R&gt;&lt;C&gt;1&lt;/C&gt;&lt;D xsi:type="xsd:string"&gt;Poland Reference Rate - 7 Day&lt;/D&gt;&lt;/FQL&gt;&lt;FQL&gt;&lt;Q&gt;TRYQA10Y-FDS^PCTCHG(FG_YIELD(0,,,,"YTM"),FG_YIELD(-1AM,,,,"YTM"))&lt;/Q&gt;&lt;R&gt;0&lt;/R&gt;&lt;C&gt;0&lt;/C&gt;&lt;/FQL&gt;&lt;FQL&gt;&lt;Q&gt;TRYZA10Y-FDS^FG_YIELD(0,,,,"YTM")&lt;/Q&gt;&lt;R&gt;1&lt;/R&gt;&lt;C&gt;1&lt;/C&gt;&lt;D xsi:type="xsd:double"&gt;12.288452&lt;/D&gt;&lt;/FQL&gt;&lt;FQL&gt;&lt;Q&gt;CC_AE^IMF_IFS_RCPI_Q(0)&lt;/Q&gt;&lt;R&gt;0&lt;/R&gt;&lt;C&gt;0&lt;/C&gt;&lt;/FQL&gt;&lt;FQL&gt;&lt;Q&gt;UAE^FMA_EVAL_EBITDA(NTMA,0,,,"PORTAGG","MEANR")&lt;/Q&gt;&lt;R&gt;1&lt;/R&gt;&lt;C&gt;1&lt;/C&gt;&lt;D xsi:type="xsd:double"&gt;6.6996788233614&lt;/D&gt;&lt;/FQL&gt;&lt;FQL&gt;&lt;Q&gt;EPU^FMA_EVAL_EBIT(LTMA,NOW,NOW,M,"PORTAGG","MEANR")&lt;/Q&gt;&lt;R&gt;1&lt;/R&gt;&lt;C&gt;1&lt;/C&gt;&lt;D xsi:type="xsd:double"&gt;13.2456576815215&lt;/D&gt;&lt;/FQL&gt;&lt;FQL&gt;&lt;Q&gt;CC_US^IMF_IFS_RCPI_Q(0)&lt;/Q&gt;&lt;R&gt;0&lt;/R&gt;&lt;C&gt;0&lt;/C&gt;&lt;/FQL&gt;&lt;FQL&gt;&lt;Q&gt;USDTHB^FG_PRICE_CHANGE(0,-3AM)&lt;/Q&gt;&lt;R&gt;1&lt;/R&gt;&lt;C&gt;1&lt;/C&gt;&lt;D xsi:type="xsd:double"&gt;3.3012629&lt;/D&gt;&lt;/FQL&gt;&lt;FQL&gt;&lt;Q&gt;EWY^FG_PRICE(0)&lt;/Q&gt;&lt;R&gt;1&lt;/R&gt;&lt;C&gt;1&lt;/C&gt;&lt;D xsi:type="xsd:double"&gt;61.8&lt;/D&gt;&lt;/FQL&gt;&lt;FQL&gt;&lt;Q&gt;CNYA^FG_PRICE_MAVG(0,,,,30)&lt;/Q&gt;&lt;R&gt;1&lt;/R&gt;&lt;C&gt;1&lt;/C&gt;&lt;D xsi:type="xsd:double"&gt;26.301807&lt;/D&gt;&lt;/FQL&gt;&lt;FQL&gt;&lt;Q&gt;EWY^FG_TOTAL_RETURNC(0,-3AM)&lt;/Q&gt;&lt;R&gt;1&lt;/R&gt;&lt;C&gt;1&lt;/C&gt;&lt;D xsi:type="xsd:double"&gt;5.5868745&lt;/D&gt;&lt;/FQL&gt;&lt;FQL&gt;&lt;Q&gt;EPU^FG_TOTAL_RETURNC(0,-6AM)&lt;/Q&gt;&lt;R&gt;1&lt;/R&gt;&lt;C&gt;1&lt;/C&gt;&lt;D xsi:type="xsd:double"&gt;40.16427&lt;/D&gt;&lt;/FQL&gt;&lt;FQL&gt;&lt;Q&gt;REFSAREPO-FDS^FG_YIELD(NOW,,,0)&lt;/Q&gt;&lt;R&gt;1&lt;/R&gt;&lt;C&gt;1&lt;/C&gt;&lt;D xsi:type="xsd:double"&gt;6&lt;/D&gt;&lt;/FQL&gt;&lt;FQL&gt;&lt;Q&gt;VGK^FG_PE(0)&lt;/Q&gt;&lt;R&gt;1&lt;/R&gt;&lt;C&gt;1&lt;/C&gt;&lt;D xsi:type="xsd:double"&gt;12.7354213307713&lt;/D&gt;&lt;/FQL&gt;&lt;FQL&gt;&lt;Q&gt;EWW^FMA_PE(LTM,0,,,"PORTAGG","MEANR")&lt;/Q&gt;&lt;R&gt;1&lt;/R&gt;&lt;C&gt;1&lt;/C&gt;&lt;D xsi:type="xsd:double"&gt;12.6716481114664&lt;/D&gt;&lt;/FQL&gt;&lt;FQL&gt;&lt;Q&gt;USDMYR^STD(FG_PRICE_CHANGE(0,-3AY,M))&lt;/Q&gt;&lt;R&gt;1&lt;/R&gt;&lt;C&gt;1&lt;/C&gt;&lt;D xsi:type="xsd:double"&gt;2.19671495296888&lt;/D&gt;&lt;/FQL&gt;&lt;FQL&gt;&lt;Q&gt;REFVNDISC-FDS^PROPER_NAME(0,,,"SECURITY","NAME")&lt;/Q&gt;&lt;R&gt;1&lt;/R&gt;&lt;C&gt;1&lt;/C&gt;&lt;D xsi:type="xsd:string"&gt;Vietnam Discount Rate&lt;/D&gt;&lt;/FQL&gt;&lt;FQL&gt;&lt;Q&gt;TRYBR10Y-FDS^PCTCHG(FG_YIELD(0,,,,"YTM"),FG_YIELD(-1AM,,,,"YTM"))&lt;/Q&gt;&lt;R&gt;1&lt;/R&gt;&lt;C&gt;1&lt;/C&gt;&lt;D xsi:type="xsd:double"&gt;4.5970106&lt;/D&gt;&lt;/FQL&gt;&lt;FQL&gt;&lt;Q&gt;TUR^FMA_EVAL_EBITDA(NTMA,0,,,"PORTAGG","MEANR")&lt;/Q&gt;&lt;R&gt;1&lt;/R&gt;&lt;C&gt;1&lt;/C&gt;&lt;D xsi:type="xsd:double"&gt;4.63375012950239&lt;/D&gt;&lt;/FQL&gt;&lt;FQL&gt;&lt;Q&gt;EPOL^FG_TOTAL_RETURNC(0,-3AM)&lt;/Q&gt;&lt;R&gt;1&lt;/R&gt;&lt;C&gt;1&lt;/C&gt;&lt;D xsi:type="xsd:double"&gt;11.442316&lt;/D&gt;&lt;/FQL&gt;&lt;FQL&gt;&lt;Q&gt;TRYBR10Y-FDS^FG_YIELD(-10AY,0,Y,,"YTM")&lt;/Q&gt;&lt;R&gt;10&lt;/R&gt;&lt;C&gt;1&lt;/C&gt;&lt;D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xsi:type="xsd:double"&gt;10.455909&lt;/D&gt;&lt;/FQL&gt;&lt;FQL&gt;&lt;Q&gt;CAGDPY@KR^EE_ACTUAL_ANNUAL(MED,0)&lt;/Q&gt;&lt;R&gt;1&lt;/R&gt;&lt;C&gt;1&lt;/C&gt;&lt;D xsi:type="xsd:double"&gt;2.04376201054732&lt;/D&gt;&lt;/FQL&gt;&lt;FQL&gt;&lt;Q&gt;USDTHB^STD(FG_PRICE_CHANGE(0,-1AY,AM))&lt;/Q&gt;&lt;R&gt;1&lt;/R&gt;&lt;C&gt;1&lt;/C&gt;&lt;D xsi:type="xsd:double"&gt;1.67524654289563&lt;/D&gt;&lt;/FQL&gt;&lt;FQL&gt;&lt;Q&gt;USDKRW^FG_PRICE_CHANGE(0,-3AM)&lt;/Q&gt;&lt;R&gt;1&lt;/R&gt;&lt;C&gt;1&lt;/C&gt;&lt;D xsi:type="xsd:double"&gt;2.4857163&lt;/D&gt;&lt;/FQL&gt;&lt;FQL&gt;&lt;Q&gt;MCHI^FMA_PE(NTMA,-10AY,0,AM,"PORTAGG","MEANR")&lt;/Q&gt;&lt;R&gt;121&lt;/R&gt;&lt;C&gt;1&lt;/C&gt;&lt;D xsi:type="xsd:double"&gt;8.61001348016217&lt;/D&gt;&lt;D xsi:type="xsd:double"&gt;8.51185037624415&lt;/D&gt;&lt;D xsi:type="xsd:double"&gt;8.80588124986359&lt;/D&gt;&lt;D xsi:type="xsd:double"&gt;8.97143768881131&lt;/D&gt;&lt;D xsi:type="xsd:double"&gt;9.3225205627386&lt;/D&gt;&lt;D xsi:type="xsd:double"&gt;8.97173776106315&lt;/D&gt;&lt;D xsi:type="xsd:double"&gt;8.41030517995337&lt;/D&gt;&lt;D xsi:type="xsd:double"&gt;8.68721830738888&lt;/D&gt;&lt;D xsi:type="xsd:double"&gt;9.04702792705315&lt;/D&gt;&lt;D xsi:type="xsd:double"&gt;9.81443455595724&lt;/D&gt;&lt;D xsi:type="xsd:double"&gt;10.2382600993583&lt;/D&gt;&lt;D xsi:type="xsd:double"&gt;10.1144107866084&lt;/D&gt;&lt;D xsi:type="xsd:double"&gt;12.2489087043863&lt;/D&gt;&lt;D xsi:type="xsd:double"&gt;11.8507235021587&lt;/D&gt;&lt;D xsi:type="xsd:double"&gt;11.0623981592833&lt;/D&gt;&lt;D xsi:type="xsd:double"&gt;10.0075103271884&lt;/D&gt;&lt;D xsi:type="xsd:double"&gt;9.39699286325893&lt;/D&gt;&lt;D xsi:type="xsd:double"&gt;9.04660660861544&lt;/D&gt;&lt;D xsi:type="xsd:double"&gt;9.61367066077979&lt;/D&gt;&lt;D xsi:type="xsd:double"&gt;9.39135272420186&lt;/D&gt;&lt;D xsi:type="xsd:double"&gt;9.2420017903218&lt;/D&gt;&lt;D xsi:type="xsd:double"&gt;8.91882186067358&lt;/D&gt;&lt;D xsi:type="xsd:double"&gt;9.04477667227675&lt;/D&gt;&lt;D xsi:type="xsd:double"&gt;10.0136933267344&lt;/D&gt;&lt;D xsi:type="xsd:double"&gt;10.3478245467224&lt;/D&gt;&lt;D xsi:type="xsd:double"&gt;9.58658096482929&lt;/D&gt;&lt;D xsi:type="xsd:double"&gt;10.4893483015346&lt;/D&gt;&lt;D xsi:type="xsd:double"&gt;11.4595374828592&lt;/D&gt;&lt;D xsi:type="xsd:double"&gt;12.1601733472389&lt;/D&gt;&lt;D xsi:type="xsd:double"&gt;12.2988138479536&lt;/D&gt;&lt;D xsi:type="xsd:double"&gt;12.3211296443729&lt;/D&gt;&lt;D xsi:type="xsd:double"&gt;11.7359416747636&lt;/D&gt;&lt;D xsi:type="xsd:double"&gt;11.4209222150253&lt;/D&gt;&lt;D xsi:type="xsd:double"&gt;11.8207267876339&lt;/D&gt;&lt;D xsi:type="xsd:double"&gt;12.4012146505036&lt;/D&gt;&lt;D xsi:type="xsd:double"&gt;12.6646871436865&lt;/D&gt;&lt;D xsi:type="xsd:double"&gt;12.3097154129289&lt;/D&gt;&lt;D xsi:type="xsd:double"&gt;12.8257507511508&lt;/D&gt;&lt;D xsi:type="xsd:double"&gt;12.8239964790709&lt;/D&gt;&lt;D xsi:type="xsd:double"&gt;13.3195321304091&lt;/D&gt;&lt;D xsi:type="xsd:double"&gt;13.4306020222759&lt;/D&gt;&lt;D xsi:type="xsd:double"&gt;13.762993070701&lt;/D&gt;&lt;D xsi:type="xsd:double"&gt;13.9421446584811&lt;/D&gt;&lt;D xsi:type="xsd:double"&gt;14.0043025221278&lt;/D&gt;&lt;D xsi:type="xsd:double"&gt;13.2597691222051&lt;/D&gt;&lt;D xsi:type="xsd:double"&gt;14.1295922698895&lt;/D&gt;&lt;D xsi:type="xsd:double"&gt;13.4314898757804&lt;/D&gt;&lt;D xsi:type="xsd:double"&gt;13.6568229888411&lt;/D&gt;&lt;D xsi:type="xsd:double"&gt;12.3596288954231&lt;/D&gt;&lt;D xsi:type="xsd:double"&gt;12.6935125900652&lt;/D&gt;&lt;D xsi:type="xsd:double"&gt;12.5421472272221&lt;/D&gt;&lt;D xsi:type="xsd:double"&gt;11.7616693599289&lt;/D&gt;&lt;D xsi:type="xsd:double"&gt;11.1052413725712&lt;/D&gt;&lt;D xsi:type="xsd:double"&gt;10.7994394458397&lt;/D&gt;&lt;D xsi:type="xsd:double"&gt;9.99965440665684&lt;/D&gt;&lt;D xsi:type="xsd:double"&gt;10.5343507902325&lt;/D&gt;&lt;D xsi:type="xsd:double"&gt;10.2937456762568&lt;/D&gt;&lt;D xsi:type="xsd:double"&gt;10.8077454420081&lt;/D&gt;&lt;D xsi:type="xsd:double"&gt;11.0987508813054&lt;/D&gt;&lt;D xsi:type="xsd:double"&gt;11.8760783240943&lt;/D&gt;&lt;D xsi:type="xsd:double"&gt;12.2412876224059&lt;/D&gt;&lt;D xsi:type="xsd:double"&gt;11.1872336235728&lt;/D&gt;&lt;D xsi:type="xsd:double"&gt;11.177779589168&lt;/D&gt;&lt;D xsi:type="xsd:double"&gt;11.3900984807094&lt;/D&gt;&lt;D xsi:type="xsd:double"&gt;10.8532491099222&lt;/D&gt;&lt;D xsi:type="xsd:double"&gt;11.4800471608889&lt;/D&gt;&lt;D xsi:type="xsd:double"&gt;11.1597526484289&lt;/D&gt;&lt;D xsi:type="xsd:double"&gt;11.23150246807&lt;/D&gt;&lt;D xsi:type="xsd:double"&gt;12.2483362301485&lt;/D&gt;&lt;D xsi:type="xsd:double"&gt;12.640668861289&lt;/D&gt;&lt;D xsi:type="xsd:double"&gt;12.4236997769068&lt;/D&gt;&lt;D xsi:type="xsd:double"&gt;10.4080626586057&lt;/D&gt;&lt;D xsi:type="xsd:double"&gt;12.3581929293231&lt;/D&gt;&lt;D xsi:type="xsd:double"&gt;12.8165319705882&lt;/D&gt;&lt;D xsi:type="xsd:double"&gt;13.9500494518853&lt;/D&gt;&lt;D xsi:type="xsd:double"&gt;14.8042889722995&lt;/D&gt;&lt;D xsi:type="xsd:double"&gt;15.1395035990037&lt;/D&gt;&lt;D xsi:type="xsd:double"&gt;14.9194460316549&lt;/D&gt;&lt;D xsi:type="xsd:double"&gt;15.4399231331334&lt;/D&gt;&lt;D xsi:type="xsd:double"&gt;14.9452768434055&lt;/D&gt;&lt;D xsi:type="xsd:double"&gt;15.5297304429494&lt;/D&gt;&lt;D xsi:type="xsd:double"&gt;16.731788867968&lt;/D&gt;&lt;D xsi:type="xsd:double"&gt;18.5757706946077&lt;/D&gt;&lt;D xsi:type="xsd:double"&gt;16.7656172283439&lt;/D&gt;&lt;D xsi:type="xsd:double"&gt;16.051641309871&lt;/D&gt;&lt;D xsi:type="xsd:double"&gt;15.3796147682693&lt;/D&gt;&lt;D xsi:type="xsd:double"&gt;15.8752840596428&lt;/D&gt;&lt;D xsi:type="xsd:double"&gt;15.2610127781074&lt;/D&gt;&lt;D xsi:type="xsd:double"&gt;13.4469464373618&lt;/D&gt;&lt;D xsi:type="xsd:double"&gt;13.4567726700244&lt;/D&gt;&lt;D xsi:type="xsd:double"&gt;13.6284158091914&lt;/D&gt;&lt;D xsi:type="xsd:double"&gt;13.3240574500161&lt;/D&gt;&lt;D xsi:type="xsd:double"&gt;12.3822521217132&lt;/D&gt;&lt;D xsi:type="xsd:double"&gt;12.4670406929814&lt;/D&gt;&lt;D xsi:type="xsd:double"&gt;12.0984068644854&lt;/D&gt;&lt;D xsi:type="xsd:double"&gt;10.6322305374981&lt;/D&gt;&lt;D xsi:type="xsd:double"&gt;10.5679328465179&lt;/D&gt;&lt;D xsi:type="xsd:double"&gt;10.5677464783501&lt;/D&gt;&lt;D xsi:type="xsd:double"&gt;11.5119169671529&lt;/D&gt;&lt;D xsi:type="xsd:double"&gt;11.3647857927093&lt;/D&gt;&lt;D xsi:type="xsd:double"&gt;10.6829600729004&lt;/D&gt;&lt;D xsi:type="xsd:double"&gt;10.4523747757732&lt;/D&gt;&lt;D xsi:type="xsd:double"&gt;9.47971845826&lt;/D&gt;&lt;D xsi:type="xsd:double"&gt;10.0465772352373&lt;/D&gt;&lt;D xsi:type="xsd:double"&gt;10.7597853078123&lt;/D&gt;&lt;D xsi:type="xsd:double"&gt;11.7086589505797&lt;/D&gt;&lt;D xsi:type="xsd:double"&gt;11.1830020280221&lt;/D&gt;&lt;D xsi:type="xsd:double"&gt;10.495738295912&lt;/D&gt;&lt;D xsi:type="xsd:double"&gt;11.0461482511625&lt;/D&gt;&lt;D xsi:type="xsd:double"&gt;10.4733057113925&lt;/D&gt;&lt;D xsi:type="xsd:double"&gt;10.8141684331317&lt;/D&gt;&lt;D xsi:type="xsd:double"&gt;10.306693373408&lt;/D&gt;&lt;D xsi:type="xsd:double"&gt;10.0229167664953&lt;/D&gt;&lt;D xsi:type="xsd:double"&gt;10.1455247624014&lt;/D&gt;&lt;D xsi:type="xsd:double"&gt;9.73240909419479&lt;/D&gt;&lt;D xsi:type="xsd:double"&gt;9.70111860234372&lt;/D&gt;&lt;D xsi:type="xsd:double"&gt;9.23286337382926&lt;/D&gt;&lt;D xsi:type="xsd:double"&gt;8.60367941495808&lt;/D&gt;&lt;D xsi:type="xsd:double"&gt;9.04570957539908&lt;/D&gt;&lt;D xsi:type="xsd:double"&gt;9.3680368438169&lt;/D&gt;&lt;D xsi:type="xsd:double"&gt;9.3237341550998&lt;/D&gt;&lt;/FQL&gt;&lt;FQL&gt;&lt;Q&gt;CNYA^FG_PRICE_MAVG(0,,,,200)&lt;/Q&gt;&lt;R&gt;1&lt;/R&gt;&lt;C&gt;1&lt;/C&gt;&lt;D xsi:type="xsd:double"&gt;27.087278&lt;/D&gt;&lt;/FQL&gt;&lt;FQL&gt;&lt;Q&gt;TUR^FG_TOTAL_RETURNC(0,-3AM)&lt;/Q&gt;&lt;R&gt;1&lt;/R&gt;&lt;C&gt;1&lt;/C&gt;&lt;D xsi:type="xsd:double"&gt;11.736811&lt;/D&gt;&lt;/FQL&gt;&lt;FQL&gt;&lt;Q&gt;INDA^FG_TOTAL_RETURNC(0,-6AM)&lt;/Q&gt;&lt;R&gt;1&lt;/R&gt;&lt;C&gt;1&lt;/C&gt;&lt;D xsi:type="xsd:double"&gt;15.490723&lt;/D&gt;&lt;/FQL&gt;&lt;FQL&gt;&lt;Q&gt;EWY^P_PRICE(0)/P_PRICE_HIGH_PR(0,,,,,,"PRICE","INTRA","52W")&lt;/Q&gt;&lt;R&gt;1&lt;/R&gt;&lt;C&gt;1&lt;/C&gt;&lt;D xsi:type="xsd:double"&gt;0.9061584&lt;/D&gt;&lt;/FQL&gt;&lt;FQL&gt;&lt;Q&gt;EPU^FG_TOTAL_RETURNC(0,-12AM)&lt;/Q&gt;&lt;R&gt;1&lt;/R&gt;&lt;C&gt;1&lt;/C&gt;&lt;D xsi:type="xsd:double"&gt;31.710983&lt;/D&gt;&lt;/FQL&gt;&lt;FQL&gt;&lt;Q&gt;EIDO^FG_TOTAL_RETURNC(0,-1AM)&lt;/Q&gt;&lt;R&gt;1&lt;/R&gt;&lt;C&gt;1&lt;/C&gt;&lt;D xsi:type="xsd:double"&gt;-7.933015&lt;/D&gt;&lt;/FQL&gt;&lt;FQL&gt;&lt;Q&gt;EWJ^FG_TOTAL_RETURNC(0,-3AM)&lt;/Q&gt;&lt;R&gt;1&lt;/R&gt;&lt;C&gt;1&lt;/C&gt;&lt;D xsi:type="xsd:double"&gt;1.7647862&lt;/D&gt;&lt;/FQL&gt;&lt;FQL&gt;&lt;Q&gt;EPU^SIZE(FG_CONSTITUENTS)&lt;/Q&gt;&lt;R&gt;1&lt;/R&gt;&lt;C&gt;1&lt;/C&gt;&lt;D xsi:type="xsd:long"&gt;26&lt;/D&gt;&lt;/FQL&gt;&lt;FQL&gt;&lt;Q&gt;TRYCN10Y-FDS^FG_YIELD_NAME&lt;/Q&gt;&lt;R&gt;1&lt;/R&gt;&lt;C&gt;1&lt;/C&gt;&lt;D xsi:type="xsd:string"&gt;Treasury - China Benchmark Bond 10Y&lt;/D&gt;&lt;/FQL&gt;&lt;FQL&gt;&lt;Q&gt;REFINREPO-FDS^PROPER_NAME(0,,,"SECURITY","NAME")&lt;/Q&gt;&lt;R&gt;1&lt;/R&gt;&lt;C&gt;1&lt;/C&gt;&lt;D xsi:type="xsd:string"&gt;India Repo Rate&lt;/D&gt;&lt;/FQL&gt;&lt;FQL&gt;&lt;Q&gt;TIPSCL10Y-FDS^PCTCHG(FG_YIELD(0,,,,"YTM"),FG_YIELD(-1AM,,,,"YTM"))&lt;/Q&gt;&lt;R&gt;1&lt;/R&gt;&lt;C&gt;1&lt;/C&gt;&lt;D xsi:type="xsd:double"&gt;-47.408783&lt;/D&gt;&lt;/FQL&gt;&lt;FQL&gt;&lt;Q&gt;TRYZA10Y-FDS^FG_YIELD_NAME&lt;/Q&gt;&lt;R&gt;1&lt;/R&gt;&lt;C&gt;1&lt;/C&gt;&lt;D xsi:type="xsd:string"&gt;South Africa Benchmark Bond - 10 Year&lt;/D&gt;&lt;/FQL&gt;&lt;FQL&gt;&lt;Q&gt;CC_TR^IMF_IFS_RCPI_Q(0)&lt;/Q&gt;&lt;R&gt;0&lt;/R&gt;&lt;C&gt;0&lt;/C&gt;&lt;/FQL&gt;&lt;FQL&gt;&lt;Q&gt;GREK^FMA_PE(NTMA,0,,,"PORTAGG","MEANR")&lt;/Q&gt;&lt;R&gt;1&lt;/R&gt;&lt;C&gt;1&lt;/C&gt;&lt;D xsi:type="xsd:double"&gt;6.76078642551676&lt;/D&gt;&lt;/FQL&gt;&lt;FQL&gt;&lt;Q&gt;EWY^JULIAN(FMA_DIV_YLD(NTMA,NOW,NOW,M,"PORTAGG","MEANR").DATES)&lt;/Q&gt;&lt;R&gt;1&lt;/R&gt;&lt;C&gt;1&lt;/C&gt;&lt;D xsi:type="xsd:long"&gt;45379&lt;/D&gt;&lt;/FQL&gt;&lt;FQL&gt;&lt;Q&gt;EIDO^FMA_EVAL_EBIT(LTMA,NOW,NOW,M,"PORTAGG","MEANR")&lt;/Q&gt;&lt;R&gt;1&lt;/R&gt;&lt;C&gt;1&lt;/C&gt;&lt;D xsi:type="xsd:double"&gt;9.49450217133758&lt;/D&gt;&lt;/FQL&gt;&lt;FQL&gt;&lt;Q&gt;KSA^FG_COMPANY_NAME&lt;/Q&gt;&lt;R&gt;1&lt;/R&gt;&lt;C&gt;1&lt;/C&gt;&lt;D xsi:type="xsd:string"&gt;iShares MSCI Saudi Arabia ETF&lt;/D&gt;&lt;/FQL&gt;&lt;FQL&gt;&lt;Q&gt;GREK^FMA_PE(LTM,0,,,"PORTAGG","MEANR")&lt;/Q&gt;&lt;R&gt;1&lt;/R&gt;&lt;C&gt;1&lt;/C&gt;&lt;D xsi:type="xsd:double"&gt;7.17395169971767&lt;/D&gt;&lt;/FQL&gt;&lt;FQL&gt;&lt;Q&gt;VGK^FMA_EVAL_EBIT(LTMA,NOW,NOW,M,"PORTAGG","MEANR")&lt;/Q&gt;&lt;R&gt;1&lt;/R&gt;&lt;C&gt;1&lt;/C&gt;&lt;D xsi:type="xsd:double"&gt;13.19799269758&lt;/D&gt;&lt;/FQL&gt;&lt;FQL&gt;&lt;Q&gt;INDA^FG_TOTAL_RETURNC(0,-1AM)&lt;/Q&gt;&lt;R&gt;1&lt;/R&gt;&lt;C&gt;1&lt;/C&gt;&lt;D xsi:type="xsd:double"&gt;0.7297754&lt;/D&gt;&lt;/FQL&gt;&lt;FQL&gt;&lt;Q&gt;EWW^FMA_RBICS_REV_CURRENT(30, LOC, "PORTAGG")&lt;/Q&gt;&lt;R&gt;1&lt;/R&gt;&lt;C&gt;1&lt;/C&gt;&lt;D xsi:type="xsd:double"&gt;29.5965573456913&lt;/D&gt;&lt;/FQL&gt;&lt;FQL&gt;&lt;Q&gt;CC_QA^IMF_IFS_RCPI_Q(0)&lt;/Q&gt;&lt;R&gt;0&lt;/R&gt;&lt;C&gt;0&lt;/C&gt;&lt;/FQL&gt;&lt;FQL&gt;&lt;Q&gt;UAE^FMA_PE(NTMA,0,,,"PORTAGG","MEANR")&lt;/Q&gt;&lt;R&gt;1&lt;/R&gt;&lt;C&gt;1&lt;/C&gt;&lt;D xsi:type="xsd:double"&gt;9.43922459919065&lt;/D&gt;&lt;/FQL&gt;&lt;FQL&gt;&lt;Q&gt;TUR^FG_COMPANY_NAME&lt;/Q&gt;&lt;R&gt;1&lt;/R&gt;&lt;C&gt;1&lt;/C&gt;&lt;D xsi:type="xsd:string"&gt;iShares MSCI Turkey ETF&lt;/D&gt;&lt;/FQL&gt;&lt;FQL&gt;&lt;Q&gt;EPU^FG_TOTAL_RETURNC(0,-3AM)&lt;/Q&gt;&lt;R&gt;1&lt;/R&gt;&lt;C&gt;1&lt;/C&gt;&lt;D xsi:type="xsd:double"&gt;20.7402&lt;/D&gt;&lt;/FQL&gt;&lt;FQL&gt;&lt;Q&gt;EPHE^SIZE(FG_CONSTITUENTS)&lt;/Q&gt;&lt;R&gt;1&lt;/R&gt;&lt;C&gt;1&lt;/C&gt;&lt;D xsi:type="xsd:long"&gt;35&lt;/D&gt;&lt;/FQL&gt;&lt;FQL&gt;&lt;Q&gt;ECH^FMA_EVAL_EBITDA(NTMA,0,,,"PORTAGG","MEANR")&lt;/Q&gt;&lt;R&gt;1&lt;/R&gt;&lt;C&gt;1&lt;/C&gt;&lt;D xsi:type="xsd:double"&gt;6.02767336880207&lt;/D&gt;&lt;/FQL&gt;&lt;FQL&gt;&lt;Q&gt;EWW^JULIAN(FMA_DIV_YLD(NTMA,NOW,NOW,M,"PORTAGG","MEANR").DATES)&lt;/Q&gt;&lt;R&gt;1&lt;/R&gt;&lt;C&gt;1&lt;/C&gt;&lt;D xsi:type="xsd:long"&gt;45379&lt;/D&gt;&lt;/FQL&gt;&lt;FQL&gt;&lt;Q&gt;EPU^JULIAN(FMA_DIV_YLD(NTMA,NOW,NOW,M,"PORTAGG","MEANR").DATES)&lt;/Q&gt;&lt;R&gt;1&lt;/R&gt;&lt;C&gt;1&lt;/C&gt;&lt;D xsi:type="xsd:long"&gt;45379&lt;/D&gt;&lt;/FQL&gt;&lt;FQL&gt;&lt;Q&gt;INDA^FG_COMPANY_NAME&lt;/Q&gt;&lt;R&gt;1&lt;/R&gt;&lt;C&gt;1&lt;/C&gt;&lt;D xsi:type="xsd:string"&gt;iShares MSCI India ETF&lt;/D&gt;&lt;/FQL&gt;&lt;FQL&gt;&lt;Q&gt;TIOS-FDS^FG_PRICE_CHANGE(0,-3AM)&lt;/Q&gt;&lt;R&gt;1&lt;/R&gt;&lt;C&gt;1&lt;/C&gt;&lt;D xsi:type="xsd:double"&gt;-20.6716637272193&lt;/D&gt;&lt;/FQL&gt;&lt;FQL&gt;&lt;Q&gt;QAT^FG_PRICE(0)&lt;/Q&gt;&lt;R&gt;1&lt;/R&gt;&lt;C&gt;1&lt;/C&gt;&lt;D xsi:type="xsd:double"&gt;17.31&lt;/D&gt;&lt;/FQL&gt;&lt;FQL&gt;&lt;Q&gt;VNM^P_PRICE(0)/P_PRICE_LOW_PR(0,,,,,,"PRICE","INTRA","52W")-1&lt;/Q&gt;&lt;R&gt;1&lt;/R&gt;&lt;C&gt;1&lt;/C&gt;&lt;D xsi:type="xsd:double"&gt;0.054735065&lt;/D&gt;&lt;/FQL&gt;&lt;FQL&gt;&lt;Q&gt;EWM^FG_COMPANY_NAME&lt;/Q&gt;&lt;R&gt;1&lt;/R&gt;&lt;C&gt;1&lt;/C&gt;&lt;D xsi:type="xsd:string"&gt;iShares MSCI Malaysia ETF&lt;/D&gt;&lt;/FQL&gt;&lt;FQL&gt;&lt;Q&gt;SPY^FMA_COS_DOWN("EPS","1M",+1,NOW,,,"PORTAGG","MEANR")&lt;/Q&gt;&lt;R&gt;1&lt;/R&gt;&lt;C&gt;1&lt;/C&gt;&lt;D xsi:type="xsd:double"&gt;189&lt;/D&gt;&lt;/FQL&gt;&lt;FQL&gt;&lt;Q&gt;TRYID10Y-FDS^PCTCHG(FG_YIELD(0,,,,"YTM"),FG_YIELD(-1AM,,,,"YTM"))&lt;/Q&gt;&lt;R&gt;1&lt;/R&gt;&lt;C&gt;1&lt;/C&gt;&lt;D xsi:type="xsd:double"&gt;3.3612862&lt;/D&gt;&lt;/FQL&gt;&lt;FQL&gt;&lt;Q&gt;CC_VN^IMF_IFS_RCPI_Q(0)&lt;/Q&gt;&lt;R&gt;0&lt;/R&gt;&lt;C&gt;0&lt;/C&gt;&lt;/FQL&gt;&lt;FQL&gt;&lt;Q&gt;^FG_YIELD(-10AY,0,Y,,"YTM")&lt;/Q&gt;&lt;R&gt;10&lt;/R&gt;&lt;C&gt;1&lt;/C&gt;&lt;D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xsi:type="xsd:string"&gt;@NA&lt;/D&gt;&lt;/FQL&gt;&lt;FQL&gt;&lt;Q&gt;EWW^P_PRICE_RETURNS_PR('52W',2,-10AY,0,AM)&lt;/Q&gt;&lt;R&gt;121&lt;/R&gt;&lt;C&gt;1&lt;/C&gt;&lt;D xsi:type="xsd:double"&gt;-8.110142&lt;/D&gt;&lt;D xsi:type="xsd:double"&gt;-4.426074&lt;/D&gt;&lt;D xsi:type="xsd:double"&gt;8.518028&lt;/D&gt;&lt;D xsi:type="xsd:double"&gt;7.133734&lt;/D&gt;&lt;D xsi:type="xsd:double"&gt;7.4817777&lt;/D&gt;&lt;D xsi:type="xsd:double"&gt;5.568588&lt;/D&gt;&lt;D xsi:type="xsd:double"&gt;1.4640927&lt;/D&gt;&lt;D xsi:type="xsd:double"&gt;1.8039346&lt;/D&gt;&lt;D xsi:type="xsd:double"&gt;-10.534883&lt;/D&gt;&lt;D xsi:type="xsd:double"&gt;-10.168666&lt;/D&gt;&lt;D xsi:type="xsd:double"&gt;-5.038315&lt;/D&gt;&lt;D xsi:type="xsd:double"&gt;-1.5615523&lt;/D&gt;&lt;D xsi:type="xsd:double"&gt;-6.966835&lt;/D&gt;&lt;D xsi:type="xsd:double"&gt;-8.149558&lt;/D&gt;&lt;D xsi:type="xsd:double"&gt;-12.188662&lt;/D&gt;&lt;D xsi:type="xsd:double"&gt;-16.235601&lt;/D&gt;&lt;D xsi:type="xsd:double"&gt;-22.525019&lt;/D&gt;&lt;D xsi:type="xsd:double"&gt;-24.180912&lt;/D&gt;&lt;D xsi:type="xsd:double"&gt;-13.872987&lt;/D&gt;&lt;D xsi:type="xsd:double"&gt;-16.625893&lt;/D&gt;&lt;D xsi:type="xsd:double"&gt;-12.511474&lt;/D&gt;&lt;D xsi:type="xsd:double"&gt;-20.347178&lt;/D&gt;&lt;D xsi:type="xsd:double"&gt;-17.252333&lt;/D&gt;&lt;D xsi:type="xsd:double"&gt;-8.641911&lt;/D&gt;&lt;D xsi:type="xsd:double"&gt;-10.127008&lt;/D&gt;&lt;D xsi:type="xsd:double"&gt;-15.56015&lt;/D&gt;&lt;D xsi:type="xsd:double"&gt;-15.370119&lt;/D&gt;&lt;D xsi:type="xsd:double"&gt;-8.097845&lt;/D&gt;&lt;D xsi:type="xsd:double"&gt;0.9987116&lt;/D&gt;&lt;D xsi:type="xsd:double"&gt;-11.261755&lt;/D&gt;&lt;D xsi:type="xsd:double"&gt;-4.055542&lt;/D&gt;&lt;D xsi:type="xsd:double"&gt;-18.39621&lt;/D&gt;&lt;D xsi:type="xsd:double"&gt;-12.634605&lt;/D&gt;&lt;D xsi:type="xsd:double"&gt;-4.768449&lt;/D&gt;&lt;D xsi:type="xsd:double"&gt;-2.7107418&lt;/D&gt;&lt;D xsi:type="xsd:double"&gt;-3.7520945&lt;/D&gt;&lt;D xsi:type="xsd:double"&gt;-0.037413836&lt;/D&gt;&lt;D xsi:type="xsd:double"&gt;3.0934334&lt;/D&gt;&lt;D xsi:type="xsd:double"&gt;14.473284&lt;/D&gt;&lt;D xsi:type="xsd:double"&gt;13.34157&lt;/D&gt;&lt;D xsi:type="xsd:double"&gt;8.248305&lt;/D&gt;&lt;D xsi:type="xsd:double"&gt;21.414566&lt;/D&gt;&lt;D xsi:type="xsd:double"&gt;3.0046344&lt;/D&gt;&lt;D xsi:type="xsd:double"&gt;15.465069&lt;/D&gt;&lt;D xsi:type="xsd:double"&gt;16.239023&lt;/D&gt;&lt;D xsi:type="xsd:double"&gt;28.062809&lt;/D&gt;&lt;D xsi:type="xsd:double"&gt;15.764213&lt;/D&gt;&lt;D xsi:type="xsd:double"&gt;4.421282&lt;/D&gt;&lt;D xsi:type="xsd:double"&gt;7.21612&lt;/D&gt;&lt;D xsi:type="xsd:double"&gt;-8.2862015&lt;/D&gt;&lt;D xsi:type="xsd:double"&gt;-15.280456&lt;/D&gt;&lt;D xsi:type="xsd:double"&gt;-9.29879&lt;/D&gt;&lt;D xsi:type="xsd:double"&gt;-9.334028&lt;/D&gt;&lt;D xsi:type="xsd:double"&gt;-6.2322497&lt;/D&gt;&lt;D xsi:type="xsd:double"&gt;-6.965804&lt;/D&gt;&lt;D xsi:type="xsd:double"&gt;-14.934343&lt;/D&gt;&lt;D xsi:type="xsd:double"&gt;-18.661463&lt;/D&gt;&lt;D xsi:type="xsd:double"&gt;-12.434405&lt;/D&gt;&lt;D xsi:type="xsd:double"&gt;-14.187426&lt;/D&gt;&lt;D xsi:type="xsd:double"&gt;-11.023903&lt;/D&gt;&lt;D xsi:type="xsd:double"&gt;-10.953533&lt;/D&gt;&lt;D xsi:type="xsd:double"&gt;-2.3574948&lt;/D&gt;&lt;D xsi:type="xsd:double"&gt;0.83076954&lt;/D&gt;&lt;D xsi:type="xsd:double"&gt;-13.102329&lt;/D&gt;&lt;D xsi:type="xsd:double"&gt;-18.196058&lt;/D&gt;&lt;D xsi:type="xsd:double"&gt;-12.814015&lt;/D&gt;&lt;D xsi:type="xsd:double"&gt;-3.9266527&lt;/D&gt;&lt;D xsi:type="xsd:double"&gt;10.378563&lt;/D&gt;&lt;D xsi:type="xsd:double"&gt;19.286835&lt;/D&gt;&lt;D xsi:type="xsd:double"&gt;9.678268&lt;/D&gt;&lt;D xsi:type="xsd:double"&gt;11.687576&lt;/D&gt;&lt;D xsi:type="xsd:double"&gt;-32.52523&lt;/D&gt;&lt;D xsi:type="xsd:double"&gt;-38.409424&lt;/D&gt;&lt;D xsi:type="xsd:double"&gt;-29.131348&lt;/D&gt;&lt;D xsi:type="xsd:double"&gt;-25.497597&lt;/D&gt;&lt;D xsi:type="xsd:double"&gt;-26.307858&lt;/D&gt;&lt;D xsi:type="xsd:double"&gt;-10.505122&lt;/D&gt;&lt;D xsi:type="xsd:double"&gt;-22.078842&lt;/D&gt;&lt;D xsi:type="xsd:double"&gt;-19.834291&lt;/D&gt;&lt;D xsi:type="xsd:double"&gt;-6.68723&lt;/D&gt;&lt;D xsi:type="xsd:double"&gt;-6.918401&lt;/D&gt;&lt;D xsi:type="xsd:double"&gt;-2.4033725&lt;/D&gt;&lt;D xsi:type="xsd:double"&gt;-10.366511&lt;/D&gt;&lt;D xsi:type="xsd:double"&gt;56.61062&lt;/D&gt;&lt;D xsi:type="xsd:double"&gt;75.02899&lt;/D&gt;&lt;D xsi:type="xsd:double"&gt;59.777485&lt;/D&gt;&lt;D xsi:type="xsd:double"&gt;48.708904&lt;/D&gt;&lt;D xsi:type="xsd:double"&gt;55.24019&lt;/D&gt;&lt;D xsi:type="xsd:double"&gt;47.282135&lt;/D&gt;&lt;D xsi:type="xsd:double"&gt;49.34238&lt;/D&gt;&lt;D xsi:type="xsd:double"&gt;44.056213&lt;/D&gt;&lt;D xsi:type="xsd:double"&gt;18.681776&lt;/D&gt;&lt;D xsi:type="xsd:double"&gt;15.140462&lt;/D&gt;&lt;D xsi:type="xsd:double"&gt;16.113556&lt;/D&gt;&lt;D xsi:type="xsd:double"&gt;22.453426&lt;/D&gt;&lt;D xsi:type="xsd:double"&gt;21.228813&lt;/D&gt;&lt;D xsi:type="xsd:double"&gt;17.195118&lt;/D&gt;&lt;D xsi:type="xsd:double"&gt;6.0109973&lt;/D&gt;&lt;D xsi:type="xsd:double"&gt;-0.18716455&lt;/D&gt;&lt;D xsi:type="xsd:double"&gt;-3.1700432&lt;/D&gt;&lt;D xsi:type="xsd:double"&gt;-1.2779534&lt;/D&gt;&lt;D xsi:type="xsd:double"&gt;-6.875241&lt;/D&gt;&lt;D xsi:type="xsd:double"&gt;-4.365283&lt;/D&gt;&lt;D xsi:type="xsd:double"&gt;15.556669&lt;/D&gt;&lt;D xsi:type="xsd:double"&gt;7.353294&lt;/D&gt;&lt;D xsi:type="xsd:double"&gt;14.932383&lt;/D&gt;&lt;D xsi:type="xsd:double"&gt;20.15711&lt;/D&gt;&lt;D xsi:type="xsd:double"&gt;9.915614&lt;/D&gt;&lt;D xsi:type="xsd:double"&gt;15.81353&lt;/D&gt;&lt;D xsi:type="xsd:double"&gt;29.694153&lt;/D&gt;&lt;D xsi:type="xsd:double"&gt;45.56445&lt;/D&gt;&lt;D xsi:type="xsd:double"&gt;44.90868&lt;/D&gt;&lt;D xsi:type="xsd:double"&gt;32.881798&lt;/D&gt;&lt;D xsi:type="xsd:double"&gt;34.498978&lt;/D&gt;&lt;D xsi:type="xsd:double"&gt;20.466911&lt;/D&gt;&lt;D xsi:type="xsd:double"&gt;19.712437&lt;/D&gt;&lt;D xsi:type="xsd:double"&gt;39.20244&lt;/D&gt;&lt;D xsi:type="xsd:double"&gt;16.694736&lt;/D&gt;&lt;D xsi:type="xsd:double"&gt;18.086647&lt;/D&gt;&lt;D xsi:type="xsd:double"&gt;25.456083&lt;/D&gt;&lt;D xsi:type="xsd:double"&gt;11.220717&lt;/D&gt;&lt;/FQL&gt;&lt;FQL&gt;&lt;Q&gt;WL-FDS^MAX(FG_PRICE(0,-5AY))&lt;/Q&gt;&lt;R&gt;1&lt;/R&gt;&lt;C&gt;1&lt;/C&gt;&lt;D xsi:type="xsd:double"&gt;763.4&lt;/D&gt;&lt;/FQL&gt;&lt;FQL&gt;&lt;Q&gt;BRENT-FDS^FG_PRICE_CHANGE(0,-3AM)&lt;/Q&gt;&lt;R&gt;1&lt;/R&gt;&lt;C&gt;1&lt;/C&gt;&lt;D xsi:type="xsd:double"&gt;0&lt;/D&gt;&lt;/FQL&gt;&lt;FQL&gt;&lt;Q&gt;UAE^FG_PRICE_MAVG(0,,,,60)&lt;/Q&gt;&lt;R&gt;1&lt;/R&gt;&lt;C&gt;1&lt;/C&gt;&lt;D xsi:type="xsd:double"&gt;14.750642&lt;/D&gt;&lt;/FQL&gt;&lt;FQL&gt;&lt;Q&gt;EWY^FG_PRICE_MAVG(0,,,,200)&lt;/Q&gt;&lt;R&gt;1&lt;/R&gt;&lt;C&gt;1&lt;/C&gt;&lt;D xsi:type="xsd:double"&gt;62.6878&lt;/D&gt;&lt;/FQL&gt;&lt;FQL&gt;&lt;Q&gt;EIDO^PERCENT_CHANGE(FMA_EPS(+1,0,,,,"PORTAGG","MEAN"),FMA_EPS(+1,-3AM,,,,"PORTAGG","MEAN"))&lt;/</t>
        </r>
      </text>
    </comment>
    <comment ref="A17" authorId="0" shapeId="0" xr:uid="{53485557-5A68-4CBA-83B4-1F747922A589}">
      <text>
        <r>
          <rPr>
            <b/>
            <sz val="9"/>
            <color indexed="81"/>
            <rFont val="Tahoma"/>
            <charset val="1"/>
          </rPr>
          <t>Q&gt;&lt;R&gt;1&lt;/R&gt;&lt;C&gt;1&lt;/C&gt;&lt;D xsi:type="xsd:double"&gt;-2.85381434618229&lt;/D&gt;&lt;/FQL&gt;&lt;FQL&gt;&lt;Q&gt;VWO^P_PRICE(0)/P_PRICE_LOW_PR(0,,,,,,"PRICE","INTRA","52W")-1&lt;/Q&gt;&lt;R&gt;1&lt;/R&gt;&lt;C&gt;1&lt;/C&gt;&lt;D xsi:type="xsd:double"&gt;0.09491384&lt;/D&gt;&lt;/FQL&gt;&lt;FQL&gt;&lt;Q&gt;EWJ^SIZE(FG_CONSTITUENTS)&lt;/Q&gt;&lt;R&gt;1&lt;/R&gt;&lt;C&gt;1&lt;/C&gt;&lt;D xsi:type="xsd:long"&gt;219&lt;/D&gt;&lt;/FQL&gt;&lt;FQL&gt;&lt;Q&gt;MCHI^FMA_COS_DOWN("EPS","1M",+1,NOW,,,"PORTAGG","MEANR")&lt;/Q&gt;&lt;R&gt;1&lt;/R&gt;&lt;C&gt;1&lt;/C&gt;&lt;D xsi:type="xsd:double"&gt;407&lt;/D&gt;&lt;/FQL&gt;&lt;FQL&gt;&lt;Q&gt;EWM^FG_ROE(0)&lt;/Q&gt;&lt;R&gt;1&lt;/R&gt;&lt;C&gt;1&lt;/C&gt;&lt;D xsi:type="xsd:double"&gt;7.9247329700434&lt;/D&gt;&lt;/FQL&gt;&lt;FQL&gt;&lt;Q&gt;REFEUREFI-FDS^FG_YIELD(NOW,,,0)&lt;/Q&gt;&lt;R&gt;1&lt;/R&gt;&lt;C&gt;1&lt;/C&gt;&lt;D xsi:type="xsd:double"&gt;4.5&lt;/D&gt;&lt;/FQL&gt;&lt;FQL&gt;&lt;Q&gt;REFPHRREPO-FDS^(SUBARRAY(NOT_NA(NO_REPEAT_F(FG_YIELD(NOW,-10AY,D))),0,1)-SUBARRAY(NOT_NA(NO_REPEAT_F(FG_YIELD(NOW,-10AY,D))),1,1))*100&lt;/Q&gt;&lt;R&gt;1&lt;/R&gt;&lt;C&gt;1&lt;/C&gt;&lt;D xsi:type="xsd:double"&gt;25&lt;/D&gt;&lt;/FQL&gt;&lt;FQL&gt;&lt;Q&gt;TRYBR10Y-FDS^FG_YIELD_NAME&lt;/Q&gt;&lt;R&gt;1&lt;/R&gt;&lt;C&gt;1&lt;/C&gt;&lt;D xsi:type="xsd:string"&gt;Treasury - Brazil Benchmark Bond 10Y&lt;/D&gt;&lt;/FQL&gt;&lt;FQL&gt;&lt;Q&gt;VWO^JULIAN(FMA_DIV_YLD(NTMA,NOW,NOW,M,"PORTAGG","MEANR").DATES)&lt;/Q&gt;&lt;R&gt;1&lt;/R&gt;&lt;C&gt;1&lt;/C&gt;&lt;D xsi:type="xsd:long"&gt;45351&lt;/D&gt;&lt;/FQL&gt;&lt;FQL&gt;&lt;Q&gt;UAE^FG_FCF_YIELD_NTM(0)&lt;/Q&gt;&lt;R&gt;1&lt;/R&gt;&lt;C&gt;1&lt;/C&gt;&lt;D xsi:type="xsd:double"&gt;10.156491343942&lt;/D&gt;&lt;/FQL&gt;&lt;FQL&gt;&lt;Q&gt;QAT^FMA_PE(NTMA,0,,,"PORTAGG","MEANR")&lt;/Q&gt;&lt;R&gt;1&lt;/R&gt;&lt;C&gt;1&lt;/C&gt;&lt;D xsi:type="xsd:double"&gt;10.1685685834051&lt;/D&gt;&lt;/FQL&gt;&lt;FQL&gt;&lt;Q&gt;EWW^FMA_EVAL_EBIT(LTMA,NOW,NOW,M,"PORTAGG","MEANR")&lt;/Q&gt;&lt;R&gt;1&lt;/R&gt;&lt;C&gt;1&lt;/C&gt;&lt;D xsi:type="xsd:double"&gt;10.5767938017277&lt;/D&gt;&lt;/FQL&gt;&lt;FQL&gt;&lt;Q&gt;EPU^FMA_EVAL_EBITDA(NTMA,0,,,"PORTAGG","MEANR")&lt;/Q&gt;&lt;R&gt;1&lt;/R&gt;&lt;C&gt;1&lt;/C&gt;&lt;D xsi:type="xsd:double"&gt;7.04651646613768&lt;/D&gt;&lt;/FQL&gt;&lt;FQL&gt;&lt;Q&gt;UAE^FG_COMPANY_NAME&lt;/Q&gt;&lt;R&gt;1&lt;/R&gt;&lt;C&gt;1&lt;/C&gt;&lt;D xsi:type="xsd:string"&gt;iShares MSCI UAE ETF&lt;/D&gt;&lt;/FQL&gt;&lt;FQL&gt;&lt;Q&gt;TRYMX10Y-FDS^FG_YIELD(0,,,,"YTM")&lt;/Q&gt;&lt;R&gt;1&lt;/R&gt;&lt;C&gt;1&lt;/C&gt;&lt;D xsi:type="xsd:double"&gt;9.9445&lt;/D&gt;&lt;/FQL&gt;&lt;FQL&gt;&lt;Q&gt;VGK^FG_FCF_YIELD_NTM(0)&lt;/Q&gt;&lt;R&gt;1&lt;/R&gt;&lt;C&gt;1&lt;/C&gt;&lt;D xsi:type="xsd:double"&gt;5.02473897691092&lt;/D&gt;&lt;/FQL&gt;&lt;FQL&gt;&lt;Q&gt;TRYZA10Y-FDS^PCTCHG(FG_YIELD(0,,,,"YTM"),FG_YIELD(-3AM,,,,"YTM"))&lt;/Q&gt;&lt;R&gt;1&lt;/R&gt;&lt;C&gt;1&lt;/C&gt;&lt;D xsi:type="xsd:double"&gt;7.6718082&lt;/D&gt;&lt;/FQL&gt;&lt;FQL&gt;&lt;Q&gt;EZA^FG_FCF_YIELD_NTM(0)&lt;/Q&gt;&lt;R&gt;1&lt;/R&gt;&lt;C&gt;1&lt;/C&gt;&lt;D xsi:type="xsd:double"&gt;5.62655567315534&lt;/D&gt;&lt;/FQL&gt;&lt;FQL&gt;&lt;Q&gt;SET-BKK^FG_PRICE_MAVG(0,,,,200)&lt;/Q&gt;&lt;R&gt;1&lt;/R&gt;&lt;C&gt;1&lt;/C&gt;&lt;D xsi:type="xsd:double"&gt;1439.0435&lt;/D&gt;&lt;/FQL&gt;&lt;FQL&gt;&lt;Q&gt;SET-BKK^P_PRICE(0)/P_PRICE_LOW_PR(0,,,,,,"PRICE","INTRA","52W")-1&lt;/Q&gt;&lt;R&gt;1&lt;/R&gt;&lt;C&gt;1&lt;/C&gt;&lt;D xsi:type="xsd:double"&gt;0.008910298&lt;/D&gt;&lt;/FQL&gt;&lt;FQL&gt;&lt;Q&gt;REFAEREPO-FDS^PROPER_NAME(0,,,"SECURITY","NAME")&lt;/Q&gt;&lt;R&gt;1&lt;/R&gt;&lt;C&gt;1&lt;/C&gt;&lt;D xsi:type="xsd:string"&gt;United Arab Emirates Repo Rate&lt;/D&gt;&lt;/FQL&gt;&lt;FQL&gt;&lt;Q&gt;EWT^FMA_EVAL_EBIT(LTMA,NOW,NOW,M,"PORTAGG","MEANR")&lt;/Q&gt;&lt;R&gt;1&lt;/R&gt;&lt;C&gt;1&lt;/C&gt;&lt;D xsi:type="xsd:double"&gt;20.3206316423594&lt;/D&gt;&lt;/FQL&gt;&lt;FQL&gt;&lt;Q&gt;EPOL^FMA_PE(NTMA,0,,,"PORTAGG","MEANR")&lt;/Q&gt;&lt;R&gt;1&lt;/R&gt;&lt;C&gt;1&lt;/C&gt;&lt;D xsi:type="xsd:double"&gt;8.51554023375688&lt;/D&gt;&lt;/FQL&gt;&lt;FQL&gt;&lt;Q&gt;EPOL^PERCENT_CHANGE(FMA_EPS(+1,0,,,,"PORTAGG","MEAN"),FMA_EPS(+1,-1AM,,,,"PORTAGG","MEAN"))&lt;/Q&gt;&lt;R&gt;1&lt;/R&gt;&lt;C&gt;1&lt;/C&gt;&lt;D xsi:type="xsd:double"&gt;5.32506245326204&lt;/D&gt;&lt;/FQL&gt;&lt;FQL&gt;&lt;Q&gt;ECH^FMA_PE(LTM,0,,,"PORTAGG","MEANR")&lt;/Q&gt;&lt;R&gt;1&lt;/R&gt;&lt;C&gt;1&lt;/C&gt;&lt;D xsi:type="xsd:double"&gt;10.469937986311&lt;/D&gt;&lt;/FQL&gt;&lt;FQL&gt;&lt;Q&gt;EZA^FG_TOTAL_RETURNC(0,-6AM)&lt;/Q&gt;&lt;R&gt;1&lt;/R&gt;&lt;C&gt;1&lt;/C&gt;&lt;D xsi:type="xsd:double"&gt;1.9408584&lt;/D&gt;&lt;/FQL&gt;&lt;FQL&gt;&lt;Q&gt;INDA^FMA_EVAL_EBITDA(NTMA,0,,,"PORTAGG","MEANR")&lt;/Q&gt;&lt;R&gt;1&lt;/R&gt;&lt;C&gt;1&lt;/C&gt;&lt;D xsi:type="xsd:double"&gt;14.8329476551462&lt;/D&gt;&lt;/FQL&gt;&lt;FQL&gt;&lt;Q&gt;TRYPH10Y-FDS^PCTCHG(FG_YIELD(0,,,,"YTM"),FG_YIELD(-3AM,,,,"YTM"))&lt;/Q&gt;&lt;R&gt;1&lt;/R&gt;&lt;C&gt;1&lt;/C&gt;&lt;D xsi:type="xsd:double"&gt;9.493512&lt;/D&gt;&lt;/FQL&gt;&lt;FQL&gt;&lt;Q&gt;TRYPH10Y-FDS^PCTCHG(FG_YIELD(0,,,,"YTM"),FG_YIELD(-1AM,,,,"YTM"))&lt;/Q&gt;&lt;R&gt;1&lt;/R&gt;&lt;C&gt;1&lt;/C&gt;&lt;D xsi:type="xsd:double"&gt;9.288569&lt;/D&gt;&lt;/FQL&gt;&lt;FQL&gt;&lt;Q&gt;CAGDPY@CL^EE_ACTUAL_ANNUAL(MED,0)&lt;/Q&gt;&lt;R&gt;1&lt;/R&gt;&lt;C&gt;1&lt;/C&gt;&lt;D xsi:type="xsd:double"&gt;-3.68653581083686&lt;/D&gt;&lt;/FQL&gt;&lt;FQL&gt;&lt;Q&gt;USDTHB^FG_PRICE_CHANGE(0,-6AM)&lt;/Q&gt;&lt;R&gt;1&lt;/R&gt;&lt;C&gt;1&lt;/C&gt;&lt;D xsi:type="xsd:double"&gt;1.3367295&lt;/D&gt;&lt;/FQL&gt;&lt;FQL&gt;&lt;Q&gt;USDMXN^STD(FG_PRICE_CHANGE(0,-3AY,M))&lt;/Q&gt;&lt;R&gt;1&lt;/R&gt;&lt;C&gt;1&lt;/C&gt;&lt;D xsi:type="xsd:double"&gt;2.28210915502963&lt;/D&gt;&lt;/FQL&gt;&lt;FQL&gt;&lt;Q&gt;USDCLP^STD(FG_PRICE_CHANGE(0,-1AY,AM))&lt;/Q&gt;&lt;R&gt;1&lt;/R&gt;&lt;C&gt;1&lt;/C&gt;&lt;D xsi:type="xsd:double"&gt;3.99002816046157&lt;/D&gt;&lt;/FQL&gt;&lt;FQL&gt;&lt;Q&gt;WL-FDS^FG_PRICE_CHANGE(0,-3AM)&lt;/Q&gt;&lt;R&gt;1&lt;/R&gt;&lt;C&gt;1&lt;/C&gt;&lt;D xsi:type="xsd:double"&gt;-12.6516198372486&lt;/D&gt;&lt;/FQL&gt;&lt;FQL&gt;&lt;Q&gt;BRENT-FDS^FG_PRICE_CHANGE(0,-1AM)&lt;/Q&gt;&lt;R&gt;1&lt;/R&gt;&lt;C&gt;1&lt;/C&gt;&lt;D xsi:type="xsd:double"&gt;0&lt;/D&gt;&lt;/FQL&gt;&lt;FQL&gt;&lt;Q&gt;EWY^FG_PRICE_MAVG(0,,,,60)&lt;/Q&gt;&lt;R&gt;1&lt;/R&gt;&lt;C&gt;1&lt;/C&gt;&lt;D xsi:type="xsd:double"&gt;64.295334&lt;/D&gt;&lt;/FQL&gt;&lt;FQL&gt;&lt;Q&gt;CNYA^FG_PRICE_MAVG(0,,,,60)&lt;/Q&gt;&lt;R&gt;1&lt;/R&gt;&lt;C&gt;1&lt;/C&gt;&lt;D xsi:type="xsd:double"&gt;25.661291&lt;/D&gt;&lt;/FQL&gt;&lt;FQL&gt;&lt;Q&gt;TUR^FG_TOTAL_RETURNC(0,-1AM)&lt;/Q&gt;&lt;R&gt;1&lt;/R&gt;&lt;C&gt;1&lt;/C&gt;&lt;D xsi:type="xsd:double"&gt;9.275365&lt;/D&gt;&lt;/FQL&gt;&lt;FQL&gt;&lt;Q&gt;INDA^FG_TOTAL_RETURNC(0,-3AM)&lt;/Q&gt;&lt;R&gt;1&lt;/R&gt;&lt;C&gt;1&lt;/C&gt;&lt;D xsi:type="xsd:double"&gt;4.054606&lt;/D&gt;&lt;/FQL&gt;&lt;FQL&gt;&lt;Q&gt;EWY^FG_TOTAL_RETURNC(0,-6AM)&lt;/Q&gt;&lt;R&gt;1&lt;/R&gt;&lt;C&gt;1&lt;/C&gt;&lt;D xsi:type="xsd:double"&gt;8.45989&lt;/D&gt;&lt;/FQL&gt;&lt;FQL&gt;&lt;Q&gt;EPU^P_PRICE(0)/P_PRICE_LOW_PR(0,,,,,,"PRICE","INTRA","52W")-1&lt;/Q&gt;&lt;R&gt;1&lt;/R&gt;&lt;C&gt;1&lt;/C&gt;&lt;D xsi:type="xsd:double"&gt;0.39684772&lt;/D&gt;&lt;/FQL&gt;&lt;FQL&gt;&lt;Q&gt;EIDO^PERCENT_CHANGE(FMA_EPS(+1,0,,,,"PORTAGG","MEAN"),FMA_EPS(+1,-1AM,,,,"PORTAGG","MEAN"))&lt;/Q&gt;&lt;R&gt;1&lt;/R&gt;&lt;C&gt;1&lt;/C&gt;&lt;D xsi:type="xsd:double"&gt;-2.01113571048065&lt;/D&gt;&lt;/FQL&gt;&lt;FQL&gt;&lt;Q&gt;VWO^P_PRICE(0)/P_PRICE_HIGH_PR(0,,,,,,"PRICE","INTRA","52W")&lt;/Q&gt;&lt;R&gt;1&lt;/R&gt;&lt;C&gt;1&lt;/C&gt;&lt;D xsi:type="xsd:double"&gt;0.9515081&lt;/D&gt;&lt;/FQL&gt;&lt;FQL&gt;&lt;Q&gt;MCHI^FMA_COS_UP("EPS","1M",+1,NOW,,,"PORTAGG","MEANR")&lt;/Q&gt;&lt;R&gt;1&lt;/R&gt;&lt;C&gt;1&lt;/C&gt;&lt;D xsi:type="xsd:double"&gt;152&lt;/D&gt;&lt;/FQL&gt;&lt;FQL&gt;&lt;Q&gt;EPU^FMA_COS_DOWN("EPS","1M",+1,NOW,,,"PORTAGG","MEANR")&lt;/Q&gt;&lt;R&gt;1&lt;/R&gt;&lt;C&gt;1&lt;/C&gt;&lt;D xsi:type="xsd:double"&gt;2&lt;/D&gt;&lt;/FQL&gt;&lt;FQL&gt;&lt;Q&gt;EWZ^FMA_RBICS_REV_CURRENT(30, LOC, "PORTAGG")&lt;/Q&gt;&lt;R&gt;1&lt;/R&gt;&lt;C&gt;1&lt;/C&gt;&lt;D xsi:type="xsd:double"&gt;26.7817392728117&lt;/D&gt;&lt;/FQL&gt;&lt;FQL&gt;&lt;Q&gt;EPOL^FG_ROE(0)&lt;/Q&gt;&lt;R&gt;1&lt;/R&gt;&lt;C&gt;1&lt;/C&gt;&lt;D xsi:type="xsd:double"&gt;14.6563113919481&lt;/D&gt;&lt;/FQL&gt;&lt;FQL&gt;&lt;Q&gt;REFSAREPO-FDS^(SUBARRAY(NOT_NA(NO_REPEAT_F(FG_YIELD(NOW,-10AY,D))),0,1)-SUBARRAY(NOT_NA(NO_REPEAT_F(FG_YIELD(NOW,-10AY,D))),1,1))*100&lt;/Q&gt;&lt;R&gt;1&lt;/R&gt;&lt;C&gt;1&lt;/C&gt;&lt;D xsi:type="xsd:double"&gt;25&lt;/D&gt;&lt;/FQL&gt;&lt;FQL&gt;&lt;Q&gt;CC_TH^IMF_IFS_RCPI_Q(0)&lt;/Q&gt;&lt;R&gt;0&lt;/R&gt;&lt;C&gt;0&lt;/C&gt;&lt;/FQL&gt;&lt;FQL&gt;&lt;Q&gt;UAE^FMA_DIV_YLD(NTMA,NOW,NOW,M,"PORTAGG","MEANR")&lt;/Q&gt;&lt;R&gt;1&lt;/R&gt;&lt;C&gt;1&lt;/C&gt;&lt;D xsi:type="xsd:double"&gt;5.26227721216501&lt;/D&gt;&lt;/FQL&gt;&lt;FQL&gt;&lt;Q&gt;TUR^PERCENT_CHANGE(FMA_EPS(+1,0,,,,"PORTAGG","MEAN"),FMA_EPS(+1,-3AM,,,,"PORTAGG","MEAN"))&lt;/Q&gt;&lt;R&gt;1&lt;/R&gt;&lt;C&gt;1&lt;/C&gt;&lt;D xsi:type="xsd:double"&gt;-6.61658368780361&lt;/D&gt;&lt;/FQL&gt;&lt;FQL&gt;&lt;Q&gt;INDA^SIZE(FG_CONSTITUENTS)&lt;/Q&gt;&lt;R&gt;1&lt;/R&gt;&lt;C&gt;1&lt;/C&gt;&lt;D xsi:type="xsd:long"&gt;137&lt;/D&gt;&lt;/FQL&gt;&lt;FQL&gt;&lt;Q&gt;REFPHRREPO-FDS^PROPER_NAME(0,,,"SECURITY","NAME")&lt;/Q&gt;&lt;R&gt;1&lt;/R&gt;&lt;C&gt;1&lt;/C&gt;&lt;D xsi:type="xsd:string"&gt;Philippines Reverse Repo Rate - Overnight&lt;/D&gt;&lt;/FQL&gt;&lt;FQL&gt;&lt;Q&gt;EPU^FMA_DIV_YLD(NTMA,NOW,NOW,M,"PORTAGG","MEANR")&lt;/Q&gt;&lt;R&gt;1&lt;/R&gt;&lt;C&gt;1&lt;/C&gt;&lt;D xsi:type="xsd:double"&gt;3.37445714830346&lt;/D&gt;&lt;/FQL&gt;&lt;FQL&gt;&lt;Q&gt;GREK^FG_TOTAL_RETURNC(0,-12AM)&lt;/Q&gt;&lt;R&gt;1&lt;/R&gt;&lt;C&gt;1&lt;/C&gt;&lt;D xsi:type="xsd:double"&gt;22.330593&lt;/D&gt;&lt;/FQL&gt;&lt;FQL&gt;&lt;Q&gt;REFSAREPO-FDS^PROPER_NAME(0,,,"SECURITY","NAME")&lt;/Q&gt;&lt;R&gt;1&lt;/R&gt;&lt;C&gt;1&lt;/C&gt;&lt;D xsi:type="xsd:string"&gt;Saudi Arabia Repo Rate&lt;/D&gt;&lt;/FQL&gt;&lt;FQL&gt;&lt;Q&gt;TRYZA10Y-FDS^PCTCHG(FG_YIELD(0,,,,"YTM"),FG_YIELD(-1AM,,,,"YTM"))&lt;/Q&gt;&lt;R&gt;1&lt;/R&gt;&lt;C&gt;1&lt;/C&gt;&lt;D xsi:type="xsd:double"&gt;1.3765566&lt;/D&gt;&lt;/FQL&gt;&lt;FQL&gt;&lt;Q&gt;EIDO^FMA_PE(NTMA,0,,,"PORTAGG","MEANR")&lt;/Q&gt;&lt;R&gt;1&lt;/R&gt;&lt;C&gt;1&lt;/C&gt;&lt;D xsi:type="xsd:double"&gt;12.578613482361&lt;/D&gt;&lt;/FQL&gt;&lt;FQL&gt;&lt;Q&gt;MCHI^FMA_EVAL_EBITDA(NTMA,0,,,"PORTAGG","MEANR")&lt;/Q&gt;&lt;R&gt;1&lt;/R&gt;&lt;C&gt;1&lt;/C&gt;&lt;D xsi:type="xsd:double"&gt;8.25378804434238&lt;/D&gt;&lt;/FQL&gt;&lt;FQL&gt;&lt;Q&gt;ECH^FMA_EVAL_EBIT(LTMA,NOW,NOW,M,"PORTAGG","MEANR")&lt;/Q&gt;&lt;R&gt;1&lt;/R&gt;&lt;C&gt;1&lt;/C&gt;&lt;D xsi:type="xsd:double"&gt;9.60358348358897&lt;/D&gt;&lt;/FQL&gt;&lt;FQL&gt;&lt;Q&gt;SET-BKK^FMA_PCT_ABOVE_MAVG(200,0,,,,"PORTAGG")&lt;/Q&gt;&lt;R&gt;1&lt;/R&gt;&lt;C&gt;1&lt;/C&gt;&lt;D xsi:type="xsd:double"&gt;28.0120481927711&lt;/D&gt;&lt;/FQL&gt;&lt;FQL&gt;&lt;Q&gt;GREK^PERCENT_CHANGE(FMA_EPS(+1,0,,,,"PORTAGG","MEAN"),FMA_EPS(+1,-1AM,,,,"PORTAGG","MEAN"))&lt;/Q&gt;&lt;R&gt;1&lt;/R&gt;&lt;C&gt;1&lt;/C&gt;&lt;D xsi:type="xsd:double"&gt;-0.453132284720865&lt;/D&gt;&lt;/FQL&gt;&lt;FQL&gt;&lt;Q&gt;EPU^FMA_PCT_ABOVE_MAVG(200,0,,,,"PORTAGG")&lt;/Q&gt;&lt;R&gt;1&lt;/R&gt;&lt;C&gt;1&lt;/C&gt;&lt;D xsi:type="xsd:double"&gt;69.2307692307692&lt;/D&gt;&lt;/FQL&gt;&lt;FQL&gt;&lt;Q&gt;ECH^FG_TOTAL_RETURNC(0,-6AM)&lt;/Q&gt;&lt;R&gt;1&lt;/R&gt;&lt;C&gt;1&lt;/C&gt;&lt;D xsi:type="xsd:double"&gt;6.266105&lt;/D&gt;&lt;/FQL&gt;&lt;FQL&gt;&lt;Q&gt;VGK^FMA_COS_UP("EPS","1M",+1,NOW,,,"PORTAGG","MEANR")&lt;/Q&gt;&lt;R&gt;1&lt;/R&gt;&lt;C&gt;1&lt;/C&gt;&lt;D xsi:type="xsd:double"&gt;473&lt;/D&gt;&lt;/FQL&gt;&lt;FQL&gt;&lt;Q&gt;REFBRSELIC-FDS^PROPER_NAME(0,,,"SECURITY","NAME")&lt;/Q&gt;&lt;R&gt;1&lt;/R&gt;&lt;C&gt;1&lt;/C&gt;&lt;D xsi:type="xsd:string"&gt;Brazil Target Selic Rate&lt;/D&gt;&lt;/FQL&gt;&lt;FQL&gt;&lt;Q&gt;TRYID10Y-FDS^FG_YIELD(-10AY,0,Y,,"YTM")&lt;/Q&gt;&lt;R&gt;10&lt;/R&gt;&lt;C&gt;1&lt;/C&gt;&lt;D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xsi:type="xsd:double"&gt;6.498571&lt;/D&gt;&lt;/FQL&gt;&lt;FQL&gt;&lt;Q&gt;EWT^P_PRICE_RETURNS_PR('52W',2,-10AY,0,AM)&lt;/Q&gt;&lt;R&gt;121&lt;/R&gt;&lt;C&gt;1&lt;/C&gt;&lt;D xsi:type="xsd:double"&gt;16.829432&lt;/D&gt;&lt;D xsi:type="xsd:double"&gt;7.5063467&lt;/D&gt;&lt;D xsi:type="xsd:double"&gt;17.796028&lt;/D&gt;&lt;D xsi:type="xsd:double"&gt;19.088055&lt;/D&gt;&lt;D xsi:type="xsd:double"&gt;22.451115&lt;/D&gt;&lt;D xsi:type="xsd:double"&gt;12.977636&lt;/D&gt;&lt;D xsi:type="xsd:double"&gt;3.8908362&lt;/D&gt;&lt;D xsi:type="xsd:double"&gt;11.637032&lt;/D&gt;&lt;D xsi:type="xsd:double"&gt;6.984389&lt;/D&gt;&lt;D xsi:type="xsd:double"&gt;8.816719&lt;/D&gt;&lt;D xsi:type="xsd:double"&gt;16.088713&lt;/D&gt;&lt;D xsi:type="xsd:double"&gt;15.567446&lt;/D&gt;&lt;D xsi:type="xsd:double"&gt;7.861829&lt;/D&gt;&lt;D xsi:type="xsd:double"&gt;12.342369&lt;/D&gt;&lt;D xsi:type="xsd:double"&gt;3.2217503&lt;/D&gt;&lt;D xsi:type="xsd:double"&gt;-0.27080178&lt;/D&gt;&lt;D xsi:type="xsd:double"&gt;-15.230185&lt;/D&gt;&lt;D xsi:type="xsd:double"&gt;-12.224859&lt;/D&gt;&lt;D xsi:type="xsd:double"&gt;-2.1702468&lt;/D&gt;&lt;D xsi:type="xsd:double"&gt;-9.792286&lt;/D&gt;&lt;D xsi:type="xsd:double"&gt;-10.440678&lt;/D&gt;&lt;D xsi:type="xsd:double"&gt;-22.116709&lt;/D&gt;&lt;D xsi:type="xsd:double"&gt;-16.970587&lt;/D&gt;&lt;D xsi:type="xsd:double"&gt;-10.626507&lt;/D&gt;&lt;D xsi:type="xsd:double"&gt;-10.508114&lt;/D&gt;&lt;D xsi:type="xsd:double"&gt;-20.715374&lt;/D&gt;&lt;D xsi:type="xsd:double"&gt;-10.340303&lt;/D&gt;&lt;D xsi:type="xsd:double"&gt;-0.5002618&lt;/D&gt;&lt;D xsi:type="xsd:double"&gt;20.12775&lt;/D&gt;&lt;D xsi:type="xsd:double"&gt;11.389387&lt;/D&gt;&lt;D xsi:type="xsd:double"&gt;12.695253&lt;/D&gt;&lt;D xsi:type="xsd:double"&gt;13.140833&lt;/D&gt;&lt;D xsi:type="xsd:double"&gt;18.262661&lt;/D&gt;&lt;D xsi:type="xsd:double"&gt;37.083042&lt;/D&gt;&lt;D xsi:type="xsd:double"&gt;30.648697&lt;/D&gt;&lt;D xsi:type="xsd:double"&gt;22.149479&lt;/D&gt;&lt;D xsi:type="xsd:double"&gt;22.861576&lt;/D&gt;&lt;D xsi:type="xsd:double"&gt;38.59681&lt;/D&gt;&lt;D xsi:type="xsd:double"&gt;30.00778&lt;/D&gt;&lt;D xsi:type="xsd:double"&gt;25.281132&lt;/D&gt;&lt;D xsi:type="xsd:double"&gt;20.20775&lt;/D&gt;&lt;D xsi:type="xsd:double"&gt;27.437365&lt;/D&gt;&lt;D xsi:type="xsd:double"&gt;22.885693&lt;/D&gt;&lt;D xsi:type="xsd:double"&gt;28.714954&lt;/D&gt;&lt;D xsi:type="xsd:double"&gt;22.592617&lt;/D&gt;&lt;D xsi:type="xsd:double"&gt;29.583036&lt;/D&gt;&lt;D xsi:type="xsd:double"&gt;18.648434&lt;/D&gt;&lt;D xsi:type="xsd:double"&gt;18.89193&lt;/D&gt;&lt;D xsi:type="xsd:double"&gt;18.323458&lt;/D&gt;&lt;D xsi:type="xsd:double"&gt;10.704147&lt;/D&gt;&lt;D xsi:type="xsd:double"&gt;7.9824686&lt;/D&gt;&lt;D xsi:type="xsd:double"&gt;3.0276418&lt;/D&gt;&lt;D xsi:type="xsd:double"&gt;4.11278&lt;/D&gt;&lt;D xsi:type="xsd:double"&gt;1.2650371&lt;/D&gt;&lt;D xsi:type="xsd:double"&gt;-9.707856&lt;/D&gt;&lt;D xsi:type="xsd:double"&gt;-9.021115&lt;/D&gt;&lt;D xsi:type="xsd:double"&gt;-8.366453&lt;/D&gt;&lt;D xsi:type="xsd:double"&gt;-12.840623&lt;/D&gt;&lt;D xsi:type="xsd:double"&gt;-10.245073&lt;/D&gt;&lt;D xsi:type="xsd:double"&gt;-8.375579&lt;/D&gt;&lt;D xsi:type="xsd:double"&gt;-1.352644&lt;/D&gt;&lt;D xsi:type="xsd:double"&gt;-7.2423754&lt;/D&gt;&lt;D xsi:type="xsd:double"&gt;-2.8261304&lt;/D&gt;&lt;D xsi:type="xsd:double"&gt;0.93016624&lt;/D&gt;&lt;D xsi:type="xsd:double"&gt;-3.3169568&lt;/D&gt;&lt;D xsi:type="xsd:double"&gt;2.4509907&lt;/D&gt;&lt;D xsi:type="xsd:double"&gt;18.225216&lt;/D&gt;&lt;D xsi:type="xsd:double"&gt;23.837162&lt;/D&gt;&lt;D xsi:type="xsd:double"&gt;33.704628&lt;/D&gt;&lt;D xsi:type="xsd:double"&gt;33.020985&lt;/D&gt;&lt;D xsi:type="xsd:double"&gt;24.015987&lt;/D&gt;&lt;D xsi:type="xsd:double"&gt;-10.451757&lt;/D&gt;&lt;D xsi:type="xsd:double"&gt;2.5036454&lt;/D&gt;&lt;D xsi:type="xsd:double"&gt;15.568137&lt;/D&gt;&lt;D xsi:type="xsd:double"&gt;19.55756&lt;/D&gt;&lt;D xsi:type="xsd:double"&gt;23.987484&lt;/D&gt;&lt;D xsi:type="xsd:double"&gt;36.252285&lt;/D&gt;&lt;D xsi:type="xsd:double"&gt;27.050697&lt;/D&gt;&lt;D xsi:type="xsd:double"&gt;23.6161&lt;/D&gt;&lt;D xsi:type="xsd:double"&gt;27.67458&lt;/D&gt;&lt;D xsi:type="xsd:double"&gt;27.204632&lt;/D&gt;&lt;D xsi:type="xsd:double"&gt;41.213394&lt;/D&gt;&lt;D xsi:type="xsd:double"&gt;52.84535&lt;/D&gt;&lt;D xsi:type="xsd:double"&gt;97.241806&lt;/D&gt;&lt;D xsi:type="xsd:double"&gt;78.55618&lt;/D&gt;&lt;D xsi:type="xsd:double"&gt;63.449932&lt;/D&gt;&lt;D xsi:type="xsd:double"&gt;60.06155&lt;/D&gt;&lt;D xsi:type="xsd:double"&gt;53.48847&lt;/D&gt;&lt;D xsi:type="xsd:double"&gt;37.773586&lt;/D&gt;&lt;D xsi:type="xsd:double"&gt;44.1988&lt;/D&gt;&lt;D xsi:type="xsd:double"&gt;37.573086&lt;/D&gt;&lt;D xsi:type="xsd:double"&gt;36.346687&lt;/D&gt;&lt;D xsi:type="xsd:double"&gt;28.138315&lt;/D&gt;&lt;D xsi:type="xsd:double"&gt;19.806587&lt;/D&gt;&lt;D xsi:type="xsd:double"&gt;12.893748&lt;/D&gt;&lt;D xsi:type="xsd:double"&gt;11.143887&lt;/D&gt;&lt;D xsi:type="xsd:double"&gt;-4.5912266&lt;/D&gt;&lt;D xsi:type="xsd:double"&gt;-7.834631&lt;/D&gt;&lt;D xsi:type="xsd:double"&gt;-15.305651&lt;/D&gt;&lt;D xsi:type="xsd:double"&gt;-21.06964&lt;/D&gt;&lt;D xsi:type="xsd:double"&gt;-11.7446785&lt;/D&gt;&lt;D xsi:type="xsd:double"&gt;-24.086666&lt;/D&gt;&lt;D xsi:type="xsd:double"&gt;-29.776024&lt;/D&gt;&lt;D xsi:type="xsd:double"&gt;-25.058926&lt;/D&gt;&lt;D xsi:type="xsd:double"&gt;-24.91132&lt;/D&gt;&lt;D xsi:type="xsd:double"&gt;-23.155045&lt;/D&gt;&lt;D xsi:type="xsd:double"&gt;-19.747055&lt;/D&gt;&lt;D xsi:type="xsd:double"&gt;-17.988264&lt;/D&gt;&lt;D xsi:type="xsd:double"&gt;-8.315479&lt;/D&gt;&lt;D xsi:type="xsd:double"&gt;-0.15204549&lt;/D&gt;&lt;D xsi:type="xsd:double"&gt;9.019529&lt;/D&gt;&lt;D xsi:type="xsd:double"&gt;16.708767&lt;/D&gt;&lt;D xsi:type="xsd:double"&gt;0.77718496&lt;/D&gt;&lt;D xsi:type="xsd:double"&gt;13.501763&lt;/D&gt;&lt;D xsi:type="xsd:double"&gt;24.237585&lt;/D&gt;&lt;D xsi:type="xsd:double"&gt;16.293812&lt;/D&gt;&lt;D xsi:type="xsd:double"&gt;20.850647&lt;/D&gt;&lt;D xsi:type="xsd:double"&gt;11.999071&lt;/D&gt;&lt;D xsi:type="xsd:double"&gt;17.148792&lt;/D&gt;&lt;D xsi:type="xsd:double"&gt;25.170792&lt;/D&gt;&lt;D xsi:type="xsd:double"&gt;17.194033&lt;/D&gt;&lt;/FQL&gt;&lt;FQL&gt;&lt;Q&gt;GREK^FMA_PE(NTMA,-10AY,0,AM,"PORTAGG","MEANR")&lt;/Q&gt;&lt;R&gt;121&lt;/R&gt;&lt;C&gt;1&lt;/C&gt;&lt;D xsi:type="xsd:double"&gt;15.0427809729137&lt;/D&gt;&lt;D xsi:type="xsd:double"&gt;15.8237738660982&lt;/D&gt;&lt;D xsi:type="xsd:double"&gt;10.5954522131655&lt;/D&gt;&lt;D xsi:type="xsd:double"&gt;8.85823494863908&lt;/D&gt;&lt;D xsi:type="xsd:double"&gt;7.84709341413513&lt;/D&gt;&lt;D xsi:type="xsd:double"&gt;7.51402733928226&lt;/D&gt;&lt;D xsi:type="xsd:double"&gt;6.46906365403625&lt;/D&gt;&lt;D xsi:type="xsd:double"&gt;6.4635678650465&lt;/D&gt;&lt;D xsi:type="xsd:double"&gt;5.38677652596627&lt;/D&gt;&lt;D xsi:type="xsd:double"&gt;4.28468839001286&lt;/D&gt;&lt;D xsi:type="xsd:double"&gt;4.88987664736637&lt;/D&gt;&lt;D xsi:type="xsd:double"&gt;4.57778879778736&lt;/D&gt;&lt;D xsi:type="xsd:double"&gt;5.09178344057539&lt;/D&gt;&lt;D xsi:type="xsd:double"&gt;5.04145274855659&lt;/D&gt;&lt;D xsi:type="xsd:double"&gt;4.9783798108404&lt;/D&gt;&lt;D xsi:type="xsd:double"&gt;4.75837588541639&lt;/D&gt;&lt;D xsi:type="xsd:double"&gt;4.72556085861682&lt;/D&gt;&lt;D xsi:type="xsd:double"&gt;4.3086743456226&lt;/D&gt;&lt;D xsi:type="xsd:double"&gt;4.39665232101018&lt;/D&gt;&lt;D xsi:type="xsd:double"&gt;4.06994801662277&lt;/D&gt;&lt;D xsi:type="xsd:double"&gt;4.74261252576005&lt;/D&gt;&lt;D xsi:type="xsd:double"&gt;9.44768156672461&lt;/D&gt;&lt;D xsi:type="xsd:double"&gt;8.47887147804073&lt;/D&gt;&lt;D xsi:type="xsd:double"&gt;8.38897028054853&lt;/D&gt;&lt;D xsi:type="xsd:double"&gt;10.0494049416862&lt;/D&gt;&lt;D xsi:type="xsd:double"&gt;10.73902671442&lt;/D&gt;&lt;D xsi:type="xsd:double"&gt;9.1381943424035&lt;/D&gt;&lt;D xsi:type="xsd:double"&gt;9.03732305655643&lt;/D&gt;&lt;D xsi:type="xsd:double"&gt;8.66964295797993&lt;/D&gt;&lt;D xsi:type="xsd:double"&gt;8.37770714546008&lt;/D&gt;&lt;D xsi:type="xsd:double"&gt;9.01236587003384&lt;/D&gt;&lt;D xsi:type="xsd:double"&gt;9.22224696152579&lt;/D&gt;&lt;D xsi:type="xsd:double"&gt;9.22453879084284&lt;/D&gt;&lt;D xsi:type="xsd:double"&gt;9.18129730890462&lt;/D&gt;&lt;D xsi:type="xsd:double"&gt;8.84213729465833&lt;/D&gt;&lt;D xsi:type="xsd:double"&gt;9.22090312991177&lt;/D&gt;&lt;D xsi:type="xsd:double"&gt;10.6673554260559&lt;/D&gt;&lt;D xsi:type="xsd:double"&gt;13.468024179451&lt;/D&gt;&lt;D xsi:type="xsd:double"&gt;12.8866689574069&lt;/D&gt;&lt;D xsi:type="xsd:double"&gt;13.0884951675621&lt;/D&gt;&lt;D xsi:type="xsd:double"&gt;12.2791362695009&lt;/D&gt;&lt;D xsi:type="xsd:double"&gt;10.7958556177964&lt;/D&gt;&lt;D xsi:type="xsd:double"&gt;12.1737623179358&lt;/D&gt;&lt;D xsi:type="xsd:double"&gt;11.4043047409129&lt;/D&gt;&lt;D xsi:type="xsd:double"&gt;14.0690279514581&lt;/D&gt;&lt;D xsi:type="xsd:double"&gt;14.2584913455454&lt;/D&gt;&lt;D xsi:type="xsd:double"&gt;14.3804543639045&lt;/D&gt;&lt;D xsi:type="xsd:double"&gt;13.8776600860166&lt;/D&gt;&lt;D xsi:type="xsd:double"&gt;14.9069878335169&lt;/D&gt;&lt;D xsi:type="xsd:double"&gt;13.6726870060997&lt;/D&gt;&lt;D xsi:type="xsd:double"&gt;15.0416946907622&lt;/D&gt;&lt;D xsi:type="xsd:double"&gt;14.82297768305&lt;/D&gt;&lt;D xsi:type="xsd:double"&gt;14.2531734448244&lt;/D&gt;&lt;D xsi:type="xsd:double"&gt;14.4094263351812&lt;/D&gt;&lt;D xsi:type="xsd:double"&gt;12.3104115769749&lt;/D&gt;&lt;D xsi:type="xsd:double"&gt;11.8461336447338&lt;/D&gt;&lt;D xsi:type="xsd:double"&gt;11.9694655790629&lt;/D&gt;&lt;D xsi:type="xsd:double"&gt;11.0947906387435&lt;/D&gt;&lt;D xsi:type="xsd:double"&gt;11.813108669114&lt;/D&gt;&lt;D xsi:type="xsd:double"&gt;13.1966071234925&lt;/D&gt;&lt;D xsi:type="xsd:double"&gt;13.9251043759764&lt;/D&gt;&lt;D xsi:type="xsd:double"&gt;12.6883136870056&lt;/D&gt;&lt;D xsi:type="xsd:double"&gt;13.7993558610568&lt;/D&gt;&lt;D xsi:type="xsd:double"&gt;14.0691419398889&lt;/D&gt;&lt;D xsi:type="xsd:double"&gt;12.1647809774554&lt;/D&gt;&lt;D xsi:type="xsd:double"&gt;13.9346366942407&lt;/D&gt;&lt;D xsi:type="xsd:double"&gt;11.9214824866763&lt;/D&gt;&lt;D xsi:type="xsd:double"&gt;11.7501640604107&lt;/D&gt;&lt;D xsi:type="xsd:double"&gt;11.3393381485793&lt;/D&gt;&lt;D xsi:type="xsd:double"&gt;11.2966647254422&lt;/D&gt;&lt;D xsi:type="xsd:double"&gt;10.9552580160874&lt;/D&gt;&lt;D xsi:type="xsd:double"&gt;5.5490797134834&lt;/D&gt;&lt;D xsi:type="xsd:double"&gt;8.3490981196603&lt;/D&gt;&lt;D xsi:type="xsd:double"&gt;10.0223964610459&lt;/D&gt;&lt;D xsi:type="xsd:double"&gt;13.829309068686&lt;/D&gt;&lt;D xsi:type="xsd:double"&gt;13.2454751922578&lt;/D&gt;&lt;D xsi:type="xsd:double"&gt;12.2232223337052&lt;/D&gt;&lt;D xsi:type="xsd:double"&gt;12.4163762693107&lt;/D&gt;&lt;D xsi:type="xsd:double"&gt;10.1575611700297&lt;/D&gt;&lt;D xsi:type="xsd:double"&gt;10.9872983088199&lt;/D&gt;&lt;D xsi:type="xsd:double"&gt;12.3676551289527&lt;/D&gt;&lt;D xsi:type="xsd:double"&gt;11.2984240980297&lt;/D&gt;&lt;D xsi:type="xsd:double"&gt;11.9710967834273&lt;/D&gt;&lt;D xsi:type="xsd:double"&gt;12.0580752752458&lt;/D&gt;&lt;D xsi:type="xsd:double"&gt;12.7088553448569&lt;/D&gt;&lt;D xsi:type="xsd:double"&gt;8.57877950141288&lt;/D&gt;&lt;D xsi:type="xsd:double"&gt;12.5071131953639&lt;/D&gt;&lt;D xsi:type="xsd:double"&gt;11.3282204794127&lt;/D&gt;&lt;D xsi:type="xsd:double"&gt;11.0038592358846&lt;/D&gt;&lt;D xsi:type="xsd:double"&gt;10.5023214659166&lt;/D&gt;&lt;D xsi:type="xsd:double"&gt;10.3676357916124&lt;/D&gt;&lt;D xsi:type="xsd:double"&gt;11.6198953328957&lt;/D&gt;&lt;D xsi:type="xsd:double"&gt;9.57982372604319&lt;/D&gt;&lt;D xsi:type="xsd:double"&gt;10.1604531863055&lt;/D&gt;&lt;D xsi:type="xsd:double"&gt;10.2015572105173&lt;/D&gt;&lt;D xsi:type="xsd:double"&gt;9.72878723858339&lt;/D&gt;&lt;D xsi:type="xsd:double"&gt;10.2897326442101&lt;/D&gt;&lt;D xsi:type="xsd:double"&gt;9.08854953495679&lt;/D&gt;&lt;D xsi:type="xsd:double"&gt;8.36700027685913&lt;/D&gt;&lt;D xsi:type="xsd:double"&gt;7.58551425949541&lt;/D&gt;&lt;D xsi:type="xsd:double"&gt;8.34913016694375&lt;/D&gt;&lt;D xsi:type="xsd:double"&gt;6.84487973042896&lt;/D&gt;&lt;D xsi:type="xsd:double"&gt;6.98178566606068&lt;/D&gt;&lt;D xsi:type="xsd:double"&gt;6.7889567814407&lt;/D&gt;&lt;D xsi:type="xsd:double"&gt;6.64542971376062&lt;/D&gt;&lt;D xsi:type="xsd:double"&gt;6.47321585482747&lt;/D&gt;&lt;D xsi:type="xsd:double"&gt;7.89270250730835&lt;/D&gt;&lt;D xsi:type="xsd:double"&gt;6.93853178761903&lt;/D&gt;&lt;D xsi:type="xsd:double"&gt;7.40144959158347&lt;/D&gt;&lt;D xsi:type="xsd:double"&gt;6.9370327364203&lt;/D&gt;&lt;D xsi:type="xsd:double"&gt;8.07370375749933&lt;/D&gt;&lt;D xsi:type="xsd:double"&gt;8.14352428759587&lt;/D&gt;&lt;D xsi:type="xsd:double"&gt;7.29021072822549&lt;/D&gt;&lt;D xsi:type="xsd:double"&gt;6.89478753731713&lt;/D&gt;&lt;D xsi:type="xsd:double"&gt;6.52552075273534&lt;/D&gt;&lt;D xsi:type="xsd:double"&gt;6.79902943413018&lt;/D&gt;&lt;D xsi:type="xsd:double"&gt;6.6422138757695&lt;/D&gt;&lt;D xsi:type="xsd:double"&gt;6.76658093691083&lt;/D&gt;&lt;D xsi:type="xsd:double"&gt;7.01291600516301&lt;/D&gt;&lt;D xsi:type="xsd:double"&gt;7.08788872766028&lt;/D&gt;&lt;D xsi:type="xsd:double"&gt;6.76078642551676&lt;/D&gt;&lt;/FQL&gt;&lt;FQL&gt;&lt;Q&gt;PASP-FDS^FG_PRICE_CHANGE(0,-3AM)&lt;/Q&gt;&lt;R&gt;1&lt;/R&gt;&lt;C&gt;1&lt;/C&gt;&lt;D xsi:type="xsd:double"&gt;12.1693121693122&lt;/D&gt;&lt;/FQL&gt;&lt;FQL&gt;&lt;Q&gt;UAE^FG_PRICE_MAVG(0,,,,30)&lt;/Q&gt;&lt;R&gt;1&lt;/R&gt;&lt;C&gt;1&lt;/C&gt;&lt;D xsi:type="xsd:double"&gt;14.76476&lt;/D&gt;&lt;/FQL&gt;&lt;FQL&gt;&lt;Q&gt;EWY^FG_PRICE_MAVG(0,,,,30)&lt;/Q&gt;&lt;R&gt;1&lt;/R&gt;&lt;C&gt;1&lt;/C&gt;&lt;D xsi:type="xsd:double"&gt;65.61034&lt;/D&gt;&lt;/FQL&gt;&lt;FQL&gt;&lt;Q&gt;EPU^P_PRICE(0)/P_PRICE_HIGH_PR(0,,,,,,"PRICE","INTRA","52W")&lt;/Q&gt;&lt;R&gt;1&lt;/R&gt;&lt;C&gt;1&lt;/C&gt;&lt;D xsi:type="xsd:double"&gt;0.96772635&lt;/D&gt;&lt;/FQL&gt;&lt;FQL&gt;&lt;Q&gt;EIDO^FMA_PCT_ABOVE_MAVG(200,0,,,,"PORTAGG")&lt;/Q&gt;&lt;R&gt;1&lt;/R&gt;&lt;C&gt;1&lt;/C&gt;&lt;D xsi:type="xsd:double"&gt;39.4736842105263&lt;/D&gt;&lt;/FQL&gt;&lt;FQL&gt;&lt;Q&gt;VWO^FG_TOTAL_RETURNC(0,-6AM)&lt;/Q&gt;&lt;R&gt;1&lt;/R&gt;&lt;C&gt;1&lt;/C&gt;&lt;D xsi:type="xsd:double"&gt;8.911932&lt;/D&gt;&lt;/FQL&gt;&lt;FQL&gt;&lt;Q&gt;EPOL^SIZE(FG_CONSTITUENTS)&lt;/Q&gt;&lt;R&gt;1&lt;/R&gt;&lt;C&gt;1&lt;/C&gt;&lt;D xsi:type="xsd:long"&gt;33&lt;/D&gt;&lt;/FQL&gt;&lt;FQL&gt;&lt;Q&gt;EWY^FMA_RBICS_REV_CURRENT(30, LOC, "PORTAGG")&lt;/Q&gt;&lt;R&gt;1&lt;/R&gt;&lt;C&gt;1&lt;/C&gt;&lt;D xsi:type="xsd:double"&gt;14.950795428413&lt;/D&gt;&lt;/FQL&gt;&lt;FQL&gt;&lt;Q&gt;REFZAREPO-FDS^FG_YIELD(NOW,,,0)&lt;/Q&gt;&lt;R&gt;1&lt;/R&gt;&lt;C&gt;1&lt;/C&gt;&lt;D xsi:type="xsd:double"&gt;8.25&lt;/D&gt;&lt;/FQL&gt;&lt;FQL&gt;&lt;Q&gt;REFPHRREPO-FDS^FG_YIELD(NOW,,,0)&lt;/Q&gt;&lt;R&gt;1&lt;/R&gt;&lt;C&gt;1&lt;/C&gt;&lt;D xsi:type="xsd:double"&gt;6.5&lt;/D&gt;&lt;/FQL&gt;&lt;FQL&gt;&lt;Q&gt;TRYGR10Y-FDS^PCTCHG(FG_YIELD(0,,,,"YTM"),FG_YIELD(-1AM,,,,"YTM"))&lt;/Q&gt;&lt;R&gt;1&lt;/R&gt;&lt;C&gt;1&lt;/C&gt;&lt;D xsi:type="xsd:double"&gt;3.598593&lt;/D&gt;&lt;/FQL&gt;&lt;FQL&gt;&lt;Q&gt;QAT^FMA_PE(LTM,0,,,"PORTAGG","MEANR")&lt;/Q&gt;&lt;R&gt;1&lt;/R&gt;&lt;C&gt;1&lt;/C&gt;&lt;D xsi:type="xsd:double"&gt;11.5186972995318&lt;/D&gt;&lt;/FQL&gt;&lt;FQL&gt;&lt;Q&gt;EZA^FMA_EVAL_EBIT(LTMA,NOW,NOW,M,"PORTAGG","MEANR")&lt;/Q&gt;&lt;R&gt;1&lt;/R&gt;&lt;C&gt;1&lt;/C&gt;&lt;D xsi:type="xsd:double"&gt;12.2855667963205&lt;/D&gt;&lt;/FQL&gt;&lt;FQL&gt;&lt;Q&gt;EWW^FG_FCF_YIELD_NTM(0)&lt;/Q&gt;&lt;R&gt;1&lt;/R&gt;&lt;C&gt;1&lt;/C&gt;&lt;D xsi:type="xsd:double"&gt;7.87096149728727&lt;/D&gt;&lt;/FQL&gt;&lt;FQL&gt;&lt;Q&gt;EPU^FG_FCF_YIELD_NTM(0)&lt;/Q&gt;&lt;R&gt;1&lt;/R&gt;&lt;C&gt;1&lt;/C&gt;&lt;D xsi:type="xsd:double"&gt;6.77054443397011&lt;/D&gt;&lt;/FQL&gt;&lt;FQL&gt;&lt;Q&gt;EIDO^FG_FCF_YIELD_NTM(0)&lt;/Q&gt;&lt;R&gt;0&lt;/R&gt;&lt;C&gt;0&lt;/C&gt;&lt;/FQL&gt;&lt;FQL&gt;&lt;Q&gt;BRENT-FDS^FG_PRICE_MAVG(0,,,,30)&lt;/Q&gt;&lt;R&gt;1&lt;/R&gt;&lt;C&gt;1&lt;/C&gt;&lt;D xsi:type="xsd:double"&gt;85.86&lt;/D&gt;&lt;/FQL&gt;&lt;FQL&gt;&lt;Q&gt;URTH^FMA_COS_DOWN("EPS","1M",+1,NOW,,,"PORTAGG","MEANR")&lt;/Q&gt;&lt;R&gt;1&lt;/R&gt;&lt;C&gt;1&lt;/C&gt;&lt;D xsi:type="xsd:double"&gt;553&lt;/D&gt;&lt;/FQL&gt;&lt;FQL&gt;&lt;Q&gt;EWT^FMA_RBICS_REV_CURRENT(30, LOC, "PORTAGG")&lt;/Q&gt;&lt;R&gt;1&lt;/R&gt;&lt;C&gt;1&lt;/C&gt;&lt;D xsi:type="xsd:double"&gt;17.8066741873402&lt;/D&gt;&lt;/FQL&gt;&lt;FQL&gt;&lt;Q&gt;REFZAREPO-FDS^PROPER_NAME(0,,,"SECURITY","NAME")&lt;/Q&gt;&lt;R&gt;1&lt;/R&gt;&lt;C&gt;1&lt;/C&gt;&lt;D xsi:type="xsd:string"&gt;South Africa Repo Rate&lt;/D&gt;&lt;/FQL&gt;&lt;FQL&gt;&lt;Q&gt;TRYUS10Y-FDS^FG_YIELD(0,,,,"YTM")&lt;/Q&gt;&lt;R&gt;1&lt;/R&gt;&lt;C&gt;1&lt;/C&gt;&lt;D xsi:type="xsd:double"&gt;4.6347&lt;/D&gt;&lt;/FQL&gt;&lt;FQL&gt;&lt;Q&gt;EIDO^FMA_DIV_YLD(NTMA,NOW,NOW,M,"PORTAGG","MEANR")&lt;/Q&gt;&lt;R&gt;1&lt;/R&gt;&lt;C&gt;1&lt;/C&gt;&lt;D xsi:type="xsd:double"&gt;4.05067553325937&lt;/D&gt;&lt;/FQL&gt;&lt;FQL&gt;&lt;Q&gt;VGK^P_PRICE(0)/P_PRICE_LOW_PR(0,,,,,,"PRICE","INTRA","52W")-1&lt;/Q&gt;&lt;R&gt;1&lt;/R&gt;&lt;C&gt;1&lt;/C&gt;&lt;D xsi:type="xsd:double"&gt;0.17181253&lt;/D&gt;&lt;/FQL&gt;&lt;FQL&gt;&lt;Q&gt;TRYSA10Y-FDS^FG_YIELD_NAME&lt;/Q&gt;&lt;R&gt;1&lt;/R&gt;&lt;C&gt;1&lt;/C&gt;&lt;D xsi:type="xsd:string"&gt;Treasury - SAUDI ARABIA Benchmark Bond 10Y&lt;/D&gt;&lt;/FQL&gt;&lt;FQL&gt;&lt;Q&gt;USDMYR^STD(FG_PRICE_CHANGE(0,-1AY,AM))&lt;/Q&gt;&lt;R&gt;1&lt;/R&gt;&lt;C&gt;1&lt;/C&gt;&lt;D xsi:type="xsd:double"&gt;1.40862248242451&lt;/D&gt;&lt;/FQL&gt;&lt;FQL&gt;&lt;Q&gt;EPHE^FMA_PE(LTM,0,,,"PORTAGG","MEANR")&lt;/Q&gt;&lt;R&gt;1&lt;/R&gt;&lt;C&gt;1&lt;/C&gt;&lt;D xsi:type="xsd:double"&gt;10.0169560596091&lt;/D&gt;&lt;/FQL&gt;&lt;FQL&gt;&lt;Q&gt;USDMXN^STD(FG_PRICE_CHANGE(0,-1AY,AM))&lt;/Q&gt;&lt;R&gt;1&lt;/R&gt;&lt;C&gt;1&lt;/C&gt;&lt;D xsi:type="xsd:double"&gt;3.24093972187358&lt;/D&gt;&lt;/FQL&gt;&lt;FQL&gt;&lt;Q&gt;INDA^FMA_EVAL_EBIT(LTMA,NOW,NOW,M,"PORTAGG","MEANR")&lt;/Q&gt;&lt;R&gt;1&lt;/R&gt;&lt;C&gt;1&lt;/C&gt;&lt;D xsi:type="xsd:double"&gt;22.898447607863&lt;/D&gt;&lt;/FQL&gt;&lt;FQL&gt;&lt;Q&gt;EWY^SIZE(FG_CONSTITUENTS)&lt;/Q&gt;&lt;R&gt;1&lt;/R&gt;&lt;C&gt;1&lt;/C&gt;&lt;D xsi:type="xsd:long"&gt;101&lt;/D&gt;&lt;/FQL&gt;&lt;FQL&gt;&lt;Q&gt;TRYSA10Y-FDS^PCTCHG(FG_YIELD(0,,,,"YTM"),FG_YIELD(-1AM,,,,"YTM"))&lt;/Q&gt;&lt;R&gt;1&lt;/R&gt;&lt;C&gt;1&lt;/C&gt;&lt;D xsi:type="xsd:double"&gt;6.188932&lt;/D&gt;&lt;/FQL&gt;&lt;FQL&gt;&lt;Q&gt;TRYVN10Y-FDS^PCTCHG(FG_YIELD(0,,,,"YTM"),FG_YIELD(-3AM,,,,"YTM"))&lt;/Q&gt;&lt;R&gt;1&lt;/R&gt;&lt;C&gt;1&lt;/C&gt;&lt;D xsi:type="xsd:double"&gt;13.867952&lt;/D&gt;&lt;/FQL&gt;&lt;FQL&gt;&lt;Q&gt;TRYTH10Y-FDS^FG_YIELD_NAME&lt;/Q&gt;&lt;R&gt;1&lt;/R&gt;&lt;C&gt;1&lt;/C&gt;&lt;D xsi:type="xsd:string"&gt;Thailand Benchmark Bond - 10 Year&lt;/D&gt;&lt;/FQL&gt;&lt;FQL&gt;&lt;Q&gt;KSA^FMA_PE(NTMA,0,,,"PORTAGG","MEANR")&lt;/Q&gt;&lt;R&gt;1&lt;/R&gt;&lt;C&gt;1&lt;/C&gt;&lt;D xsi:type="xsd:double"&gt;18.1653646672427&lt;/D&gt;&lt;/FQL&gt;&lt;FQL&gt;&lt;Q&gt;KSA^JULIAN(FMA_DIV_YLD(NTMA,NOW,NOW,M,"PORTAGG","MEANR").DATES)&lt;/Q&gt;&lt;R&gt;1&lt;/R&gt;&lt;C&gt;1&lt;/C&gt;&lt;D xsi:type="xsd:long"&gt;45379&lt;/D&gt;&lt;/FQL&gt;&lt;FQL&gt;&lt;Q&gt;UAE^FMA_COS_UP("EPS","1M",+1,NOW,,,"PORTAGG","MEANR")&lt;/Q&gt;&lt;R&gt;1&lt;/R&gt;&lt;C&gt;1&lt;/C&gt;&lt;D xsi:type="xsd:double"&gt;8&lt;/D&gt;&lt;/FQL&gt;&lt;FQL&gt;&lt;Q&gt;TRYAE10Y-FDS^FG_YIELD(-10AY,0,Y,,"YTM")&lt;/Q&gt;&lt;R&gt;10&lt;/R&gt;&lt;C&gt;1&lt;/C&gt;&lt;D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xsi:type="xsd:string"&gt;@NA&lt;/D&gt;&lt;/FQL&gt;&lt;FQL&gt;&lt;Q&gt;USDCNH^STD(FG_PRICE_CHANGE(0,-3AY,M))&lt;/Q&gt;&lt;R&gt;1&lt;/R&gt;&lt;C&gt;1&lt;/C&gt;&lt;D xsi:type="xsd:double"&gt;1.80278181698248&lt;/D&gt;&lt;/FQL&gt;&lt;FQL&gt;&lt;Q&gt;EZA^FMA_PE(NTMA,-10AY,0,AM,"PORTAGG","MEANR")&lt;/Q&gt;&lt;R&gt;121&lt;/R&gt;&lt;C&gt;1&lt;/C&gt;&lt;D xsi:type="xsd:double"&gt;14.1046541636676&lt;/D&gt;&lt;D xsi:type="xsd:double"&gt;14.3152995254812&lt;/D&gt;&lt;D xsi:type="xsd:double"&gt;14.6098230575771&lt;/D&gt;&lt;D xsi:type="xsd:double"&gt;14.9944857844774&lt;/D&gt;&lt;D xsi:type="xsd:double"&gt;15.1129996722445&lt;/D&gt;&lt;D xsi:type="xsd:double"&gt;15.0933493497899&lt;/D&gt;&lt;D xsi:type="xsd:double"&gt;14.1467671411264&lt;/D&gt;&lt;D xsi:type="xsd:double"&gt;15.2930678766089&lt;/D&gt;&lt;D xsi:type="xsd:double"&gt;15.5305200781932&lt;/D&gt;&lt;D xsi:type="xsd:double"&gt;15.9447223741145&lt;/D&gt;&lt;D xsi:type="xsd:double"&gt;16.7398184236721&lt;/D&gt;&lt;D xsi:type="xsd:double"&gt;16.5401237823664&lt;/D&gt;&lt;D xsi:type="xsd:double"&gt;17.5328329731406&lt;/D&gt;&lt;D xsi:type="xsd:double"&gt;17.1504602978112&lt;/D&gt;&lt;D xsi:type="xsd:double"&gt;15.9458934912313&lt;/D&gt;&lt;D xsi:type="xsd:double"&gt;16.4518375356984&lt;/D&gt;&lt;D xsi:type="xsd:double"&gt;15.3486074083949&lt;/D&gt;&lt;D xsi:type="xsd:double"&gt;15.3946759068989&lt;/D&gt;&lt;D xsi:type="xsd:double"&gt;16.0532905976357&lt;/D&gt;&lt;D xsi:type="xsd:double"&gt;15.2180674379986&lt;/D&gt;&lt;D xsi:type="xsd:double"&gt;14.1339660335077&lt;/D&gt;&lt;D xsi:type="xsd:double"&gt;12.8225970814441&lt;/D&gt;&lt;D xsi:type="xsd:double"&gt;14.435711303264&lt;/D&gt;&lt;D xsi:type="xsd:double"&gt;15.2002608657366&lt;/D&gt;&lt;D xsi:type="xsd:double"&gt;15.2095201803025&lt;/D&gt;&lt;D xsi:type="xsd:double"&gt;14.07041547459&lt;/D&gt;&lt;D xsi:type="xsd:double"&gt;14.450268925122&lt;/D&gt;&lt;D xsi:type="xsd:double"&gt;15.3072662567147&lt;/D&gt;&lt;D xsi:type="xsd:double"&gt;15.9405716364233&lt;/D&gt;&lt;D xsi:type="xsd:double"&gt;14.7711168732811&lt;/D&gt;&lt;D xsi:type="xsd:double"&gt;14.5311574480051&lt;/D&gt;&lt;D xsi:type="xsd:double"&gt;14.1292526890315&lt;/D&gt;&lt;D xsi:type="xsd:double"&gt;13.9818903557459&lt;/D&gt;&lt;D xsi:type="xsd:double"&gt;15.1678898693864&lt;/D&gt;&lt;D xsi:type="xsd:double"&gt;15.4141570739356&lt;/D&gt;&lt;D xsi:type="xsd:double"&gt;16.1972505903599&lt;/D&gt;&lt;D xsi:type="xsd:double"&gt;15.9170518898142&lt;/D&gt;&lt;D xsi:type="xsd:double"&gt;16.1736761251649&lt;/D&gt;&lt;D xsi:type="xsd:double"&gt;14.8929044470493&lt;/D&gt;&lt;D xsi:type="xsd:double"&gt;15.4605465620225&lt;/D&gt;&lt;D xsi:type="xsd:double"&gt;15.7457476742512&lt;/D&gt;&lt;D xsi:type="xsd:double"&gt;15.120184565082&lt;/D&gt;&lt;D xsi:type="xsd:double"&gt;15.541511990001&lt;/D&gt;&lt;D xsi:type="xsd:double"&gt;15.9034733345906&lt;/D&gt;&lt;D xsi:type="xsd:double"&gt;14.6107773450727&lt;/D&gt;&lt;D xsi:type="xsd:double"&gt;15.3651424781296&lt;/D&gt;&lt;D xsi:type="xsd:double"&gt;15.2644364681587&lt;/D&gt;&lt;D xsi:type="xsd:double"&gt;15.8367840354714&lt;/D&gt;&lt;D xsi:type="xsd:double"&gt;15.4805600527005&lt;/D&gt;&lt;D xsi:type="xsd:double"&gt;14.6569392329188&lt;/D&gt;&lt;D xsi:type="xsd:double"&gt;14.1342353043576&lt;/D&gt;&lt;D xsi:type="xsd:double"&gt;13.8024063227321&lt;/D&gt;&lt;D xsi:type="xsd:double"&gt;13.11048765822&lt;/D&gt;&lt;D xsi:type="xsd:double"&gt;12.9715892709598&lt;/D&gt;&lt;D xsi:type="xsd:double"&gt;11.9663231527822&lt;/D&gt;&lt;D xsi:type="xsd:double"&gt;12.3951154636591&lt;/D&gt;&lt;D xsi:type="xsd:double"&gt;12.2737113808634&lt;/D&gt;&lt;D xsi:type="xsd:double"&gt;13.0676196012146&lt;/D&gt;&lt;D xsi:type="xsd:double"&gt;12.8299629799796&lt;/D&gt;&lt;D xsi:type="xsd:double"&gt;13.0722642743898&lt;/D&gt;&lt;D xsi:type="xsd:double"&gt;13.8035458339323&lt;/D&gt;&lt;D xsi:type="xsd:double"&gt;13.063869667125&lt;/D&gt;&lt;D xsi:type="xsd:double"&gt;13.3008408367888&lt;/D&gt;&lt;D xsi:type="xsd:double"&gt;13.077832939656&lt;/D&gt;&lt;D xsi:type="xsd:double"&gt;11.8787574562104&lt;/D&gt;&lt;D xsi:type="xsd:double"&gt;12.1281775610921&lt;/D&gt;&lt;D xsi:type="xsd:double"&gt;11.7879541095557&lt;/D&gt;&lt;D xsi:type="xsd:double"&gt;11.8702475496636&lt;/D&gt;&lt;D xsi:type="xsd:double"&gt;12.5257392043924&lt;/D&gt;&lt;D xsi:type="xsd:double"&gt;12.4360787682795&lt;/D&gt;&lt;D xsi:type="xsd:double"&gt;12.0368050165183&lt;/D&gt;&lt;D xsi:type="xsd:double"&gt;7.46240886444931&lt;/D&gt;&lt;D xsi:type="xsd:double"&gt;9.61749720145228&lt;/D&gt;&lt;D xsi:type="xsd:double"&gt;10.5534445234154&lt;/D&gt;&lt;D xsi:type="xsd:double"&gt;11.1963858091691&lt;/D&gt;&lt;D xsi:type="xsd:double"&gt;11.8627075697222&lt;/D&gt;&lt;D xsi:type="xsd:double"&gt;11.3922663042125&lt;/D&gt;&lt;D xsi:type="xsd:double"&gt;10.7247719053036&lt;/D&gt;&lt;D xsi:type="xsd:double"&gt;10.3877447243218&lt;/D&gt;&lt;D xsi:type="xsd:double"&gt;10.5141251520753&lt;/D&gt;&lt;D xsi:type="xsd:double"&gt;10.1328408832742&lt;/D&gt;&lt;D xsi:type="xsd:double"&gt;9.88346688855055&lt;/D&gt;&lt;D xsi:type="xsd:double"&gt;10.294952850794&lt;/D&gt;&lt;D xsi:type="xsd:double"&gt;10.0930924690905&lt;/D&gt;&lt;D xsi:type="xsd:double"&gt;10.0238365084778&lt;/D&gt;&lt;D xsi:type="xsd:double"&gt;9.70491919550403&lt;/D&gt;&lt;D xsi:type="xsd:double"&gt;9.4177049007135&lt;/D&gt;&lt;D xsi:type="xsd:double"&gt;9.35801533578387&lt;/D&gt;&lt;D xsi:type="xsd:double"&gt;9.06326191625306&lt;/D&gt;&lt;D xsi:type="xsd:double"&gt;8.82285166451449&lt;/D&gt;&lt;D xsi:type="xsd:double"&gt;9.57266188563506&lt;/D&gt;&lt;D xsi:type="xsd:double"&gt;9.71465140087069&lt;/D&gt;&lt;D xsi:type="xsd:double"&gt;9.57805497494657&lt;/D&gt;&lt;D xsi:type="xsd:double"&gt;9.79903519007881&lt;/D&gt;&lt;D xsi:type="xsd:double"&gt;10.0537203757874&lt;/D&gt;&lt;D xsi:type="xsd:double"&gt;10.0479948889872&lt;/D&gt;&lt;D xsi:type="xsd:double"&gt;9.43148161956167&lt;/D&gt;&lt;D xsi:type="xsd:double"&gt;8.88375250662732&lt;/D&gt;&lt;D xsi:type="xsd:double"&gt;8.29502985535376&lt;/D&gt;&lt;D xsi:type="xsd:double"&gt;8.68421976622838&lt;/D&gt;&lt;D xsi:type="xsd:double"&gt;8.91737778793995&lt;/D&gt;&lt;D xsi:type="xsd:double"&gt;8.12342824945376&lt;/D&gt;&lt;D xsi:type="xsd:double"&gt;8.30845981187415&lt;/D&gt;&lt;D xsi:type="xsd:double"&gt;8.98099628921895&lt;/D&gt;&lt;D xsi:type="xsd:double"&gt;8.78197818299889&lt;/D&gt;&lt;D xsi:type="xsd:double"&gt;9.4925392021302&lt;/D&gt;&lt;D xsi:type="xsd:double"&gt;9.07852900503553&lt;/D&gt;&lt;D xsi:type="xsd:double"&gt;8.4150821246218&lt;/D&gt;&lt;D xsi:type="xsd:double"&gt;9.31629024905131&lt;/D&gt;&lt;D xsi:type="xsd:double"&gt;8.78654099855767&lt;/D&gt;&lt;D xsi:type="xsd:double"&gt;9.43159207433314&lt;/D&gt;&lt;D xsi:type="xsd:double"&gt;9.96864691167824&lt;/D&gt;&lt;D xsi:type="xsd:double"&gt;9.36943239053629&lt;/D&gt;&lt;D xsi:type="xsd:double"&gt;9.49076724604212&lt;/D&gt;&lt;D xsi:type="xsd:double"&gt;9.376923976385&lt;/D&gt;&lt;D xsi:type="xsd:double"&gt;9.704809279104&lt;/D&gt;&lt;D xsi:type="xsd:double"&gt;9.73946479127483&lt;/D&gt;&lt;D xsi:type="xsd:double"&gt;9.25192914769215&lt;/D&gt;&lt;D xsi:type="xsd:double"&gt;9.40733285793032&lt;/D&gt;&lt;D xsi:type="xsd:double"&gt;9.1700655341205&lt;/D&gt;&lt;D xsi:type="xsd:double"&gt;9.38268658792439&lt;/D&gt;&lt;/FQL&gt;&lt;FQL&gt;&lt;Q&gt;PASP-FDS^FG_PRICE_CHANGE(0,-1AM)&lt;/Q&gt;&lt;R&gt;1&lt;/R&gt;&lt;C&gt;1&lt;/C&gt;&lt;D xsi:type="xsd:double"&gt;-1.3953488372093&lt;/D&gt;&lt;/FQL&gt;&lt;FQL&gt;&lt;Q&gt;EWW^FG_TOTAL_RETURNC(0,-12AM)&lt;/Q&gt;&lt;R&gt;1&lt;/R&gt;&lt;C&gt;1&lt;/C&gt;&lt;D xsi:type="xsd:double"&gt;11.220717&lt;/D&gt;&lt;/FQL&gt;&lt;FQL&gt;&lt;Q&gt;ECH^P_PRICE(0)/P_PRICE_LOW_PR(0,,,,,,"PRICE","INTRA","52W")-1&lt;/Q&gt;&lt;R&gt;1&lt;/R&gt;&lt;C&gt;1&lt;/C&gt;&lt;D xsi:type="xsd:double"&gt;0.10984373&lt;/D&gt;&lt;/FQL&gt;&lt;FQL&gt;&lt;Q&gt;ECH^FG_ROE(0)&lt;/Q&gt;&lt;R&gt;1&lt;/R&gt;&lt;C&gt;1&lt;/C&gt;&lt;D xsi:type="xsd:double"&gt;10.9698358870268&lt;/D&gt;&lt;/FQL&gt;&lt;FQL&gt;&lt;Q&gt;UAE^FMA_PE(LTM,0,,,"PORTAGG","MEANR")&lt;/Q&gt;&lt;R&gt;1&lt;/R&gt;&lt;C&gt;1&lt;/C&gt;&lt;D xsi:type="xsd:double"&gt;10.671130103238&lt;/D&gt;&lt;/FQL&gt;&lt;FQL&gt;&lt;Q&gt;QAT^JULIAN(FMA_DIV_YLD(NTMA,NOW,NOW,M,"PORTAGG","MEANR").DATES)&lt;/Q&gt;&lt;R&gt;1&lt;/R&gt;&lt;C&gt;1&lt;/C&gt;&lt;D xsi:type="xsd:long"&gt;45379&lt;/D&gt;&lt;/FQL&gt;&lt;FQL&gt;&lt;Q&gt;EWW^FMA_DIV_YLD(NTMA,NOW,NOW,M,"PORTAGG","MEANR")&lt;/Q&gt;&lt;R&gt;1&lt;/R&gt;&lt;C&gt;1&lt;/C&gt;&lt;D xsi:type="xsd:double"&gt;3.98467504611054&lt;/D&gt;&lt;/FQL&gt;&lt;FQL&gt;&lt;Q&gt;KSA^P_PRICE(0)/P_PRICE_HIGH_PR(0,,,,,,"PRICE","INTRA","52W")&lt;/Q&gt;&lt;R&gt;1&lt;/R&gt;&lt;C&gt;1&lt;/C&gt;&lt;D xsi:type="xsd:double"&gt;0.9630779&lt;/D&gt;&lt;/FQL&gt;&lt;FQL&gt;&lt;Q&gt;VGK^SIZE(FG_CONSTITUENTS)&lt;/Q&gt;&lt;R&gt;1&lt;/R&gt;&lt;C&gt;1&lt;/C&gt;&lt;D xsi:type="xsd:long"&gt;1280&lt;/D&gt;&lt;/FQL&gt;&lt;FQL&gt;&lt;Q&gt;TRYMX10Y-FDS^FG_YIELD_NAME&lt;/Q&gt;&lt;R&gt;1&lt;/R&gt;&lt;C&gt;1&lt;/C&gt;&lt;D xsi:type="xsd:string"&gt;Treasury - Mexico Benchmark Bond 10Y&lt;/D&gt;&lt;/FQL&gt;&lt;FQL&gt;&lt;Q&gt;CC_CN^IMF_IFS_RCPI_Q(0)&lt;/Q&gt;&lt;R&gt;0&lt;/R&gt;&lt;C&gt;0&lt;/C&gt;&lt;/FQL&gt;&lt;FQL&gt;&lt;Q&gt;VGK^FG_PE_NTM(0,,,90,0)&lt;/Q&gt;&lt;R&gt;1&lt;/R&gt;&lt;C&gt;1&lt;/C&gt;&lt;D xsi:type="xsd:double"&gt;13.9986057326763&lt;/D&gt;&lt;/FQL&gt;&lt;FQL&gt;&lt;Q&gt;UAE^JULIAN(FMA_DIV_YLD(NTMA,NOW,NOW,M,"PORTAGG","MEANR").DATES)&lt;/Q&gt;&lt;R&gt;1&lt;/R&gt;&lt;C&gt;1&lt;/C&gt;&lt;D xsi:type="xsd:long"&gt;45379&lt;/D&gt;&lt;/FQL&gt;&lt;FQL&gt;&lt;Q&gt;SET-BKK^FG_COMPANY_NAME&lt;/Q&gt;&lt;R&gt;1&lt;/R&gt;&lt;C&gt;1&lt;/C&gt;&lt;D xsi:type="xsd:string"&gt;Thailand SET&lt;/D&gt;&lt;/FQL&gt;&lt;FQL&gt;&lt;Q&gt;EPU^FMA_PE(NTMA,0,,,"PORTAGG","MEANR")&lt;/Q&gt;&lt;R&gt;1&lt;/R&gt;&lt;C&gt;1&lt;/C&gt;&lt;D xsi:type="xsd:double"&gt;12.7618678679894&lt;/D&gt;&lt;/FQL&gt;&lt;FQL&gt;&lt;Q&gt;EIDO^FMA_PE(LTM,0,,,"PORTAGG","MEANR")&lt;/Q&gt;&lt;R&gt;1&lt;/R&gt;&lt;C&gt;1&lt;/C&gt;&lt;D xsi:type="xsd:double"&gt;15.9150814154322&lt;/D&gt;&lt;/FQL&gt;&lt;FQL&gt;&lt;Q&gt;QAT^FG_COMPANY_NAME&lt;/Q&gt;&lt;R&gt;1&lt;/R&gt;&lt;C&gt;1&lt;/C&gt;&lt;D xsi:type="xsd:string"&gt;iShares MSCI Qatar ETF&lt;/D&gt;&lt;/FQL&gt;&lt;FQL&gt;&lt;Q&gt;TUR^FMA_EVAL_EBIT(LTMA,NOW,NOW,M,"PORTAGG","MEANR")&lt;/Q&gt;&lt;R&gt;1&lt;/R&gt;&lt;C&gt;1&lt;/C&gt;&lt;D xsi:type="xsd:double"&gt;7.3514078682178&lt;/D&gt;&lt;/FQL&gt;&lt;FQL&gt;&lt;Q&gt;EWW^PERCENT_CHANGE(FMA_EPS(+1,0,,,,"PORTAGG","MEAN"),FMA_EPS(+1,-3AM,,,,"PORTAGG","MEAN"))&lt;/Q&gt;&lt;R&gt;1&lt;/R&gt;&lt;C&gt;1&lt;/C&gt;&lt;D xsi:type="xsd:double"&gt;-0.329574250061059&lt;/D&gt;&lt;/FQL&gt;&lt;FQL&gt;&lt;Q&gt;VGK^FG_TOTAL_RETURNC(0,-6AM)&lt;/Q&gt;&lt;R&gt;1&lt;/R&gt;&lt;C&gt;1&lt;/C&gt;&lt;D xsi:type="xsd:double"&gt;14.664877&lt;/D&gt;&lt;/FQL&gt;&lt;FQL&gt;&lt;Q&gt;EZA^FMA_PE(NTMA,0,,,"PORTAGG","MEANR")&lt;/Q&gt;&lt;R&gt;1&lt;/R&gt;&lt;C&gt;1&lt;/C&gt;&lt;D xsi:type="xsd:double"&gt;9.38268658792439&lt;/D&gt;&lt;/FQL&gt;&lt;FQL&gt;&lt;Q&gt;MCHI^FG_FCF_YIELD_NTM(0)&lt;/Q&gt;&lt;R&gt;1&lt;/R&gt;&lt;C&gt;1&lt;/C&gt;&lt;D xsi:type="xsd:double"&gt;7.20050740324125&lt;/D&gt;&lt;/FQL&gt;&lt;FQL&gt;&lt;Q&gt;FC0000ZA^FG_PRICE(0)&lt;/Q&gt;&lt;R&gt;1&lt;/R&gt;&lt;C&gt;1&lt;/C&gt;&lt;D xsi:type="xsd:double"&gt;294.13074&lt;/D&gt;&lt;/FQL&gt;&lt;FQL&gt;&lt;Q&gt;EWM^FG_PRICE_MAVG(0,,,,30)&lt;/Q&gt;&lt;R&gt;1&lt;/R&gt;&lt;C&gt;1&lt;/C&gt;&lt;D xsi:type="xsd:double"&gt;21.876333&lt;/D&gt;&lt;/FQL&gt;&lt;FQL&gt;&lt;Q&gt;VGK^FG_TOTAL_RETURNC(0,-3AM)&lt;/Q&gt;&lt;R&gt;1&lt;/R&gt;&lt;C&gt;1&lt;/C&gt;&lt;D xsi:type="xsd:double"&gt;3.8551927&lt;/D&gt;&lt;/FQL&gt;&lt;FQL&gt;&lt;Q&gt;TRYAE10Y-FDS^FG_YIELD(0,,,,"YTM")&lt;/Q&gt;&lt;R&gt;0&lt;/R&gt;&lt;C&gt;0&lt;/C&gt;&lt;/FQL&gt;&lt;FQL&gt;&lt;Q&gt;CC_KR^IMF_IFS_RCPI_Q(0)&lt;/Q&gt;&lt;R&gt;0&lt;/R&gt;&lt;C&gt;0&lt;/C&gt;&lt;/FQL&gt;&lt;FQL&gt;&lt;Q&gt;ECH^FMA_COS_DOWN("EPS","1M",+1,NOW,,,"PORTAGG","MEANR")&lt;/Q&gt;&lt;R&gt;1&lt;/R&gt;&lt;C&gt;1&lt;/C&gt;&lt;D xsi:type="xsd:double"&gt;10&lt;/D&gt;&lt;/FQL&gt;&lt;FQL&gt;&lt;Q&gt;TRYPL10Y-FDS^FG_YIELD(0,,,,"YTM")&lt;/Q&gt;&lt;R&gt;1&lt;/R&gt;&lt;C&gt;1&lt;/C&gt;&lt;D xsi:type="xsd:double"&gt;5.7252&lt;/D&gt;&lt;/FQL&gt;&lt;FQL&gt;&lt;Q&gt;EWM^FMA_PE(LTM,0,,,"PORTAGG","MEANR")&lt;/Q&gt;&lt;R&gt;1&lt;/R&gt;&lt;C&gt;1&lt;/C&gt;&lt;D xsi:type="xsd:double"&gt;17.4706087038377&lt;/D&gt;&lt;/FQL&gt;&lt;FQL&gt;&lt;Q&gt;USDMXN^FG_PRICE_CHANGE(0,-6AM)&lt;/Q&gt;&lt;R&gt;1&lt;/R&gt;&lt;C&gt;1&lt;/C&gt;&lt;D xsi:type="xsd:double"&gt;-6.5506516&lt;/D&gt;&lt;/FQL&gt;&lt;FQL&gt;&lt;Q&gt;QAT^FG_TOTAL_RETURNC(-10AY,0,AM)&lt;/Q&gt;&lt;R&gt;121&lt;/R&gt;&lt;C&gt;1&lt;/C&gt;&lt;D xsi:type="xsd:string"&gt;@NA&lt;/D&gt;&lt;D xsi:type="xsd:string"&gt;@NA&lt;/D&gt;&lt;D xsi:type="xsd:double"&gt;-4.222572&lt;/D&gt;&lt;D xsi:type="xsd:double"&gt;6.7985177&lt;/D&gt;&lt;D xsi:type="xsd:double"&gt;1.967597&lt;/D&gt;&lt;D xsi:type="xsd:double"&gt;2.118802&lt;/D&gt;&lt;D xsi:type="xsd:double"&gt;-7.9659104&lt;/D&gt;&lt;D xsi:type="xsd:double"&gt;6.1014533&lt;/D&gt;&lt;D xsi:type="xsd:double"&gt;-13.377047&lt;/D&gt;&lt;D xsi:type="xsd:double"&gt;1.6644716&lt;/D&gt;&lt;D xsi:type="xsd:double"&gt;4.52348&lt;/D&gt;&lt;D xsi:type="xsd:double"&gt;-5.3528547&lt;/D&gt;&lt;D xsi:type="xsd:double"&gt;1.7421961&lt;/D&gt;&lt;D xsi:type="xsd:double"&gt;4.698169&lt;/D&gt;&lt;D xsi:type="xsd:double"&gt;-4.4953346&lt;/D&gt;&lt;D xsi:type="xsd:double"&gt;-0.35523772&lt;/D&gt;&lt;D xsi:type="xsd:double"&gt;-2.1390438&lt;/D&gt;&lt;D xsi:type="xsd:double"&gt;-4.1211247&lt;/D&gt;&lt;D xsi:type="xsd:double"&gt;3</t>
        </r>
      </text>
    </comment>
    <comment ref="A18" authorId="0" shapeId="0" xr:uid="{776F7592-5095-4216-9C2F-197EC710F0E2}">
      <text>
        <r>
          <rPr>
            <b/>
            <sz val="9"/>
            <color indexed="81"/>
            <rFont val="Tahoma"/>
            <charset val="1"/>
          </rPr>
          <t>.5383463&lt;/D&gt;&lt;D xsi:type="xsd:double"&gt;-9.220177&lt;/D&gt;&lt;D xsi:type="xsd:double"&gt;-9.44922&lt;/D&gt;&lt;D xsi:type="xsd:double"&gt;-6.7487774&lt;/D&gt;&lt;D xsi:type="xsd:double"&gt;11.017966&lt;/D&gt;&lt;D xsi:type="xsd:double"&gt;6.5803647&lt;/D&gt;&lt;D xsi:type="xsd:double"&gt;-1.3152897&lt;/D&gt;&lt;D xsi:type="xsd:double"&gt;-3.1697214&lt;/D&gt;&lt;D xsi:type="xsd:double"&gt;-1.4405191&lt;/D&gt;&lt;D xsi:type="xsd:double"&gt;5.6524634&lt;/D&gt;&lt;D xsi:type="xsd:double"&gt;9.941983&lt;/D&gt;&lt;D xsi:type="xsd:double"&gt;-7.819617&lt;/D&gt;&lt;D xsi:type="xsd:double"&gt;0.8066654&lt;/D&gt;&lt;D xsi:type="xsd:double"&gt;-5.661339&lt;/D&gt;&lt;D xsi:type="xsd:double"&gt;2.443993&lt;/D&gt;&lt;D xsi:type="xsd:double"&gt;6.25&lt;/D&gt;&lt;D xsi:type="xsd:double"&gt;0.85470676&lt;/D&gt;&lt;D xsi:type="xsd:double"&gt;-4.2871294&lt;/D&gt;&lt;D xsi:type="xsd:double"&gt;4.375005&lt;/D&gt;&lt;D xsi:type="xsd:double"&gt;-5.6886315&lt;/D&gt;&lt;D xsi:type="xsd:double"&gt;-6.296301&lt;/D&gt;&lt;D xsi:type="xsd:double"&gt;2.392292&lt;/D&gt;&lt;D xsi:type="xsd:double"&gt;-3.6144614&lt;/D&gt;&lt;D xsi:type="xsd:double"&gt;-6.964278&lt;/D&gt;&lt;D xsi:type="xsd:double"&gt;-3.3269405&lt;/D&gt;&lt;D xsi:type="xsd:double"&gt;-10.859031&lt;/D&gt;&lt;D xsi:type="xsd:double"&gt;15.9682865&lt;/D&gt;&lt;D xsi:type="xsd:double"&gt;9.800887&lt;/D&gt;&lt;D xsi:type="xsd:double"&gt;-3.673464&lt;/D&gt;&lt;D xsi:type="xsd:double"&gt;0.060534477&lt;/D&gt;&lt;D xsi:type="xsd:double"&gt;3.2667756&lt;/D&gt;&lt;D xsi:type="xsd:double"&gt;-2.460456&lt;/D&gt;&lt;D xsi:type="xsd:double"&gt;2.5225282&lt;/D&gt;&lt;D xsi:type="xsd:double"&gt;3.8541794&lt;/D&gt;&lt;D xsi:type="xsd:double"&gt;1.5919805&lt;/D&gt;&lt;D xsi:type="xsd:double"&gt;1.1027336&lt;/D&gt;&lt;D xsi:type="xsd:double"&gt;3.1572819&lt;/D&gt;&lt;D xsi:type="xsd:double"&gt;6.1213136&lt;/D&gt;&lt;D xsi:type="xsd:double"&gt;-0.6802738&lt;/D&gt;&lt;D xsi:type="xsd:double"&gt;5.047822&lt;/D&gt;&lt;D xsi:type="xsd:double"&gt;-8.851796&lt;/D&gt;&lt;D xsi:type="xsd:double"&gt;1.1098742&lt;/D&gt;&lt;D xsi:type="xsd:double"&gt;4.0022016&lt;/D&gt;&lt;D xsi:type="xsd:double"&gt;-7.067311&lt;/D&gt;&lt;D xsi:type="xsd:double"&gt;5.6512475&lt;/D&gt;&lt;D xsi:type="xsd:double"&gt;-0.20377636&lt;/D&gt;&lt;D xsi:type="xsd:double"&gt;-8.108961&lt;/D&gt;&lt;D xsi:type="xsd:double"&gt;7.8627825&lt;/D&gt;&lt;D xsi:type="xsd:double"&gt;1.0498166&lt;/D&gt;&lt;D xsi:type="xsd:double"&gt;-0.48185587&lt;/D&gt;&lt;D xsi:type="xsd:double"&gt;-0.9795666&lt;/D&gt;&lt;D xsi:type="xsd:double"&gt;4.1266203&lt;/D&gt;&lt;D xsi:type="xsd:double"&gt;-7.980454&lt;/D&gt;&lt;D xsi:type="xsd:double"&gt;-13.65782&lt;/D&gt;&lt;D xsi:type="xsd:double"&gt;6.6621065&lt;/D&gt;&lt;D xsi:type="xsd:double"&gt;2.6925087&lt;/D&gt;&lt;D xsi:type="xsd:double"&gt;4.4442654&lt;/D&gt;&lt;D xsi:type="xsd:double"&gt;4.308307&lt;/D&gt;&lt;D xsi:type="xsd:double"&gt;2.7722597&lt;/D&gt;&lt;D xsi:type="xsd:double"&gt;2.9276729&lt;/D&gt;&lt;D xsi:type="xsd:double"&gt;0.6692648&lt;/D&gt;&lt;D xsi:type="xsd:double"&gt;0.4986167&lt;/D&gt;&lt;D xsi:type="xsd:double"&gt;1.9294381&lt;/D&gt;&lt;D xsi:type="xsd:double"&gt;3.3531666&lt;/D&gt;&lt;D xsi:type="xsd:double"&gt;-3.7414968&lt;/D&gt;&lt;D xsi:type="xsd:double"&gt;0.4077077&lt;/D&gt;&lt;D xsi:type="xsd:double"&gt;5.30591&lt;/D&gt;&lt;D xsi:type="xsd:double"&gt;-0.10282993&lt;/D&gt;&lt;D xsi:type="xsd:double"&gt;-1.5142739&lt;/D&gt;&lt;D xsi:type="xsd:double"&gt;1.6630411&lt;/D&gt;&lt;D xsi:type="xsd:double"&gt;4.098785&lt;/D&gt;&lt;D xsi:type="xsd:double"&gt;-0.35335422&lt;/D&gt;&lt;D xsi:type="xsd:double"&gt;6.129694&lt;/D&gt;&lt;D xsi:type="xsd:double"&gt;1.0501146&lt;/D&gt;&lt;D xsi:type="xsd:double"&gt;-4.11644&lt;/D&gt;&lt;D xsi:type="xsd:double"&gt;7.855737&lt;/D&gt;&lt;D xsi:type="xsd:double"&gt;3.7562966&lt;/D&gt;&lt;D xsi:type="xsd:double"&gt;5.430913&lt;/D&gt;&lt;D xsi:type="xsd:double"&gt;2.9727697&lt;/D&gt;&lt;D xsi:type="xsd:double"&gt;-6.9133816&lt;/D&gt;&lt;D xsi:type="xsd:double"&gt;-4.4212637&lt;/D&gt;&lt;D xsi:type="xsd:double"&gt;-2.2556365&lt;/D&gt;&lt;D xsi:type="xsd:double"&gt;14.804066&lt;/D&gt;&lt;D xsi:type="xsd:double"&gt;-6.110406&lt;/D&gt;&lt;D xsi:type="xsd:double"&gt;-3.3213615&lt;/D&gt;&lt;D xsi:type="xsd:double"&gt;-3.1675994&lt;/D&gt;&lt;D xsi:type="xsd:double"&gt;-9.339703&lt;/D&gt;&lt;D xsi:type="xsd:double"&gt;-3.9382756&lt;/D&gt;&lt;D xsi:type="xsd:double"&gt;1.2188435&lt;/D&gt;&lt;D xsi:type="xsd:double"&gt;-4.214561&lt;/D&gt;&lt;D xsi:type="xsd:double"&gt;2.342856&lt;/D&gt;&lt;D xsi:type="xsd:double"&gt;7.9285264&lt;/D&gt;&lt;D xsi:type="xsd:double"&gt;-2.6325285&lt;/D&gt;&lt;D xsi:type="xsd:double"&gt;-0.49696565&lt;/D&gt;&lt;D xsi:type="xsd:double"&gt;1.276362&lt;/D&gt;&lt;D xsi:type="xsd:double"&gt;-3.397262&lt;/D&gt;&lt;D xsi:type="xsd:double"&gt;-4.878044&lt;/D&gt;&lt;D xsi:type="xsd:double"&gt;5.128193&lt;/D&gt;&lt;D xsi:type="xsd:double"&gt;-2.3255825&lt;/D&gt;&lt;D xsi:type="xsd:double"&gt;1.8583179&lt;/D&gt;&lt;D xsi:type="xsd:double"&gt;0.1254201&lt;/D&gt;&lt;D xsi:type="xsd:double"&gt;3.0634284&lt;/D&gt;&lt;D xsi:type="xsd:double"&gt;-4.3646455&lt;/D&gt;&lt;/FQL&gt;&lt;FQL&gt;&lt;Q&gt;BRENT-FDS^FG_PRICE(0)&lt;/Q&gt;&lt;R&gt;1&lt;/R&gt;&lt;C&gt;1&lt;/C&gt;&lt;D xsi:type="xsd:double"&gt;85.86&lt;/D&gt;&lt;/FQL&gt;&lt;FQL&gt;&lt;Q&gt;REFBRSELIC-FDS^(SUBARRAY(NOT_NA(NO_REPEAT_F(FG_YIELD(NOW,-10AY,D))),0,1)-SUBARRAY(NOT_NA(NO_REPEAT_F(FG_YIELD(NOW,-10AY,D))),1,1))*100&lt;/Q&gt;&lt;R&gt;1&lt;/R&gt;&lt;C&gt;1&lt;/C&gt;&lt;D xsi:type="xsd:double"&gt;-50&lt;/D&gt;&lt;/FQL&gt;&lt;FQL&gt;&lt;Q&gt;EWW^FMA_PE(NTMA,0,,,"PORTAGG","MEANR")&lt;/Q&gt;&lt;R&gt;1&lt;/R&gt;&lt;C&gt;1&lt;/C&gt;&lt;D xsi:type="xsd:double"&gt;12.4018039262755&lt;/D&gt;&lt;/FQL&gt;&lt;FQL&gt;&lt;Q&gt;USDCNH^FG_PRICE_CHANGE(0,-3AM)&lt;/Q&gt;&lt;R&gt;1&lt;/R&gt;&lt;C&gt;1&lt;/C&gt;&lt;D xsi:type="xsd:double"&gt;0.40643215&lt;/D&gt;&lt;/FQL&gt;&lt;FQL&gt;&lt;Q&gt;VNM^FMA_PE(LTMA,-10AY,0,AM,"PORTAGG","MEANR")&lt;/Q&gt;&lt;R&gt;121&lt;/R&gt;&lt;C&gt;1&lt;/C&gt;&lt;D xsi:type="xsd:double"&gt;11.8361272263789&lt;/D&gt;&lt;D xsi:type="xsd:double"&gt;11.8968915771191&lt;/D&gt;&lt;D xsi:type="xsd:double"&gt;12.4342762589833&lt;/D&gt;&lt;D xsi:type="xsd:double"&gt;12.7350877746414&lt;/D&gt;&lt;D xsi:type="xsd:double"&gt;12.9622290210429&lt;/D&gt;&lt;D xsi:type="xsd:double"&gt;13.1315572425469&lt;/D&gt;&lt;D xsi:type="xsd:double"&gt;12.9568607792292&lt;/D&gt;&lt;D xsi:type="xsd:double"&gt;12.8211170833811&lt;/D&gt;&lt;D xsi:type="xsd:double"&gt;12.3705389981795&lt;/D&gt;&lt;D xsi:type="xsd:double"&gt;12.4509108781616&lt;/D&gt;&lt;D xsi:type="xsd:double"&gt;12.9998504512307&lt;/D&gt;&lt;D xsi:type="xsd:double"&gt;16.6269559330554&lt;/D&gt;&lt;D xsi:type="xsd:double"&gt;16.7860826239706&lt;/D&gt;&lt;D xsi:type="xsd:double"&gt;16.3606678671324&lt;/D&gt;&lt;D xsi:type="xsd:double"&gt;16.638728186338&lt;/D&gt;&lt;D xsi:type="xsd:double"&gt;17.2759789066297&lt;/D&gt;&lt;D xsi:type="xsd:double"&gt;17.2451886229004&lt;/D&gt;&lt;D xsi:type="xsd:double"&gt;17.9027083089176&lt;/D&gt;&lt;D xsi:type="xsd:double"&gt;23.7268826203104&lt;/D&gt;&lt;D xsi:type="xsd:double"&gt;24.8357583903887&lt;/D&gt;&lt;D xsi:type="xsd:double"&gt;23.044348975655&lt;/D&gt;&lt;D xsi:type="xsd:double"&gt;32.2397515410017&lt;/D&gt;&lt;D xsi:type="xsd:double"&gt;19.4495413013752&lt;/D&gt;&lt;D xsi:type="xsd:double"&gt;-4.73022152359068&lt;/D&gt;&lt;D xsi:type="xsd:double"&gt;-3.16449427274607&lt;/D&gt;&lt;D xsi:type="xsd:double"&gt;-1.22947173017151&lt;/D&gt;&lt;D xsi:type="xsd:double"&gt;0.665644793529822&lt;/D&gt;&lt;D xsi:type="xsd:double"&gt;2.60925570406696&lt;/D&gt;&lt;D xsi:type="xsd:double"&gt;4.28140147634083&lt;/D&gt;&lt;D xsi:type="xsd:double"&gt;5.76261583673271&lt;/D&gt;&lt;D xsi:type="xsd:double"&gt;10.559607446394&lt;/D&gt;&lt;D xsi:type="xsd:double"&gt;11.7228774967868&lt;/D&gt;&lt;D xsi:type="xsd:double"&gt;13.5571636614408&lt;/D&gt;&lt;D xsi:type="xsd:double"&gt;14.7009991585351&lt;/D&gt;&lt;D xsi:type="xsd:double"&gt;15.8951802837904&lt;/D&gt;&lt;D xsi:type="xsd:double"&gt;15.5018920603268&lt;/D&gt;&lt;D xsi:type="xsd:double"&gt;15.6441459457913&lt;/D&gt;&lt;D xsi:type="xsd:double"&gt;15.7606935738637&lt;/D&gt;&lt;D xsi:type="xsd:double"&gt;15.8377679769097&lt;/D&gt;&lt;D xsi:type="xsd:double"&gt;16.0603480921853&lt;/D&gt;&lt;D xsi:type="xsd:double"&gt;17.0664173341496&lt;/D&gt;&lt;D xsi:type="xsd:double"&gt;18.0042828292188&lt;/D&gt;&lt;D xsi:type="xsd:double"&gt;18.1641769717932&lt;/D&gt;&lt;D xsi:type="xsd:double"&gt;19.4560485552195&lt;/D&gt;&lt;D xsi:type="xsd:double"&gt;21.8719187922572&lt;/D&gt;&lt;D xsi:type="xsd:double"&gt;24.8295235435811&lt;/D&gt;&lt;D xsi:type="xsd:double"&gt;23.8292179790327&lt;/D&gt;&lt;D xsi:type="xsd:double"&gt;24.5317931001974&lt;/D&gt;&lt;D xsi:type="xsd:double"&gt;24.3686050709092&lt;/D&gt;&lt;D xsi:type="xsd:double"&gt;24.1464660038178&lt;/D&gt;&lt;D xsi:type="xsd:double"&gt;22.7152919977938&lt;/D&gt;&lt;D xsi:type="xsd:double"&gt;21.8277021121574&lt;/D&gt;&lt;D xsi:type="xsd:double"&gt;21.9929184273946&lt;/D&gt;&lt;D xsi:type="xsd:double"&gt;21.9692780994486&lt;/D&gt;&lt;D xsi:type="xsd:double"&gt;20.2604218436636&lt;/D&gt;&lt;D xsi:type="xsd:double"&gt;19.0620341193409&lt;/D&gt;&lt;D xsi:type="xsd:double"&gt;19.0448479989942&lt;/D&gt;&lt;D xsi:type="xsd:double"&gt;18.3355828390877&lt;/D&gt;&lt;D xsi:type="xsd:double"&gt;18.5384320327757&lt;/D&gt;&lt;D xsi:type="xsd:double"&gt;19.7481706985987&lt;/D&gt;&lt;D xsi:type="xsd:double"&gt;19.659848877502&lt;/D&gt;&lt;D xsi:type="xsd:double"&gt;19.5225609916688&lt;/D&gt;&lt;D xsi:type="xsd:double"&gt;19.1261734890959&lt;/D&gt;&lt;D xsi:type="xsd:double"&gt;18.6730306891416&lt;/D&gt;&lt;D xsi:type="xsd:double"&gt;17.6164872060202&lt;/D&gt;&lt;D xsi:type="xsd:double"&gt;17.631311682543&lt;/D&gt;&lt;D xsi:type="xsd:double"&gt;17.2611403582311&lt;/D&gt;&lt;D xsi:type="xsd:double"&gt;17.8369215094232&lt;/D&gt;&lt;D xsi:type="xsd:double"&gt;17.1507443447388&lt;/D&gt;&lt;D xsi:type="xsd:double"&gt;16.286064398669&lt;/D&gt;&lt;D xsi:type="xsd:double"&gt;15.3004136752529&lt;/D&gt;&lt;D xsi:type="xsd:double"&gt;14.6706410231998&lt;/D&gt;&lt;D xsi:type="xsd:double"&gt;15.1866110297296&lt;/D&gt;&lt;D xsi:type="xsd:double"&gt;15.2875604744682&lt;/D&gt;&lt;D xsi:type="xsd:double"&gt;16.208380497155&lt;/D&gt;&lt;D xsi:type="xsd:double"&gt;16.5584325446735&lt;/D&gt;&lt;D xsi:type="xsd:double"&gt;16.5339209388172&lt;/D&gt;&lt;D xsi:type="xsd:double"&gt;18.1113700622519&lt;/D&gt;&lt;D xsi:type="xsd:double"&gt;18.6831902789045&lt;/D&gt;&lt;D xsi:type="xsd:double"&gt;18.99379136774&lt;/D&gt;&lt;D xsi:type="xsd:double"&gt;21.5510405393606&lt;/D&gt;&lt;D xsi:type="xsd:double"&gt;24.2862270327333&lt;/D&gt;&lt;D xsi:type="xsd:double"&gt;24.7665388613526&lt;/D&gt;&lt;D xsi:type="xsd:double"&gt;24.1107577102946&lt;/D&gt;&lt;D xsi:type="xsd:double"&gt;23.5611820043122&lt;/D&gt;&lt;D xsi:type="xsd:double"&gt;22.6648129139005&lt;/D&gt;&lt;D xsi:type="xsd:double"&gt;23.0641762083141&lt;/D&gt;&lt;D xsi:type="xsd:double"&gt;21.7057399836479&lt;/D&gt;&lt;D xsi:type="xsd:double"&gt;21.0004764505919&lt;/D&gt;&lt;D xsi:type="xsd:double"&gt;20.3968135375294&lt;/D&gt;&lt;D xsi:type="xsd:double"&gt;20.1417971948919&lt;/D&gt;&lt;D xsi:type="xsd:double"&gt;19.7195329695031&lt;/D&gt;&lt;D xsi:type="xsd:double"&gt;19.3763039483359&lt;/D&gt;&lt;D xsi:type="xsd:double"&gt;17.1568446243107&lt;/D&gt;&lt;D xsi:type="xsd:double"&gt;17.097549008439&lt;/D&gt;&lt;D xsi:type="xsd:double"&gt;16.325958350626&lt;/D&gt;&lt;D xsi:type="xsd:double"&gt;16.004436847395&lt;/D&gt;&lt;D xsi:type="xsd:double"&gt;15.3114203880079&lt;/D&gt;&lt;D xsi:type="xsd:double"&gt;14.7888309032365&lt;/D&gt;&lt;D xsi:type="xsd:double"&gt;13.9220287392711&lt;/D&gt;&lt;D xsi:type="xsd:double"&gt;14.1562330965516&lt;/D&gt;&lt;D xsi:type="xsd:double"&gt;13.5361936999937&lt;/D&gt;&lt;D xsi:type="xsd:double"&gt;12.5556574732786&lt;/D&gt;&lt;D xsi:type="xsd:double"&gt;11.586388348449&lt;/D&gt;&lt;D xsi:type="xsd:double"&gt;12.7088667166565&lt;/D&gt;&lt;D xsi:type="xsd:double"&gt;12.3672952741762&lt;/D&gt;&lt;D xsi:type="xsd:double"&gt;12.8346897112358&lt;/D&gt;&lt;D xsi:type="xsd:double"&gt;12.4085350038537&lt;/D&gt;&lt;D xsi:type="xsd:double"&gt;12.8823273961647&lt;/D&gt;&lt;D xsi:type="xsd:double"&gt;13.3318328944505&lt;/D&gt;&lt;D xsi:type="xsd:double"&gt;13.6092152708756&lt;/D&gt;&lt;D xsi:type="xsd:double"&gt;13.6215473287355&lt;/D&gt;&lt;D xsi:type="xsd:double"&gt;14.3202513372796&lt;/D&gt;&lt;D xsi:type="xsd:double"&gt;15.3833304928238&lt;/D&gt;&lt;D xsi:type="xsd:double"&gt;15.2206972892787&lt;/D&gt;&lt;D xsi:type="xsd:double"&gt;15.4223928127481&lt;/D&gt;&lt;D xsi:type="xsd:double"&gt;16.0129695676793&lt;/D&gt;&lt;D xsi:type="xsd:double"&gt;16.8318833886362&lt;/D&gt;&lt;D xsi:type="xsd:double"&gt;17.0059327208173&lt;/D&gt;&lt;D xsi:type="xsd:double"&gt;18.6391552444827&lt;/D&gt;&lt;D xsi:type="xsd:double"&gt;18.1990487360453&lt;/D&gt;&lt;/FQL&gt;&lt;FQL&gt;&lt;Q&gt;KSA^FMA_DIV_YLD(NTMA,NOW,NOW,M,"PORTAGG","MEANR")&lt;/Q&gt;&lt;R&gt;1&lt;/R&gt;&lt;C&gt;1&lt;/C&gt;&lt;D xsi:type="xsd:double"&gt;3.37585210609164&lt;/D&gt;&lt;/FQL&gt;&lt;FQL&gt;&lt;Q&gt;ECH^JULIAN(FMA_DIV_YLD(NTMA,NOW,NOW,M,"PORTAGG","MEANR").DATES)&lt;/Q&gt;&lt;R&gt;1&lt;/R&gt;&lt;C&gt;1&lt;/C&gt;&lt;D xsi:type="xsd:long"&gt;45379&lt;/D&gt;&lt;/FQL&gt;&lt;FQL&gt;&lt;Q&gt;TRYAE10Y-FDS^PCTCHG(FG_YIELD(0,,,,"YTM"),FG_YIELD(-1AM,,,,"YTM"))&lt;/Q&gt;&lt;R&gt;0&lt;/R&gt;&lt;C&gt;0&lt;/C&gt;&lt;/FQL&gt;&lt;FQL&gt;&lt;Q&gt;CNYA^FG_FCF_YIELD_NTM(0)&lt;/Q&gt;&lt;R&gt;1&lt;/R&gt;&lt;C&gt;1&lt;/C&gt;&lt;D xsi:type="xsd:double"&gt;5.25527944295278&lt;/D&gt;&lt;/FQL&gt;&lt;FQL&gt;&lt;Q&gt;EWY^FMA_EVAL_EBIT(LTMA,NOW,NOW,M,"PORTAGG","MEANR")&lt;/Q&gt;&lt;R&gt;1&lt;/R&gt;&lt;C&gt;1&lt;/C&gt;&lt;D xsi:type="xsd:double"&gt;20.2723539464788&lt;/D&gt;&lt;/FQL&gt;&lt;FQL&gt;&lt;Q&gt;EPHE^FMA_DIV_YLD(NTMA,NOW,NOW,M,"PORTAGG","MEANR")&lt;/Q&gt;&lt;R&gt;1&lt;/R&gt;&lt;C&gt;1&lt;/C&gt;&lt;D xsi:type="xsd:double"&gt;2.7516952043142&lt;/D&gt;&lt;/FQL&gt;&lt;FQL&gt;&lt;Q&gt;TRYPE10Y-FDS^FG_YIELD_NAME&lt;/Q&gt;&lt;R&gt;1&lt;/R&gt;&lt;C&gt;1&lt;/C&gt;&lt;D xsi:type="xsd:string"&gt;Treasury - Peru Benchmark Bond 10Y&lt;/D&gt;&lt;/FQL&gt;&lt;FQL&gt;&lt;Q&gt;TRYMY10Y-FDS^FG_YIELD(-10AY,0,Y,,"YTM")&lt;/Q&gt;&lt;R&gt;10&lt;/R&gt;&lt;C&gt;1&lt;/C&gt;&lt;D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xsi:type="xsd:double"&gt;3.727505&lt;/D&gt;&lt;/FQL&gt;&lt;FQL&gt;&lt;Q&gt;USDCNH^STD(FG_PRICE_CHANGE(0,-1AY,AM))&lt;/Q&gt;&lt;R&gt;1&lt;/R&gt;&lt;C&gt;1&lt;/C&gt;&lt;D xsi:type="xsd:double"&gt;1.07478633220089&lt;/D&gt;&lt;/FQL&gt;&lt;FQL&gt;&lt;Q&gt;EWZ^FMA_PE(NTMA,-10AY,0,AM,"PORTAGG","MEANR")&lt;/Q&gt;&lt;R&gt;121&lt;/R&gt;&lt;C&gt;1&lt;/C&gt;&lt;D xsi:type="xsd:double"&gt;10.9932127549098&lt;/D&gt;&lt;D xsi:type="xsd:double"&gt;11.1638213842764&lt;/D&gt;&lt;D xsi:type="xsd:double"&gt;11.6028393379463&lt;/D&gt;&lt;D xsi:type="xsd:double"&gt;11.783593586017&lt;/D&gt;&lt;D xsi:type="xsd:double"&gt;11.932074766164&lt;/D&gt;&lt;D xsi:type="xsd:double"&gt;12.1172616850436&lt;/D&gt;&lt;D xsi:type="xsd:double"&gt;11.6847800743585&lt;/D&gt;&lt;D xsi:type="xsd:double"&gt;11.1620267022968&lt;/D&gt;&lt;D xsi:type="xsd:double"&gt;10.7660921154468&lt;/D&gt;&lt;D xsi:type="xsd:double"&gt;11.2817943601753&lt;/D&gt;&lt;D xsi:type="xsd:double"&gt;11.9866538020265&lt;/D&gt;&lt;D xsi:type="xsd:double"&gt;12.7160719005668&lt;/D&gt;&lt;D xsi:type="xsd:double"&gt;13.7559699442375&lt;/D&gt;&lt;D xsi:type="xsd:double"&gt;14.0915998883542&lt;/D&gt;&lt;D xsi:type="xsd:double"&gt;13.4362761271369&lt;/D&gt;&lt;D xsi:type="xsd:double"&gt;12.7887925747973&lt;/D&gt;&lt;D xsi:type="xsd:double"&gt;11.3014082860028&lt;/D&gt;&lt;D xsi:type="xsd:double"&gt;11.2145253594665&lt;/D&gt;&lt;D xsi:type="xsd:double"&gt;11.1263738571113&lt;/D&gt;&lt;D xsi:type="xsd:double"&gt;11.0954922209104&lt;/D&gt;&lt;D xsi:type="xsd:double"&gt;10.5095466481496&lt;/D&gt;&lt;D xsi:type="xsd:double"&gt;9.53080731471604&lt;/D&gt;&lt;D xsi:type="xsd:double"&gt;10.7776997590663&lt;/D&gt;&lt;D xsi:type="xsd:double"&gt;13.25225293497&lt;/D&gt;&lt;D xsi:type="xsd:double"&gt;13.8576463161551&lt;/D&gt;&lt;D xsi:type="xsd:double"&gt;12.5177936228782&lt;/D&gt;&lt;D xsi:type="xsd:double"&gt;12.0772424381355&lt;/D&gt;&lt;D xsi:type="xsd:double"&gt;13.5493375759044&lt;/D&gt;&lt;D xsi:type="xsd:double"&gt;14.1257154277383&lt;/D&gt;&lt;D xsi:type="xsd:double"&gt;13.4885449637939&lt;/D&gt;&lt;D xsi:type="xsd:double"&gt;14.735848578073&lt;/D&gt;&lt;D xsi:type="xsd:double"&gt;13.5188883231932&lt;/D&gt;&lt;D xsi:type="xsd:double"&gt;12.4236942129327&lt;/D&gt;&lt;D xsi:type="xsd:double"&gt;13.2453293196835&lt;/D&gt;&lt;D xsi:type="xsd:double"&gt;13.7827284601621&lt;/D&gt;&lt;D xsi:type="xsd:double"&gt;12.7093886976668&lt;/D&gt;&lt;D xsi:type="xsd:double"&gt;12.5070861826138&lt;/D&gt;&lt;D xsi:type="xsd:double"&gt;11.8686182503686&lt;/D&gt;&lt;D xsi:type="xsd:double"&gt;11.7907034186402&lt;/D&gt;&lt;D xsi:type="xsd:double"&gt;12.3405685477466&lt;/D&gt;&lt;D xsi:type="xsd:double"&gt;13.0502146596324&lt;/D&gt;&lt;D xsi:type="xsd:double"&gt;14.1869819131977&lt;/D&gt;&lt;D xsi:type="xsd:double"&gt;14.0575407521914&lt;/D&gt;&lt;D xsi:type="xsd:double"&gt;13.155124467107&lt;/D&gt;&lt;D xsi:type="xsd:double"&gt;13.0041138162905&lt;/D&gt;&lt;D xsi:type="xsd:double"&gt;13.7184805358042&lt;/D&gt;&lt;D xsi:type="xsd:double"&gt;13.5797682108525&lt;/D&gt;&lt;D xsi:type="xsd:double"&gt;12.8870740926295&lt;/D&gt;&lt;D xsi:type="xsd:double"&gt;12.8729471062538&lt;/D&gt;&lt;D xsi:type="xsd:double"&gt;12.0190293524675&lt;/D&gt;&lt;D xsi:type="xsd:double"&gt;10.2434812741258&lt;/D&gt;&lt;D xsi:type="xsd:double"&gt;10.9243893319184&lt;/D&gt;&lt;D xsi:type="xsd:double"&gt;10.7360885536659&lt;/D&gt;&lt;D xsi:type="xsd:double"&gt;10.6351152557606&lt;/D&gt;&lt;D xsi:type="xsd:double"&gt;11.0361490638829&lt;/D&gt;&lt;D xsi:type="xsd:double"&gt;11.6392221047282&lt;/D&gt;&lt;D xsi:type="xsd:double"&gt;11.3836574158909&lt;/D&gt;&lt;D xsi:type="xsd:double"&gt;13.0276428193818&lt;/D&gt;&lt;D xsi:type="xsd:double"&gt;12.83136675503&lt;/D&gt;&lt;D xsi:type="xsd:double"&gt;12.7076660414531&lt;/D&gt;&lt;D xsi:type="xsd:double"&gt;11.4559175393489&lt;/D&gt;&lt;D xsi:type="xsd:double"&gt;11.1313852348888&lt;/D&gt;&lt;D xsi:type="xsd:double"&gt;12.3597267921045&lt;/D&gt;&lt;D xsi:type="xsd:double"&gt;12.7748244506018&lt;/D&gt;&lt;D xsi:type="xsd:double"&gt;12.4260365531287&lt;/D&gt;&lt;D xsi:type="xsd:double"&gt;12.9259225744672&lt;/D&gt;&lt;D xsi:type="xsd:double"&gt;13.081915588657&lt;/D&gt;&lt;D xsi:type="xsd:double"&gt;13.3388338960433&lt;/D&gt;&lt;D xsi:type="xsd:double"&gt;14.2910474511837&lt;/D&gt;&lt;D xsi:type="xsd:double"&gt;14.6322177786826&lt;/D&gt;&lt;D xsi:type="xsd:double"&gt;14.1040113918182&lt;/D&gt;&lt;D xsi:type="xsd:double"&gt;9.28118626151824&lt;/D&gt;&lt;D xsi:type="xsd:double"&gt;12.3430738461965&lt;/D&gt;&lt;D xsi:type="xsd:double"&gt;15.299644831157&lt;/D&gt;&lt;D xsi:type="xsd:double"&gt;18.2906311693496&lt;/D&gt;&lt;D xsi:type="xsd:double"&gt;27.0725321875275&lt;/D&gt;&lt;D xsi:type="xsd:double"&gt;25.2455298779008&lt;/D&gt;&lt;D xsi:type="xsd:double"&gt;19.199160370167&lt;/D&gt;&lt;D xsi:type="xsd:double"&gt;16.4628399138061&lt;/D&gt;&lt;D xsi:type="xsd:double"&gt;14.5721754461381&lt;/D&gt;&lt;D xsi:type="xsd:double"&gt;13.4003655638085&lt;/D&gt;&lt;D xsi:type="xsd:double"&gt;12.0594979215086&lt;/D&gt;&lt;D xsi:type="xsd:double"&gt;11.0289260773339&lt;/D&gt;&lt;D xsi:type="xsd:double"&gt;9.52015892237254&lt;/D&gt;&lt;D xsi:type="xsd:double"&gt;9.27223686167653&lt;/D&gt;&lt;D xsi:type="xsd:double"&gt;9.03664620541902&lt;/D&gt;&lt;D xsi:type="xsd:double"&gt;9.3601867200571&lt;/D&gt;&lt;D xsi:type="xsd:double"&gt;8.76670370797017&lt;/D&gt;&lt;D xsi:type="xsd:double"&gt;7.79355750165846&lt;/D&gt;&lt;D xsi:type="xsd:double"&gt;7.51104689319192&lt;/D&gt;&lt;D xsi:type="xsd:double"&gt;8.03778726681801&lt;/D&gt;&lt;D xsi:type="xsd:double"&gt;7.25794045520099&lt;/D&gt;&lt;D xsi:type="xsd:double"&gt;7.89920864439305&lt;/D&gt;&lt;D xsi:type="xsd:double"&gt;7.8824210550868&lt;/D&gt;&lt;D xsi:type="xsd:double"&gt;8.02437311009351&lt;/D&gt;&lt;D xsi:type="xsd:double"&gt;7.83041912834249&lt;/D&gt;&lt;D xsi:type="xsd:double"&gt;7.39720368667747&lt;/D&gt;&lt;D xsi:type="xsd:double"&gt;6.41296313376933&lt;/D&gt;&lt;D xsi:type="xsd:double"&gt;6.0266875380198&lt;/D&gt;&lt;D xsi:type="xsd:double"&gt;5.90029405700971&lt;/D&gt;&lt;D xsi:type="xsd:double"&gt;6.51269909561077&lt;/D&gt;&lt;D xsi:type="xsd:double"&gt;6.38801063894555&lt;/D&gt;&lt;D xsi:type="xsd:double"&gt;7.04502338343138&lt;/D&gt;&lt;D xsi:type="xsd:double"&gt;6.82717669744986&lt;/D&gt;&lt;D xsi:type="xsd:double"&gt;6.48237991874622&lt;/D&gt;&lt;D xsi:type="xsd:double"&gt;7.10847286216665&lt;/D&gt;&lt;D xsi:type="xsd:double"&gt;7.0953236656219&lt;/D&gt;&lt;D xsi:type="xsd:double"&gt;6.47383158024302&lt;/D&gt;&lt;D xsi:type="xsd:double"&gt;6.90301885390085&lt;/D&gt;&lt;D xsi:type="xsd:double"&gt;7.14521874892726&lt;/D&gt;&lt;D xsi:type="xsd:double"&gt;7.83129705273756&lt;/D&gt;&lt;D xsi:type="xsd:double"&gt;7.84442386917876&lt;/D&gt;&lt;D xsi:type="xsd:double"&gt;7.85168450351144&lt;/D&gt;&lt;D xsi:type="xsd:double"&gt;7.91689526605803&lt;/D&gt;&lt;D xsi:type="xsd:double"&gt;7.4700563342016&lt;/D&gt;&lt;D xsi:type="xsd:double"&gt;8.11637348976594&lt;/D&gt;&lt;D xsi:type="xsd:double"&gt;8.0664640773388&lt;/D&gt;&lt;D xsi:type="xsd:double"&gt;7.72080021492684&lt;/D&gt;&lt;D xsi:type="xsd:double"&gt;8.09979964462382&lt;/D&gt;&lt;D xsi:type="xsd:double"&gt;7.92732660086188&lt;/D&gt;&lt;D xsi:type="xsd:double"&gt;7.54058847571941&lt;/D&gt;&lt;/FQL&gt;&lt;FQL&gt;&lt;Q&gt;PASP-FDS^FG_PRICE(0)&lt;/Q&gt;&lt;R&gt;1&lt;/R&gt;&lt;C&gt;1&lt;/C&gt;&lt;D xsi:type="xsd:double"&gt;1060&lt;/D&gt;&lt;/FQL&gt;&lt;FQL&gt;&lt;Q&gt;SET-BKK^PERCENT_CHANGE(FMA_EPS(+1,0,,,,"PORTAGG","MEAN"),FMA_EPS(+1,-1AM,,,,"PORTAGG","MEAN"))&lt;/Q&gt;&lt;R&gt;1&lt;/R&gt;&lt;C&gt;1&lt;/C&gt;&lt;D xsi:type="xsd:double"&gt;-0.775276788493096&lt;/D&gt;&lt;/FQL&gt;&lt;FQL&gt;&lt;Q&gt;GREK^PERCENT_CHANGE(FMA_EPS(+1,0,,,,"PORTAGG","MEAN"),FMA_EPS(+1,-3AM,,,,"PORTAGG","MEAN"))&lt;/Q&gt;&lt;R&gt;1&lt;/R&gt;&lt;C&gt;1&lt;/C&gt;&lt;D xsi:type="xsd:double"&gt;-0.830069193285003&lt;/D&gt;&lt;/FQL&gt;&lt;FQL&gt;&lt;Q&gt;EWW^FG_TOTAL_RETURNC(0,-1AM)&lt;/Q&gt;&lt;R&gt;1&lt;/R&gt;&lt;C&gt;1&lt;/C&gt;&lt;D xsi:type="xsd:double"&gt;-3.0321121&lt;/D&gt;&lt;/FQL&gt;&lt;FQL&gt;&lt;Q&gt;EPU^PERCENT_CHANGE(FMA_EPS(+1,0,,,,"PORTAGG","MEAN"),FMA_EPS(+1,-3AM,,,,"PORTAGG","MEAN"))&lt;/Q&gt;&lt;R&gt;1&lt;/R&gt;&lt;C&gt;1&lt;/C&gt;&lt;D xsi:type="xsd:double"&gt;0.462918277840469&lt;/D&gt;&lt;/FQL&gt;&lt;FQL&gt;&lt;Q&gt;ECH^P_PRICE(0)/P_PRICE_HIGH_PR(0,,,,,,"PRICE","INTRA","52W")&lt;/Q&gt;&lt;R&gt;1&lt;/R&gt;&lt;C&gt;1&lt;/C&gt;&lt;D xsi:type="xsd:double"&gt;0.8194011&lt;/D&gt;&lt;/FQL&gt;&lt;FQL&gt;&lt;Q&gt;VGK^FMA_COS_DOWN("EPS","1M",+1,NOW,,,"PORTAGG","MEANR")&lt;/Q&gt;&lt;R&gt;1&lt;/R&gt;&lt;C&gt;1&lt;/C&gt;&lt;D xsi:type="xsd:double"&gt;451&lt;/D&gt;&lt;/FQL&gt;&lt;FQL&gt;&lt;Q&gt;EWM^FMA_RBICS_REV_CURRENT(30, LOC, "PORTAGG")&lt;/Q&gt;&lt;R&gt;1&lt;/R&gt;&lt;C&gt;1&lt;/C&gt;&lt;D xsi:type="xsd:double"&gt;41.7398347515529&lt;/D&gt;&lt;/FQL&gt;&lt;FQL&gt;&lt;Q&gt;CNYA^FG_ROE(0)&lt;/Q&gt;&lt;R&gt;1&lt;/R&gt;&lt;C&gt;1&lt;/C&gt;&lt;D xsi:type="xsd:double"&gt;9.49076681875356&lt;/D&gt;&lt;/FQL&gt;&lt;FQL&gt;&lt;Q&gt;REFBRSELIC-FDS^FG_YIELD(NOW,,,0)&lt;/Q&gt;&lt;R&gt;1&lt;/R&gt;&lt;C&gt;1&lt;/C&gt;&lt;D xsi:type="xsd:double"&gt;10.75&lt;/D&gt;&lt;/FQL&gt;&lt;FQL&gt;&lt;Q&gt;TRYTW10Y-FDS^FG_YIELD(0,,,,"YTM")&lt;/Q&gt;&lt;R&gt;1&lt;/R&gt;&lt;C&gt;1&lt;/C&gt;&lt;D xsi:type="xsd:double"&gt;1.7125&lt;/D&gt;&lt;/FQL&gt;&lt;FQL&gt;&lt;Q&gt;EZA^FMA_DIV_YLD(NTMA,NOW,NOW,M,"PORTAGG","MEANR")&lt;/Q&gt;&lt;R&gt;1&lt;/R&gt;&lt;C&gt;1&lt;/C&gt;&lt;D xsi:type="xsd:double"&gt;4.16351343635491&lt;/D&gt;&lt;/FQL&gt;&lt;FQL&gt;&lt;Q&gt;EWZ^FG_COMPANY_NAME&lt;/Q&gt;&lt;R&gt;1&lt;/R&gt;&lt;C&gt;1&lt;/C&gt;&lt;D xsi:type="xsd:string"&gt;iShares MSCI Brazil ETF&lt;/D&gt;&lt;/FQL&gt;&lt;FQL&gt;&lt;Q&gt;TRYID10Y-FDS^FG_YIELD(0,,,,"YTM")&lt;/Q&gt;&lt;R&gt;1&lt;/R&gt;&lt;C&gt;1&lt;/C&gt;&lt;D xsi:type="xsd:double"&gt;6.92923&lt;/D&gt;&lt;/FQL&gt;&lt;FQL&gt;&lt;Q&gt;GREK^FG_ROE(0)&lt;/Q&gt;&lt;R&gt;1&lt;/R&gt;&lt;C&gt;1&lt;/C&gt;&lt;D xsi:type="xsd:double"&gt;14.1767038825316&lt;/D&gt;&lt;/FQL&gt;&lt;FQL&gt;&lt;Q&gt;REFPEMPR-FDS^(SUBARRAY(NOT_NA(NO_REPEAT_F(FG_YIELD(NOW,-10AY,D))),0,1)-SUBARRAY(NOT_NA(NO_REPEAT_F(FG_YIELD(NOW,-10AY,D))),1,1))*100&lt;/Q&gt;&lt;R&gt;1&lt;/R&gt;&lt;C&gt;1&lt;/C&gt;&lt;D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xsi:type="xsd:double"&gt;-25&lt;/D&gt;&lt;/FQL&gt;&lt;FQL&gt;&lt;Q&gt;VNM^FG_FCF_YIELD_NTM(0)&lt;/Q&gt;&lt;R&gt;1&lt;/R&gt;&lt;C&gt;1&lt;/C&gt;&lt;D xsi:type="xsd:double"&gt;-2.78463197755173&lt;/D&gt;&lt;/FQL&gt;&lt;FQL&gt;&lt;Q&gt;USDMXN^FG_PRICE_CHANGE(0,-3AM)&lt;/Q&gt;&lt;R&gt;1&lt;/R&gt;&lt;C&gt;1&lt;/C&gt;&lt;D xsi:type="xsd:double"&gt;-0.6207526&lt;/D&gt;&lt;/FQL&gt;&lt;FQL&gt;&lt;Q&gt;INDA^FG_TOTAL_RETURNC(-10AY,0,AM)&lt;/Q&gt;&lt;R&gt;121&lt;/R&gt;&lt;C&gt;1&lt;/C&gt;&lt;D xsi:type="xsd:double"&gt;4.6648383&lt;/D&gt;&lt;D xsi:type="xsd:double"&gt;9.325838&lt;/D&gt;&lt;D xsi:type="xsd:double"&gt;2.7064085&lt;/D&gt;&lt;D xsi:type="xsd:double"&gt;-0.14596581&lt;/D&gt;&lt;D xsi:type="xsd:double"&gt;3.215003&lt;/D&gt;&lt;D xsi:type="xsd:double"&gt;2.0441294&lt;/D&gt;&lt;D xsi:type="xsd:double"&gt;-5.4690003&lt;/D&gt;&lt;D xsi:type="xsd:double"&gt;7.500839&lt;/D&gt;&lt;D xsi:type="xsd:double"&gt;-5.771303&lt;/D&gt;&lt;D xsi:type="xsd:double"&gt;7.4&lt;/D&gt;&lt;D xsi:type="xsd:double"&gt;2.8243303&lt;/D&gt;&lt;D xsi:type="xsd:double"&gt;0.12072325&lt;/D&gt;&lt;D xsi:type="xsd:double"&gt;-2.848959&lt;/D&gt;&lt;D xsi:type="xsd:double"&gt;-5.1357627&lt;/D&gt;&lt;D xsi:type="xsd:double"&gt;-1.40661&lt;/D&gt;&lt;D xsi:type="xsd:double"&gt;4.6174407&lt;/D&gt;&lt;D xsi:type="xsd:double"&gt;-4.171973&lt;/D&gt;&lt;D xsi:type="xsd:double"&gt;-7.211697&lt;/D&gt;&lt;D xsi:type="xsd:double"&gt;6.0530066&lt;/D&gt;&lt;D xsi:type="xsd:double"&gt;-8.341784&lt;/D&gt;&lt;D xsi:type="xsd:double"&gt;0.3316164&lt;/D&gt;&lt;D xsi:type="xsd:double"&gt;-6.850958&lt;/D&gt;&lt;D xsi:type="xsd:double"&gt;-3.5345495&lt;/D&gt;&lt;D xsi:type="xsd:double"&gt;9.139562&lt;/D&gt;&lt;D xsi:type="xsd:double"&gt;3.9984941&lt;/D&gt;&lt;D xsi:type="xsd:double"&gt;-2.9379725&lt;/D&gt;&lt;D xsi:type="xsd:double"&gt;3.3632278&lt;/D&gt;&lt;D xsi:type="xsd:double"&gt;4.7608256&lt;/D&gt;&lt;D xsi:type="xsd:double"&gt;2.7083397&lt;/D&gt;&lt;D xsi:type="xsd:double"&gt;-0.43948293&lt;/D&gt;&lt;D xsi:type="xsd:double"&gt;0.40746927&lt;/D&gt;&lt;D xsi:type="xsd:double"&gt;-11.701048&lt;/D&gt;&lt;D xsi:type="xsd:double"&gt;2.7575612&lt;/D&gt;&lt;D xsi:type="xsd:double"&gt;2.9693007&lt;/D&gt;&lt;D xsi:type="xsd:double"&gt;5.952823&lt;/D&gt;&lt;D xsi:type="xsd:double"&gt;6.61186&lt;/D&gt;&lt;D xsi:type="xsd:double"&gt;0.16067028&lt;/D&gt;&lt;D xsi:type="xsd:double"&gt;2.726984&lt;/D&gt;&lt;D xsi:type="xsd:double"&gt;1.8425941&lt;/D&gt;&lt;D xsi:type="xsd:double"&gt;3.5264015&lt;/D&gt;&lt;D xsi:type="xsd:double"&gt;0.20815134&lt;/D&gt;&lt;D xsi:type="xsd:double"&gt;2.6112795&lt;/D&gt;&lt;D xsi:type="xsd:double"&gt;-0.43377876&lt;/D&gt;&lt;D xsi:type="xsd:double"&gt;1.2198567&lt;/D&gt;&lt;D xsi:type="xsd:double"&gt;2.3242474&lt;/D&gt;&lt;D xsi:type="xsd:double"&gt;4.3426633&lt;/D&gt;&lt;D xsi:type="xsd:double"&gt;-4.6303806&lt;/D&gt;&lt;D xsi:type="xsd:double"&gt;-3.691095&lt;/D&gt;&lt;D xsi:type="xsd:double"&gt;2.9186368&lt;/D&gt;&lt;D xsi:type="xsd:double"&gt;-5.6717277&lt;/D&gt;&lt;D xsi:type="xsd:double"&gt;1.7916799&lt;/D&gt;&lt;D xsi:type="xsd:double"&gt;1.7219543&lt;/D&gt;&lt;D xsi:type="xsd:double"&gt;3.8766503&lt;/D&gt;&lt;D xsi:type="xsd:double"&gt;-4.947698&lt;/D&gt;&lt;D xsi:type="xsd:double"&gt;-11.540747&lt;/D&gt;&lt;D xsi:type="xsd:double"&gt;8.607936&lt;/D&gt;&lt;D xsi:type="xsd:double"&gt;3.6311865&lt;/D&gt;&lt;D xsi:type="xsd:double"&gt;-1.3385892&lt;/D&gt;&lt;D xsi:type="xsd:double"&gt;-2.5640965&lt;/D&gt;&lt;D xsi:type="xsd:double"&gt;11.058903&lt;/D&gt;&lt;D xsi:type="xsd:double"&gt;0.95909834&lt;/D&gt;&lt;D xsi:type="xsd:double"&gt;-5.7837367&lt;/D&gt;&lt;D xsi:type="xsd:double"&gt;4.6845913&lt;/D&gt;&lt;D xsi:type="xsd:double"&gt;-0.17153025&lt;/D&gt;&lt;D xsi:type="xsd:double"&gt;-7.8464985&lt;/D&gt;&lt;D xsi:type="xsd:double"&gt;-0.90118647&lt;/D&gt;&lt;D xsi:type="xsd:double"&gt;6.710565&lt;/D&gt;&lt;D xsi:type="xsd:double"&gt;0.08816719&lt;/D&gt;&lt;D xsi:type="xsd:double"&gt;3.5610676&lt;/D&gt;&lt;D xsi:type="xsd:double"&gt;2.6674151&lt;/D&gt;&lt;D xsi:type="xsd:double"&gt;-3.5655081&lt;/D&gt;&lt;D xsi:type="xsd:double"&gt;-33.07538&lt;/D&gt;&lt;D xsi:type="xsd:double"&gt;11.049247&lt;/D&gt;&lt;D xsi:type="xsd:double"&gt;1.4269114&lt;/D&gt;&lt;D xsi:type="xsd:double"&gt;7.5902224&lt;/D&gt;&lt;D xsi:type="xsd:double"&gt;11.658406&lt;/D&gt;&lt;D xsi:type="xsd:double"&gt;6.2202454&lt;/D&gt;&lt;D xsi:type="xsd:double"&gt;2.4200678&lt;/D&gt;&lt;D xsi:type="xsd:double"&gt;1.6044378&lt;/D&gt;&lt;D xsi:type="xsd:double"&gt;5.110538&lt;/D&gt;&lt;D xsi:type="xsd:double"&gt;7.5179696&lt;/D&gt;&lt;D xsi:type="xsd:double"&gt;4.2207003&lt;/D&gt;&lt;D xsi:type="xsd:double"&gt;4.8060417&lt;/D&gt;&lt;D xsi:type="xsd:double"&gt;-3.7011206&lt;/D&gt;&lt;D xsi:type="xsd:double"&gt;-0.43509603&lt;/D&gt;&lt;D xsi:type="xsd:double"&gt;4.7584414&lt;/D&gt;&lt;D xsi:type="xsd:double"&gt;2.0175934&lt;/D&gt;&lt;D xsi:type="xsd:double"&gt;0.5684376&lt;/D&gt;&lt;D xsi:type="xsd:double"&gt;3.911376&lt;/D&gt;&lt;D xsi:type="xsd:double"&gt;7.2454333&lt;/D&gt;&lt;D xsi:type="xsd:double"&gt;2.5157213&lt;/D&gt;&lt;D xsi:type="xsd:double"&gt;-1.4842689&lt;/D&gt;&lt;D xsi:type="xsd:double"&gt;-5.970353&lt;/D&gt;&lt;D xsi:type="xsd:double"&gt;7.938111&lt;/D&gt;&lt;D xsi:type="xsd:double"&gt;-5.9865117&lt;/D&gt;&lt;D xsi:type="xsd:double"&gt;0.33632517&lt;/D&gt;&lt;D xsi:type="xsd:double"&gt;-0.15642643&lt;/D&gt;&lt;D xsi:type="xsd:double"&gt;-9.35542&lt;/D&gt;&lt;D xsi:type="xsd:double"&gt;-4.2592525&lt;/D&gt;&lt;D xsi:type="xsd:double"&gt;3.1592488&lt;/D&gt;&lt;D xsi:type="xsd:double"&gt;9.975004&lt;/D&gt;&lt;D xsi:type="xsd:double"&gt;-1.9549906&lt;/D&gt;&lt;D xsi:type="xsd:double"&gt;-4.637146&lt;/D&gt;&lt;D xsi:type="xsd:double"&gt;4.3763638&lt;/D&gt;&lt;D xsi:type="xsd:double"&gt;-1.700443&lt;/D&gt;&lt;D xsi:type="xsd:double"&gt;0.6161094&lt;/D&gt;&lt;D xsi:type="xsd:double"&gt;-5.0400376&lt;/D&gt;&lt;D xsi:type="xsd:double"&gt;-4.811507&lt;/D&gt;&lt;D xsi:type="xsd:double"&gt;4.0646076&lt;/D&gt;&lt;D xsi:type="xsd:double"&gt;2.4787188&lt;/D&gt;&lt;D xsi:type="xsd:double"&gt;5.5743456&lt;/D&gt;&lt;D xsi:type="xsd:double"&gt;3.2459974&lt;/D&gt;&lt;D xsi:type="xsd:double"&gt;-2.6948035&lt;/D&gt;&lt;D xsi:type="xsd:double"&gt;4.2464733&lt;/D&gt;&lt;D xsi:type="xsd:double"&gt;-2.1031618&lt;/D&gt;&lt;D xsi:type="xsd:double"&gt;1.8656611&lt;/D&gt;&lt;D xsi:type="xsd:double"&gt;7.570219&lt;/D&gt;&lt;D xsi:type="xsd:double"&gt;1.2898564&lt;/D&gt;&lt;D xsi:type="xsd:double"&gt;4.319477&lt;/D&gt;&lt;D xsi:type="xsd:double"&gt;-0.9765625&lt;/D&gt;&lt;D xsi:type="xsd:double"&gt;0.7297754&lt;/D&gt;&lt;/FQL&gt;&lt;FQL&gt;&lt;Q&gt;NI-FDS^MAX(FG_PRICE(0,-5AY))&lt;/Q&gt;&lt;R&gt;1&lt;/R&gt;&lt;C&gt;1&lt;/C&gt;&lt;D xsi:type="xsd:double"&gt;48241&lt;/D&gt;&lt;/FQL&gt;&lt;FQL&gt;&lt;Q&gt;COPP-FDS^FG_PRICE_CHANGE(0,-1AY)&lt;/Q&gt;&lt;R&gt;1&lt;/R&gt;&lt;C&gt;1&lt;/C&gt;&lt;D xsi:type="xsd:double"&gt;8.58295635163222&lt;/D&gt;&lt;/FQL&gt;&lt;FQL&gt;&lt;Q&gt;QAT^FG_PRICE_MAVG(0,,,,60)&lt;/Q&gt;&lt;R&gt;1&lt;/R&gt;&lt;C&gt;1&lt;/C&gt;&lt;D xsi:type="xsd:double"&gt;17.649494&lt;/D&gt;&lt;/FQL&gt;&lt;FQL&gt;&lt;Q&gt;EWM^FG_PRICE_MAVG(0,,,,200)&lt;/Q&gt;&lt;R&gt;1&lt;/R&gt;&lt;C&gt;1&lt;/C&gt;&lt;D xsi:type="xsd:double"&gt;21.2143&lt;/D&gt;&lt;/FQL&gt;&lt;FQL&gt;&lt;Q&gt;KSA^PERCENT_CHANGE(FMA_EPS(+1,0,,,,"PORTAGG","MEAN"),FMA_EPS(+1,-1AM,,,,"PORTAGG","MEAN"))&lt;/Q&gt;&lt;R&gt;1&lt;/R&gt;&lt;C&gt;1&lt;/C&gt;&lt;D xsi:type="xsd:double"&gt;-1.00939502619512&lt;/D&gt;&lt;/FQL&gt;&lt;FQL&gt;&lt;Q&gt;EPU^PERCENT_CHANGE(FMA_EPS(+1,0,,,,"PORTAGG","MEAN"),FMA_EPS(+1,-1AM,,,,"PORTAGG","MEAN"))&lt;/Q&gt;&lt;R&gt;1&lt;/R&gt;&lt;C&gt;1&lt;/C&gt;&lt;D xsi:type="xsd:double"&gt;1.06736832672121&lt;/D&gt;&lt;/FQL&gt;&lt;FQL&gt;&lt;Q&gt;INDA^FMA_COS_UP("EPS","1M",+1,NOW,,,"PORTAGG","MEANR")&lt;/Q&gt;&lt;R&gt;1&lt;/R&gt;&lt;C&gt;1&lt;/C&gt;&lt;D xsi:type="xsd:double"&gt;53&lt;/D&gt;&lt;/FQL&gt;&lt;FQL&gt;&lt;Q&gt;EPHE^FMA_COS_DOWN("EPS","1M",+1,NOW,,,"PORTAGG","MEANR")&lt;/Q&gt;&lt;R&gt;1&lt;/R&gt;&lt;C&gt;1&lt;/C&gt;&lt;D xsi:type="xsd:double"&gt;13&lt;/D&gt;&lt;/FQL&gt;&lt;FQL&gt;&lt;Q&gt;REFIDRREPO-FDS^PROPER_NAME(0,,,"SECURITY","NAME")&lt;/Q&gt;&lt;R&gt;1&lt;/R&gt;&lt;C&gt;1&lt;/C&gt;&lt;D xsi:type="xsd:string"&gt;Indonesia BI (Reverse) Repo Rate - 7 Day&lt;/D&gt;&lt;/FQL&gt;&lt;FQL&gt;&lt;Q&gt;TRYBR10Y-FDS^PCTCHG(FG_YIELD(0,,,,"YTM"),FG_YIELD(-3AM,,,,"YTM"))&lt;/Q&gt;&lt;R&gt;1&lt;/R&gt;&lt;C&gt;1&lt;/C&gt;&lt;D xsi:type="xsd:double"&gt;8.174797&lt;/D&gt;&lt;/FQL&gt;&lt;FQL&gt;&lt;Q&gt;TRYSA10Y-FDS^FG_YIELD(0,,,,"YTM")&lt;/Q&gt;&lt;R&gt;1&lt;/R&gt;&lt;C&gt;1&lt;/C&gt;&lt;D xsi:type="xsd:double"&gt;5.5183163&lt;/D&gt;&lt;/FQL&gt;&lt;FQL&gt;&lt;Q&gt;CC_GR^IMF_IFS_RCPI_Q(0)&lt;/Q&gt;&lt;R&gt;0&lt;/R&gt;&lt;C&gt;0&lt;/C&gt;&lt;/FQL&gt;&lt;FQL&gt;&lt;Q&gt;EPHE^FMA_COS_UP("EPS","1M",+1,NOW,,,"PORTAGG","MEANR")&lt;/Q&gt;&lt;R&gt;1&lt;/R&gt;&lt;C&gt;1&lt;/C&gt;&lt;D xsi:type="xsd:double"&gt;11&lt;/D&gt;&lt;/FQL&gt;&lt;FQL&gt;&lt;Q&gt;MCHI^FG_COMPANY_NAME&lt;/Q&gt;&lt;R&gt;1&lt;/R&gt;&lt;C&gt;1&lt;/C&gt;&lt;D xsi:type="xsd:string"&gt;iShares MSCI China ETF&lt;/D&gt;&lt;/FQL&gt;&lt;FQL&gt;&lt;Q&gt;UAE^FMA_PE(LTMA,-10AY,0,AM,"PORTAGG","MEANR")&lt;/Q&gt;&lt;R&gt;121&lt;/R&gt;&lt;C&gt;1&lt;/C&gt;&lt;D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xsi:type="xsd:double"&gt;12.1380216727148&lt;/D&gt;&lt;D xsi:type="xsd:double"&gt;12.7259459817061&lt;/D&gt;&lt;D xsi:type="xsd:double"&gt;12.8217680786303&lt;/D&gt;&lt;D xsi:type="xsd:double"&gt;13.4955075964412&lt;/D&gt;&lt;D xsi:type="xsd:double"&gt;13.7577535578733&lt;/D&gt;&lt;D xsi:type="xsd:double"&gt;13.4963345093629&lt;/D&gt;&lt;D xsi:type="xsd:double"&gt;13.6470482098043&lt;/D&gt;&lt;D xsi:type="xsd:double"&gt;12.961643899009&lt;/D&gt;&lt;D xsi:type="xsd:double"&gt;13.3468019415394&lt;/D&gt;&lt;D xsi:type="xsd:double"&gt;13.7092510361375&lt;/D&gt;&lt;D xsi:type="xsd:double"&gt;12.089517716546&lt;/D&gt;&lt;D xsi:type="xsd:double"&gt;12.0750336100751&lt;/D&gt;&lt;D xsi:type="xsd:double"&gt;12.2016629163545&lt;/D&gt;&lt;D xsi:type="xsd:double"&gt;12.4195064983825&lt;/D&gt;&lt;D xsi:type="xsd:double"&gt;13.0746238895343&lt;/D&gt;&lt;D xsi:type="xsd:double"&gt;13.3050031237525&lt;/D&gt;&lt;D xsi:type="xsd:double"&gt;13.1954620462365&lt;/D&gt;&lt;D xsi:type="xsd:double"&gt;13.0873852895696&lt;/D&gt;&lt;D xsi:type="xsd:double"&gt;13.6541815322181&lt;/D&gt;&lt;D xsi:type="xsd:double"&gt;13.5993257910922&lt;/D&gt;&lt;D xsi:type="xsd:double"&gt;13.4813966685437&lt;/D&gt;&lt;D xsi:type="xsd:double"&gt;13.426948072052&lt;/D&gt;&lt;D xsi:type="xsd:double"&gt;12.6495547411964&lt;/D&gt;&lt;D xsi:type="xsd:double"&gt;12.7048237998429&lt;/D&gt;&lt;D xsi:type="xsd:double"&gt;13.5108030802026&lt;/D&gt;&lt;D xsi:type="xsd:double"&gt;13.5463670009058&lt;/D&gt;&lt;D xsi:type="xsd:double"&gt;13.3423337538435&lt;/D&gt;&lt;D xsi:type="xsd:double"&gt;13.287774347876&lt;/D&gt;&lt;D xsi:type="xsd:double"&gt;13.196108034034&lt;/D&gt;&lt;D xsi:type="xsd:double"&gt;12.9287487420743&lt;/D&gt;&lt;D xsi:type="xsd:double"&gt;13.0775100658811&lt;/D&gt;&lt;D xsi:type="xsd:double"&gt;13.0130709328631&lt;/D&gt;&lt;D xsi:type="xsd:double"&gt;12.3984077339627&lt;/D&gt;&lt;D xsi:type="xsd:double"&gt;12.4187480123048&lt;/D&gt;&lt;D xsi:type="xsd:double"&gt;11.4835092089182&lt;/D&gt;&lt;D xsi:type="xsd:double"&gt;11.7019959905908&lt;/D&gt;&lt;D xsi:type="xsd:double"&gt;12.4637981938988&lt;/D&gt;&lt;D xsi:type="xsd:double"&gt;12.4862283407948&lt;/D&gt;&lt;D xsi:type="xsd:double"&gt;12.3572595761627&lt;/D&gt;&lt;D xsi:type="xsd:double"&gt;12.4159406668306&lt;/D&gt;&lt;D xsi:type="xsd:double"&gt;11.9474272291493&lt;/D&gt;&lt;D xsi:type="xsd:double"&gt;11.9773712654617&lt;/D&gt;&lt;D xsi:type="xsd:double"&gt;12.2081484019255&lt;/D&gt;&lt;D xsi:type="xsd:double"&gt;12.1412415285192&lt;/D&gt;&lt;D xsi:type="xsd:double"&gt;12.7704005097809&lt;/D&gt;&lt;D xsi:type="xsd:double"&gt;12.6267544506227&lt;/D&gt;&lt;D xsi:type="xsd:double"&gt;13.006633073736&lt;/D&gt;&lt;D xsi:type="xsd:double"&gt;11.9654479201523&lt;/D&gt;&lt;D xsi:type="xsd:double"&gt;11.956436920481&lt;/D&gt;&lt;D xsi:type="xsd:double"&gt;12.0017756227472&lt;/D&gt;&lt;D xsi:type="xsd:double"&gt;12.7789351633085&lt;/D&gt;&lt;D xsi:type="xsd:double"&gt;12.8607688093344&lt;/D&gt;&lt;D xsi:type="xsd:double"&gt;12.3347366799427&lt;/D&gt;&lt;D xsi:type="xsd:double"&gt;12.7304396835239&lt;/D&gt;&lt;D xsi:type="xsd:double"&gt;13.0774587962153&lt;/D&gt;&lt;D xsi:type="xsd:double"&gt;13.735164364711&lt;/D&gt;&lt;D xsi:type="xsd:double"&gt;14.5771763153384&lt;/D&gt;&lt;D xsi:type="xsd:double"&gt;14.2506650096439&lt;/D&gt;&lt;D xsi:type="xsd:double"&gt;14.5299262514804&lt;/D&gt;&lt;D xsi:type="xsd:double"&gt;15.930517184415&lt;/D&gt;&lt;D xsi:type="xsd:double"&gt;16.1477028242452&lt;/D&gt;&lt;D xsi:type="xsd:double"&gt;15.1130933291385&lt;/D&gt;&lt;D xsi:type="xsd:double"&gt;13.7894957195831&lt;/D&gt;&lt;D xsi:type="xsd:double"&gt;15.1785186553661&lt;/D&gt;&lt;D xsi:type="xsd:double"&gt;16.1307177470977&lt;/D&gt;&lt;D xsi:type="xsd:double"&gt;17.5972586517207&lt;/D&gt;&lt;D xsi:type="xsd:double"&gt;18.0935115713341&lt;/D&gt;&lt;D xsi:type="xsd:double"&gt;16.186495939128&lt;/D&gt;&lt;D xsi:type="xsd:double"&gt;17.710830102808&lt;/D&gt;&lt;D xsi:type="xsd:double"&gt;16.0249897738563&lt;/D&gt;&lt;D xsi:type="xsd:double"&gt;25.9279085006517&lt;/D&gt;&lt;D xsi:type="xsd:double"&gt;24.4974556917447&lt;/D&gt;&lt;D xsi:type="xsd:double"&gt;24.8213893954164&lt;/D&gt;&lt;D xsi:type="xsd:double"&gt;27.8114587953735&lt;/D&gt;&lt;D xsi:type="xsd:double"&gt;26.9345766781599&lt;/D&gt;&lt;D xsi:type="xsd:double"&gt;25.5458457069669&lt;/D&gt;&lt;D xsi:type="xsd:double"&gt;24.3211398417221&lt;/D&gt;&lt;D xsi:type="xsd:double"&gt;23.5226872165997&lt;/D&gt;&lt;D xsi:type="xsd:double"&gt;22.2523249392012&lt;/D&gt;&lt;D xsi:type="xsd:double"&gt;21.3302158046807&lt;/D&gt;&lt;D xsi:type="xsd:double"&gt;20.3303928036783&lt;/D&gt;&lt;D xsi:type="xsd:double"&gt;18.9196096440992&lt;/D&gt;&lt;D xsi:type="xsd:double"&gt;19.0364824511502&lt;/D&gt;&lt;D xsi:type="xsd:double"&gt;18.0789604543439&lt;/D&gt;&lt;D xsi:type="xsd:double"&gt;16.5853504607206&lt;/D&gt;&lt;D xsi:type="xsd:double"&gt;16.8330932190324&lt;/D&gt;&lt;D xsi:type="xsd:double"&gt;17.2480534492759&lt;/D&gt;&lt;D xsi:type="xsd:double"&gt;17.3880985023951&lt;/D&gt;&lt;D xsi:type="xsd:double"&gt;16.7930657191355&lt;/D&gt;&lt;D xsi:type="xsd:double"&gt;15.9952890554234&lt;/D&gt;&lt;D xsi:type="xsd:double"&gt;15.3907282082645&lt;/D&gt;&lt;D xsi:type="xsd:double"&gt;15.5719507125832&lt;/D&gt;&lt;D xsi:type="xsd:double"&gt;15.3590910777035&lt;/D&gt;&lt;D xsi:type="xsd:double"&gt;14.2670769666911&lt;/D&gt;&lt;D xsi:type="xsd:double"&gt;13.8786796948564&lt;/D&gt;&lt;D xsi:type="xsd:double"&gt;13.2345175806189&lt;/D&gt;&lt;D xsi:type="xsd:double"&gt;12.5633804344418&lt;/D&gt;&lt;D xsi:type="xsd:double"&gt;12.5845401533704&lt;/D&gt;&lt;D xsi:type="xsd:double"&gt;12.1111903800115&lt;/D&gt;&lt;D xsi:type="xsd:double"&gt;12.1054979043487&lt;/D&gt;&lt;D xsi:type="xsd:double"&gt;11.8833516757187&lt;/D&gt;&lt;D xsi:type="xsd:double"&gt;11.8042196290906&lt;/D&gt;&lt;D xsi:type="xsd:double"&gt;11.7951713277708&lt;/D&gt;&lt;D xsi:type="xsd:double"&gt;11.4912628002973&lt;/D&gt;&lt;D xsi:type="xsd:double"&gt;11.1206851813154&lt;/D&gt;&lt;D xsi:type="xsd:double"&gt;10.5996480518782&lt;/D&gt;&lt;D xsi:type="xsd:double"&gt;10.3842272373254&lt;/D&gt;&lt;D xsi:type="xsd:double"&gt;9.96699153271085&lt;/D&gt;&lt;D xsi:type="xsd:double"&gt;10.1438987334003&lt;/D&gt;&lt;D xsi:type="xsd:double"&gt;9.61770349005738&lt;/D&gt;&lt;D xsi:type="xsd:double"&gt;9.39853132192836&lt;/D&gt;&lt;D xsi:type="xsd:double"&gt;9.38713067821494&lt;/D&gt;&lt;/FQL&gt;&lt;FQL&gt;&lt;Q&gt;TRYKR10Y-FDS^PCTCHG(FG_YIELD(0,,,,"YTM"),FG_YIELD(-3AM,,,,"YTM"))&lt;/Q&gt;&lt;R&gt;1&lt;/R&gt;&lt;C&gt;1&lt;/C&gt;&lt;D xsi:type="xsd:double"&gt;5.7202992&lt;/D&gt;&lt;/FQL&gt;&lt;FQL&gt;&lt;Q&gt;KSA^FMA_EVAL_EBIT(LTMA,NOW,NOW,M,"PORTAGG","MEANR")&lt;/Q&gt;&lt;R&gt;1&lt;/R&gt;&lt;C&gt;1&lt;/C&gt;&lt;D xsi:type="xsd:double"&gt;22.6050843556214&lt;/D&gt;&lt;/FQL&gt;&lt;FQL&gt;&lt;Q&gt;TUR^FG_FCF_YIELD_NTM(0)&lt;/Q&gt;&lt;R&gt;1&lt;/R&gt;&lt;C&gt;1&lt;/C&gt;&lt;D xsi:type="xsd:double"&gt;11.8261605254055&lt;/D&gt;&lt;/FQL&gt;&lt;FQL&gt;&lt;Q&gt;EZA^JULIAN(FMA_DIV_YLD(NTMA,NOW,NOW,M,"PORTAGG","MEANR").DATES)&lt;/Q&gt;&lt;R&gt;1&lt;/R&gt;&lt;C&gt;1&lt;/C&gt;&lt;D xsi:type="xsd:long"&gt;45379&lt;/D&gt;&lt;/FQL&gt;&lt;FQL&gt;&lt;Q&gt;ECH^FG_FCF_YIELD_NTM(0)&lt;/Q&gt;&lt;R&gt;1&lt;/R&gt;&lt;C&gt;1&lt;/C&gt;&lt;D xsi:type="xsd:double"&gt;9.22668832580701&lt;/D&gt;&lt;/FQL&gt;&lt;FQL&gt;&lt;Q&gt;REFKRBASE-FDS^FG_YIELD(NOW,,,0)&lt;/Q&gt;&lt;R&gt;1&lt;/R&gt;&lt;C&gt;1&lt;/C&gt;&lt;D xsi:type="xsd:double"&gt;3.5&lt;/D&gt;&lt;/FQL&gt;&lt;FQL&gt;&lt;Q&gt;FC0000ID^FG_PRICE(0)&lt;/Q&gt;&lt;R&gt;1&lt;/R&gt;&lt;C&gt;1&lt;/C&gt;&lt;D xsi:type="xsd:double"&gt;1074.81&lt;/D&gt;&lt;/FQL&gt;&lt;FQL&gt;&lt;Q&gt;ECH^FG_TOTAL_RETURNC(0,-1AM)&lt;/Q&gt;&lt;R&gt;1&lt;/R&gt;&lt;C&gt;1&lt;/C&gt;&lt;D xsi:type="xsd:double"&gt;-2.3056865&lt;/D&gt;&lt;/FQL&gt;&lt;FQL&gt;&lt;Q&gt;EZA^SIZE(FG_CONSTITUENTS)&lt;/Q&gt;&lt;R&gt;1&lt;/R&gt;&lt;C&gt;1&lt;/C&gt;&lt;D xsi:type="xsd:long"&gt;34&lt;/D&gt;&lt;/FQL&gt;&lt;FQL&gt;&lt;Q&gt;EIDO^SIZE(FG_CONSTITUENTS)&lt;/Q&gt;&lt;R&gt;1&lt;/R&gt;&lt;C&gt;1&lt;/C&gt;&lt;D xsi:type="xsd:long"&gt;77&lt;/D&gt;&lt;/FQL&gt;&lt;FQL&gt;&lt;Q&gt;TRYTR7Y-FDS^FG_YIELD_NAME&lt;/Q&gt;&lt;R&gt;1&lt;/R&gt;&lt;C&gt;1&lt;/C&gt;&lt;D xsi:type="xsd:string"&gt;Treasury - Turkey Benchmark Bond 7Y&lt;/D&gt;&lt;/FQL&gt;&lt;FQL&gt;&lt;Q&gt;REFAEREPO-FDS^(SUBARRAY(NOT_NA(NO_REPEAT_F(FG_YIELD(NOW,-10AY,D))),0,1)-SUBARRAY(NOT_NA(NO_REPEAT_F(FG_YIELD(NOW,-10AY,D))),1,1))*100&lt;/Q&gt;&lt;R&gt;1&lt;/R&gt;&lt;C&gt;1&lt;/C&gt;&lt;D xsi:type="xsd:double"&gt;25&lt;/D&gt;&lt;/FQL&gt;&lt;FQL&gt;&lt;Q&gt;REFCLMPR-FDS^PROPER_NAME(0,,,"SECURITY","NAME")&lt;/Q&gt;&lt;R&gt;1&lt;/R&gt;&lt;C&gt;1&lt;/C&gt;&lt;D xsi:type="xsd:string"&gt;Chile Monetary Policy Rate&lt;/D&gt;&lt;/FQL&gt;&lt;FQL&gt;&lt;Q&gt;MCHI^FMA_PE(NTMA,0,,,"PORTAGG","MEANR")&lt;/Q&gt;&lt;R&gt;1&lt;/R&gt;&lt;C&gt;1&lt;/C&gt;&lt;D xsi:type="xsd:double"&gt;9.3237341550998&lt;/D&gt;&lt;/FQL&gt;&lt;FQL&gt;&lt;Q&gt;REFCNRMB-FDS^FG_YIELD(NOW,,,0)&lt;/Q&gt;&lt;R&gt;1&lt;/R&gt;&lt;C&gt;1&lt;/C&gt;&lt;D xsi:type="xsd:double"&gt;3.45&lt;/D&gt;&lt;/FQL&gt;&lt;FQL&gt;&lt;Q&gt;TRYTR7Y-FDS^FG_YIELD(-10AY,0,Y,,"YTM")&lt;/Q&gt;&lt;R&gt;10&lt;/R&gt;&lt;C&gt;1&lt;/C&gt;&lt;D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</t>
        </r>
      </text>
    </comment>
    <comment ref="A19" authorId="0" shapeId="0" xr:uid="{1E1D7571-2D33-406C-A7BA-70C3A9536E1F}">
      <text>
        <r>
          <rPr>
            <b/>
            <sz val="9"/>
            <color indexed="81"/>
            <rFont val="Tahoma"/>
            <charset val="1"/>
          </rPr>
          <t>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xsi:type="xsd:double"&gt;21.984322&lt;/D&gt;&lt;/FQL&gt;&lt;FQL&gt;&lt;Q&gt;EWW^FG_TOTAL_RETURNC(-10AY,0,AM)&lt;/Q&gt;&lt;R&gt;121&lt;/R&gt;&lt;C&gt;1&lt;/C&gt;&lt;D xsi:type="xsd:double"&gt;6.3812375&lt;/D&gt;&lt;D xsi:type="xsd:double"&gt;2.8681636&lt;/D&gt;&lt;D xsi:type="xsd:double"&gt;2.128613&lt;/D&gt;&lt;D xsi:type="xsd:double"&gt;3.5503626&lt;/D&gt;&lt;D xsi:type="xsd:double"&gt;1.1520147&lt;/D&gt;&lt;D xsi:type="xsd:double"&gt;0.3374219&lt;/D&gt;&lt;D xsi:type="xsd:double"&gt;-7.9445243&lt;/D&gt;&lt;D xsi:type="xsd:double"&gt;0.28920174&lt;/D&gt;&lt;D xsi:type="xsd:double"&gt;-9.559334&lt;/D&gt;&lt;D xsi:type="xsd:double"&gt;-1.5069485&lt;/D&gt;&lt;D xsi:type="xsd:double"&gt;1.5987635&lt;/D&gt;&lt;D xsi:type="xsd:double"&gt;0.3045678&lt;/D&gt;&lt;D xsi:type="xsd:double"&gt;0.5398154&lt;/D&gt;&lt;D xsi:type="xsd:double"&gt;1.5604019&lt;/D&gt;&lt;D xsi:type="xsd:double"&gt;-2.3624659&lt;/D&gt;&lt;D xsi:type="xsd:double"&gt;-2.3034215&lt;/D&gt;&lt;D xsi:type="xsd:double"&gt;-5.4072976&lt;/D&gt;&lt;D xsi:type="xsd:double"&gt;-1.8071175&lt;/D&gt;&lt;D xsi:type="xsd:double"&gt;3.568077&lt;/D&gt;&lt;D xsi:type="xsd:double"&gt;-1.9764304&lt;/D&gt;&lt;D xsi:type="xsd:double"&gt;-5.0961914&lt;/D&gt;&lt;D xsi:type="xsd:double"&gt;-11.407333&lt;/D&gt;&lt;D xsi:type="xsd:double"&gt;6.8318725&lt;/D&gt;&lt;D xsi:type="xsd:double"&gt;10.741913&lt;/D&gt;&lt;D xsi:type="xsd:double"&gt;-1.0945499&lt;/D&gt;&lt;D xsi:type="xsd:double"&gt;-4.579282&lt;/D&gt;&lt;D xsi:type="xsd:double"&gt;-2.6394725&lt;/D&gt;&lt;D xsi:type="xsd:double"&gt;6.632972&lt;/D&gt;&lt;D xsi:type="xsd:double"&gt;3.955567&lt;/D&gt;&lt;D xsi:type="xsd:double"&gt;-12.333643&lt;/D&gt;&lt;D xsi:type="xsd:double"&gt;10.198843&lt;/D&gt;&lt;D xsi:type="xsd:double"&gt;-16.627861&lt;/D&gt;&lt;D xsi:type="xsd:double"&gt;3.2580853&lt;/D&gt;&lt;D xsi:type="xsd:double"&gt;-4.9771786&lt;/D&gt;&lt;D xsi:type="xsd:double"&gt;8.934951&lt;/D&gt;&lt;D xsi:type="xsd:double"&gt;9.514427&lt;/D&gt;&lt;D xsi:type="xsd:double"&gt;2.9558659&lt;/D&gt;&lt;D xsi:type="xsd:double"&gt;-1.590687&lt;/D&gt;&lt;D xsi:type="xsd:double"&gt;7.35265&lt;/D&gt;&lt;D xsi:type="xsd:double"&gt;6.3212037&lt;/D&gt;&lt;D xsi:type="xsd:double"&gt;-0.7159054&lt;/D&gt;&lt;D xsi:type="xsd:double"&gt;-1.6707718&lt;/D&gt;&lt;D xsi:type="xsd:double"&gt;-6.5104604&lt;/D&gt;&lt;D xsi:type="xsd:double"&gt;-3.8454235&lt;/D&gt;&lt;D xsi:type="xsd:double"&gt;1.0346174&lt;/D&gt;&lt;D xsi:type="xsd:double"&gt;4.6885014&lt;/D&gt;&lt;D xsi:type="xsd:double"&gt;-0.98822117&lt;/D&gt;&lt;D xsi:type="xsd:double"&gt;-3.205371&lt;/D&gt;&lt;D xsi:type="xsd:double"&gt;7.2972417&lt;/D&gt;&lt;D xsi:type="xsd:double"&gt;-15.819627&lt;/D&gt;&lt;D xsi:type="xsd:double"&gt;-0.83425045&lt;/D&gt;&lt;D xsi:type="xsd:double"&gt;13.828075&lt;/D&gt;&lt;D xsi:type="xsd:double"&gt;-1.8715441&lt;/D&gt;&lt;D xsi:type="xsd:double"&gt;2.8508306&lt;/D&gt;&lt;D xsi:type="xsd:double"&gt;-7.241851&lt;/D&gt;&lt;D xsi:type="xsd:double"&gt;-12.920875&lt;/D&gt;&lt;D xsi:type="xsd:double"&gt;-2.4606466&lt;/D&gt;&lt;D xsi:type="xsd:double"&gt;12.703169&lt;/D&gt;&lt;D xsi:type="xsd:double"&gt;-2.8400242&lt;/D&gt;&lt;D xsi:type="xsd:double"&gt;0.22835732&lt;/D&gt;&lt;D xsi:type="xsd:double"&gt;7.382095&lt;/D&gt;&lt;D xsi:type="xsd:double"&gt;-6.1531963&lt;/D&gt;&lt;D xsi:type="xsd:double"&gt;0.72318316&lt;/D&gt;&lt;D xsi:type="xsd:double"&gt;-1.9010484&lt;/D&gt;&lt;D xsi:type="xsd:double"&gt;-8.662158&lt;/D&gt;&lt;D xsi:type="xsd:double"&gt;10.864008&lt;/D&gt;&lt;D xsi:type="xsd:double"&gt;2.2135139&lt;/D&gt;&lt;D xsi:type="xsd:double"&gt;0.045108795&lt;/D&gt;&lt;D xsi:type="xsd:double"&gt;5.4114103&lt;/D&gt;&lt;D xsi:type="xsd:double"&gt;3.670907&lt;/D&gt;&lt;D xsi:type="xsd:double"&gt;-1.1039317&lt;/D&gt;&lt;D xsi:type="xsd:double"&gt;-39.44819&lt;/D&gt;&lt;D xsi:type="xsd:double"&gt;-1.8782616&lt;/D&gt;&lt;D xsi:type="xsd:double"&gt;7.8695536&lt;/D&gt;&lt;D xsi:type="xsd:double"&gt;5.887699&lt;/D&gt;&lt;D xsi:type="xsd:double"&gt;-1.9937694&lt;/D&gt;&lt;D xsi:type="xsd:double"&gt;9.821999&lt;/D&gt;&lt;D xsi:type="xsd:double"&gt;-3.4732282&lt;/D&gt;&lt;D xsi:type="xsd:double"&gt;5.727136&lt;/D&gt;&lt;D xsi:type="xsd:double"&gt;15.825308&lt;/D&gt;&lt;D xsi:type="xsd:double"&gt;5.1502824&lt;/D&gt;&lt;D xsi:type="xsd:double"&gt;4.7826767&lt;/D&gt;&lt;D xsi:type="xsd:double"&gt;-5.777878&lt;/D&gt;&lt;D xsi:type="xsd:double"&gt;5.798137&lt;/D&gt;&lt;D xsi:type="xsd:double"&gt;5.0744295&lt;/D&gt;&lt;D xsi:type="xsd:double"&gt;2.7688384&lt;/D&gt;&lt;D xsi:type="xsd:double"&gt;-1.4476538&lt;/D&gt;&lt;D xsi:type="xsd:double"&gt;3.4814239&lt;/D&gt;&lt;D xsi:type="xsd:double"&gt;3.0134082&lt;/D&gt;&lt;D xsi:type="xsd:double"&gt;-0.42075515&lt;/D&gt;&lt;D xsi:type="xsd:double"&gt;0.2414465&lt;/D&gt;&lt;D xsi:type="xsd:double"&gt;-4.576474&lt;/D&gt;&lt;D xsi:type="xsd:double"&gt;4.168451&lt;/D&gt;&lt;D xsi:type="xsd:double"&gt;3.4814596&lt;/D&gt;&lt;D xsi:type="xsd:double"&gt;-0.63328743&lt;/D&gt;&lt;D xsi:type="xsd:double"&gt;4.740095&lt;/D&gt;&lt;D xsi:type="xsd:double"&gt;1.5782475&lt;/D&gt;&lt;D xsi:type="xsd:double"&gt;-7.0385575&lt;/D&gt;&lt;D xsi:type="xsd:double"&gt;-6.337726&lt;/D&gt;&lt;D xsi:type="xsd:double"&gt;-0.54573417&lt;/D&gt;&lt;D xsi:type="xsd:double"&gt;5.0263286&lt;/D&gt;&lt;D xsi:type="xsd:double"&gt;-3.9498448&lt;/D&gt;&lt;D xsi:type="xsd:double"&gt;0.6744981&lt;/D&gt;&lt;D xsi:type="xsd:double"&gt;15.30149&lt;/D&gt;&lt;D xsi:type="xsd:double"&gt;-5.01014&lt;/D&gt;&lt;D xsi:type="xsd:double"&gt;12.867498&lt;/D&gt;&lt;D xsi:type="xsd:double"&gt;4.4424653&lt;/D&gt;&lt;D xsi:type="xsd:double"&gt;-6.747526&lt;/D&gt;&lt;D xsi:type="xsd:double"&gt;9.379005&lt;/D&gt;&lt;D xsi:type="xsd:double"&gt;4.103172&lt;/D&gt;&lt;D xsi:type="xsd:double"&gt;3.8842797&lt;/D&gt;&lt;D xsi:type="xsd:double"&gt;0.18720627&lt;/D&gt;&lt;D xsi:type="xsd:double"&gt;-3.6904454&lt;/D&gt;&lt;D xsi:type="xsd:double"&gt;-2.7809203&lt;/D&gt;&lt;D xsi:type="xsd:double"&gt;-9.828705&lt;/D&gt;&lt;D xsi:type="xsd:double"&gt;14.514935&lt;/D&gt;&lt;D xsi:type="xsd:double"&gt;10.517001&lt;/D&gt;&lt;D xsi:type="xsd:double"&gt;-5.3820906&lt;/D&gt;&lt;D xsi:type="xsd:double"&gt;5.254936&lt;/D&gt;&lt;D xsi:type="xsd:double"&gt;-0.5200684&lt;/D&gt;&lt;D xsi:type="xsd:double"&gt;-3.0321121&lt;/D&gt;&lt;/FQL&gt;&lt;FQL&gt;&lt;Q&gt;NI-FDS^FG_PRICE(0)/MAX(FG_PRICE(0,-1AY))&lt;/Q&gt;&lt;R&gt;1&lt;/R&gt;&lt;C&gt;1&lt;/C&gt;&lt;D xsi:type="xsd:double"&gt;0.712999216914644&lt;/D&gt;&lt;/FQL&gt;&lt;FQL&gt;&lt;Q&gt;QAT^FG_PRICE_MAVG(0,,,,30)&lt;/Q&gt;&lt;R&gt;1&lt;/R&gt;&lt;C&gt;1&lt;/C&gt;&lt;D xsi:type="xsd:double"&gt;17.6984&lt;/D&gt;&lt;/FQL&gt;&lt;FQL&gt;&lt;Q&gt;EWM^FG_PRICE_MAVG(0,,,,60)&lt;/Q&gt;&lt;R&gt;1&lt;/R&gt;&lt;C&gt;1&lt;/C&gt;&lt;D xsi:type="xsd:double"&gt;21.612667&lt;/D&gt;&lt;/FQL&gt;&lt;FQL&gt;&lt;Q&gt;KSA^FMA_PCT_ABOVE_MAVG(200,0,,,,"PORTAGG")&lt;/Q&gt;&lt;R&gt;1&lt;/R&gt;&lt;C&gt;1&lt;/C&gt;&lt;D xsi:type="xsd:double"&gt;71.6666666666667&lt;/D&gt;&lt;/FQL&gt;&lt;FQL&gt;&lt;Q&gt;GREK^FMA_COS_UP("EPS","1M",+1,NOW,,,"PORTAGG","MEANR")&lt;/Q&gt;&lt;R&gt;1&lt;/R&gt;&lt;C&gt;1&lt;/C&gt;&lt;D xsi:type="xsd:double"&gt;6&lt;/D&gt;&lt;/FQL&gt;&lt;FQL&gt;&lt;Q&gt;EPHE^FMA_RBICS_REV_CURRENT(30, LOC, "PORTAGG")&lt;/Q&gt;&lt;R&gt;1&lt;/R&gt;&lt;C&gt;1&lt;/C&gt;&lt;D xsi:type="xsd:double"&gt;47.200409865303&lt;/D&gt;&lt;/FQL&gt;&lt;FQL&gt;&lt;Q&gt;REFKRBASE-FDS^(SUBARRAY(NOT_NA(NO_REPEAT_F(FG_YIELD(NOW,-10AY,D))),0,1)-SUBARRAY(NOT_NA(NO_REPEAT_F(FG_YIELD(NOW,-10AY,D))),1,1))*100&lt;/Q&gt;&lt;R&gt;1&lt;/R&gt;&lt;C&gt;1&lt;/C&gt;&lt;D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xsi:type="xsd:double"&gt;25&lt;/D&gt;&lt;/FQL&gt;&lt;FQL&gt;&lt;Q&gt;REFCLMPR-FDS^(SUBARRAY(NOT_NA(NO_REPEAT_F(FG_YIELD(NOW,-10AY,D))),0,1)-SUBARRAY(NOT_NA(NO_REPEAT_F(FG_YIELD(NOW,-10AY,D))),1,1))*100&lt;/Q&gt;&lt;R&gt;1&lt;/R&gt;&lt;C&gt;1&lt;/C&gt;&lt;D xsi:type="xsd:double"&gt;-75&lt;/D&gt;&lt;/FQL&gt;&lt;FQL&gt;&lt;Q&gt;TRYMY10Y-FDS^FG_YIELD(0,,,,"YTM")&lt;/Q&gt;&lt;R&gt;1&lt;/R&gt;&lt;C&gt;1&lt;/C&gt;&lt;D xsi:type="xsd:double"&gt;3.960932&lt;/D&gt;&lt;/FQL&gt;&lt;FQL&gt;&lt;Q&gt;CC_BR^IMF_IFS_RCPI_Q(0)&lt;/Q&gt;&lt;R&gt;0&lt;/R&gt;&lt;C&gt;0&lt;/C&gt;&lt;/FQL&gt;&lt;FQL&gt;&lt;Q&gt;VGK^JULIAN(FMA_DIV_YLD(NTMA,NOW,NOW,M,"PORTAGG","MEANR").DATES)&lt;/Q&gt;&lt;R&gt;1&lt;/R&gt;&lt;C&gt;1&lt;/C&gt;&lt;D xsi:type="xsd:long"&gt;45351&lt;/D&gt;&lt;/FQL&gt;&lt;FQL&gt;&lt;Q&gt;CNYA^FG_TOTAL_RETURNC(0,-3AM)&lt;/Q&gt;&lt;R&gt;1&lt;/R&gt;&lt;C&gt;1&lt;/C&gt;&lt;D xsi:type="xsd:double"&gt;9.1097355&lt;/D&gt;&lt;/FQL&gt;&lt;FQL&gt;&lt;Q&gt;VNM^FMA_PE(LTM,0,,,"PORTAGG","MEANR")&lt;/Q&gt;&lt;R&gt;1&lt;/R&gt;&lt;C&gt;1&lt;/C&gt;&lt;D xsi:type="xsd:double"&gt;18.0473031304781&lt;/D&gt;&lt;/FQL&gt;&lt;FQL&gt;&lt;Q&gt;TRYTR7Y-FDS^PCTCHG(FG_YIELD(0,,,,"YTM"),FG_YIELD(-1AM,,,,"YTM"))&lt;/Q&gt;&lt;R&gt;1&lt;/R&gt;&lt;C&gt;1&lt;/C&gt;&lt;D xsi:type="xsd:double"&gt;-0.5592117&lt;/D&gt;&lt;/FQL&gt;&lt;FQL&gt;&lt;Q&gt;EWT^FG_TOTAL_RETURNC(-10AY,0,AM)&lt;/Q&gt;&lt;R&gt;121&lt;/R&gt;&lt;C&gt;1&lt;/C&gt;&lt;D xsi:type="xsd:double"&gt;4.5582056&lt;/D&gt;&lt;D xsi:type="xsd:double"&gt;-0.33534765&lt;/D&gt;&lt;D xsi:type="xsd:double"&gt;4.979813&lt;/D&gt;&lt;D xsi:type="xsd:double"&gt;2.8205156&lt;/D&gt;&lt;D xsi:type="xsd:double"&gt;-0.62345266&lt;/D&gt;&lt;D xsi:type="xsd:double"&gt;0.4391551&lt;/D&gt;&lt;D xsi:type="xsd:double"&gt;-7.1830153&lt;/D&gt;&lt;D xsi:type="xsd:double"&gt;3.7685037&lt;/D&gt;&lt;D xsi:type="xsd:double"&gt;-2.4513364&lt;/D&gt;&lt;D xsi:type="xsd:double"&gt;2.5084734&lt;/D&gt;&lt;D xsi:type="xsd:double"&gt;5.0264597&lt;/D&gt;&lt;D xsi:type="xsd:double"&gt;1.7632246&lt;/D&gt;&lt;D xsi:type="xsd:double"&gt;-2.4133623&lt;/D&gt;&lt;D xsi:type="xsd:double"&gt;3.8046956&lt;/D&gt;&lt;D xsi:type="xsd:double"&gt;-3.543073&lt;/D&gt;&lt;D xsi:type="xsd:double"&gt;-1.773274&lt;/D&gt;&lt;D xsi:type="xsd:double"&gt;-14.571243&lt;/D&gt;&lt;D xsi:type="xsd:double"&gt;3.9999962&lt;/D&gt;&lt;D xsi:type="xsd:double"&gt;4.354143&lt;/D&gt;&lt;D xsi:type="xsd:double"&gt;-5.1460323&lt;/D&gt;&lt;D xsi:type="xsd:double"&gt;-3.1524956&lt;/D&gt;&lt;D xsi:type="xsd:double"&gt;-11.504298&lt;/D&gt;&lt;D xsi:type="xsd:double"&gt;12.786591&lt;/D&gt;&lt;D xsi:type="xsd:double"&gt;9.53871&lt;/D&gt;&lt;D xsi:type="xsd:double"&gt;-2.2840858&lt;/D&gt;&lt;D xsi:type="xsd:double"&gt;-8.035058&lt;/D&gt;&lt;D xsi:type="xsd:double"&gt;8.181095&lt;/D&gt;&lt;D xsi:type="xsd:double"&gt;9.911895&lt;/D&gt;&lt;D xsi:type="xsd:double"&gt;3.1396031&lt;/D&gt;&lt;D xsi:type="xsd:double"&gt;-2.6554406&lt;/D&gt;&lt;D xsi:type="xsd:double"&gt;4.5908213&lt;/D&gt;&lt;D xsi:type="xsd:double"&gt;-4.770994&lt;/D&gt;&lt;D xsi:type="xsd:double"&gt;2.3046017&lt;/D&gt;&lt;D xsi:type="xsd:double"&gt;1.5032172&lt;/D&gt;&lt;D xsi:type="xsd:double"&gt;7.408619&lt;/D&gt;&lt;D xsi:type="xsd:double"&gt;2.0539641&lt;/D&gt;&lt;D xsi:type="xsd:double"&gt;-1.2916803&lt;/D&gt;&lt;D xsi:type="xsd:double"&gt;3.7431479&lt;/D&gt;&lt;D xsi:type="xsd:double"&gt;1.2907028&lt;/D&gt;&lt;D xsi:type="xsd:double"&gt;6.1106324&lt;/D&gt;&lt;D xsi:type="xsd:double"&gt;-1.0371208&lt;/D&gt;&lt;D xsi:type="xsd:double"&gt;3.1991124&lt;/D&gt;&lt;D xsi:type="xsd:double"&gt;0.8551717&lt;/D&gt;&lt;D xsi:type="xsd:double"&gt;0.079488754&lt;/D&gt;&lt;D xsi:type="xsd:double"&gt;-2.88589&lt;/D&gt;&lt;D xsi:type="xsd:double"&gt;7.2910786&lt;/D&gt;&lt;D xsi:type="xsd:double"&gt;-1.2026131&lt;/D&gt;&lt;D xsi:type="xsd:double"&gt;1.825881&lt;/D&gt;&lt;D xsi:type="xsd:double"&gt;-1.7931342&lt;/D&gt;&lt;D xsi:type="xsd:double"&gt;-2.937287&lt;/D&gt;&lt;D xsi:type="xsd:double"&gt;-1.1995614&lt;/D&gt;&lt;D xsi:type="xsd:double"&gt;1.2417078&lt;/D&gt;&lt;D xsi:type="xsd:double"&gt;-0.43608546&lt;/D&gt;&lt;D xsi:type="xsd:double"&gt;0.82125664&lt;/D&gt;&lt;D xsi:type="xsd:double"&gt;-10.073317&lt;/D&gt;&lt;D xsi:type="xsd:double"&gt;0.5736828&lt;/D&gt;&lt;D xsi:type="xsd:double"&gt;-1.9274116&lt;/D&gt;&lt;D xsi:type="xsd:double"&gt;2.0524144&lt;/D&gt;&lt;D xsi:type="xsd:double"&gt;1.5779734&lt;/D&gt;&lt;D xsi:type="xsd:double"&gt;4.1120887&lt;/D&gt;&lt;D xsi:type="xsd:double"&gt;5.7343483&lt;/D&gt;&lt;D xsi:type="xsd:double"&gt;-8.384061&lt;/D&gt;&lt;D xsi:type="xsd:double"&gt;3.110838&lt;/D&gt;&lt;D xsi:type="xsd:double"&gt;5.1552534&lt;/D&gt;&lt;D xsi:type="xsd:double"&gt;-4.6518145&lt;/D&gt;&lt;D xsi:type="xsd:double"&gt;6.8653345&lt;/D&gt;&lt;D xsi:type="xsd:double"&gt;3.7725449&lt;/D&gt;&lt;D xsi:type="xsd:double"&gt;5.3477407&lt;/D&gt;&lt;D xsi:type="xsd:double"&gt;5.887103&lt;/D&gt;&lt;D xsi:type="xsd:double"&gt;0.556767&lt;/D&gt;&lt;D xsi:type="xsd:double"&gt;-4.381317&lt;/D&gt;&lt;D xsi:type="xsd:double"&gt;-24.823767&lt;/D&gt;&lt;D xsi:type="xsd:double"&gt;20.864033&lt;/D&gt;&lt;D xsi:type="xsd:double"&gt;3.435862&lt;/D&gt;&lt;D xsi:type="xsd:double"&gt;6.6702366&lt;/D&gt;&lt;D xsi:type="xsd:double"&gt;7.6845884&lt;/D&gt;&lt;D xsi:type="xsd:double"&gt;6.110072&lt;/D&gt;&lt;D xsi:type="xsd:double"&gt;-0.35164952&lt;/D&gt;&lt;D xsi:type="xsd:double"&gt;0.7278323&lt;/D&gt;&lt;D xsi:type="xsd:double"&gt;9.065044&lt;/D&gt;&lt;D xsi:type="xsd:double"&gt;5.4973483&lt;/D&gt;&lt;D xsi:type="xsd:double"&gt;10.87842&lt;/D&gt;&lt;D xsi:type="xsd:double"&gt;4.1972756&lt;/D&gt;&lt;D xsi:type="xsd:double"&gt;-2.9875815&lt;/D&gt;&lt;D xsi:type="xsd:double"&gt;7.7162623&lt;/D&gt;&lt;D xsi:type="xsd:double"&gt;-3.8226724&lt;/D&gt;&lt;D xsi:type="xsd:double"&gt;4.458916&lt;/D&gt;&lt;D xsi:type="xsd:double"&gt;3.021586&lt;/D&gt;&lt;D xsi:type="xsd:double"&gt;-4.5313478&lt;/D&gt;&lt;D xsi:type="xsd:double"&gt;4.5026064&lt;/D&gt;&lt;D xsi:type="xsd:double"&gt;-4.0908394&lt;/D&gt;&lt;D xsi:type="xsd:double"&gt;8.092773&lt;/D&gt;&lt;D xsi:type="xsd:double"&gt;-0.54620504&lt;/D&gt;&lt;D xsi:type="xsd:double"&gt;3.3483148&lt;/D&gt;&lt;D xsi:type="xsd:double"&gt;-1.8149078&lt;/D&gt;&lt;D xsi:type="xsd:double"&gt;-4.491287&lt;/D&gt;&lt;D xsi:type="xsd:double"&gt;-7.533586&lt;/D&gt;&lt;D xsi:type="xsd:double"&gt;-7.0922017&lt;/D&gt;&lt;D xsi:type="xsd:double"&gt;-2.550733&lt;/D&gt;&lt;D xsi:type="xsd:double"&gt;-5.426061&lt;/D&gt;&lt;D xsi:type="xsd:double"&gt;6.7474723&lt;/D&gt;&lt;D xsi:type="xsd:double"&gt;-9.538233&lt;/D&gt;&lt;D xsi:type="xsd:double"&gt;-11.841005&lt;/D&gt;&lt;D xsi:type="xsd:double"&gt;15.353584&lt;/D&gt;&lt;D xsi:type="xsd:double"&gt;-0.6747067&lt;/D&gt;&lt;D xsi:type="xsd:double"&gt;6.110978&lt;/D&gt;&lt;D xsi:type="xsd:double"&gt;2.2575378&lt;/D&gt;&lt;D xsi:type="xsd:double"&gt;-1.8472612&lt;/D&gt;&lt;D xsi:type="xsd:double"&gt;3.0755162&lt;/D&gt;&lt;D xsi:type="xsd:double"&gt;1.1801362&lt;/D&gt;&lt;D xsi:type="xsd:double"&gt;6.6241264&lt;/D&gt;&lt;D xsi:type="xsd:double"&gt;1.0319948&lt;/D&gt;&lt;D xsi:type="xsd:double"&gt;-7.8243136&lt;/D&gt;&lt;D xsi:type="xsd:double"&gt;1.8838763&lt;/D&gt;&lt;D xsi:type="xsd:double"&gt;-3.5022855&lt;/D&gt;&lt;D xsi:type="xsd:double"&gt;7.8223705&lt;/D&gt;&lt;D xsi:type="xsd:double"&gt;3.366077&lt;/D&gt;&lt;D xsi:type="xsd:double"&gt;-1.6610146&lt;/D&gt;&lt;D xsi:type="xsd:double"&gt;6.862974&lt;/D&gt;&lt;D xsi:type="xsd:double"&gt;4.968536&lt;/D&gt;&lt;D xsi:type="xsd:double"&gt;-3.4931839&lt;/D&gt;&lt;/FQL&gt;&lt;FQL&gt;&lt;Q&gt;NI-FDS^FG_PRICE_CHANGE(0,-1AY)&lt;/Q&gt;&lt;R&gt;1&lt;/R&gt;&lt;C&gt;1&lt;/C&gt;&lt;D xsi:type="xsd:double"&gt;-27.0432692307692&lt;/D&gt;&lt;/FQL&gt;&lt;FQL&gt;&lt;Q&gt;VNM^P_PRICE(0)/P_PRICE_HIGH_PR(0,,,,,,"PRICE","INTRA","52W")&lt;/Q&gt;&lt;R&gt;1&lt;/R&gt;&lt;C&gt;1&lt;/C&gt;&lt;D xsi:type="xsd:double"&gt;0.77596676&lt;/D&gt;&lt;/FQL&gt;&lt;FQL&gt;&lt;Q&gt;QAT^P_PRICE(0)/P_PRICE_LOW_PR(0,,,,,,"PRICE","INTRA","52W")-1&lt;/Q&gt;&lt;R&gt;1&lt;/R&gt;&lt;C&gt;1&lt;/C&gt;&lt;D xsi:type="xsd:double"&gt;0.105363965&lt;/D&gt;&lt;/FQL&gt;&lt;FQL&gt;&lt;Q&gt;EZA^FG_TOTAL_RETURNC(0,-12AM)&lt;/Q&gt;&lt;R&gt;1&lt;/R&gt;&lt;C&gt;1&lt;/C&gt;&lt;D xsi:type="xsd:double"&gt;-9.068495&lt;/D&gt;&lt;/FQL&gt;&lt;FQL&gt;&lt;Q&gt;EWW^FMA_PCT_ABOVE_MAVG(200,0,,,,"PORTAGG")&lt;/Q&gt;&lt;R&gt;1&lt;/R&gt;&lt;C&gt;1&lt;/C&gt;&lt;D xsi:type="xsd:double"&gt;52.2727272727273&lt;/D&gt;&lt;/FQL&gt;&lt;FQL&gt;&lt;Q&gt;ECH^PERCENT_CHANGE(FMA_EPS(+1,0,,,,"PORTAGG","MEAN"),FMA_EPS(+1,-3AM,,,,"PORTAGG","MEAN"))&lt;/Q&gt;&lt;R&gt;1&lt;/R&gt;&lt;C&gt;1&lt;/C&gt;&lt;D xsi:type="xsd:double"&gt;-2.79982092806774&lt;/D&gt;&lt;/FQL&gt;&lt;FQL&gt;&lt;Q&gt;KSA^FMA_COS_DOWN("EPS","1M",+1,NOW,,,"PORTAGG","MEANR")&lt;/Q&gt;&lt;R&gt;1&lt;/R&gt;&lt;C&gt;1&lt;/C&gt;&lt;D xsi:type="xsd:double"&gt;34&lt;/D&gt;&lt;/FQL&gt;&lt;FQL&gt;&lt;Q&gt;EZA^FMA_COS_DOWN("EPS","1M",+1,NOW,,,"PORTAGG","MEANR")&lt;/Q&gt;&lt;R&gt;1&lt;/R&gt;&lt;C&gt;1&lt;/C&gt;&lt;D xsi:type="xsd:double"&gt;14&lt;/D&gt;&lt;/FQL&gt;&lt;FQL&gt;&lt;Q&gt;EIDO^FMA_COS_DOWN("EPS","1M",+1,NOW,,,"PORTAGG","MEANR")&lt;/Q&gt;&lt;R&gt;1&lt;/R&gt;&lt;C&gt;1&lt;/C&gt;&lt;D xsi:type="xsd:double"&gt;25&lt;/D&gt;&lt;/FQL&gt;&lt;FQL&gt;&lt;Q&gt;EIDO^FMA_RBICS_REV_CURRENT(30, LOC, "PORTAGG")&lt;/Q&gt;&lt;R&gt;1&lt;/R&gt;&lt;C&gt;1&lt;/C&gt;&lt;D xsi:type="xsd:double"&gt;58.4205434251482&lt;/D&gt;&lt;/FQL&gt;&lt;FQL&gt;&lt;Q&gt;TRYTW10Y-FDS^FG_YIELD(-10AY,0,Y,,"YTM")&lt;/Q&gt;&lt;R&gt;10&lt;/R&gt;&lt;C&gt;1&lt;/C&gt;&lt;D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xsi:type="xsd:double"&gt;1.211&lt;/D&gt;&lt;/FQL&gt;&lt;FQL&gt;&lt;Q&gt;USDMYR^FG_PRICE_CHANGE(0,-3AM)&lt;/Q&gt;&lt;R&gt;1&lt;/R&gt;&lt;C&gt;1&lt;/C&gt;&lt;D xsi:type="xsd:double"&gt;1.3883114&lt;/D&gt;&lt;/FQL&gt;&lt;FQL&gt;&lt;Q&gt;FC0000GR^FMA_EPS(NTMA,-20AY,0,CY,,"PORTAGG","MEANR")&lt;/Q&gt;&lt;R&gt;20&lt;/R&gt;&lt;C&gt;1&lt;/C&gt;&lt;D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xsi:type="xsd:double"&gt;0.580096132576718&lt;/D&gt;&lt;D xsi:type="xsd:double"&gt;0.557417673683109&lt;/D&gt;&lt;D xsi:type="xsd:double"&gt;0.621885469021717&lt;/D&gt;&lt;D xsi:type="xsd:double"&gt;0.869531876625146&lt;/D&gt;&lt;D xsi:type="xsd:double"&gt;1.21959709581891&lt;/D&gt;&lt;/FQL&gt;&lt;FQL&gt;&lt;Q&gt;SET-BKK^FMA_PE(LTMA,-10AY,0,AM,"PORTAGG","MEANR")&lt;/Q&gt;&lt;R&gt;121&lt;/R&gt;&lt;C&gt;1&lt;/C&gt;&lt;D xsi:type="xsd:double"&gt;18.3130738458527&lt;/D&gt;&lt;D xsi:type="xsd:double"&gt;18.0993495896145&lt;/D&gt;&lt;D xsi:type="xsd:double"&gt;17.7198746300696&lt;/D&gt;&lt;D xsi:type="xsd:double"&gt;17.8428623143955&lt;/D&gt;&lt;D xsi:type="xsd:double"&gt;18.8080850931659&lt;/D&gt;&lt;D xsi:type="xsd:double"&gt;19.2140840134277&lt;/D&gt;&lt;D xsi:type="xsd:double"&gt;18.7207549538076&lt;/D&gt;&lt;D xsi:type="xsd:double"&gt;19.8187002547876&lt;/D&gt;&lt;D xsi:type="xsd:double"&gt;19.4075175310456&lt;/D&gt;&lt;D xsi:type="xsd:double"&gt;19.528810853969&lt;/D&gt;&lt;D xsi:type="xsd:double"&gt;22.6479393851056&lt;/D&gt;&lt;D xsi:type="xsd:double"&gt;23.1547878162475&lt;/D&gt;&lt;D xsi:type="xsd:double"&gt;22.529725885477&lt;/D&gt;&lt;D xsi:type="xsd:double"&gt;21.9367705521237&lt;/D&gt;&lt;D xsi:type="xsd:double"&gt;21.2911674309453&lt;/D&gt;&lt;D xsi:type="xsd:double"&gt;20.6972314561529&lt;/D&gt;&lt;D xsi:type="xsd:double"&gt;19.4227505522321&lt;/D&gt;&lt;D xsi:type="xsd:double"&gt;19.0031066676721&lt;/D&gt;&lt;D xsi:type="xsd:double"&gt;18.7643591544555&lt;/D&gt;&lt;D xsi:type="xsd:double"&gt;16.3427605239294&lt;/D&gt;&lt;D xsi:type="xsd:double"&gt;14.616977877518&lt;/D&gt;&lt;D xsi:type="xsd:double"&gt;13.8962235548337&lt;/D&gt;&lt;D xsi:type="xsd:double"&gt;16.001277215638&lt;/D&gt;&lt;D xsi:type="xsd:double"&gt;16.6066987677227&lt;/D&gt;&lt;D xsi:type="xsd:double"&gt;16.4559889768857&lt;/D&gt;&lt;D xsi:type="xsd:double"&gt;16.3300329201495&lt;/D&gt;&lt;D xsi:type="xsd:double"&gt;16.3248407834453&lt;/D&gt;&lt;D xsi:type="xsd:double"&gt;16.6532594211598&lt;/D&gt;&lt;D xsi:type="xsd:double"&gt;16.7197485097683&lt;/D&gt;&lt;D xsi:type="xsd:double"&gt;16.1001488823737&lt;/D&gt;&lt;D xsi:type="xsd:double"&gt;15.9348135703019&lt;/D&gt;&lt;D xsi:type="xsd:double"&gt;15.8178427633143&lt;/D&gt;&lt;D xsi:type="xsd:double"&gt;16.1163835499885&lt;/D&gt;&lt;D xsi:type="xsd:double"&gt;16.3473867678271&lt;/D&gt;&lt;D xsi:type="xsd:double"&gt;16.3671300123503&lt;/D&gt;&lt;D xsi:type="xsd:double"&gt;16.3026720240508&lt;/D&gt;&lt;D xsi:type="xsd:double"&gt;16.2398284033052&lt;/D&gt;&lt;D xsi:type="xsd:double"&gt;16.01374544555&lt;/D&gt;&lt;D xsi:type="xsd:double"&gt;16.1037580014765&lt;/D&gt;&lt;D xsi:type="xsd:double"&gt;15.9091267105874&lt;/D&gt;&lt;D xsi:type="xsd:double"&gt;15.9262376107196&lt;/D&gt;&lt;D xsi:type="xsd:double"&gt;16.5573002277537&lt;/D&gt;&lt;D xsi:type="xsd:double"&gt;16.770404006137&lt;/D&gt;&lt;D xsi:type="xsd:double"&gt;17.0977840156689&lt;/D&gt;&lt;D xsi:type="xsd:double"&gt;17.4441131708732&lt;/D&gt;&lt;D xsi:type="xsd:double"&gt;18.4274349403861&lt;/D&gt;&lt;D xsi:type="xsd:double"&gt;17.9817673436924&lt;/D&gt;&lt;D xsi:type="xsd:double"&gt;17.6600395735414&lt;/D&gt;&lt;D xsi:type="xsd:double"&gt;17.319451537469&lt;/D&gt;&lt;D xsi:type="xsd:double"&gt;17.258758765657&lt;/D&gt;&lt;D xsi:type="xsd:double"&gt;16.7445042512765&lt;/D&gt;&lt;D xsi:type="xsd:double"&gt;16.3041072758716&lt;/D&gt;&lt;D xsi:type="xsd:double"&gt;16.252960903188&lt;/D&gt;&lt;D xsi:type="xsd:double"&gt;16.4571052039718&lt;/D&gt;&lt;D xsi:type="xsd:double"&gt;15.8240091097008&lt;/D&gt;&lt;D xsi:type="xsd:double"&gt;15.2439649817012&lt;/D&gt;&lt;D xsi:type="xsd:double"&gt;14.5411973936623&lt;/D&gt;&lt;D xsi:type="xsd:double"&gt;14.7485165007504&lt;/D&gt;&lt;D xsi:type="xsd:double"&gt;15.570044301568&lt;/D&gt;&lt;D xsi:type="xsd:double"&gt;16.1358273700697&lt;/D&gt;&lt;D xsi:type="xsd:double"&gt;16.1743496758323&lt;/D&gt;&lt;D xsi:type="xsd:double"&gt;15.9301067616834&lt;/D&gt;&lt;D xsi:type="xsd:double"&gt;16.2491089589225&lt;/D&gt;&lt;D xsi:type="xsd:double"&gt;16.498575275677&lt;/D&gt;&lt;D xsi:type="xsd:double"&gt;16.2357076707715&lt;/D&gt;&lt;D xsi:type="xsd:double"&gt;16.5210744254399&lt;/D&gt;&lt;D xsi:type="xsd:double"&gt;16.7545571040719&lt;/D&gt;&lt;D xsi:type="xsd:double"&gt;17.200307560785&lt;/D&gt;&lt;D xsi:type="xsd:double"&gt;16.7810408705987&lt;/D&gt;&lt;D xsi:type="xsd:double"&gt;17.1960961342646&lt;/D&gt;&lt;D xsi:type="xsd:double"&gt;16.4960597105461&lt;/D&gt;&lt;D xsi:type="xsd:double"&gt;14.3662748963991&lt;/D&gt;&lt;D xsi:type="xsd:double"&gt;15.2005792605023&lt;/D&gt;&lt;D xsi:type="xsd:double"&gt;16.6079734282892&lt;/D&gt;&lt;D xsi:type="xsd:double"&gt;18.1352071215831&lt;/D&gt;&lt;D xsi:type="xsd:double"&gt;18.8635082270382&lt;/D&gt;&lt;D xsi:type="xsd:double"&gt;20.2362411339057&lt;/D&gt;&lt;D xsi:type="xsd:double"&gt;21.2380987860436&lt;/D&gt;&lt;D xsi:type="xsd:double"&gt;21.4360137212241&lt;/D&gt;&lt;D xsi:type="xsd:double"&gt;22.9158050486757&lt;/D&gt;&lt;D xsi:type="xsd:double"&gt;25.6000250945076&lt;/D&gt;&lt;D xsi:type="xsd:double"&gt;28.0724961472823&lt;/D&gt;&lt;D xsi:type="xsd:double"&gt;27.8903329819265&lt;/D&gt;&lt;D xsi:type="xsd:double"&gt;27.3627600894968&lt;/D&gt;&lt;D xsi:type="xsd:double"&gt;26.5208849140845&lt;/D&gt;&lt;D xsi:type="xsd:double"&gt;25.2077079804479&lt;/D&gt;&lt;D xsi:type="xsd:double"&gt;24.3547527115282&lt;/D&gt;&lt;D xsi:type="xsd:double"&gt;23.2513094298247&lt;/D&gt;&lt;D xsi:type="xsd:double"&gt;22.1486501055539&lt;/D&gt;&lt;D xsi:type="xsd:double"&gt;21.8549118666183&lt;/D&gt;&lt;D xsi:type="xsd:double"&gt;20.9953832222115&lt;/D&gt;&lt;D xsi:type="xsd:double"&gt;20.2902082453863&lt;/D&gt;&lt;D xsi:type="xsd:double"&gt;19.1310836535161&lt;/D&gt;&lt;D xsi:type="xsd:double"&gt;19.0505692480278&lt;/D&gt;&lt;D xsi:type="xsd:double"&gt;19.2536316174466&lt;/D&gt;&lt;D xsi:type="xsd:double"&gt;18.7885624503391&lt;/D&gt;&lt;D xsi:type="xsd:double"&gt;18.5417821866941&lt;/D&gt;&lt;D xsi:type="xsd:double"&gt;18.209889137481&lt;/D&gt;&lt;D xsi:type="xsd:double"&gt;17.5930026655026&lt;/D&gt;&lt;D xsi:type="xsd:double"&gt;17.2860989241221&lt;/D&gt;&lt;D xsi:type="xsd:double"&gt;17.2811897219667&lt;/D&gt;&lt;D xsi:type="xsd:double"&gt;16.8404901485774&lt;/D&gt;&lt;D xsi:type="xsd:double"&gt;16.2690411911776&lt;/D&gt;&lt;D xsi:type="xsd:double"&gt;16.6285934100244&lt;/D&gt;&lt;D xsi:type="xsd:double"&gt;16.4902586638437&lt;/D&gt;&lt;D xsi:type="xsd:double"&gt;17.1492363741162&lt;/D&gt;&lt;D xsi:type="xsd:double"&gt;17.4590229647908&lt;/D&gt;&lt;D xsi:type="xsd:double"&gt;17.2853522774586&lt;/D&gt;&lt;D xsi:type="xsd:double"&gt;17.3023624368028&lt;/D&gt;&lt;D xsi:type="xsd:double"&gt;17.1162476165966&lt;/D&gt;&lt;D xsi:type="xsd:double"&gt;17.3183666789812&lt;/D&gt;&lt;D xsi:type="xsd:double"&gt;17.3270967681419&lt;/D&gt;&lt;D xsi:type="xsd:double"&gt;17.3794927741247&lt;/D&gt;&lt;D xsi:type="xsd:double"&gt;17.4183750147765&lt;/D&gt;&lt;D xsi:type="xsd:double"&gt;16.8455168502304&lt;/D&gt;&lt;D xsi:type="xsd:double"&gt;16.5154692229841&lt;/D&gt;&lt;D xsi:type="xsd:double"&gt;16.1352874979707&lt;/D&gt;&lt;D xsi:type="xsd:double"&gt;15.4579712171051&lt;/D&gt;&lt;D xsi:type="xsd:double"&gt;16.0918483282551&lt;/D&gt;&lt;D xsi:type="xsd:double"&gt;16.8119841830972&lt;/D&gt;&lt;D xsi:type="xsd:double"&gt;16.5639439582038&lt;/D&gt;&lt;/FQL&gt;&lt;FQL&gt;&lt;Q&gt;MCHI^FG_PRICE_MAVG(0,,,,200)&lt;/Q&gt;&lt;R&gt;1&lt;/R&gt;&lt;C&gt;1&lt;/C&gt;&lt;D xsi:type="xsd:double"&gt;41.91435&lt;/D&gt;&lt;/FQL&gt;&lt;FQL&gt;&lt;Q&gt;EWM^FG_PRICE(0)&lt;/Q&gt;&lt;R&gt;1&lt;/R&gt;&lt;C&gt;1&lt;/C&gt;&lt;D xsi:type="xsd:double"&gt;21.64&lt;/D&gt;&lt;/FQL&gt;&lt;FQL&gt;&lt;Q&gt;EPOL^FG_TOTAL_RETURNC(0,-1AM)&lt;/Q&gt;&lt;R&gt;1&lt;/R&gt;&lt;C&gt;1&lt;/C&gt;&lt;D xsi:type="xsd:double"&gt;1.3111949&lt;/D&gt;&lt;/FQL&gt;&lt;FQL&gt;&lt;Q&gt;ECH^PERCENT_CHANGE(FMA_EPS(+1,0,,,,"PORTAGG","MEAN"),FMA_EPS(+1,-1AM,,,,"PORTAGG","MEAN"))&lt;/Q&gt;&lt;R&gt;1&lt;/R&gt;&lt;C&gt;1&lt;/C&gt;&lt;D xsi:type="xsd:double"&gt;-2.61058854880558&lt;/D&gt;&lt;/FQL&gt;&lt;FQL&gt;&lt;Q&gt;SPY^PERCENT_CHANGE(FMA_EPS(+1,0,,,,"PORTAGG","MEAN"),FMA_EPS(+1,-3AM,,,,"PORTAGG","MEAN"))&lt;/Q&gt;&lt;R&gt;1&lt;/R&gt;&lt;C&gt;1&lt;/C&gt;&lt;D xsi:type="xsd:double"&gt;-0.206187748583798&lt;/D&gt;&lt;/FQL&gt;&lt;FQL&gt;&lt;Q&gt;CNYA^FMA_RBICS_REV_CURRENT(30, LOC, "PORTAGG")&lt;/Q&gt;&lt;R&gt;1&lt;/R&gt;&lt;C&gt;1&lt;/C&gt;&lt;D xsi:type="xsd:double"&gt;20.5882231369326&lt;/D&gt;&lt;/FQL&gt;&lt;FQL&gt;&lt;Q&gt;TRYKR10Y-FDS^PCTCHG(FG_YIELD(0,,,,"YTM"),FG_YIELD(-1AM,,,,"YTM"))&lt;/Q&gt;&lt;R&gt;1&lt;/R&gt;&lt;C&gt;1&lt;/C&gt;&lt;D xsi:type="xsd:double"&gt;3.8751755&lt;/D&gt;&lt;/FQL&gt;&lt;FQL&gt;&lt;Q&gt;CC_TW^IMF_IFS_RCPI_Q(0)&lt;/Q&gt;&lt;R&gt;0&lt;/R&gt;&lt;C&gt;0&lt;/C&gt;&lt;/FQL&gt;&lt;FQL&gt;&lt;Q&gt;KSA^FMA_EVAL_EBITDA(NTMA,0,,,"PORTAGG","MEANR")&lt;/Q&gt;&lt;R&gt;1&lt;/R&gt;&lt;C&gt;1&lt;/C&gt;&lt;D xsi:type="xsd:double"&gt;11.6294733779515&lt;/D&gt;&lt;/FQL&gt;&lt;FQL&gt;&lt;Q&gt;TUR^FMA_DIV_YLD(NTMA,NOW,NOW,M,"PORTAGG","MEANR")&lt;/Q&gt;&lt;R&gt;1&lt;/R&gt;&lt;C&gt;1&lt;/C&gt;&lt;D xsi:type="xsd:double"&gt;4.26452747098913&lt;/D&gt;&lt;/FQL&gt;&lt;FQL&gt;&lt;Q&gt;MCHI^JULIAN(FMA_DIV_YLD(NTMA,NOW,NOW,M,"PORTAGG","MEANR").DATES)&lt;/Q&gt;&lt;R&gt;1&lt;/R&gt;&lt;C&gt;1&lt;/C&gt;&lt;D xsi:type="xsd:long"&gt;45379&lt;/D&gt;&lt;/FQL&gt;&lt;FQL&gt;&lt;Q&gt;EWZ^FMA_EVAL_EBITDA(NTMA,0,,,"PORTAGG","MEANR")&lt;/Q&gt;&lt;R&gt;1&lt;/R&gt;&lt;C&gt;1&lt;/C&gt;&lt;D xsi:type="xsd:double"&gt;4.68711780172639&lt;/D&gt;&lt;/FQL&gt;&lt;FQL&gt;&lt;Q&gt;EPOL^FMA_EVAL_EBITDA(NTMA,0,,,"PORTAGG","MEANR")&lt;/Q&gt;&lt;R&gt;1&lt;/R&gt;&lt;C&gt;1&lt;/C&gt;&lt;D xsi:type="xsd:double"&gt;4.47950458999966&lt;/D&gt;&lt;/FQL&gt;&lt;FQL&gt;&lt;Q&gt;ECH^FMA_DIV_YLD(NTMA,NOW,NOW,M,"PORTAGG","MEANR")&lt;/Q&gt;&lt;R&gt;1&lt;/R&gt;&lt;C&gt;1&lt;/C&gt;&lt;D xsi:type="xsd:double"&gt;6.85048293825983&lt;/D&gt;&lt;/FQL&gt;&lt;FQL&gt;&lt;Q&gt;EPU^FG_PRICE_MAVG(0,,,,60)&lt;/Q&gt;&lt;R&gt;1&lt;/R&gt;&lt;C&gt;1&lt;/C&gt;&lt;D xsi:type="xsd:double"&gt;36.76029&lt;/D&gt;&lt;/FQL&gt;&lt;FQL&gt;&lt;Q&gt;VNM^FG_TOTAL_RETURNC(0,-3AM)&lt;/Q&gt;&lt;R&gt;1&lt;/R&gt;&lt;C&gt;1&lt;/C&gt;&lt;D xsi:type="xsd:double"&gt;-5.9279323&lt;/D&gt;&lt;/FQL&gt;&lt;FQL&gt;&lt;Q&gt;QAT^FG_TOTAL_RETURNC(0,-6AM)&lt;/Q&gt;&lt;R&gt;1&lt;/R&gt;&lt;C&gt;1&lt;/C&gt;&lt;D xsi:type="xsd:double"&gt;3.2200336&lt;/D&gt;&lt;/FQL&gt;&lt;FQL&gt;&lt;Q&gt;EZA^P_PRICE(0)/P_PRICE_HIGH_PR(0,,,,,,"PRICE","INTRA","52W")&lt;/Q&gt;&lt;R&gt;1&lt;/R&gt;&lt;C&gt;1&lt;/C&gt;&lt;D xsi:type="xsd:double"&gt;0.8497501&lt;/D&gt;&lt;/FQL&gt;&lt;FQL&gt;&lt;Q&gt;EWT^P_PRICE(0)/P_PRICE_LOW_PR(0,,,,,,"PRICE","INTRA","52W")-1&lt;/Q&gt;&lt;R&gt;1&lt;/R&gt;&lt;C&gt;1&lt;/C&gt;&lt;D xsi:type="xsd:double"&gt;0.10836792&lt;/D&gt;&lt;/FQL&gt;&lt;FQL&gt;&lt;Q&gt;CNYA^FG_TOTAL_RETURNC(0,-6AM)&lt;/Q&gt;&lt;R&gt;1&lt;/R&gt;&lt;C&gt;1&lt;/C&gt;&lt;D xsi:type="xsd:double"&gt;1.3967276&lt;/D&gt;&lt;/FQL&gt;&lt;FQL&gt;&lt;Q&gt;TRYQA10Y-FDS^FG_YIELD_NAME&lt;/Q&gt;&lt;R&gt;1&lt;/R&gt;&lt;C&gt;1&lt;/C&gt;&lt;D xsi:type="xsd:string"&gt;Treasury - Qatar Benchmark Bond 10Y&lt;/D&gt;&lt;/FQL&gt;&lt;FQL&gt;&lt;Q&gt;REFTR1WREPO-FDS^PROPER_NAME(0,,,"SECURITY","NAME")&lt;/Q&gt;&lt;R&gt;1&lt;/R&gt;&lt;C&gt;1&lt;/C&gt;&lt;D xsi:type="xsd:string"&gt;Turkey Repo Rate - 1 Week&lt;/D&gt;&lt;/FQL&gt;&lt;FQL&gt;&lt;Q&gt;EPOL^FMA_PE(LTM,0,,,"PORTAGG","MEANR")&lt;/Q&gt;&lt;R&gt;1&lt;/R&gt;&lt;C&gt;1&lt;/C&gt;&lt;D xsi:type="xsd:double"&gt;7.28394210349753&lt;/D&gt;&lt;/FQL&gt;&lt;FQL&gt;&lt;Q&gt;EPOL^FG_COMPANY_NAME&lt;/Q&gt;&lt;R&gt;1&lt;/R&gt;&lt;C&gt;1&lt;/C&gt;&lt;D xsi:type="xsd:string"&gt;iShares MSCI Poland ETF&lt;/D&gt;&lt;/FQL&gt;&lt;FQL&gt;&lt;Q&gt;EWM^FMA_DIV_YLD(NTMA,NOW,NOW,M,"PORTAGG","MEANR")&lt;/Q&gt;&lt;R&gt;1&lt;/R&gt;&lt;C&gt;1&lt;/C&gt;&lt;D xsi:type="xsd:double"&gt;4.19345248935773&lt;/D&gt;&lt;/FQL&gt;&lt;FQL&gt;&lt;Q&gt;EWM^FMA_PE(NTMA,0,,,"PORTAGG","MEANR")&lt;/Q&gt;&lt;R&gt;1&lt;/R&gt;&lt;C&gt;1&lt;/C&gt;&lt;D xsi:type="xsd:double"&gt;13.8488484325196&lt;/D&gt;&lt;/FQL&gt;&lt;FQL&gt;&lt;Q&gt;CNYA^FMA_PE(LTM,0,,,"PORTAGG","MEANR")&lt;/Q&gt;&lt;R&gt;1&lt;/R&gt;&lt;C&gt;1&lt;/C&gt;&lt;D xsi:type="xsd:double"&gt;14.1098224544633&lt;/D&gt;&lt;/FQL&gt;&lt;FQL&gt;&lt;Q&gt;TRYDE10Y-FDS^FG_YIELD(-10AY,0,Y,,"YTM")&lt;/Q&gt;&lt;R&gt;10&lt;/R&gt;&lt;C&gt;1&lt;/C&gt;&lt;D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xsi:type="xsd:double"&gt;2.004&lt;/D&gt;&lt;/FQL&gt;&lt;FQL&gt;&lt;Q&gt;USDMYR^FG_PRICE_CHANGE(0,-1AM)&lt;/Q&gt;&lt;R&gt;1&lt;/R&gt;&lt;C&gt;1&lt;/C&gt;&lt;D xsi:type="xsd:double"&gt;1.3775587&lt;/D&gt;&lt;/FQL&gt;&lt;FQL&gt;&lt;Q&gt;EWM^FG_TOTAL_RETURNC(-10AY,0,AM)&lt;/Q&gt;&lt;R&gt;121&lt;/R&gt;&lt;C&gt;1&lt;/C&gt;&lt;D xsi:type="xsd:double"&gt;2.7308226&lt;/D&gt;&lt;D xsi:type="xsd:double"&gt;2.2151828&lt;/D&gt;&lt;D xsi:type="xsd:double"&gt;0.37151575&lt;/D&gt;&lt;D xsi:type="xsd:double"&gt;0.21169186&lt;/D&gt;&lt;D xsi:type="xsd:double"&gt;1.1264086&lt;/D&gt;&lt;D xsi:type="xsd:double"&gt;-4.0222764&lt;/D&gt;&lt;D xsi:type="xsd:double"&gt;-4.0618954&lt;/D&gt;&lt;D xsi:type="xsd:double"&gt;-0.26881695&lt;/D&gt;&lt;D xsi:type="xsd:double"&gt;-8.828056&lt;/D&gt;&lt;D xsi:type="xsd:double"&gt;0.3018856&lt;/D&gt;&lt;D xsi:type="xsd:double"&gt;1.1286616&lt;/D&gt;&lt;D xsi:type="xsd:double"&gt;-0.89285374&lt;/D&gt;&lt;D xsi:type="xsd:double"&gt;2.777779&lt;/D&gt;&lt;D xsi:type="xsd:double"&gt;0.21914244&lt;/D&gt;&lt;D xsi:type="xsd:double"&gt;-8.309042&lt;/D&gt;&lt;D xsi:type="xsd:double"&gt;-1.9932508&lt;/D&gt;&lt;D xsi:type="xsd:double"&gt;-16.269516&lt;/D&gt;&lt;D xsi:type="xsd:double"&gt;2.9440641&lt;/D&gt;&lt;D xsi:type="xsd:double"&gt;5.719733&lt;/D&gt;&lt;D xsi:type="xsd:double"&gt;-7.03336&lt;/D&gt;&lt;D xsi:type="xsd:double"&gt;-0.3879726&lt;/D&gt;&lt;D xsi:type="xsd:double"&gt;-4.653287&lt;/D&gt;&lt;D xsi:type="xsd:double"&gt;11.838436&lt;/D&gt;&lt;D xsi:type="xsd:double"&gt;5.977595&lt;/D&gt;&lt;D xsi:type="xsd:double"&gt;3.8777947&lt;/D&gt;&lt;D xsi:type="xsd:double"&gt;-9.049773&lt;/D&gt;&lt;D xsi:type="xsd:double"&gt;-0.99502206&lt;/D&gt;&lt;D xsi:type="xsd:double"&gt;6.7685723&lt;/D&gt;&lt;D xsi:type="xsd:double"&gt;1.5494704&lt;/D&gt;&lt;D xsi:type="xsd:double"&gt;-5.633807&lt;/D&gt;&lt;D xsi:type="xsd:double"&gt;-0.24874806&lt;/D&gt;&lt;D xsi:type="xsd:double"&gt;-7.793021&lt;/D&gt;&lt;D xsi:type="xsd:double"&gt;-0.6085217&lt;/D&gt;&lt;D xsi:type="xsd:double"&gt;2.2512674&lt;/D&gt;&lt;D xsi:type="xsd:double"&gt;3.023982&lt;/D&gt;&lt;D xsi:type="xsd:double"&gt;3.1713963&lt;/D&gt;&lt;D xsi:type="xsd:double"&gt;0.22890568&lt;/D&gt;&lt;D xsi:type="xsd:double"&gt;3.654158&lt;/D&gt;&lt;D xsi:type="xsd:double"&gt;3.305006&lt;/D&gt;&lt;D xsi:type="xsd:double"&gt;-2.5042534&lt;/D&gt;&lt;D xsi:type="xsd:double"&gt;0.82148314&lt;/D&gt;&lt;D xsi:type="xsd:double"&gt;3.0398011&lt;/D&gt;&lt;D xsi:type="xsd:double"&gt;-1.824826&lt;/D&gt;&lt;D xsi:type="xsd:double"&gt;-0.123906136&lt;/D&gt;&lt;D xsi:type="xsd:double"&gt;4.0632725&lt;/D&gt;&lt;D xsi:type="xsd:double"&gt;7.9973817&lt;/D&gt;&lt;D xsi:type="xsd:double"&gt;2.7737617&lt;/D&gt;&lt;D xsi:type="xsd:double"&gt;-1.3494492&lt;/D&gt;&lt;D xsi:type="xsd:double"&gt;3.5337806&lt;/D&gt;&lt;D xsi:type="xsd:double"&gt;-5.4225206&lt;/D&gt;&lt;D xsi:type="xsd:double"&gt;-5.0058246&lt;/D&gt;&lt;D xsi:type="xsd:double"&gt;0.5953193&lt;/D&gt;&lt;D xsi:type="xsd:double"&gt;0.528121&lt;/D&gt;&lt;D xsi:type="xsd:double"&gt;0.15450716&lt;/D&gt;&lt;D xsi:type="xsd:double"&gt;-5.6464076&lt;/D&gt;&lt;D xsi:type="xsd:double"&gt;0.45781136&lt;/D&gt;&lt;D xsi:type="xsd:double"&gt;-4.9230337&lt;/D&gt;&lt;D xsi:type="xsd:double"&gt;6.3414574&lt;/D&gt;&lt;D xsi:type="xsd:double"&gt;0.06552935&lt;/D&gt;&lt;D xsi:type="xsd:double"&gt;1.1787772&lt;/D&gt;&lt;D xsi:type="xsd:double"&gt;-5.5663404&lt;/D&gt;&lt;D xsi:type="xsd:double"&gt;-2.5702536&lt;/D&gt;&lt;D xsi:type="xsd:double"&gt;4.804158&lt;/D&gt;&lt;D xsi:type="xsd:double"&gt;1.4690876&lt;/D&gt;&lt;D xsi:type="xsd:double"&gt;-5.892253&lt;/D&gt;&lt;D xsi:type="xsd:double"&gt;0.2504468&lt;/D&gt;&lt;D xsi:type="xsd:double"&gt;-0.71377754&lt;/D&gt;&lt;D xsi:type="xsd:double"&gt;2.5880694&lt;/D&gt;&lt;D xsi:type="xsd:double"&gt;-0.36401153&lt;/D&gt;&lt;D xsi:type="xsd:double"&gt;2.5248885&lt;/D&gt;&lt;D xsi:type="xsd:double"&gt;-6.5903544&lt;/D&gt;&lt;D xsi:type="xsd:double"&gt;-25.807655&lt;/D&gt;&lt;D xsi:type="xsd:double"&gt;18.068075&lt;/D&gt;&lt;D xsi:type="xsd:double"&gt;2.8401852&lt;/D&gt;&lt;D xsi:type="xsd:double"&gt;7.2633743&lt;/D&gt;&lt;D xsi:type="xsd:double"&gt;7.0251226&lt;/D&gt;&lt;D xsi:type="xsd:double"&gt;0.3666997&lt;/D&gt;&lt;D xsi:type="xsd:double"&gt;-4.567045&lt;/D&gt;&lt;D xsi:type="xsd:double"&gt;1.1485457&lt;/D&gt;&lt;D xsi:type="xsd:double"&gt;5.185473&lt;/D&gt;&lt;D xsi:type="xsd:double"&gt;4.8218727&lt;/D&gt;&lt;D xsi:type="xsd:double"&gt;-2.6089907&lt;/D&gt;&lt;D xsi:type="xsd:double"&gt;-2.7846336&lt;/D&gt;&lt;D xsi:type="xsd:double"&gt;1.1240005&lt;/D&gt;&lt;D xsi:type="xsd:double"&gt;0&lt;/D&gt;&lt;D xsi:type="xsd:double"&gt;-1.7927587&lt;/D&gt;&lt;D xsi:type="xsd:double"&gt;-0.8044958&lt;/D&gt;&lt;D xsi:type="xsd:double"&gt;-4.9354553&lt;/D&gt;&lt;D xsi:type="xsd:double"&gt;-0.8785963&lt;/D&gt;&lt;D xsi:type="xsd:double"&gt;3.2634974&lt;/D&gt;&lt;D xsi:type="xsd:double"&gt;4.6820164&lt;/D&gt;&lt;D xsi:type="xsd:double"&gt;-5.9634743&lt;/D&gt;&lt;D xsi:type="xsd:double"&gt;-2.9765904&lt;/D&gt;&lt;D xsi:type="xsd:double"&gt;4.5147657&lt;/D&gt;&lt;D xsi:type="xsd:double"&gt;3.5930514&lt;/D&gt;&lt;D xsi:type="xsd:double"&gt;-0.038969517&lt;/D&gt;&lt;D xsi:type="xsd:double"&gt;-0.8187115&lt;/D&gt;&lt;D xsi:type="xsd:double"&gt;-6.68239&lt;/D&gt;&lt;D xsi:type="xsd:double"&gt;-5.9074345&lt;/D&gt;&lt;D xsi:type="xsd:double"&gt;-2.1470964&lt;/D&gt;&lt;D xsi:type="xsd:double"&gt;5.8823586&lt;/D&gt;&lt;D xsi:type="xsd:double"&gt;-4.894185&lt;/D&gt;&lt;D xsi:type="xsd:double"&gt;-7.0468245&lt;/D&gt;&lt;D xsi:type="xsd:double"&gt;7.9800487&lt;/D&gt;&lt;D xsi:type="xsd:double"&gt;4.745579&lt;/D&gt;&lt;D xsi:type="xsd:double"&gt;4.4523597&lt;/D&gt;&lt;D xsi:type="xsd:double"&gt;-3.878945&lt;/D&gt;&lt;D xsi:type="xsd:double"&gt;-5.277157&lt;/D&gt;&lt;D xsi:type="xsd:double"&gt;3.8857698&lt;/D&gt;&lt;D xsi:type="xsd:double"&gt;-2.9292464&lt;/D&gt;&lt;D xsi:type="xsd:double"&gt;-3.8155674999999998&lt;/D&gt;&lt;D xsi:type="xsd:double"&gt;2.8009772&lt;/D&gt;&lt;D xsi:type="xsd:double"&gt;0.047802925&lt;/D&gt;&lt;D xsi:type="xsd:double"&gt;1.2900114&lt;/D&gt;&lt;D xsi:type="xsd:double"&gt;-2.4056613&lt;/D&gt;&lt;D xsi:type="xsd:double"&gt;3.1899452&lt;/D&gt;&lt;D xsi:type="xsd:double"&gt;0&lt;/D&gt;&lt;D xsi:type="xsd:double"&gt;-0.23448467&lt;/D&gt;&lt;D xsi:type="xsd:double"&gt;2.2455812&lt;/D&gt;&lt;D xsi:type="xsd:double"&gt;3.1308413&lt;/D&gt;&lt;D xsi:type="xsd:double"&gt;-1.9483447&lt;/D&gt;&lt;/FQL&gt;&lt;FQL&gt;&lt;Q&gt;QAT^FMA_PE(LTMA,-10AY,0,AM,"PORTAGG","MEANR")&lt;/Q&gt;&lt;R&gt;121&lt;/R&gt;&lt;C&gt;1&lt;/C&gt;&lt;D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xsi:type="xsd:double"&gt;14.6141315995338&lt;/D&gt;&lt;D xsi:type="xsd:double"&gt;15.1763515120075&lt;/D&gt;&lt;D xsi:type="xsd:double"&gt;14.8038942923738&lt;/D&gt;&lt;D xsi:type="xsd:double"&gt;14.7892368614645&lt;/D&gt;&lt;D xsi:type="xsd:double"&gt;14.8409505478249&lt;/D&gt;&lt;D xsi:type="xsd:double"&gt;14.5173639439791&lt;/D&gt;&lt;D xsi:type="xsd:double"&gt;14.653096465998&lt;/D&gt;&lt;D xsi:type="xsd:double"&gt;14.2828531133215&lt;/D&gt;&lt;D xsi:type="xsd:double"&gt;14.0042745707484&lt;/D&gt;&lt;D xsi:type="xsd:double"&gt;14.1061640805469&lt;/D&gt;&lt;D xsi:type="xsd:double"&gt;13.025608710136&lt;/D&gt;&lt;D xsi:type="xsd:double"&gt;10.9091113275245&lt;/D&gt;&lt;D xsi:type="xsd:double"&gt;10.7510548049412&lt;/D&gt;&lt;D xsi:type="xsd:double"&gt;12.2164661008529&lt;/D&gt;&lt;D xsi:type="xsd:double"&gt;12.1381864887064&lt;/D&gt;&lt;D xsi:type="xsd:double"&gt;12.24143314928&lt;/D&gt;&lt;D xsi:type="xsd:double"&gt;12.1044255327437&lt;/D&gt;&lt;D xsi:type="xsd:double"&gt;12.1808022399454&lt;/D&gt;&lt;D xsi:type="xsd:double"&gt;12.6646603765446&lt;/D&gt;&lt;D xsi:type="xsd:double"&gt;13.5050119933986&lt;/D&gt;&lt;D xsi:type="xsd:double"&gt;13.1588262795294&lt;/D&gt;&lt;D xsi:type="xsd:double"&gt;13.4724588475576&lt;/D&gt;&lt;D xsi:type="xsd:double"&gt;12.9786938007699&lt;/D&gt;&lt;D xsi:type="xsd:double"&gt;13.9200594528582&lt;/D&gt;&lt;D xsi:type="xsd:double"&gt;15.0285771219601&lt;/D&gt;&lt;D xsi:type="xsd:double"&gt;14.9374596427881&lt;/D&gt;&lt;D xsi:type="xsd:double"&gt;14.7438808633744&lt;/D&gt;&lt;D xsi:type="xsd:double"&gt;14.7032734660094&lt;/D&gt;&lt;D xsi:type="xsd:double"&gt;14.6160234272547&lt;/D&gt;&lt;D xsi:type="xsd:double"&gt;14.1817098844272&lt;/D&gt;&lt;D xsi:type="xsd:double"&gt;14.124852945779&lt;/D&gt;&lt;D xsi:type="xsd:double"&gt;13.9522477508164&lt;/D&gt;&lt;D xsi:type="xsd:double"&gt;12.7495155455658&lt;/D&gt;&lt;D xsi:type="xsd:double"&gt;12.6011238430923&lt;/D&gt;&lt;D xsi:type="xsd:double"&gt;12.3994315317129&lt;/D&gt;&lt;D xsi:type="xsd:double"&gt;13.0571389517715&lt;/D&gt;&lt;D xsi:type="xsd:double"&gt;13.976211097421&lt;/D&gt;&lt;D xsi:type="xsd:double"&gt;13.4653287366503&lt;/D&gt;&lt;D xsi:type="xsd:double"&gt;12.8107301753772&lt;/D&gt;&lt;D xsi:type="xsd:double"&gt;12.7639465736064&lt;/D&gt;&lt;D xsi:type="xsd:double"&gt;12.5656964727328&lt;/D&gt;&lt;D xsi:type="xsd:double"&gt;12.574202040199&lt;/D&gt;&lt;D xsi:type="xsd:double"&gt;12.6010219347216&lt;/D&gt;&lt;D xsi:type="xsd:double"&gt;12.8103223924326&lt;/D&gt;&lt;D xsi:type="xsd:double"&gt;13.1090362505056&lt;/D&gt;&lt;D xsi:type="xsd:double"&gt;13.4087278052001&lt;/D&gt;&lt;D xsi:type="xsd:double"&gt;13.7369403724251&lt;/D&gt;&lt;D xsi:type="xsd:double"&gt;14.2532169376354&lt;/D&gt;&lt;D xsi:type="xsd:double"&gt;14.7747883795401&lt;/D&gt;&lt;D xsi:type="xsd:double"&gt;13.388312346201&lt;/D&gt;&lt;D xsi:type="xsd:double"&gt;13.5526353097344&lt;/D&gt;&lt;D xsi:type="xsd:double"&gt;13.6317509337455&lt;/D&gt;&lt;D xsi:type="xsd:double"&gt;13.3132047174875&lt;/D&gt;&lt;D xsi:type="xsd:double"&gt;13.6503916943278&lt;/D&gt;&lt;D xsi:type="xsd:double"&gt;13.8578884502916&lt;/D&gt;&lt;D xsi:type="xsd:double"&gt;13.1160895784103&lt;/D&gt;&lt;D xsi:type="xsd:double"&gt;14.0327096476618&lt;/D&gt;&lt;D xsi:type="xsd:double"&gt;14.2296104034892&lt;/D&gt;&lt;D xsi:type="xsd:double"&gt;14.1144404989096&lt;/D&gt;&lt;D xsi:type="xsd:double"&gt;14.4686946731083&lt;/D&gt;&lt;D xsi:type="xsd:double"&gt;15.3983305448433&lt;/D&gt;&lt;D xsi:type="xsd:double"&gt;14.1022910366721&lt;/D&gt;&lt;D xsi:type="xsd:double"&gt;13.6161286328195&lt;/D&gt;&lt;D xsi:type="xsd:double"&gt;13.6508831962907&lt;/D&gt;&lt;D xsi:type="xsd:double"&gt;14.2304121221864&lt;/D&gt;&lt;D xsi:type="xsd:double"&gt;14.8318119967422&lt;/D&gt;&lt;D xsi:type="xsd:double"&gt;15.5187134613235&lt;/D&gt;&lt;D xsi:type="xsd:double"&gt;16.2260937400612&lt;/D&gt;&lt;D xsi:type="xsd:double"&gt;16.1144158054588&lt;/D&gt;&lt;D xsi:type="xsd:double"&gt;16.7459075798021&lt;/D&gt;&lt;D xsi:type="xsd:double"&gt;17.5377935220226&lt;/D&gt;&lt;D xsi:type="xsd:double"&gt;17.3749569959527&lt;/D&gt;&lt;D xsi:type="xsd:double"&gt;17.943869410739&lt;/D&gt;&lt;D xsi:type="xsd:double"&gt;16.4823600386812&lt;/D&gt;&lt;D xsi:type="xsd:double"&gt;16.7738886952073&lt;/D&gt;&lt;D xsi:type="xsd:double"&gt;16.6435323451634&lt;/D&gt;&lt;D xsi:type="xsd:double"&gt;16.4041562454916&lt;/D&gt;&lt;D xsi:type="xsd:double"&gt;16.019302680413&lt;/D&gt;&lt;D xsi:type="xsd:double"&gt;15.5395206151795&lt;/D&gt;&lt;D xsi:type="xsd:double"&gt;15.5068853344099&lt;/D&gt;&lt;D xsi:type="xsd:double"&gt;15.3558695241333&lt;/D&gt;&lt;D xsi:type="xsd:double"&gt;15.4073135915331&lt;/D&gt;&lt;D xsi:type="xsd:double"&gt;15.6044227812508&lt;/D&gt;&lt;D xsi:type="xsd:double"&gt;14.91549823655&lt;/D&gt;&lt;D xsi:type="xsd:double"&gt;15.5913693392762&lt;/D&gt;&lt;D xsi:type="xsd:double"&gt;16.0839453811356&lt;/D&gt;&lt;D xsi:type="xsd:double"&gt;16.2319532714455&lt;/D&gt;&lt;D xsi:type="xsd:double"&gt;16.0277457957001&lt;/D&gt;&lt;D xsi:type="xsd:double"&gt;15.5106921616501&lt;/D&gt;&lt;D xsi:type="xsd:double"&gt;14.8549474964332&lt;/D&gt;&lt;D xsi:type="xsd:double"&gt;14.6116252335016&lt;/D&gt;&lt;D xsi:type="xsd:double"&gt;15.7405814665224&lt;/D&gt;&lt;D xsi:type="xsd:double"&gt;14.8805910269148&lt;/D&gt;&lt;D xsi:type="xsd:double"&gt;14.1650076588448&lt;/D&gt;&lt;D xsi:type="xsd:double"&gt;13.7987669095305&lt;/D&gt;&lt;D xsi:type="xsd:double"&gt;12.3255809623659&lt;/D&gt;&lt;D xsi:type="xsd:double"&gt;11.9058537260435&lt;/D&gt;&lt;</t>
        </r>
      </text>
    </comment>
    <comment ref="A20" authorId="0" shapeId="0" xr:uid="{B86B9763-9D11-41A3-93F7-EAA0721CA917}">
      <text>
        <r>
          <rPr>
            <b/>
            <sz val="9"/>
            <color indexed="81"/>
            <rFont val="Tahoma"/>
            <charset val="1"/>
          </rPr>
          <t>D xsi:type="xsd:double"&gt;11.9734780614079&lt;/D&gt;&lt;D xsi:type="xsd:double"&gt;11.6604184399478&lt;/D&gt;&lt;D xsi:type="xsd:double"&gt;11.6043090249828&lt;/D&gt;&lt;D xsi:type="xsd:double"&gt;11.8237966265374&lt;/D&gt;&lt;D xsi:type="xsd:double"&gt;11.8182812115295&lt;/D&gt;&lt;D xsi:type="xsd:double"&gt;11.8184671447251&lt;/D&gt;&lt;D xsi:type="xsd:double"&gt;11.9755004739526&lt;/D&gt;&lt;D xsi:type="xsd:double"&gt;11.6490021981935&lt;/D&gt;&lt;D xsi:type="xsd:double"&gt;11.3423390958289&lt;/D&gt;&lt;D xsi:type="xsd:double"&gt;11.6810935392465&lt;/D&gt;&lt;D xsi:type="xsd:double"&gt;11.2419067045539&lt;/D&gt;&lt;D xsi:type="xsd:double"&gt;11.625338754835&lt;/D&gt;&lt;D xsi:type="xsd:double"&gt;11.4621258239406&lt;/D&gt;&lt;D xsi:type="xsd:double"&gt;11.4473391818735&lt;/D&gt;&lt;D xsi:type="xsd:double"&gt;11.2740718370333&lt;/D&gt;&lt;/FQL&gt;&lt;FQL&gt;&lt;Q&gt;NI-FDS^FG_PRICE_CHANGE(0,-6AM)&lt;/Q&gt;&lt;R&gt;1&lt;/R&gt;&lt;C&gt;1&lt;/C&gt;&lt;D xsi:type="xsd:double"&gt;-1.40768814293449&lt;/D&gt;&lt;/FQL&gt;&lt;FQL&gt;&lt;Q&gt;TIOS-FDS^FG_PRICE_MAVG(0,,,,30)&lt;/Q&gt;&lt;R&gt;1&lt;/R&gt;&lt;C&gt;1&lt;/C&gt;&lt;D xsi:type="xsd:double"&gt;108.05067&lt;/D&gt;&lt;/FQL&gt;&lt;FQL&gt;&lt;Q&gt;MCHI^FG_PRICE_MAVG(0,,,,60)&lt;/Q&gt;&lt;R&gt;1&lt;/R&gt;&lt;C&gt;1&lt;/C&gt;&lt;D xsi:type="xsd:double"&gt;39.089333&lt;/D&gt;&lt;/FQL&gt;&lt;FQL&gt;&lt;Q&gt;EPU^FG_PRICE_MAVG(0,,,,200)&lt;/Q&gt;&lt;R&gt;1&lt;/R&gt;&lt;C&gt;1&lt;/C&gt;&lt;D xsi:type="xsd:double"&gt;33.071606&lt;/D&gt;&lt;/FQL&gt;&lt;FQL&gt;&lt;Q&gt;EIDO^FMA_COS_UP("EPS","1M",+1,NOW,,,"PORTAGG","MEANR")&lt;/Q&gt;&lt;R&gt;1&lt;/R&gt;&lt;C&gt;1&lt;/C&gt;&lt;D xsi:type="xsd:double"&gt;21&lt;/D&gt;&lt;/FQL&gt;&lt;FQL&gt;&lt;Q&gt;REFKRBASE-FDS^PROPER_NAME(0,,,"SECURITY","NAME")&lt;/Q&gt;&lt;R&gt;1&lt;/R&gt;&lt;C&gt;1&lt;/C&gt;&lt;D xsi:type="xsd:string"&gt;South Korea Base Rate&lt;/D&gt;&lt;/FQL&gt;&lt;FQL&gt;&lt;Q&gt;TRYSA10Y-FDS^PCTCHG(FG_YIELD(0,,,,"YTM"),FG_YIELD(-3AM,,,,"YTM"))&lt;/Q&gt;&lt;R&gt;1&lt;/R&gt;&lt;C&gt;1&lt;/C&gt;&lt;D xsi:type="xsd:double"&gt;6.6299896&lt;/D&gt;&lt;/FQL&gt;&lt;FQL&gt;&lt;Q&gt;TRYPE10Y-FDS^FG_YIELD(0,,,,"YTM")&lt;/Q&gt;&lt;R&gt;1&lt;/R&gt;&lt;C&gt;1&lt;/C&gt;&lt;D xsi:type="xsd:double"&gt;7.562069&lt;/D&gt;&lt;/FQL&gt;&lt;FQL&gt;&lt;Q&gt;KSA^FG_FCF_YIELD_NTM(0)&lt;/Q&gt;&lt;R&gt;0&lt;/R&gt;&lt;C&gt;0&lt;/C&gt;&lt;/FQL&gt;&lt;FQL&gt;&lt;Q&gt;EWT^FMA_EVAL_EBITDA(NTMA,0,,,"PORTAGG","MEANR")&lt;/Q&gt;&lt;R&gt;1&lt;/R&gt;&lt;C&gt;1&lt;/C&gt;&lt;D xsi:type="xsd:double"&gt;9.95018055629489&lt;/D&gt;&lt;/FQL&gt;&lt;FQL&gt;&lt;Q&gt;EPOL^FG_FCF_YIELD_NTM(0)&lt;/Q&gt;&lt;R&gt;0&lt;/R&gt;&lt;C&gt;0&lt;/C&gt;&lt;/FQL&gt;&lt;FQL&gt;&lt;Q&gt;ECH^FMA_PE(NTMA,0,,,"PORTAGG","MEANR")&lt;/Q&gt;&lt;R&gt;1&lt;/R&gt;&lt;C&gt;1&lt;/C&gt;&lt;D xsi:type="xsd:double"&gt;7.82077409873814&lt;/D&gt;&lt;/FQL&gt;&lt;FQL&gt;&lt;Q&gt;EZA^FG_COMPANY_NAME&lt;/Q&gt;&lt;R&gt;1&lt;/R&gt;&lt;C&gt;1&lt;/C&gt;&lt;D xsi:type="xsd:string"&gt;iShares MSCI South Africa ETF&lt;/D&gt;&lt;/FQL&gt;&lt;FQL&gt;&lt;Q&gt;FC0000ZA^FMA_EPS(NTMA,-20AY,0,CY,,"PORTAGG","MEANR")&lt;/Q&gt;&lt;R&gt;20&lt;/R&gt;&lt;C&gt;1&lt;/C&gt;&lt;D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xsi:type="xsd:double"&gt;31.8033411117562&lt;/D&gt;&lt;D xsi:type="xsd:double"&gt;34.3219020121479&lt;/D&gt;&lt;D xsi:type="xsd:double"&gt;36.7799117251597&lt;/D&gt;&lt;D xsi:type="xsd:double"&gt;38.5431317629314&lt;/D&gt;&lt;D xsi:type="xsd:double"&gt;33.8714101516449&lt;/D&gt;&lt;/FQL&gt;&lt;FQL&gt;&lt;Q&gt;NI-FDS^FG_PRICE(0)&lt;/Q&gt;&lt;R&gt;1&lt;/R&gt;&lt;C&gt;1&lt;/C&gt;&lt;D xsi:type="xsd:double"&gt;18210&lt;/D&gt;&lt;/FQL&gt;&lt;FQL&gt;&lt;Q&gt;VNM^SIZE(FG_CONSTITUENTS)&lt;/Q&gt;&lt;R&gt;1&lt;/R&gt;&lt;C&gt;1&lt;/C&gt;&lt;D xsi:type="xsd:long"&gt;46&lt;/D&gt;&lt;/FQL&gt;&lt;FQL&gt;&lt;Q&gt;TRYMX10Y-FDS^PCTCHG(FG_YIELD(0,,,,"YTM"),FG_YIELD(-3AM,,,,"YTM"))&lt;/Q&gt;&lt;R&gt;1&lt;/R&gt;&lt;C&gt;1&lt;/C&gt;&lt;D xsi:type="xsd:double"&gt;7.310886&lt;/D&gt;&lt;/FQL&gt;&lt;FQL&gt;&lt;Q&gt;ECH^SIZE(FG_CONSTITUENTS)&lt;/Q&gt;&lt;R&gt;1&lt;/R&gt;&lt;C&gt;1&lt;/C&gt;&lt;D xsi:type="xsd:long"&gt;29&lt;/D&gt;&lt;/FQL&gt;&lt;FQL&gt;&lt;Q&gt;TRYTH10Y-FDS^FG_YIELD(0,,,,"YTM")&lt;/Q&gt;&lt;R&gt;1&lt;/R&gt;&lt;C&gt;1&lt;/C&gt;&lt;D xsi:type="xsd:double"&gt;2.706015&lt;/D&gt;&lt;/FQL&gt;&lt;FQL&gt;&lt;Q&gt;EWJ^PERCENT_CHANGE(FMA_EPS(+1,0,,,,"PORTAGG","MEAN"),FMA_EPS(+1,-1AM,,,,"PORTAGG","MEAN"))&lt;/Q&gt;&lt;R&gt;1&lt;/R&gt;&lt;C&gt;1&lt;/C&gt;&lt;D xsi:type="xsd:double"&gt;-3.24928630409766&lt;/D&gt;&lt;/FQL&gt;&lt;FQL&gt;&lt;Q&gt;EWT^FMA_DIV_YLD(NTMA,NOW,NOW,M,"PORTAGG","MEANR")&lt;/Q&gt;&lt;R&gt;1&lt;/R&gt;&lt;C&gt;1&lt;/C&gt;&lt;D xsi:type="xsd:double"&gt;3.0998293107007&lt;/D&gt;&lt;/FQL&gt;&lt;FQL&gt;&lt;Q&gt;CC_ID^IMF_IFS_RCPI_Q(0)&lt;/Q&gt;&lt;R&gt;0&lt;/R&gt;&lt;C&gt;0&lt;/C&gt;&lt;/FQL&gt;&lt;FQL&gt;&lt;Q&gt;EPHE^FMA_EVAL_EBIT(LTMA,NOW,NOW,M,"PORTAGG","MEANR")&lt;/Q&gt;&lt;R&gt;1&lt;/R&gt;&lt;C&gt;1&lt;/C&gt;&lt;D xsi:type="xsd:double"&gt;13.4337843084723&lt;/D&gt;&lt;/FQL&gt;&lt;FQL&gt;&lt;Q&gt;EPU^FG_COMPANY_NAME&lt;/Q&gt;&lt;R&gt;1&lt;/R&gt;&lt;C&gt;1&lt;/C&gt;&lt;D xsi:type="xsd:string"&gt;iShares MSCI Peru and Global Exposure ETF&lt;/D&gt;&lt;/FQL&gt;&lt;FQL&gt;&lt;Q&gt;TRYIN10Y-FDS^FG_YIELD(0,,,,"YTM")&lt;/Q&gt;&lt;R&gt;1&lt;/R&gt;&lt;C&gt;1&lt;/C&gt;&lt;D xsi:type="xsd:double"&gt;7.1665&lt;/D&gt;&lt;/FQL&gt;&lt;FQL&gt;&lt;Q&gt;TRYQA10Y-FDS^PCTCHG(FG_YIELD(0,,,,"YTM"),FG_YIELD(-3AM,,,,"YTM"))&lt;/Q&gt;&lt;R&gt;0&lt;/R&gt;&lt;C&gt;0&lt;/C&gt;&lt;/FQL&gt;&lt;FQL&gt;&lt;Q&gt;USDSAR^FG_PRICE_CHANGE(0,-1AM)&lt;/Q&gt;&lt;R&gt;1&lt;/R&gt;&lt;C&gt;1&lt;/C&gt;&lt;D xsi:type="xsd:double"&gt;0.02399683&lt;/D&gt;&lt;/FQL&gt;&lt;FQL&gt;&lt;Q&gt;SPY^FMA_PCT_ABOVE_MAVG(200,0,,,,"PORTAGG")&lt;/Q&gt;&lt;R&gt;1&lt;/R&gt;&lt;C&gt;1&lt;/C&gt;&lt;D xsi:type="xsd:double"&gt;65.0698602794411&lt;/D&gt;&lt;/FQL&gt;&lt;FQL&gt;&lt;Q&gt;EWZ^FMA_COS_UP("EPS","1M",+1,NOW,,,"PORTAGG","MEANR")&lt;/Q&gt;&lt;R&gt;1&lt;/R&gt;&lt;C&gt;1&lt;/C&gt;&lt;D xsi:type="xsd:double"&gt;21&lt;/D&gt;&lt;/FQL&gt;&lt;FQL&gt;&lt;Q&gt;CC_PE^IMF_IFS_RCPI_Q(0)&lt;/Q&gt;&lt;R&gt;0&lt;/R&gt;&lt;C&gt;0&lt;/C&gt;&lt;/FQL&gt;&lt;FQL&gt;&lt;Q&gt;EWZ^FG_FCF_YIELD_NTM(0)&lt;/Q&gt;&lt;R&gt;1&lt;/R&gt;&lt;C&gt;1&lt;/C&gt;&lt;D xsi:type="xsd:double"&gt;9.41453367813715&lt;/D&gt;&lt;/FQL&gt;&lt;FQL&gt;&lt;Q&gt;REFMXTON-FDS^(SUBARRAY(NOT_NA(NO_REPEAT_F(FG_YIELD(NOW,-10AY,D))),0,1)-SUBARRAY(NOT_NA(NO_REPEAT_F(FG_YIELD(NOW,-10AY,D))),1,1))*100&lt;/Q&gt;&lt;R&gt;1&lt;/R&gt;&lt;C&gt;1&lt;/C&gt;&lt;D xsi:type="xsd:double"&gt;-25&lt;/D&gt;&lt;/FQL&gt;&lt;FQL&gt;&lt;Q&gt;TUR^FMA_PE(LTM,0,,,"PORTAGG","MEANR")&lt;/Q&gt;&lt;R&gt;1&lt;/R&gt;&lt;C&gt;1&lt;/C&gt;&lt;D xsi:type="xsd:double"&gt;7.12834196863786&lt;/D&gt;&lt;/FQL&gt;&lt;FQL&gt;&lt;Q&gt;EWT^P_PRICE(0)/P_PRICE_HIGH_PR(0,,,,,,"PRICE","INTRA","52W")&lt;/Q&gt;&lt;R&gt;1&lt;/R&gt;&lt;C&gt;1&lt;/C&gt;&lt;D xsi:type="xsd:double"&gt;0.930265&lt;/D&gt;&lt;/FQL&gt;&lt;FQL&gt;&lt;Q&gt;TRYKR10Y-FDS^FG_YIELD(-10AY,0,Y,,"YTM")&lt;/Q&gt;&lt;R&gt;10&lt;/R&gt;&lt;C&gt;1&lt;/C&gt;&lt;D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xsi:type="xsd:double"&gt;3.1928&lt;/D&gt;&lt;/FQL&gt;&lt;FQL&gt;&lt;Q&gt;USDMYR^FG_PRICE_CHANGE(0,-1AY)&lt;/Q&gt;&lt;R&gt;1&lt;/R&gt;&lt;C&gt;1&lt;/C&gt;&lt;D xsi:type="xsd:double"&gt;7.882273&lt;/D&gt;&lt;/FQL&gt;&lt;FQL&gt;&lt;Q&gt;EPU^FG_TOTAL_RETURNC(-10AY,0,AM)&lt;/Q&gt;&lt;R&gt;121&lt;/R&gt;&lt;C&gt;1&lt;/C&gt;&lt;D xsi:type="xsd:double"&gt;5.44132&lt;/D&gt;&lt;D xsi:type="xsd:double"&gt;4.3598294&lt;/D&gt;&lt;D xsi:type="xsd:double"&gt;0.98741055&lt;/D&gt;&lt;D xsi:type="xsd:double"&gt;3.967321&lt;/D&gt;&lt;D xsi:type="xsd:double"&gt;1.8533826&lt;/D&gt;&lt;D xsi:type="xsd:double"&gt;-1.4722884&lt;/D&gt;&lt;D xsi:type="xsd:double"&gt;-7.751727&lt;/D&gt;&lt;D xsi:type="xsd:double"&gt;-0.4485607&lt;/D&gt;&lt;D xsi:type="xsd:double"&gt;-3.8667738&lt;/D&gt;&lt;D xsi:type="xsd:double"&gt;-4.943919&lt;/D&gt;&lt;D xsi:type="xsd:double"&gt;1.5521765&lt;/D&gt;&lt;D xsi:type="xsd:double"&gt;-7.0243893&lt;/D&gt;&lt;D xsi:type="xsd:double"&gt;3.3228397&lt;/D&gt;&lt;D xsi:type="xsd:double"&gt;4.942453&lt;/D&gt;&lt;D xsi:type="xsd:double"&gt;-2.9089272&lt;/D&gt;&lt;D xsi:type="xsd:double"&gt;-5.7727575&lt;/D&gt;&lt;D xsi:type="xsd:double"&gt;-16.441757&lt;/D&gt;&lt;D xsi:type="xsd:double"&gt;-2.5924385&lt;/D&gt;&lt;D xsi:type="xsd:double"&gt;3.3595085&lt;/D&gt;&lt;D xsi:type="xsd:double"&gt;-6.343806&lt;/D&gt;&lt;D xsi:type="xsd:double"&gt;-8.876681&lt;/D&gt;&lt;D xsi:type="xsd:double"&gt;-9.137994&lt;/D&gt;&lt;D xsi:type="xsd:double"&gt;17.34358&lt;/D&gt;&lt;D xsi:type="xsd:double"&gt;22.217024&lt;/D&gt;&lt;D xsi:type="xsd:double"&gt;11.634135&lt;/D&gt;&lt;D xsi:type="xsd:double"&gt;2.7768254&lt;/D&gt;&lt;D xsi:type="xsd:double"&gt;-0.10006428&lt;/D&gt;&lt;D xsi:type="xsd:double"&gt;11.376131&lt;/D&gt;&lt;D xsi:type="xsd:double"&gt;7.6621294&lt;/D&gt;&lt;D xsi:type="xsd:double"&gt;-8.54581&lt;/D&gt;&lt;D xsi:type="xsd:double"&gt;-0.30636787&lt;/D&gt;&lt;D xsi:type="xsd:double"&gt;-1.1063337&lt;/D&gt;&lt;D xsi:type="xsd:double"&gt;0.8700967&lt;/D&gt;&lt;D xsi:type="xsd:double"&gt;5.285263&lt;/D&gt;&lt;D xsi:type="xsd:double"&gt;4.606807&lt;/D&gt;&lt;D xsi:type="xsd:double"&gt;-5.6662025&lt;/D&gt;&lt;D xsi:type="xsd:double"&gt;0.7731199&lt;/D&gt;&lt;D xsi:type="xsd:double"&gt;1.0327578&lt;/D&gt;&lt;D xsi:type="xsd:double"&gt;-1.3434649&lt;/D&gt;&lt;D xsi:type="xsd:double"&gt;5.6560874&lt;/D&gt;&lt;D xsi:type="xsd:double"&gt;3.7375212&lt;/D&gt;&lt;D xsi:type="xsd:double"&gt;5.115509&lt;/D&gt;&lt;D xsi:type="xsd:double"&gt;8.294082&lt;/D&gt;&lt;D xsi:type="xsd:double"&gt;-1.4012992&lt;/D&gt;&lt;D xsi:type="xsd:double"&gt;-4.6557245&lt;/D&gt;&lt;D xsi:type="xsd:double"&gt;13.858616&lt;/D&gt;&lt;D xsi:type="xsd:double"&gt;-3.4284353&lt;/D&gt;&lt;D xsi:type="xsd:double"&gt;-1.5010774&lt;/D&gt;&lt;D xsi:type="xsd:double"&gt;8.055151&lt;/D&gt;&lt;D xsi:type="xsd:double"&gt;-4.8130693&lt;/D&gt;&lt;D xsi:type="xsd:double"&gt;-3.0573845&lt;/D&gt;&lt;D xsi:type="xsd:double"&gt;-3.040713&lt;/D&gt;&lt;D xsi:type="xsd:double"&gt;-6.112659&lt;/D&gt;&lt;D xsi:type="xsd:double"&gt;-3.8471818&lt;/D&gt;&lt;D xsi:type="xsd:double"&gt;0.81140995&lt;/D&gt;&lt;D xsi:type="xsd:double"&gt;0.055515766&lt;/D&gt;&lt;D xsi:type="xsd:double"&gt;-1.4197409&lt;/D&gt;&lt;D xsi:type="xsd:double"&gt;3.4482718&lt;/D&gt;&lt;D xsi:type="xsd:double"&gt;3.7431717&lt;/D&gt;&lt;D xsi:type="xsd:double"&gt;3.818798&lt;/D&gt;&lt;D xsi:type="xsd:double"&gt;-2.2323608&lt;/D&gt;&lt;D xsi:type="xsd:double"&gt;-7.4727592&lt;/D&gt;&lt;D xsi:type="xsd:double"&gt;2.5845408&lt;/D&gt;&lt;D xsi:type="xsd:double"&gt;5.597317&lt;/D&gt;&lt;D xsi:type="xsd:double"&gt;-12.104422&lt;/D&gt;&lt;D xsi:type="xsd:double"&gt;3.750372&lt;/D&gt;&lt;D xsi:type="xsd:double"&gt;-0.028926134&lt;/D&gt;&lt;D xsi:type="xsd:double"&gt;0.8388758&lt;/D&gt;&lt;D xsi:type="xsd:double"&gt;2.0044684&lt;/D&gt;&lt;D xsi:type="xsd:double"&gt;4.7686696&lt;/D&gt;&lt;D xsi:type="xsd:double"&gt;-7.0750475&lt;/D&gt;&lt;D xsi:type="xsd:double"&gt;-37.286068&lt;/D&gt;&lt;D xsi:type="xsd:double"&gt;15.527666&lt;/D&gt;&lt;D xsi:type="xsd:double"&gt;8.988321&lt;/D&gt;&lt;D xsi:type="xsd:double"&gt;5.623615&lt;/D&gt;&lt;D xsi:type="xsd:double"&gt;2.848351&lt;/D&gt;&lt;D xsi:type="xsd:double"&gt;8.54615&lt;/D&gt;&lt;D xsi:type="xsd:double"&gt;-3.8156629&lt;/D&gt;&lt;D xsi:type="xsd:double"&gt;-0.5345702&lt;/D&gt;&lt;D xsi:type="xsd:double"&gt;5.690515&lt;/D&gt;&lt;D xsi:type="xsd:double"&gt;10.235226&lt;/D&gt;&lt;D xsi:type="xsd:double"&gt;0.25846958&lt;/D&gt;&lt;D xsi:type="xsd:double"&gt;7.8773975&lt;/D&gt;&lt;D xsi:type="xsd:double"&gt;-5.045146&lt;/D&gt;&lt;D xsi:type="xsd:double"&gt;0.19575357&lt;/D&gt;&lt;D xsi:type="xsd:double"&gt;-3.5445154&lt;/D&gt;&lt;D xsi:type="xsd:double"&gt;-17.130493&lt;/D&gt;&lt;D xsi:type="xsd:double"&gt;0.035214424&lt;/D&gt;&lt;D xsi:type="xsd:double"&gt;-11.474836&lt;/D&gt;&lt;D xsi:type="xsd:double"&gt;6.5606356&lt;/D&gt;&lt;D xsi:type="xsd:double"&gt;13.097012&lt;/D&gt;&lt;D xsi:type="xsd:double"&gt;-2.3424566&lt;/D&gt;&lt;D xsi:type="xsd:double"&gt;-2.7101398&lt;/D&gt;&lt;D xsi:type="xsd:double"&gt;19.232141&lt;/D&gt;&lt;D xsi:type="xsd:double"&gt;2.9218793&lt;/D&gt;&lt;D xsi:type="xsd:double"&gt;6.5179586&lt;/D&gt;&lt;D xsi:type="xsd:double"&gt;-5.3304315&lt;/D&gt;&lt;D xsi:type="xsd:double"&gt;-17.968977&lt;/D&gt;&lt;D xsi:type="xsd:double"&gt;1.1300683&lt;/D&gt;&lt;D xsi:type="xsd:double"&gt;-12.315977&lt;/D&gt;&lt;D xsi:type="xsd:double"&gt;8.886158&lt;/D&gt;&lt;D xsi:type="xsd:double"&gt;-4.475367&lt;/D&gt;&lt;D xsi:type="xsd:double"&gt;0.078737736&lt;/D&gt;&lt;D xsi:type="xsd:double"&gt;13.53265&lt;/D&gt;&lt;D xsi:type="xsd:double"&gt;-1.7323315&lt;/D&gt;&lt;D xsi:type="xsd:double"&gt;12.307131&lt;/D&gt;&lt;D xsi:type="xsd:double"&gt;-5.4313064&lt;/D&gt;&lt;D xsi:type="xsd:double"&gt;-3.5810769&lt;/D&gt;&lt;D xsi:type="xsd:double"&gt;10.89698&lt;/D&gt;&lt;D xsi:type="xsd:double"&gt;-5.0868807&lt;/D&gt;&lt;D xsi:type="xsd:double"&gt;7.155454&lt;/D&gt;&lt;D xsi:type="xsd:double"&gt;4.707372&lt;/D&gt;&lt;D xsi:type="xsd:double"&gt;-5.619681&lt;/D&gt;&lt;D xsi:type="xsd:double"&gt;2.150631&lt;/D&gt;&lt;D xsi:type="xsd:double"&gt;-8.47401&lt;/D&gt;&lt;D xsi:type="xsd:double"&gt;5.7472467&lt;/D&gt;&lt;D xsi:type="xsd:double"&gt;10.789692&lt;/D&gt;&lt;D xsi:type="xsd:double"&gt;-0.9129286&lt;/D&gt;&lt;D xsi:type="xsd:double"&gt;6.144798&lt;/D&gt;&lt;D xsi:type="xsd:double"&gt;11.069274&lt;/D&gt;&lt;D xsi:type="xsd:double"&gt;2.4139762&lt;/D&gt;&lt;/FQL&gt;&lt;FQL&gt;&lt;Q&gt;GREK^FMA_PE(LTMA,-10AY,0,AM,"PORTAGG","MEANR")&lt;/Q&gt;&lt;R&gt;121&lt;/R&gt;&lt;C&gt;1&lt;/C&gt;&lt;D xsi:type="xsd:double"&gt;31.6075785486027&lt;/D&gt;&lt;D xsi:type="xsd:double"&gt;30.9044776412101&lt;/D&gt;&lt;D xsi:type="xsd:double"&gt;26.4808372048506&lt;/D&gt;&lt;D xsi:type="xsd:double"&gt;23.7572297992183&lt;/D&gt;&lt;D xsi:type="xsd:double"&gt;21.229577527553&lt;/D&gt;&lt;D xsi:type="xsd:double"&gt;19.3539250229076&lt;/D&gt;&lt;D xsi:type="xsd:double"&gt;17.2483823387288&lt;/D&gt;&lt;D xsi:type="xsd:double"&gt;17.0153789445488&lt;/D&gt;&lt;D xsi:type="xsd:double"&gt;17.3415934032718&lt;/D&gt;&lt;D xsi:type="xsd:double"&gt;12.640628831804&lt;/D&gt;&lt;D xsi:type="xsd:double"&gt;15.291812061168&lt;/D&gt;&lt;D xsi:type="xsd:double"&gt;17.331148430284&lt;/D&gt;&lt;D xsi:type="xsd:double"&gt;16.2725125263857&lt;/D&gt;&lt;D xsi:type="xsd:double"&gt;15.0728409490537&lt;/D&gt;&lt;D xsi:type="xsd:double"&gt;14.0215660352987&lt;/D&gt;&lt;D xsi:type="xsd:double"&gt;13.0432561795631&lt;/D&gt;&lt;D xsi:type="xsd:double"&gt;12.1060863519632&lt;/D&gt;&lt;D xsi:type="xsd:double"&gt;11.4949751616457&lt;/D&gt;&lt;D xsi:type="xsd:double"&gt;11.357811384009&lt;/D&gt;&lt;D xsi:type="xsd:double"&gt;11.7730661940713&lt;/D&gt;&lt;D xsi:type="xsd:double"&gt;-3.04419806302451&lt;/D&gt;&lt;D xsi:type="xsd:double"&gt;-1.39016671490513&lt;/D&gt;&lt;D xsi:type="xsd:double"&gt;-0.327840124074135&lt;/D&gt;&lt;D xsi:type="xsd:double"&gt;0.374744619336467&lt;/D&gt;&lt;D xsi:type="xsd:double"&gt;2.00985961997775&lt;/D&gt;&lt;D xsi:type="xsd:double"&gt;3.537255303437&lt;/D&gt;&lt;D xsi:type="xsd:double"&gt;4.02846820667862&lt;/D&gt;&lt;D xsi:type="xsd:double"&gt;5.36179221208688&lt;/D&gt;&lt;D xsi:type="xsd:double"&gt;6.48931205195354&lt;/D&gt;&lt;D xsi:type="xsd:double"&gt;8.14616546143481&lt;/D&gt;&lt;D xsi:type="xsd:double"&gt;10.8627190500633&lt;/D&gt;&lt;D xsi:type="xsd:double"&gt;13.221595281469&lt;/D&gt;&lt;D xsi:type="xsd:double"&gt;14.2918512728072&lt;/D&gt;&lt;D xsi:type="xsd:double"&gt;14.295215623552&lt;/D&gt;&lt;D xsi:type="xsd:double"&gt;13.7103696081201&lt;/D&gt;&lt;D xsi:type="xsd:double"&gt;14.1720550964735&lt;/D&gt;&lt;D xsi:type="xsd:double"&gt;14.2105931733022&lt;/D&gt;&lt;D xsi:type="xsd:double"&gt;15.1975974638195&lt;/D&gt;&lt;D xsi:type="xsd:double"&gt;15.1155530316651&lt;/D&gt;&lt;D xsi:type="xsd:double"&gt;15.4732591908354&lt;/D&gt;&lt;D xsi:type="xsd:double"&gt;15.1756915167422&lt;/D&gt;&lt;D xsi:type="xsd:double"&gt;14.2807750215831&lt;/D&gt;&lt;D xsi:type="xsd:double"&gt;16.2878252500287&lt;/D&gt;&lt;D xsi:type="xsd:double"&gt;16.0170298764663&lt;/D&gt;&lt;D xsi:type="xsd:double"&gt;20.2298446860557&lt;/D&gt;&lt;D xsi:type="xsd:double"&gt;22.160033673308&lt;/D&gt;&lt;D xsi:type="xsd:double"&gt;24.061362925449&lt;/D&gt;&lt;D xsi:type="xsd:double"&gt;23.4080451453554&lt;/D&gt;&lt;D xsi:type="xsd:double"&gt;22.9370269965157&lt;/D&gt;&lt;D xsi:type="xsd:double"&gt;21.713815153881&lt;/D&gt;&lt;D xsi:type="xsd:double"&gt;21.822381964135&lt;/D&gt;&lt;D xsi:type="xsd:double"&gt;21.3721347999975&lt;/D&gt;&lt;D xsi:type="xsd:double"&gt;20.8329168517876&lt;/D&gt;&lt;D xsi:type="xsd:double"&gt;21.6615939940663&lt;/D&gt;&lt;D xsi:type="xsd:double"&gt;18.9065910265151&lt;/D&gt;&lt;D xsi:type="xsd:double"&gt;18.1094143496296&lt;/D&gt;&lt;D xsi:type="xsd:double"&gt;16.8041412642454&lt;/D&gt;&lt;D xsi:type="xsd:double"&gt;15.2796263922145&lt;/D&gt;&lt;D xsi:type="xsd:double"&gt;17.6688283721036&lt;/D&gt;&lt;D xsi:type="xsd:double"&gt;18.6113091220544&lt;/D&gt;&lt;D xsi:type="xsd:double"&gt;18.4386086373376&lt;/D&gt;&lt;D xsi:type="xsd:double"&gt;17.7153177617696&lt;/D&gt;&lt;D xsi:type="xsd:double"&gt;17.8787699803966&lt;/D&gt;&lt;D xsi:type="xsd:double"&gt;18.3355174039812&lt;/D&gt;&lt;D xsi:type="xsd:double"&gt;16.9871870014746&lt;/D&gt;&lt;D xsi:type="xsd:double"&gt;20.0772348340845&lt;/D&gt;&lt;D xsi:type="xsd:double"&gt;15.8439278438645&lt;/D&gt;&lt;D xsi:type="xsd:double"&gt;15.4191022802577&lt;/D&gt;&lt;D xsi:type="xsd:double"&gt;17.0680385232607&lt;/D&gt;&lt;D xsi:type="xsd:double"&gt;18.8132669674532&lt;/D&gt;&lt;D xsi:type="xsd:double"&gt;15.9239246443075&lt;/D&gt;&lt;D xsi:type="xsd:double"&gt;11.6229042307986&lt;/D&gt;&lt;D xsi:type="xsd:double"&gt;11.9187737642511&lt;/D&gt;&lt;D xsi:type="xsd:double"&gt;12.13167255479&lt;/D&gt;&lt;D xsi:type="xsd:double"&gt;14.6581478643662&lt;/D&gt;&lt;D xsi:type="xsd:double"&gt;15.1494132170946&lt;/D&gt;&lt;D xsi:type="xsd:double"&gt;15.0909558165645&lt;/D&gt;&lt;D xsi:type="xsd:double"&gt;16.1274079668633&lt;/D&gt;&lt;D xsi:type="xsd:double"&gt;14.3733617703935&lt;/D&gt;&lt;D xsi:type="xsd:double"&gt;16.0586994586354&lt;/D&gt;&lt;D xsi:type="xsd:double"&gt;18.7695823650643&lt;/D&gt;&lt;D xsi:type="xsd:double"&gt;17.6835846637069&lt;/D&gt;&lt;D xsi:type="xsd:double"&gt;17.7957403935222&lt;/D&gt;&lt;D xsi:type="xsd:double"&gt;17.5769984751222&lt;/D&gt;&lt;D xsi:type="xsd:double"&gt;17.4294054878562&lt;/D&gt;&lt;D xsi:type="xsd:double"&gt;15.7641922882887&lt;/D&gt;&lt;D xsi:type="xsd:double"&gt;17.0350128892689&lt;/D&gt;&lt;D xsi:type="xsd:double"&gt;16.0920321494374&lt;/D&gt;&lt;D xsi:type="xsd:double"&gt;15.7847166516365&lt;/D&gt;&lt;D xsi:type="xsd:double"&gt;14.0882788764975&lt;/D&gt;&lt;D xsi:type="xsd:double"&gt;14.1267328722671&lt;/D&gt;&lt;D xsi:type="xsd:double"&gt;17.1588518902407&lt;/D&gt;&lt;D xsi:type="xsd:double"&gt;12.6848068054663&lt;/D&gt;&lt;D xsi:type="xsd:double"&gt;-61.2263219799388&lt;/D&gt;&lt;D xsi:type="xsd:double"&gt;-185.935017983562&lt;/D&gt;&lt;D xsi:type="xsd:double"&gt;-90.3025372305089&lt;/D&gt;&lt;D xsi:type="xsd:double"&gt;-79.254391305253&lt;/D&gt;&lt;D xsi:type="xsd:double"&gt;-69.1494008265542&lt;/D&gt;&lt;D xsi:type="xsd:double"&gt;-59.0395055375684&lt;/D&gt;&lt;D xsi:type="xsd:double"&gt;-48.8180097140117&lt;/D&gt;&lt;D xsi:type="xsd:double"&gt;-37.7339731039589&lt;/D&gt;&lt;D xsi:type="xsd:double"&gt;-29.2480345652785&lt;/D&gt;&lt;D xsi:type="xsd:double"&gt;-18.2196355877791&lt;/D&gt;&lt;D xsi:type="xsd:double"&gt;-8.42278742596642&lt;/D&gt;&lt;D xsi:type="xsd:double"&gt;1.07229426474276&lt;/D&gt;&lt;D xsi:type="xsd:double"&gt;6.32192442690964&lt;/D&gt;&lt;D xsi:type="xsd:double"&gt;7.86355280337807&lt;/D&gt;&lt;D xsi:type="xsd:double"&gt;7.62674195467989&lt;/D&gt;&lt;D xsi:type="xsd:double"&gt;7.70126151845776&lt;/D&gt;&lt;D xsi:type="xsd:double"&gt;7.48497115182697&lt;/D&gt;&lt;D xsi:type="xsd:double"&gt;8.0272349814125&lt;/D&gt;&lt;D xsi:type="xsd:double"&gt;8.0728177904755&lt;/D&gt;&lt;D xsi:type="xsd:double"&gt;7.49001405035684&lt;/D&gt;&lt;D xsi:type="xsd:double"&gt;7.18273444424181&lt;/D&gt;&lt;D xsi:type="xsd:double"&gt;6.73019107951027&lt;/D&gt;&lt;D xsi:type="xsd:double"&gt;6.74274797147695&lt;/D&gt;&lt;D xsi:type="xsd:double"&gt;6.357815019363&lt;/D&gt;&lt;D xsi:type="xsd:double"&gt;6.42435915374171&lt;/D&gt;&lt;D xsi:type="xsd:double"&gt;6.6994419397394&lt;/D&gt;&lt;D xsi:type="xsd:double"&gt;6.77949789058463&lt;/D&gt;&lt;D xsi:type="xsd:double"&gt;6.70287753759548&lt;/D&gt;&lt;/FQL&gt;&lt;FQL&gt;&lt;Q&gt;MCHI^FG_PRICE_MAVG(0,,,,30)&lt;/Q&gt;&lt;R&gt;1&lt;/R&gt;&lt;C&gt;1&lt;/C&gt;&lt;D xsi:type="xsd:double"&gt;39.901333&lt;/D&gt;&lt;/FQL&gt;&lt;FQL&gt;&lt;Q&gt;EPU^FG_PRICE_MAVG(0,,,,30)&lt;/Q&gt;&lt;R&gt;1&lt;/R&gt;&lt;C&gt;1&lt;/C&gt;&lt;D xsi:type="xsd:double"&gt;39.12364&lt;/D&gt;&lt;/FQL&gt;&lt;FQL&gt;&lt;Q&gt;UAE^FG_ROE(0)&lt;/Q&gt;&lt;R&gt;1&lt;/R&gt;&lt;C&gt;1&lt;/C&gt;&lt;D xsi:type="xsd:double"&gt;12.7281978942899&lt;/D&gt;&lt;/FQL&gt;&lt;FQL&gt;&lt;Q&gt;VNM^FMA_COS_DOWN("EPS","1M",+1,NOW,,,"PORTAGG","MEANR")&lt;/Q&gt;&lt;R&gt;1&lt;/R&gt;&lt;C&gt;1&lt;/C&gt;&lt;D xsi:type="xsd:double"&gt;7&lt;/D&gt;&lt;/FQL&gt;&lt;FQL&gt;&lt;Q&gt;EWZ^FMA_DIV_YLD(NTMA,NOW,NOW,M,"PORTAGG","MEANR")&lt;/Q&gt;&lt;R&gt;1&lt;/R&gt;&lt;C&gt;1&lt;/C&gt;&lt;D xsi:type="xsd:double"&gt;6.17083660457087&lt;/D&gt;&lt;/FQL&gt;&lt;FQL&gt;&lt;Q&gt;EWZ^P_PRICE(0)/P_PRICE_LOW_PR(0,,,,,,"PRICE","INTRA","52W")-1&lt;/Q&gt;&lt;R&gt;1&lt;/R&gt;&lt;C&gt;1&lt;/C&gt;&lt;D xsi:type="xsd:double"&gt;0.10698533&lt;/D&gt;&lt;/FQL&gt;&lt;FQL&gt;&lt;Q&gt;USDEUR^FG_PRICE_CHANGE(0,-1AM)&lt;/Q&gt;&lt;R&gt;1&lt;/R&gt;&lt;C&gt;1&lt;/C&gt;&lt;D xsi:type="xsd:double"&gt;2.1585107&lt;/D&gt;&lt;/FQL&gt;&lt;FQL&gt;&lt;Q&gt;FC0000KR^FMA_EPS(NTMA,-20AY,0,CY,,"PORTAGG","MEANR")&lt;/Q&gt;&lt;R&gt;20&lt;/R&gt;&lt;C&gt;1&lt;/C&gt;&lt;D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xsi:type="xsd:double"&gt;35.9042781540267&lt;/D&gt;&lt;D xsi:type="xsd:double"&gt;42.8018507761818&lt;/D&gt;&lt;D xsi:type="xsd:double"&gt;51.3050657360859&lt;/D&gt;&lt;D xsi:type="xsd:double"&gt;35.3894151547613&lt;/D&gt;&lt;D xsi:type="xsd:double"&gt;41.7033181412051&lt;/D&gt;&lt;/FQL&gt;&lt;FQL&gt;&lt;Q&gt;MCHI^FMA_DIV_YLD(NTMA,-10AY,0,AM,"PORTAGG","MEANR")&lt;/Q&gt;&lt;R&gt;121&lt;/R&gt;&lt;C&gt;1&lt;/C&gt;&lt;D xsi:type="xsd:double"&gt;3.73062226990285&lt;/D&gt;&lt;D xsi:type="xsd:double"&gt;3.78291205087594&lt;/D&gt;&lt;D xsi:type="xsd:double"&gt;3.66568309666323&lt;/D&gt;&lt;D xsi:type="xsd:double"&gt;3.61653797492343&lt;/D&gt;&lt;D xsi:type="xsd:double"&gt;3.47121543730401&lt;/D&gt;&lt;D xsi:type="xsd:double"&gt;3.59441472744306&lt;/D&gt;&lt;D xsi:type="xsd:double"&gt;3.81142944054071&lt;/D&gt;&lt;D xsi:type="xsd:double"&gt;3.716877742496&lt;/D&gt;&lt;D xsi:type="xsd:double"&gt;3.52377483457253&lt;/D&gt;&lt;D xsi:type="xsd:double"&gt;3.2412769163918&lt;/D&gt;&lt;D xsi:type="xsd:double"&gt;3.10314940746134&lt;/D&gt;&lt;D xsi:type="xsd:double"&gt;3.12270831179689&lt;/D&gt;&lt;D xsi:type="xsd:double"&gt;2.52602417744658&lt;/D&gt;&lt;D xsi:type="xsd:double"&gt;2.58501427666936&lt;/D&gt;&lt;D xsi:type="xsd:double"&gt;2.7746897208161&lt;/D&gt;&lt;D xsi:type="xsd:double"&gt;3.05811300566137&lt;/D&gt;&lt;D xsi:type="xsd:double"&gt;3.26286709709475&lt;/D&gt;&lt;D xsi:type="xsd:double"&gt;3.39160235589192&lt;/D&gt;&lt;D xsi:type="xsd:double"&gt;3.17887791743179&lt;/D&gt;&lt;D xsi:type="xsd:double"&gt;3.24713287457425&lt;/D&gt;&lt;D xsi:type="xsd:double"&gt;3.29907441936571&lt;/D&gt;&lt;D xsi:type="xsd:double"&gt;3.28130532300979&lt;/D&gt;&lt;D xsi:type="xsd:double"&gt;3.24668182844237&lt;/D&gt;&lt;D xsi:type="xsd:double"&gt;2.97609568848594&lt;/D&gt;&lt;D xsi:type="xsd:double"&gt;2.85214026643454&lt;/D&gt;&lt;D xsi:type="xsd:double"&gt;3.05874035441863&lt;/D&gt;&lt;D xsi:type="xsd:double"&gt;2.6965323775767&lt;/D&gt;&lt;D xsi:type="xsd:double"&gt;2.46096218798261&lt;/D&gt;&lt;D xsi:type="xsd:double"&gt;2.31574910572936&lt;/D&gt;&lt;D xsi:type="xsd:double"&gt;2.27162205088033&lt;/D&gt;&lt;D xsi:type="xsd:double"&gt;2.25840786767391&lt;/D&gt;&lt;D xsi:type="xsd:double"&gt;2.35505652924546&lt;/D&gt;&lt;D xsi:type="xsd:double"&gt;2.40592195731818&lt;/D&gt;&lt;D xsi:type="xsd:double"&gt;2.34811735887538&lt;/D&gt;&lt;D xsi:type="xsd:double"&gt;2.24090422027&lt;/D&gt;&lt;D xsi:type="xsd:double"&gt;2.1895725387955&lt;/D&gt;&lt;D xsi:type="xsd:double"&gt;2.30683869972575&lt;/D&gt;&lt;D xsi:type="xsd:double"&gt;2.22228982424959&lt;/D&gt;&lt;D xsi:type="xsd:double"&gt;2.19608375847006&lt;/D&gt;&lt;D xsi:type="xsd:double"&gt;2.13736481159204&lt;/D&gt;&lt;D xsi:type="xsd:double"&gt;2.14807546780669&lt;/D&gt;&lt;D xsi:type="xsd:double"&gt;2.08309389133141&lt;/D&gt;&lt;D xsi:type="xsd:double"&gt;2.04110638933428&lt;/D&gt;&lt;D xsi:type="xsd:double"&gt;2.00993653533245&lt;/D&gt;&lt;D xsi:type="xsd:double"&gt;2.09934416262516&lt;/D&gt;&lt;D xsi:type="xsd:double"&gt;1.96286409729317&lt;/D&gt;&lt;D xsi:type="xsd:double"&gt;2.08170325913802&lt;/D&gt;&lt;D xsi:type="xsd:double"&gt;2.0550606019575&lt;/D&gt;&lt;D xsi:type="xsd:double"&gt;2.31625310848167&lt;/D&gt;&lt;D xsi:type="xsd:double"&gt;2.2468915272783&lt;/D&gt;&lt;D xsi:type="xsd:double"&gt;2.27420328187757&lt;/D&gt;&lt;D xsi:type="xsd:double"&gt;2.42658436233657&lt;/D&gt;&lt;D xsi:type="xsd:double"&gt;2.59641502864078&lt;/D&gt;&lt;D xsi:type="xsd:double"&gt;2.6902734940517&lt;/D&gt;&lt;D xsi:type="xsd:double"&gt;2.90678232197807&lt;/D&gt;&lt;D xsi:type="xsd:double"&gt;2.76258243345365&lt;/D&gt;&lt;D xsi:type="xsd:double"&gt;2.81187505979119&lt;/D&gt;&lt;D xsi:type="xsd:double"&gt;2.66021922756383&lt;/D&gt;&lt;D xsi:type="xsd:double"&gt;2.5732535323559&lt;/D&gt;&lt;D xsi:type="xsd:double"&gt;2.39972070514072&lt;/D&gt;&lt;D xsi:type="xsd:double"&gt;2.33510328502703&lt;/D&gt;&lt;D xsi:type="xsd:double"&gt;2.55442621669713&lt;/D&gt;&lt;D xsi:type="xsd:double"&gt;2.56502735890282&lt;/D&gt;&lt;D xsi:type="xsd:double"&gt;2.49783834782873&lt;/D&gt;&lt;D xsi:type="xsd:double"&gt;2.61910294348051&lt;/D&gt;&lt;D xsi:type="xsd:double"&gt;2.46065683950897&lt;/D&gt;&lt;D xsi:type="xsd:double"&gt;2.51710305308616&lt;/D&gt;&lt;D xsi:type="xsd:double"&gt;2.49411982720806&lt;/D&gt;&lt;D xsi:type="xsd:double"&gt;2.27753273833549&lt;/D&gt;&lt;D xsi:type="xsd:double"&gt;2.19728448281899&lt;/D&gt;&lt;D xsi:type="xsd:double"&gt;2.22781685032436&lt;/D&gt;&lt;D xsi:type="xsd:double"&gt;2.63589468642634&lt;/D&gt;&lt;D xsi:type="xsd:double"&gt;2.21047211035823&lt;/D&gt;&lt;D xsi:type="xsd:double"&gt;2.13950605657986&lt;/D&gt;&lt;D xsi:type="xsd:double"&gt;1.93163405897719&lt;/D&gt;&lt;D xsi:type="xsd:double"&gt;1.82071097141043&lt;/D&gt;&lt;D xsi:type="xsd:double"&gt;1.76523791779394&lt;/D&gt;&lt;D xsi:type="xsd:double"&gt;1.77857562023066&lt;/D&gt;&lt;D xsi:type="xsd:double"&gt;1.71694194299434&lt;/D&gt;&lt;D xsi:type="xsd:double"&gt;1.7462145685203&lt;/D&gt;&lt;D xsi:type="xsd:double"&gt;1.6643612615206&lt;/D&gt;&lt;D xsi:type="xsd:double"&gt;1.49340750980203&lt;/D&gt;&lt;D xsi:type="xsd:double"&gt;1.32640165785801&lt;/D&gt;&lt;D xsi:type="xsd:double"&gt;1.48666569162664&lt;/D&gt;&lt;D xsi:type="xsd:double"&gt;1.60092304594696&lt;/D&gt;&lt;D xsi:type="xsd:double"&gt;1.68573673490048&lt;/D&gt;&lt;D xsi:type="xsd:double"&gt;1.62990719685674&lt;/D&gt;&lt;D xsi:type="xsd:double"&gt;1.68091950509529&lt;/D&gt;&lt;D xsi:type="xsd:double"&gt;1.93844328992018&lt;/D&gt;&lt;D xsi:type="xsd:double"&gt;1.91892562594678&lt;/D&gt;&lt;D xsi:type="xsd:double"&gt;1.90925227628749&lt;/D&gt;&lt;D xsi:type="xsd:double"&gt;1.98799866770768&lt;/D&gt;&lt;D xsi:type="xsd:double"&gt;2.14599310537966&lt;/D&gt;&lt;D xsi:type="xsd:double"&gt;2.14920062575718&lt;/D&gt;&lt;D xsi:type="xsd:double"&gt;2.21823266980113&lt;/D&gt;&lt;D xsi:type="xsd:double"&gt;2.51493093386247&lt;/D&gt;&lt;D xsi:type="xsd:double"&gt;2.60598690194024&lt;/D&gt;&lt;D xsi:type="xsd:double"&gt;2.62269641615017&lt;/D&gt;&lt;D xsi:type="xsd:double"&gt;2.44590473329783&lt;/D&gt;&lt;D xsi:type="xsd:double"&gt;2.46206148045838&lt;/D&gt;&lt;D xsi:type="xsd:double"&gt;2.58271496627581&lt;/D&gt;&lt;D xsi:type="xsd:double"&gt;2.62478091248239&lt;/D&gt;&lt;D xsi:type="xsd:double"&gt;2.85249044683255&lt;/D&gt;&lt;D xsi:type="xsd:double"&gt;2.6789455078192&lt;/D&gt;&lt;D xsi:type="xsd:double"&gt;2.46833688176935&lt;/D&gt;&lt;D xsi:type="xsd:double"&gt;2.24745311736558&lt;/D&gt;&lt;D xsi:type="xsd:double"&gt;2.33598186661122&lt;/D&gt;&lt;D xsi:type="xsd:double"&gt;2.50323356183034&lt;/D&gt;&lt;D xsi:type="xsd:double"&gt;2.41538178370919&lt;/D&gt;&lt;D xsi:type="xsd:double"&gt;2.54159263240744&lt;/D&gt;&lt;D xsi:type="xsd:double"&gt;2.4140337327169&lt;/D&gt;&lt;D xsi:type="xsd:double"&gt;2.50591927904416&lt;/D&gt;&lt;D xsi:type="xsd:double"&gt;2.54818292339695&lt;/D&gt;&lt;D xsi:type="xsd:double"&gt;2.51458866498928&lt;/D&gt;&lt;D xsi:type="xsd:double"&gt;2.60042630145649&lt;/D&gt;&lt;D xsi:type="xsd:double"&gt;2.61238953327719&lt;/D&gt;&lt;D xsi:type="xsd:double"&gt;2.74007399628188&lt;/D&gt;&lt;D xsi:type="xsd:double"&gt;2.9155094114646&lt;/D&gt;&lt;D xsi:type="xsd:double"&gt;2.91566711733052&lt;/D&gt;&lt;D xsi:type="xsd:double"&gt;2.87371406369227&lt;/D&gt;&lt;D xsi:type="xsd:double"&gt;3.04458582476127&lt;/D&gt;&lt;/FQL&gt;&lt;FQL&gt;&lt;Q&gt;PLATI-FDS^FG_PRICE(0)&lt;/Q&gt;&lt;R&gt;1&lt;/R&gt;&lt;C&gt;1&lt;/C&gt;&lt;D xsi:type="xsd:double"&gt;945&lt;/D&gt;&lt;/FQL&gt;&lt;FQL&gt;&lt;Q&gt;EPU^FG_PRICE(0)&lt;/Q&gt;&lt;R&gt;1&lt;/R&gt;&lt;C&gt;1&lt;/C&gt;&lt;D xsi:type="xsd:double"&gt;39.88&lt;/D&gt;&lt;/FQL&gt;&lt;FQL&gt;&lt;Q&gt;VNM^FG_TOTAL_RETURNC(0,-1AM)&lt;/Q&gt;&lt;R&gt;1&lt;/R&gt;&lt;C&gt;1&lt;/C&gt;&lt;D xsi:type="xsd:double"&gt;-8.995503&lt;/D&gt;&lt;/FQL&gt;&lt;FQL&gt;&lt;Q&gt;QAT^FG_TOTAL_RETURNC(0,-3AM)&lt;/Q&gt;&lt;R&gt;1&lt;/R&gt;&lt;C&gt;1&lt;/C&gt;&lt;D xsi:type="xsd:double"&gt;-1.3112962&lt;/D&gt;&lt;/FQL&gt;&lt;FQL&gt;&lt;Q&gt;EWT^FMA_PE(LTM,0,,,"PORTAGG","MEANR")&lt;/Q&gt;&lt;R&gt;1&lt;/R&gt;&lt;C&gt;1&lt;/C&gt;&lt;D xsi:type="xsd:double"&gt;21.6187423579418&lt;/D&gt;&lt;/FQL&gt;&lt;FQL&gt;&lt;Q&gt;EPHE^FG_TOTAL_RETURNC(0,-6AM)&lt;/Q&gt;&lt;R&gt;1&lt;/R&gt;&lt;C&gt;1&lt;/C&gt;&lt;D xsi:type="xsd:double"&gt;2.99865&lt;/D&gt;&lt;/FQL&gt;&lt;FQL&gt;&lt;Q&gt;TRYTR7Y-FDS^PCTCHG(FG_YIELD(0,,,,"YTM"),FG_YIELD(-3AM,,,,"YTM"))&lt;/Q&gt;&lt;R&gt;1&lt;/R&gt;&lt;C&gt;1&lt;/C&gt;&lt;D xsi:type="xsd:double"&gt;6.303384&lt;/D&gt;&lt;/FQL&gt;&lt;FQL&gt;&lt;Q&gt;VNM^FMA_DIV_YLD(NTMA,NOW,NOW,M,"PORTAGG","MEANR")&lt;/Q&gt;&lt;R&gt;1&lt;/R&gt;&lt;C&gt;1&lt;/C&gt;&lt;D xsi:type="xsd:double"&gt;2.17933780860093&lt;/D&gt;&lt;/FQL&gt;&lt;FQL&gt;&lt;Q&gt;GREK^FG_FCF_YIELD_NTM(0)&lt;/Q&gt;&lt;R&gt;0&lt;/R&gt;&lt;C&gt;0&lt;/C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xsi:type="xsd:double"&gt;25.3691273804025&lt;/D&gt;&lt;D xsi:type="xsd:double"&gt;22.3569609150342&lt;/D&gt;&lt;D xsi:type="xsd:double"&gt;28.181628189907&lt;/D&gt;&lt;D xsi:type="xsd:double"&gt;32.5319871434715&lt;/D&gt;&lt;D xsi:type="xsd:double"&gt;39.3662186798848&lt;/D&gt;&lt;/FQL&gt;&lt;FQL&gt;&lt;Q&gt;EWZ^FMA_PE(LTMA,-10AY,0,AM,"PORTAGG","MEANR")&lt;/Q&gt;&lt;R&gt;121&lt;/R&gt;&lt;C&gt;1&lt;/C&gt;&lt;D xsi:type="xsd:double"&gt;11.5297429824457&lt;/D&gt;&lt;D xsi:type="xsd:double"&gt;11.6103462008677&lt;/D&gt;&lt;D xsi:type="xsd:double"&gt;11.9261418894349&lt;/D&gt;&lt;D xsi:type="xsd:double"&gt;12.1383088867735&lt;/D&gt;&lt;D xsi:type="xsd:double"&gt;12.5108521334261&lt;/D&gt;&lt;D xsi:type="xsd:double"&gt;12.727207795872&lt;/D&gt;&lt;D xsi:type="xsd:double"&gt;12.6410730960707&lt;/D&gt;&lt;D xsi:type="xsd:double"&gt;12.3288535720253&lt;/D&gt;&lt;D xsi:type="xsd:double"&gt;11.8916993280683&lt;/D&gt;&lt;D xsi:type="xsd:double"&gt;12.2648396801936&lt;/D&gt;&lt;D xsi:type="xsd:double"&gt;12.7732804514731&lt;/D&gt;&lt;D xsi:type="xsd:double"&gt;13.011890701671&lt;/D&gt;&lt;D xsi:type="xsd:double"&gt;13.4619768717145&lt;/D&gt;&lt;D xsi:type="xsd:double"&gt;13.8892500899683&lt;/D&gt;&lt;D xsi:type="xsd:double"&gt;13.9701543128839&lt;/D&gt;&lt;D xsi:type="xsd:double"&gt;13.6985239666323&lt;/D&gt;&lt;D xsi:type="xsd:double"&gt;12.8341979469129&lt;/D&gt;&lt;D xsi:type="xsd:double"&gt;12.6635393711753&lt;/D&gt;&lt;D xsi:type="xsd:double"&gt;12.4799160319497&lt;/D&gt;&lt;D xsi:type="xsd:double"&gt;12.8408794273037&lt;/D&gt;&lt;D xsi:type="xsd:double"&gt;12.1350269194582&lt;/D&gt;&lt;D xsi:type="xsd:double"&gt;10.9584062511337&lt;/D&gt;&lt;D xsi:type="xsd:double"&gt;11.8881305793952&lt;/D&gt;&lt;D xsi:type="xsd:double"&gt;13.0582819981264&lt;/D&gt;&lt;D xsi:type="xsd:double"&gt;13.400458077918&lt;/D&gt;&lt;D xsi:type="xsd:double"&gt;13.0263148058793&lt;/D&gt;&lt;D xsi:type="xsd:double"&gt;12.9623721590183&lt;/D&gt;&lt;D xsi:type="xsd:double"&gt;13.956100658868&lt;/D&gt;&lt;D xsi:type="xsd:double"&gt;14.5937854610227&lt;/D&gt;&lt;D xsi:type="xsd:double"&gt;14.2400640797051&lt;/D&gt;&lt;D xsi:type="xsd:double"&gt;15.4525614338049&lt;/D&gt;&lt;D xsi:type="xsd:double"&gt;14.8497843514008&lt;/D&gt;&lt;D xsi:type="xsd:double"&gt;14.3259998721693&lt;/D&gt;&lt;D xsi:type="xsd:double"&gt;15.3051240915947&lt;/D&gt;&lt;D xsi:type="xsd:double"&gt;16.8915367238117&lt;/D&gt;&lt;D xsi:type="xsd:double"&gt;16.5512557998797&lt;/D&gt;&lt;D xsi:type="xsd:double"&gt;16.1416036007241&lt;/D&gt;&lt;D xsi:type="xsd:double"&gt;15.5835298841941&lt;/D&gt;&lt;D xsi:type="xsd:double"&gt;15.1546036305461&lt;/D&gt;&lt;D xsi:type="xsd:double"&gt;15.0706292616067&lt;/D&gt;&lt;D xsi:type="xsd:double"&gt;15.3019641301473&lt;/D&gt;&lt;D xsi:type="xsd:double"&gt;15.8590246406253&lt;/D&gt;&lt;D xsi:type="xsd:double"&gt;15.659297438984&lt;/D&gt;&lt;D xsi:type="xsd:double"&gt;14.7007643154641&lt;/D&gt;&lt;D xsi:type="xsd:double"&gt;14.4993054097146&lt;/D&gt;&lt;D xsi:type="xsd:double"&gt;15.6276552321977&lt;/D&gt;&lt;D xsi:type="xsd:double"&gt;16.1442161002291&lt;/D&gt;&lt;D xsi:type="xsd:double"&gt;16.3742976387096&lt;/D&gt;&lt;D xsi:type="xsd:double"&gt;16.0426057681845&lt;/D&gt;&lt;D xsi:type="xsd:double"&gt;15.451328887682&lt;/D&gt;&lt;D xsi:type="xsd:double"&gt;14.2697086096997&lt;/D&gt;&lt;D xsi:type="xsd:double"&gt;14.2988558702268&lt;/D&gt;&lt;D xsi:type="xsd:double"&gt;13.7382497780732&lt;/D&gt;&lt;D xsi:type="xsd:double"&gt;13.3178453985601&lt;/D&gt;&lt;D xsi:type="xsd:double"&gt;13.6650131727912&lt;/D&gt;&lt;D xsi:type="xsd:double"&gt;14.0197685299534&lt;/D&gt;&lt;D xsi:type="xsd:double"&gt;13.5961528504386&lt;/D&gt;&lt;D xsi:type="xsd:double"&gt;14.9022950850591&lt;/D&gt;&lt;D xsi:type="xsd:double"&gt;15.175564329363&lt;/D&gt;&lt;D xsi:type="xsd:double"&gt;14.7466771812782&lt;/D&gt;&lt;D xsi:type="xsd:double"&gt;14.193909453028&lt;/D&gt;&lt;D xsi:type="xsd:double"&gt;13.8688168409018&lt;/D&gt;&lt;D xsi:type="xsd:double"&gt;14.2749719888222&lt;/D&gt;&lt;D xsi:type="xsd:double"&gt;14.3709237891838&lt;/D&gt;&lt;D xsi:type="xsd:double"&gt;14.1783878407901&lt;/D&gt;&lt;D xsi:type="xsd:double"&gt;14.1847704682342&lt;/D&gt;&lt;D xsi:type="xsd:double"&gt;14.7560476107654&lt;/D&gt;&lt;D xsi:type="xsd:double"&gt;15.1653332275039&lt;/D&gt;&lt;D xsi:type="xsd:double"&gt;16.9555000098414&lt;/D&gt;&lt;D xsi:type="xsd:double"&gt;17.3842770201309&lt;/D&gt;&lt;D xsi:type="xsd:double"&gt;16.7742962967748&lt;/D&gt;&lt;D xsi:type="xsd:double"&gt;16.1068694811419&lt;/D&gt;&lt;D xsi:type="xsd:double"&gt;16.4975572322012&lt;/D&gt;&lt;D xsi:type="xsd:double"&gt;17.9203661569413&lt;/D&gt;&lt;D xsi:type="xsd:double"&gt;20.1089142590833&lt;/D&gt;&lt;D xsi:type="xsd:double"&gt;31.632516742073&lt;/D&gt;&lt;D xsi:type="xsd:double"&gt;35.750870302152&lt;/D&gt;&lt;D xsi:type="xsd:double"&gt;31.48786695329&lt;/D&gt;&lt;D xsi:type="xsd:double"&gt;30.9249088304715&lt;/D&gt;&lt;D xsi:type="xsd:double"&gt;30.8749020679931&lt;/D&gt;&lt;D xsi:type="xsd:double"&gt;35.4122529011845&lt;/D&gt;&lt;D xsi:type="xsd:double"&gt;31.2032504034163&lt;/D&gt;&lt;D xsi:type="xsd:double"&gt;28.0578861223969&lt;/D&gt;&lt;D xsi:type="xsd:double"&gt;19.9738162683136&lt;/D&gt;&lt;D xsi:type="xsd:double"&gt;18.7786480037267&lt;/D&gt;&lt;D xsi:type="xsd:double"&gt;17.5612367029014&lt;/D&gt;&lt;D xsi:type="xsd:double"&gt;16.5140451618393&lt;/D&gt;&lt;D xsi:type="xsd:double"&gt;15.0929837660962&lt;/D&gt;&lt;D xsi:type="xsd:double"&gt;13.1376646439054&lt;/D&gt;&lt;D xsi:type="xsd:double"&gt;11.5560135097393&lt;/D&gt;&lt;D xsi:type="xsd:double"&gt;10.3123055820315&lt;/D&gt;&lt;D xsi:type="xsd:double"&gt;8.24355217661395&lt;/D&gt;&lt;D xsi:type="xsd:double"&gt;7.25598402902425&lt;/D&gt;&lt;D xsi:type="xsd:double"&gt;6.71923890008733&lt;/D&gt;&lt;D xsi:type="xsd:double"&gt;7.07538224811298&lt;/D&gt;&lt;D xsi:type="xsd:double"&gt;7.04444343733673&lt;/D&gt;&lt;D xsi:type="xsd:double"&gt;6.95980720305643&lt;/D&gt;&lt;D xsi:type="xsd:double"&gt;6.57178558452453&lt;/D&gt;&lt;D xsi:type="xsd:double"&gt;6.33672410432527&lt;/D&gt;&lt;D xsi:type="xsd:double"&gt;6.15655308992215&lt;/D&gt;&lt;D xsi:type="xsd:double"&gt;6.31982275048042&lt;/D&gt;&lt;D xsi:type="xsd:double"&gt;6.03380889836124&lt;/D&gt;&lt;D xsi:type="xsd:double"&gt;6.27203021835163&lt;/D&gt;&lt;D xsi:type="xsd:double"&gt;5.93115889665379&lt;/D&gt;&lt;D xsi:type="xsd:double"&gt;5.39116772723932&lt;/D&gt;&lt;D xsi:type="xsd:double"&gt;5.84565641543086&lt;/D&gt;&lt;D xsi:type="xsd:double"&gt;5.75572272015102&lt;/D&gt;&lt;D xsi:type="xsd:double"&gt;5.54104352166871&lt;/D&gt;&lt;D xsi:type="xsd:double"&gt;5.77110020633404&lt;/D&gt;&lt;D xsi:type="xsd:double"&gt;5.9962232560802&lt;/D&gt;&lt;D xsi:type="xsd:double"&gt;6.56348049441974&lt;/D&gt;&lt;D xsi:type="xsd:double"&gt;6.88987768816986&lt;/D&gt;&lt;D xsi:type="xsd:double"&gt;7.01714052324392&lt;/D&gt;&lt;D xsi:type="xsd:double"&gt;7.31801841805718&lt;/D&gt;&lt;D xsi:type="xsd:double"&gt;7.33814755929443&lt;/D&gt;&lt;D xsi:type="xsd:double"&gt;8.17894488657042&lt;/D&gt;&lt;D xsi:type="xsd:double"&gt;8.7227819352684&lt;/D&gt;&lt;D xsi:type="xsd:double"&gt;8.38888718337113&lt;/D&gt;&lt;D xsi:type="xsd:double"&gt;8.5268071031127&lt;/D&gt;&lt;D xsi:type="xsd:double"&gt;8.61525371321903&lt;/D&gt;&lt;D xsi:type="xsd:double"&gt;8.44607084523299&lt;/D&gt;&lt;/FQL&gt;&lt;FQL&gt;&lt;Q&gt;MCHI^FG_PRICE(0)&lt;/Q&gt;&lt;R&gt;1&lt;/R&gt;&lt;C&gt;1&lt;/C&gt;&lt;D xsi:type="xsd:double"&gt;39.54&lt;/D&gt;&lt;/FQL&gt;&lt;FQL&gt;&lt;Q&gt;EPHE^FG_TOTAL_RETURNC(0,-12AM)&lt;/Q&gt;&lt;R&gt;1&lt;/R&gt;&lt;C&gt;1&lt;/C&gt;&lt;D xsi:type="xsd:double"&gt;-0.9238422&lt;/D&gt;&lt;/FQL&gt;&lt;FQL&gt;&lt;Q&gt;CNYA^FG_TOTAL_RETURNC(0,-1AM)&lt;/Q&gt;&lt;R&gt;1&lt;/R&gt;&lt;C&gt;1&lt;/C&gt;&lt;D xsi:type="xsd:double"&gt;-1.8256307&lt;/D&gt;&lt;/FQL&gt;&lt;FQL&gt;&lt;Q&gt;EWY^FMA_COS_DOWN("EPS","1M",+1,NOW,,,"PORTAGG","MEANR")&lt;/Q&gt;&lt;R&gt;1&lt;/R&gt;&lt;C&gt;1&lt;/C&gt;&lt;D xsi:type="xsd:double"&gt;48&lt;/D&gt;&lt;/FQL&gt;&lt;FQL&gt;&lt;Q&gt;ECH^FMA_COS_UP("EPS","1M",+1,NOW,,,"PORTAGG","MEANR")&lt;/Q&gt;&lt;R&gt;1&lt;/R&gt;&lt;C&gt;1&lt;/C&gt;&lt;D xsi:type="xsd:double"&gt;8&lt;/D&gt;&lt;/FQL&gt;&lt;FQL&gt;&lt;Q&gt;TUR^FG_ROE(0)&lt;/Q&gt;&lt;R&gt;1&lt;/R&gt;&lt;C&gt;1&lt;/C&gt;&lt;D xsi:type="xsd:double"&gt;23.5966641274848&lt;/D&gt;&lt;/FQL&gt;&lt;FQL&gt;&lt;Q&gt;REFTHREPO-FDS^PROPER_NAME(0,,,"SECURITY","NAME")&lt;/Q&gt;&lt;R&gt;1&lt;/R&gt;&lt;C&gt;1&lt;/C&gt;&lt;D xsi:type="xsd:string"&gt;Thailand Repo Rate - 1 Day&lt;/D&gt;&lt;/FQL&gt;&lt;FQL&gt;&lt;Q&gt;TRYTW10Y-FDS^PCTCHG(FG_YIELD(0,,,,"YTM"),FG_YIELD(-1AM,,,,"YTM"))&lt;/Q&gt;&lt;R&gt;1&lt;/R&gt;&lt;C&gt;1&lt;/C&gt;&lt;D xsi:type="xsd:double"&gt;41.704586&lt;/D&gt;&lt;/FQL&gt;&lt;FQL&gt;&lt;Q&gt;TRYPL10Y-FDS^FG_YIELD_NAME&lt;/Q&gt;&lt;R&gt;1&lt;/R&gt;&lt;C&gt;1&lt;/C&gt;&lt;D xsi:type="xsd:string"&gt;Treasury - Poland Benchmark Bond 10Y&lt;/D&gt;&lt;/FQL&gt;&lt;FQL&gt;&lt;Q&gt;TUR^JULIAN(FMA_DIV_YLD(NTMA,NOW,NOW,M,"PORTAGG","MEANR").DATES)&lt;/Q&gt;&lt;R&gt;1&lt;/R&gt;&lt;C&gt;1&lt;/C&gt;&lt;D xsi:type="xsd:long"&gt;45379&lt;/D&gt;&lt;/FQL&gt;&lt;FQL&gt;&lt;Q&gt;INDA^FG_FCF_YIELD_NTM(0)&lt;/Q&gt;&lt;R&gt;1&lt;/R&gt;&lt;C&gt;1&lt;/C&gt;&lt;D xsi:type="xsd:double"&gt;2.92785199134343&lt;/D&gt;&lt;/FQL&gt;&lt;FQL&gt;&lt;Q&gt;EPOL^JULIAN(FMA_DIV_YLD(NTMA,NOW,NOW,M,"PORTAGG","MEANR").DATES)&lt;/Q&gt;&lt;R&gt;1&lt;/R&gt;&lt;C&gt;1&lt;/C&gt;&lt;D xsi:type="xsd:long"&gt;45379&lt;/D&gt;&lt;/FQL&gt;&lt;FQL&gt;&lt;Q&gt;EWY^FG_COMPANY_NAME&lt;/Q&gt;&lt;R&gt;1&lt;/R&gt;&lt;C&gt;1&lt;/C&gt;&lt;D xsi:type="xsd:string"&gt;iShares MSCI South Korea ETF&lt;/D&gt;&lt;/FQL&gt;&lt;FQL&gt;&lt;Q&gt;USDVND^STD(FG_PRICE_CHANGE(0,-3AY,M))&lt;/Q&gt;&lt;R&gt;1&lt;/R&gt;&lt;C&gt;1&lt;/C&gt;&lt;D xsi:type="xsd:double"&gt;1.23897809828071&lt;/D&gt;&lt;/FQL&gt;&lt;FQL&gt;&lt;Q&gt;USDEUR^FG_PRICE_CHANGE(0,-</t>
        </r>
      </text>
    </comment>
    <comment ref="A21" authorId="0" shapeId="0" xr:uid="{B1FBDCB2-2E08-466E-A919-99E4DDF6CA48}">
      <text>
        <r>
          <rPr>
            <b/>
            <sz val="9"/>
            <color indexed="81"/>
            <rFont val="Tahoma"/>
            <charset val="1"/>
          </rPr>
          <t>1AY)&lt;/Q&gt;&lt;R&gt;1&lt;/R&gt;&lt;C&gt;1&lt;/C&gt;&lt;D xsi:type="xsd:double"&gt;2.8811336&lt;/D&gt;&lt;/FQL&gt;&lt;FQL&gt;&lt;Q&gt;USDMYR^FG_COMPANY_NAME&lt;/Q&gt;&lt;R&gt;1&lt;/R&gt;&lt;C&gt;1&lt;/C&gt;&lt;D xsi:type="xsd:string"&gt;Malaysian Ringgit per U.S. Dollar&lt;/D&gt;&lt;/FQL&gt;&lt;FQL&gt;&lt;Q&gt;INDA^FMA_DIV_YLD(NTMA,-10AY,0,AM,"PORTAGG","MEANR")&lt;/Q&gt;&lt;R&gt;121&lt;/R&gt;&lt;C&gt;1&lt;/C&gt;&lt;D xsi:type="xsd:double"&gt;1.64861265370369&lt;/D&gt;&lt;D xsi:type="xsd:double"&gt;1.63608335057507&lt;/D&gt;&lt;D xsi:type="xsd:double"&gt;1.55550447451378&lt;/D&gt;&lt;D xsi:type="xsd:double"&gt;1.58928133863583&lt;/D&gt;&lt;D xsi:type="xsd:double"&gt;1.57859482197715&lt;/D&gt;&lt;D xsi:type="xsd:double"&gt;1.54364807846554&lt;/D&gt;&lt;D xsi:type="xsd:double"&gt;1.65213422279381&lt;/D&gt;&lt;D xsi:type="xsd:double"&gt;1.53767207787512&lt;/D&gt;&lt;D xsi:type="xsd:double"&gt;1.60765572307482&lt;/D&gt;&lt;D xsi:type="xsd:double"&gt;1.53956822496622&lt;/D&gt;&lt;D xsi:type="xsd:double"&gt;1.46565948923129&lt;/D&gt;&lt;D xsi:type="xsd:double"&gt;1.49964214444625&lt;/D&gt;&lt;D xsi:type="xsd:double"&gt;1.53819667528978&lt;/D&gt;&lt;D xsi:type="xsd:double"&gt;1.6385988394442&lt;/D&gt;&lt;D xsi:type="xsd:double"&gt;1.69150548786999&lt;/D&gt;&lt;D xsi:type="xsd:double"&gt;1.53796708356432&lt;/D&gt;&lt;D xsi:type="xsd:double"&gt;1.55564634275913&lt;/D&gt;&lt;D xsi:type="xsd:double"&gt;1.66513352036237&lt;/D&gt;&lt;D xsi:type="xsd:double"&gt;1.6454535073194&lt;/D&gt;&lt;D xsi:type="xsd:double"&gt;1.76702697575017&lt;/D&gt;&lt;D xsi:type="xsd:double"&gt;1.73234693400013&lt;/D&gt;&lt;D xsi:type="xsd:double"&gt;1.78421548997246&lt;/D&gt;&lt;D xsi:type="xsd:double"&gt;1.83146365778959&lt;/D&gt;&lt;D xsi:type="xsd:double"&gt;1.74929402463923&lt;/D&gt;&lt;D xsi:type="xsd:double"&gt;1.69444409239533&lt;/D&gt;&lt;D xsi:type="xsd:double"&gt;1.69471141175376&lt;/D&gt;&lt;D xsi:type="xsd:double"&gt;1.61554341079756&lt;/D&gt;&lt;D xsi:type="xsd:double"&gt;1.55701585034278&lt;/D&gt;&lt;D xsi:type="xsd:double"&gt;1.54042362316754&lt;/D&gt;&lt;D xsi:type="xsd:double"&gt;1.52569252940205&lt;/D&gt;&lt;D xsi:type="xsd:double"&gt;1.54678836927439&lt;/D&gt;&lt;D xsi:type="xsd:double"&gt;1.71667816522577&lt;/D&gt;&lt;D xsi:type="xsd:double"&gt;1.68222256828934&lt;/D&gt;&lt;D xsi:type="xsd:double"&gt;1.65647127090136&lt;/D&gt;&lt;D xsi:type="xsd:double"&gt;1.59829124108808&lt;/D&gt;&lt;D xsi:type="xsd:double"&gt;1.54784383746729&lt;/D&gt;&lt;D xsi:type="xsd:double"&gt;1.58516257005447&lt;/D&gt;&lt;D xsi:type="xsd:double"&gt;1.59499629272597&lt;/D&gt;&lt;D xsi:type="xsd:double"&gt;1.61644110059242&lt;/D&gt;&lt;D xsi:type="xsd:double"&gt;1.56553334287337&lt;/D&gt;&lt;D xsi:type="xsd:double"&gt;1.55494876900827&lt;/D&gt;&lt;D xsi:type="xsd:double"&gt;1.51685916955328&lt;/D&gt;&lt;D xsi:type="xsd:double"&gt;1.52643795548143&lt;/D&gt;&lt;D xsi:type="xsd:double"&gt;1.53121236865849&lt;/D&gt;&lt;D xsi:type="xsd:double"&gt;1.53313111524353&lt;/D&gt;&lt;D xsi:type="xsd:double"&gt;1.47277667776203&lt;/D&gt;&lt;D xsi:type="xsd:double"&gt;1.56758747456767&lt;/D&gt;&lt;D xsi:type="xsd:double"&gt;1.59748974882745&lt;/D&gt;&lt;D xsi:type="xsd:double"&gt;1.60765806759592&lt;/D&gt;&lt;D xsi:type="xsd:double"&gt;1.64867039985946&lt;/D&gt;&lt;D xsi:type="xsd:double"&gt;1.5948376174349&lt;/D&gt;&lt;D xsi:type="xsd:double"&gt;1.59380991056238&lt;/D&gt;&lt;D xsi:type="xsd:double"&gt;1.50643174536114&lt;/D&gt;&lt;D xsi:type="xsd:double"&gt;1.5307618207805&lt;/D&gt;&lt;D xsi:type="xsd:double"&gt;1.67632208761044&lt;/D&gt;&lt;D xsi:type="xsd:double"&gt;1.64932615925373&lt;/D&gt;&lt;D xsi:type="xsd:double"&gt;1.63011619470603&lt;/D&gt;&lt;D xsi:type="xsd:double"&gt;1.65105203526482&lt;/D&gt;&lt;D xsi:type="xsd:double"&gt;1.67045991250576&lt;/D&gt;&lt;D xsi:type="xsd:double"&gt;1.5856195125743&lt;/D&gt;&lt;D xsi:type="xsd:double"&gt;1.60426510531532&lt;/D&gt;&lt;D xsi:type="xsd:double"&gt;1.72043821020273&lt;/D&gt;&lt;D xsi:type="xsd:double"&gt;1.69991099965781&lt;/D&gt;&lt;D xsi:type="xsd:double"&gt;1.74586052377713&lt;/D&gt;&lt;D xsi:type="xsd:double"&gt;1.81128950847005&lt;/D&gt;&lt;D xsi:type="xsd:double"&gt;1.83130163589423&lt;/D&gt;&lt;D xsi:type="xsd:double"&gt;1.79079250112699&lt;/D&gt;&lt;D xsi:type="xsd:double"&gt;1.76080332082444&lt;/D&gt;&lt;D xsi:type="xsd:double"&gt;1.6586136235259&lt;/D&gt;&lt;D xsi:type="xsd:double"&gt;1.63652148049205&lt;/D&gt;&lt;D xsi:type="xsd:double"&gt;1.67742918519013&lt;/D&gt;&lt;D xsi:type="xsd:double"&gt;2.35390920152726&lt;/D&gt;&lt;D xsi:type="xsd:double"&gt;2.05036328966822&lt;/D&gt;&lt;D xsi:type="xsd:double"&gt;1.99458289869065&lt;/D&gt;&lt;D xsi:type="xsd:double"&gt;1.6982950519346&lt;/D&gt;&lt;D xsi:type="xsd:double"&gt;1.56823979040017&lt;/D&gt;&lt;D xsi:type="xsd:double"&gt;1.51048758445207&lt;/D&gt;&lt;D xsi:type="xsd:double"&gt;1.5193295324764&lt;/D&gt;&lt;D xsi:type="xsd:double"&gt;1.52136536290752&lt;/D&gt;&lt;D xsi:type="xsd:double"&gt;1.45318460771583&lt;/D&gt;&lt;D xsi:type="xsd:double"&gt;1.35064452294868&lt;/D&gt;&lt;D xsi:type="xsd:double"&gt;1.32077414926023&lt;/D&gt;&lt;D xsi:type="xsd:double"&gt;1.32237114440832&lt;/D&gt;&lt;D xsi:type="xsd:double"&gt;1.3933825128209&lt;/D&gt;&lt;D xsi:type="xsd:double"&gt;1.37984872090503&lt;/D&gt;&lt;D xsi:type="xsd:double"&gt;1.39421233293092&lt;/D&gt;&lt;D xsi:type="xsd:double"&gt;1.40276129206932&lt;/D&gt;&lt;D xsi:type="xsd:double"&gt;1.38865475894707&lt;/D&gt;&lt;D xsi:type="xsd:double"&gt;1.34050221730499&lt;/D&gt;&lt;D xsi:type="xsd:double"&gt;1.27395563812363&lt;/D&gt;&lt;D xsi:type="xsd:double"&gt;1.26764591336744&lt;/D&gt;&lt;D xsi:type="xsd:double"&gt;1.35126708577909&lt;/D&gt;&lt;D xsi:type="xsd:double"&gt;1.39313315633617&lt;/D&gt;&lt;D xsi:type="xsd:double"&gt;1.32686620376875&lt;/D&gt;&lt;D xsi:type="xsd:double"&gt;1.45556203126699&lt;/D&gt;&lt;D xsi:type="xsd:double"&gt;1.46078831563935&lt;/D&gt;&lt;D xsi:type="xsd:double"&gt;1.48193877816674&lt;/D&gt;&lt;D xsi:type="xsd:double"&gt;1.66706111265061&lt;/D&gt;&lt;D xsi:type="xsd:double"&gt;1.7334328309782&lt;/D&gt;&lt;D xsi:type="xsd:double"&gt;1.60600590665886&lt;/D&gt;&lt;D xsi:type="xsd:double"&gt;1.45481825220889&lt;/D&gt;&lt;D xsi:type="xsd:double"&gt;1.50865745607794&lt;/D&gt;&lt;D xsi:type="xsd:double"&gt;1.52074468932148&lt;/D&gt;&lt;D xsi:type="xsd:double"&gt;1.48876373032948&lt;/D&gt;&lt;D xsi:type="xsd:double"&gt;1.47219130779153&lt;/D&gt;&lt;D xsi:type="xsd:double"&gt;1.4931554615739&lt;/D&gt;&lt;D xsi:type="xsd:double"&gt;1.53944368284633&lt;/D&gt;&lt;D xsi:type="xsd:double"&gt;1.63292204075424&lt;/D&gt;&lt;D xsi:type="xsd:double"&gt;1.60641172402952&lt;/D&gt;&lt;D xsi:type="xsd:double"&gt;1.62315332371727&lt;/D&gt;&lt;D xsi:type="xsd:double"&gt;1.52835102373413&lt;/D&gt;&lt;D xsi:type="xsd:double"&gt;1.45569185172619&lt;/D&gt;&lt;D xsi:type="xsd:double"&gt;1.51388455415186&lt;/D&gt;&lt;D xsi:type="xsd:double"&gt;1.48642294372877&lt;/D&gt;&lt;D xsi:type="xsd:double"&gt;1.49826311934637&lt;/D&gt;&lt;D xsi:type="xsd:double"&gt;1.50030149475235&lt;/D&gt;&lt;D xsi:type="xsd:double"&gt;1.38553561600549&lt;/D&gt;&lt;D xsi:type="xsd:double"&gt;1.38575720881116&lt;/D&gt;&lt;D xsi:type="xsd:double"&gt;1.34812120550554&lt;/D&gt;&lt;D xsi:type="xsd:double"&gt;1.36780565408349&lt;/D&gt;&lt;D xsi:type="xsd:double"&gt;1.34975840465586&lt;/D&gt;&lt;/FQL&gt;&lt;FQL&gt;&lt;Q&gt;EWT^FG_TOTAL_RETURNC(0,-6AM)&lt;/Q&gt;&lt;R&gt;1&lt;/R&gt;&lt;C&gt;1&lt;/C&gt;&lt;D xsi:type="xsd:double"&gt;18.647062&lt;/D&gt;&lt;/FQL&gt;&lt;FQL&gt;&lt;Q&gt;EPHE^P_PRICE(0)/P_PRICE_LOW_PR(0,,,,,,"PRICE","INTRA","52W")-1&lt;/Q&gt;&lt;R&gt;1&lt;/R&gt;&lt;C&gt;1&lt;/C&gt;&lt;D xsi:type="xsd:double"&gt;0.08293736&lt;/D&gt;&lt;/FQL&gt;&lt;FQL&gt;&lt;Q&gt;CNYA^PERCENT_CHANGE(FMA_EPS(+1,0,,,,"PORTAGG","MEAN"),FMA_EPS(+1,-1AM,,,,"PORTAGG","MEAN"))&lt;/Q&gt;&lt;R&gt;1&lt;/R&gt;&lt;C&gt;1&lt;/C&gt;&lt;D xsi:type="xsd:double"&gt;-5.67100037498085&lt;/D&gt;&lt;/FQL&gt;&lt;FQL&gt;&lt;Q&gt;VWO^PERCENT_CHANGE(FMA_EPS(+1,0,,,,"PORTAGG","MEAN"),FMA_EPS(+1,-3AM,,,,"PORTAGG","MEAN"))&lt;/Q&gt;&lt;R&gt;1&lt;/R&gt;&lt;C&gt;1&lt;/C&gt;&lt;D xsi:type="xsd:double"&gt;-16.6634637556376&lt;/D&gt;&lt;/FQL&gt;&lt;FQL&gt;&lt;Q&gt;VNM^FMA_COS_UP("EPS","1M",+1,NOW,,,"PORTAGG","MEANR")&lt;/Q&gt;&lt;R&gt;1&lt;/R&gt;&lt;C&gt;1&lt;/C&gt;&lt;D xsi:type="xsd:double"&gt;12&lt;/D&gt;&lt;/FQL&gt;&lt;FQL&gt;&lt;Q&gt;CNYA^FMA_COS_DOWN("EPS","1M",+1,NOW,,,"PORTAGG","MEANR")&lt;/Q&gt;&lt;R&gt;1&lt;/R&gt;&lt;C&gt;1&lt;/C&gt;&lt;D xsi:type="xsd:double"&gt;320&lt;/D&gt;&lt;/FQL&gt;&lt;FQL&gt;&lt;Q&gt;SET-BKK^FG_ROE(0)&lt;/Q&gt;&lt;R&gt;1&lt;/R&gt;&lt;C&gt;1&lt;/C&gt;&lt;D xsi:type="xsd:double"&gt;7.89393258883949&lt;/D&gt;&lt;/FQL&gt;&lt;FQL&gt;&lt;Q&gt;REFTWDISC-FDS^(SUBARRAY(NOT_NA(NO_REPEAT_F(FG_YIELD(NOW,-10AY,D))),0,1)-SUBARRAY(NOT_NA(NO_REPEAT_F(FG_YIELD(NOW,-10AY,D))),1,1))*100&lt;/Q&gt;&lt;R&gt;1&lt;/R&gt;&lt;C&gt;1&lt;/C&gt;&lt;D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xsi:type="xsd:double"&gt;12.5&lt;/D&gt;&lt;/FQL&gt;&lt;FQL&gt;&lt;Q&gt;TRYVN10Y-FDS^PCTCHG(FG_YIELD(0,,,,"YTM"),FG_YIELD(-1AM,,,,"YTM"))&lt;/Q&gt;&lt;R&gt;1&lt;/R&gt;&lt;C&gt;1&lt;/C&gt;&lt;D xsi:type="xsd:double"&gt;11.156363&lt;/D&gt;&lt;/FQL&gt;&lt;FQL&gt;&lt;Q&gt;TRYQA10Y-FDS^FG_YIELD(0,,,,"YTM")&lt;/Q&gt;&lt;R&gt;0&lt;/R&gt;&lt;C&gt;0&lt;/C&gt;&lt;/FQL&gt;&lt;FQL&gt;&lt;Q&gt;TRYPH10Y-FDS^FG_YIELD(0,,,,"YTM")&lt;/Q&gt;&lt;R&gt;1&lt;/R&gt;&lt;C&gt;1&lt;/C&gt;&lt;D xsi:type="xsd:double"&gt;6.802644&lt;/D&gt;&lt;/FQL&gt;&lt;FQL&gt;&lt;Q&gt;CC_PH^IMF_IFS_RCPI_Q(0)&lt;/Q&gt;&lt;R&gt;0&lt;/R&gt;&lt;C&gt;0&lt;/C&gt;&lt;/FQL&gt;&lt;FQL&gt;&lt;Q&gt;KSA^FMA_PE(LTM,0,,,"PORTAGG","MEANR")&lt;/Q&gt;&lt;R&gt;1&lt;/R&gt;&lt;C&gt;1&lt;/C&gt;&lt;D xsi:type="xsd:double"&gt;22.9110641654104&lt;/D&gt;&lt;/FQL&gt;&lt;FQL&gt;&lt;Q&gt;SET-BKK^FMA_EVAL_EBITDA(NTMA,0,,,"PORTAGG","MEANR")&lt;/Q&gt;&lt;R&gt;1&lt;/R&gt;&lt;C&gt;1&lt;/C&gt;&lt;D xsi:type="xsd:double"&gt;9.52881337444011&lt;/D&gt;&lt;/FQL&gt;&lt;FQL&gt;&lt;Q&gt;INDA^FMA_DIV_YLD(NTMA,NOW,NOW,M,"PORTAGG","MEANR")&lt;/Q&gt;&lt;R&gt;1&lt;/R&gt;&lt;C&gt;1&lt;/C&gt;&lt;D xsi:type="xsd:double"&gt;1.34412815279926&lt;/D&gt;&lt;/FQL&gt;&lt;FQL&gt;&lt;Q&gt;EWZ^FMA_PE(NTMA,0,,,"PORTAGG","MEANR")&lt;/Q&gt;&lt;R&gt;1&lt;/R&gt;&lt;C&gt;1&lt;/C&gt;&lt;D xsi:type="xsd:double"&gt;7.54058847571941&lt;/D&gt;&lt;/FQL&gt;&lt;FQL&gt;&lt;Q&gt;EWT^FMA_PE(NTMA,0,,,"PORTAGG","MEANR")&lt;/Q&gt;&lt;R&gt;1&lt;/R&gt;&lt;C&gt;1&lt;/C&gt;&lt;D xsi:type="xsd:double"&gt;17.3002902418175&lt;/D&gt;&lt;/FQL&gt;&lt;FQL&gt;&lt;Q&gt;CNYA^FMA_EVAL_EBIT(LTMA,NOW,NOW,M,"PORTAGG","MEANR")&lt;/Q&gt;&lt;R&gt;1&lt;/R&gt;&lt;C&gt;1&lt;/C&gt;&lt;D xsi:type="xsd:double"&gt;16.359959721894&lt;/D&gt;&lt;/FQL&gt;&lt;FQL&gt;&lt;Q&gt;EPHE^P_PRICE(0)/P_PRICE_HIGH_PR(0,,,,,,"PRICE","INTRA","52W")&lt;/Q&gt;&lt;R&gt;1&lt;/R&gt;&lt;C&gt;1&lt;/C&gt;&lt;D xsi:type="xsd:double"&gt;0.89312434&lt;/D&gt;&lt;/FQL&gt;&lt;FQL&gt;&lt;Q&gt;CNYA^FMA_COS_UP("EPS","1M",+1,NOW,,,"PORTAGG","MEANR")&lt;/Q&gt;&lt;R&gt;1&lt;/R&gt;&lt;C&gt;1&lt;/C&gt;&lt;D xsi:type="xsd:double"&gt;99&lt;/D&gt;&lt;/FQL&gt;&lt;FQL&gt;&lt;Q&gt;CPALM-FDS^FG_PRICE(0)/MAX(FG_PRICE(0,-1AY))&lt;/Q&gt;&lt;R&gt;1&lt;/R&gt;&lt;C&gt;1&lt;/C&gt;&lt;D xsi:type="xsd:double"&gt;0.900851714348111&lt;/D&gt;&lt;/FQL&gt;&lt;FQL&gt;&lt;Q&gt;EPOL^FG_PRICE_MAVG(0,,,,200)&lt;/Q&gt;&lt;R&gt;1&lt;/R&gt;&lt;C&gt;1&lt;/C&gt;&lt;D xsi:type="xsd:double"&gt;20.984&lt;/D&gt;&lt;/FQL&gt;&lt;FQL&gt;&lt;Q&gt;VNM^PERCENT_CHANGE(FMA_EPS(+1,0,,,,"PORTAGG","MEAN"),FMA_EPS(+1,-3AM,,,,"PORTAGG","MEAN"))&lt;/Q&gt;&lt;R&gt;1&lt;/R&gt;&lt;C&gt;1&lt;/C&gt;&lt;D xsi:type="xsd:double"&gt;-12.0014403195168&lt;/D&gt;&lt;/FQL&gt;&lt;FQL&gt;&lt;Q&gt;QAT^FG_TOTAL_RETURNC(0,-1AM)&lt;/Q&gt;&lt;R&gt;1&lt;/R&gt;&lt;C&gt;1&lt;/C&gt;&lt;D xsi:type="xsd:double"&gt;-4.3646455&lt;/D&gt;&lt;/FQL&gt;&lt;FQL&gt;&lt;Q&gt;EZA^FG_TOTAL_RETURNC(0,-3AM)&lt;/Q&gt;&lt;R&gt;1&lt;/R&gt;&lt;C&gt;1&lt;/C&gt;&lt;D xsi:type="xsd:double"&gt;1.0298371&lt;/D&gt;&lt;/FQL&gt;&lt;FQL&gt;&lt;Q&gt;TRYZA10Y-FDS^FG_YIELD(-10AY,0,Y,,"YTM")&lt;/Q&gt;&lt;R&gt;10&lt;/R&gt;&lt;C&gt;1&lt;/C&gt;&lt;D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xsi:type="xsd:double"&gt;11.358896&lt;/D&gt;&lt;/FQL&gt;&lt;FQL&gt;&lt;Q&gt;USDEUR^FG_COMPANY_NAME&lt;/Q&gt;&lt;R&gt;1&lt;/R&gt;&lt;C&gt;1&lt;/C&gt;&lt;D xsi:type="xsd:string"&gt;Euro per U.S. Dollar&lt;/D&gt;&lt;/FQL&gt;&lt;FQL&gt;&lt;Q&gt;FC0000TW^FMA_EPS(NTMA,-20AY,0,CY,,"PORTAGG","MEANR")&lt;/Q&gt;&lt;R&gt;20&lt;/R&gt;&lt;C&gt;1&lt;/C&gt;&lt;D xsi:type="xsd:double"&gt;9.12031426379573&lt;/D&gt;&lt;D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xsi:type="xsd:double"&gt;12.9786240187251&lt;/D&gt;&lt;D xsi:type="xsd:double"&gt;15.9439970066355&lt;/D&gt;&lt;D xsi:type="xsd:double"&gt;24.3051164443579&lt;/D&gt;&lt;D xsi:type="xsd:double"&gt;19.7601608611663&lt;/D&gt;&lt;D xsi:type="xsd:double"&gt;19.0963688542886&lt;/D&gt;&lt;/FQL&gt;&lt;FQL&gt;&lt;Q&gt;EWY^FMA_PE(LTMA,-10AY,0,AM,"PORTAGG","MEANR")&lt;/Q&gt;&lt;R&gt;121&lt;/R&gt;&lt;C&gt;1&lt;/C&gt;&lt;D xsi:type="xsd:double"&gt;11.5082338161441&lt;/D&gt;&lt;D xsi:type="xsd:double"&gt;11.4498202756976&lt;/D&gt;&lt;D xsi:type="xsd:double"&gt;11.2807744740277&lt;/D&gt;&lt;D xsi:type="xsd:double"&gt;11.3425931785643&lt;/D&gt;&lt;D xsi:type="xsd:double"&gt;11.5839536589076&lt;/D&gt;&lt;D xsi:type="xsd:double"&gt;11.6314341777828&lt;/D&gt;&lt;D xsi:type="xsd:double"&gt;10.8848598806712&lt;/D&gt;&lt;D xsi:type="xsd:double"&gt;11.6048357995939&lt;/D&gt;&lt;D xsi:type="xsd:double"&gt;11.331368696688&lt;/D&gt;&lt;D xsi:type="xsd:double"&gt;11.2287231215788&lt;/D&gt;&lt;D xsi:type="xsd:double"&gt;12.30039777804&lt;/D&gt;&lt;D xsi:type="xsd:double"&gt;12.1966290786785&lt;/D&gt;&lt;D xsi:type="xsd:double"&gt;12.0893021649244&lt;/D&gt;&lt;D xsi:type="xsd:double"&gt;11.7375266104019&lt;/D&gt;&lt;D xsi:type="xsd:double"&gt;11.3480392097937&lt;/D&gt;&lt;D xsi:type="xsd:double"&gt;11.1801608042134&lt;/D&gt;&lt;D xsi:type="xsd:double"&gt;10.9055677875801&lt;/D&gt;&lt;D xsi:type="xsd:double"&gt;10.8917606567693&lt;/D&gt;&lt;D xsi:type="xsd:double"&gt;11.1158524804486&lt;/D&gt;&lt;D xsi:type="xsd:double"&gt;11.205208392653&lt;/D&gt;&lt;D xsi:type="xsd:double"&gt;10.5503683235593&lt;/D&gt;&lt;D xsi:type="xsd:double"&gt;9.61812669424602&lt;/D&gt;&lt;D xsi:type="xsd:double"&gt;10.5758151515027&lt;/D&gt;&lt;D xsi:type="xsd:double"&gt;10.6499859352216&lt;/D&gt;&lt;D xsi:type="xsd:double"&gt;10.6950414696744&lt;/D&gt;&lt;D xsi:type="xsd:double"&gt;10.4154941708643&lt;/D&gt;&lt;D xsi:type="xsd:double"&gt;10.4069587752405&lt;/D&gt;&lt;D xsi:type="xsd:double"&gt;10.5954169913272&lt;/D&gt;&lt;D xsi:type="xsd:double"&gt;10.6485040067146&lt;/D&gt;&lt;D xsi:type="xsd:double"&gt;10.5478825363137&lt;/D&gt;&lt;D xsi:type="xsd:double"&gt;10.8351703580016&lt;/D&gt;&lt;D xsi:type="xsd:double"&gt;10.6281636558318&lt;/D&gt;&lt;D xsi:type="xsd:double"&gt;11.1412390314212&lt;/D&gt;&lt;D xsi:type="xsd:double"&gt;11.2562933564978&lt;/D&gt;&lt;D xsi:type="xsd:double"&gt;11.6768504197092&lt;/D&gt;&lt;D xsi:type="xsd:double"&gt;11.6192891436079&lt;/D&gt;&lt;D xsi:type="xsd:double"&gt;11.2640088731788&lt;/D&gt;&lt;D xsi:type="xsd:double"&gt;11.1284259891278&lt;/D&gt;&lt;D xsi:type="xsd:double"&gt;11.0126275031272&lt;/D&gt;&lt;D xsi:type="xsd:double"&gt;10.9474077794266&lt;/D&gt;&lt;D xsi:type="xsd:double"&gt;10.4746548487913&lt;/D&gt;&lt;D xsi:type="xsd:double"&gt;10.5060520593124&lt;/D&gt;&lt;D xsi:type="xsd:double"&gt;10.5978271422469&lt;/D&gt;&lt;D xsi:type="xsd:double"&gt;10.453858418378&lt;/D&gt;&lt;D xsi:type="xsd:double"&gt;10.1909785380853&lt;/D&gt;&lt;D xsi:type="xsd:double"&gt;10.4162429346945&lt;/D&gt;&lt;D xsi:type="xsd:double"&gt;10.5379243184531&lt;/D&gt;&lt;D xsi:type="xsd:double"&gt;10.5374689930042&lt;/D&gt;&lt;D xsi:type="xsd:double"&gt;10.3782658317558&lt;/D&gt;&lt;D xsi:type="xsd:double"&gt;10.167126880683&lt;/D&gt;&lt;D xsi:type="xsd:double"&gt;9.9587338584776&lt;/D&gt;&lt;D xsi:type="xsd:double"&gt;9.66530760446565&lt;/D&gt;&lt;D xsi:type="xsd:double"&gt;9.34879450851339&lt;/D&gt;&lt;D xsi:type="xsd:double"&gt;9.33583405034134&lt;/D&gt;&lt;D xsi:type="xsd:double"&gt;8.76364417040654&lt;/D&gt;&lt;D xsi:type="xsd:double"&gt;8.54252057785447&lt;/D&gt;&lt;D xsi:type="xsd:double"&gt;8.32072719909223&lt;/D&gt;&lt;D xsi:type="xsd:double"&gt;8.76087938706286&lt;/D&gt;&lt;D xsi:type="xsd:double"&gt;9.81788809086575&lt;/D&gt;&lt;D xsi:type="xsd:double"&gt;10.0948909774287&lt;/D&gt;&lt;D xsi:type="xsd:double"&gt;10.4324010813236&lt;/D&gt;&lt;D xsi:type="xsd:double"&gt;10.3983212490772&lt;/D&gt;&lt;D xsi:type="xsd:double"&gt;10.7968047104353&lt;/D&gt;&lt;D xsi:type="xsd:double"&gt;11.1881226114629&lt;/D&gt;&lt;D xsi:type="xsd:double"&gt;11.1478327192676&lt;/D&gt;&lt;D xsi:type="xsd:double"&gt;11.9337417798363&lt;/D&gt;&lt;D xsi:type="xsd:double"&gt;12.2908908884053&lt;/D&gt;&lt;D xsi:type="xsd:double"&gt;13.754400365376&lt;/D&gt;&lt;D xsi:type="xsd:double"&gt;14.4089506756413&lt;/D&gt;&lt;D xsi:type="xsd:double"&gt;15.0176846248511&lt;/D&gt;&lt;D xsi:type="xsd:double"&gt;16.4961576330548&lt;/D&gt;&lt;D xsi:type="xsd:double"&gt;14.4745739655405&lt;/D&gt;&lt;D xsi:type="xsd:double"&gt;14.7602238011018&lt;/D&gt;&lt;D xsi:type="xsd:double"&gt;14.9063606130493&lt;/D&gt;&lt;D xsi:type="xsd:double"&gt;15.3650194502045&lt;/D&gt;&lt;D xsi:type="xsd:double"&gt;15.5764549902968&lt;/D&gt;&lt;D xsi:type="xsd:double"&gt;16.1307542603217&lt;/D&gt;&lt;D xsi:type="xsd:double"&gt;16.3721830518682&lt;/D&gt;&lt;D xsi:type="xsd:double"&gt;15.9082271186835&lt;/D&gt;&lt;D xsi:type="xsd:double"&gt;17.0250242927667&lt;/D&gt;&lt;D xsi:type="xsd:double"&gt;18.7403531742358&lt;/D&gt;&lt;D xsi:type="xsd:double"&gt;21.3258840818504&lt;/D&gt;&lt;D xsi:type="xsd:double"&gt;21.1946625625603&lt;/D&gt;&lt;D xsi:type="xsd:double"&gt;20.0942477931496&lt;/D&gt;&lt;D xsi:type="xsd:double"&gt;19.4652575077421&lt;/D&gt;&lt;D xsi:type="xsd:double"&gt;17.8273059774368&lt;/D&gt;&lt;D xsi:type="xsd:double"&gt;16.9948928531996&lt;/D&gt;&lt;D xsi:type="xsd:double"&gt;16.0659445004477&lt;/D&gt;&lt;D xsi:type="xsd:double"&gt;14.5237767309945&lt;/D&gt;&lt;D xsi:type="xsd:double"&gt;13.5337619346554&lt;/D&gt;&lt;D xsi:type="xsd:double"&gt;12.1880794584884&lt;/D&gt;&lt;D xsi:type="xsd:double"&gt;10.8749943116344&lt;/D&gt;&lt;D xsi:type="xsd:double"&gt;10.1204106563226&lt;/D&gt;&lt;D xsi:type="xsd:double"&gt;9.33135352484022&lt;/D&gt;&lt;D xsi:type="xsd:double"&gt;9.40742223022515&lt;/D&gt;&lt;D xsi:type="xsd:double"&gt;9.31698901223541&lt;/D&gt;&lt;D xsi:type="xsd:double"&gt;9.29394236306939&lt;/D&gt;&lt;D xsi:type="xsd:double"&gt;9.23025064298126&lt;/D&gt;&lt;D xsi:type="xsd:double"&gt;8.93002550858847&lt;/D&gt;&lt;D xsi:type="xsd:double"&gt;8.93490632235713&lt;/D&gt;&lt;D xsi:type="xsd:double"&gt;9.10331603047418&lt;/D&gt;&lt;D xsi:type="xsd:double"&gt;8.7367922486026&lt;/D&gt;&lt;D xsi:type="xsd:double"&gt;8.73958478982614&lt;/D&gt;&lt;D xsi:type="xsd:double"&gt;9.85870161341749&lt;/D&gt;&lt;D xsi:type="xsd:double"&gt;9.73446214672274&lt;/D&gt;&lt;D xsi:type="xsd:double"&gt;10.2051096125248&lt;/D&gt;&lt;D xsi:type="xsd:double"&gt;10.9065482233219&lt;/D&gt;&lt;D xsi:type="xsd:double"&gt;11.2053176905576&lt;/D&gt;&lt;D xsi:type="xsd:double"&gt;12.1107119744958&lt;/D&gt;&lt;D xsi:type="xsd:double"&gt;12.2075630127457&lt;/D&gt;&lt;D xsi:type="xsd:double"&gt;12.5830917497919&lt;/D&gt;&lt;D xsi:type="xsd:double"&gt;12.9003989719429&lt;/D&gt;&lt;D xsi:type="xsd:double"&gt;12.8459959425583&lt;/D&gt;&lt;D xsi:type="xsd:double"&gt;13.7596882509578&lt;/D&gt;&lt;D xsi:type="xsd:double"&gt;13.6885142080831&lt;/D&gt;&lt;D xsi:type="xsd:double"&gt;14.0747975854317&lt;/D&gt;&lt;D xsi:type="xsd:double"&gt;14.8503645577009&lt;/D&gt;&lt;D xsi:type="xsd:double"&gt;14.3976713427798&lt;/D&gt;&lt;D xsi:type="xsd:double"&gt;16.6260372782193&lt;/D&gt;&lt;D xsi:type="xsd:double"&gt;16.0373316705381&lt;/D&gt;&lt;D xsi:type="xsd:double"&gt;15.5000664558106&lt;/D&gt;&lt;/FQL&gt;&lt;FQL&gt;&lt;Q&gt;INDA^FG_PRICE_MAVG(0,,,,200)&lt;/Q&gt;&lt;R&gt;1&lt;/R&gt;&lt;C&gt;1&lt;/C&gt;&lt;D xsi:type="xsd:double"&gt;47.042927&lt;/D&gt;&lt;/FQL&gt;&lt;FQL&gt;&lt;Q&gt;EWT^FG_TOTAL_RETURNC(0,-3AM)&lt;/Q&gt;&lt;R&gt;1&lt;/R&gt;&lt;C&gt;1&lt;/C&gt;&lt;D xsi:type="xsd:double"&gt;8.25411&lt;/D&gt;&lt;/FQL&gt;&lt;FQL&gt;&lt;Q&gt;REFQALEND-FDS^(SUBARRAY(NOT_NA(NO_REPEAT_F(FG_YIELD(NOW,-10AY,D))),0,1)-SUBARRAY(NOT_NA(NO_REPEAT_F(FG_YIELD(NOW,-10AY,D))),1,1))*100&lt;/Q&gt;&lt;R&gt;1&lt;/R&gt;&lt;C&gt;1&lt;/C&gt;&lt;D xsi:type="xsd:double"&gt;25&lt;/D&gt;&lt;/FQL&gt;&lt;FQL&gt;&lt;Q&gt;TRYAE10Y-FDS^PCTCHG(FG_YIELD(0,,,,"YTM"),FG_YIELD(-3AM,,,,"YTM"))&lt;/Q&gt;&lt;R&gt;0&lt;/R&gt;&lt;C&gt;0&lt;/C&gt;&lt;/FQL&gt;&lt;FQL&gt;&lt;Q&gt;TRYMY10Y-FDS^PCTCHG(FG_YIELD(0,,,,"YTM"),FG_YIELD(-3AM,,,,"YTM"))&lt;/Q&gt;&lt;R&gt;1&lt;/R&gt;&lt;C&gt;1&lt;/C&gt;&lt;D xsi:type="xsd:double"&gt;3.7605386&lt;/D&gt;&lt;/FQL&gt;&lt;FQL&gt;&lt;Q&gt;USDVND^STD(FG_PRICE_CHANGE(0,-1AY,AM))&lt;/Q&gt;&lt;R&gt;1&lt;/R&gt;&lt;C&gt;1&lt;/C&gt;&lt;D xsi:type="xsd:double"&gt;1.03807326747563&lt;/D&gt;&lt;/FQL&gt;&lt;FQL&gt;&lt;Q&gt;USDPLN^FG_PRICE_CHANGE(0,-1AM)&lt;/Q&gt;&lt;R&gt;1&lt;/R&gt;&lt;C&gt;1&lt;/C&gt;&lt;D xsi:type="xsd:double"&gt;2.3464441&lt;/D&gt;&lt;/FQL&gt;&lt;FQL&gt;&lt;Q&gt;EZA^FMA_DIV_YLD(NTMA,-10AY,0,AM,"PORTAGG","MEANR")&lt;/Q&gt;&lt;R&gt;121&lt;/R&gt;&lt;C&gt;1&lt;/C&gt;&lt;D xsi:type="xsd:double"&gt;3.44769846102109&lt;/D&gt;&lt;D xsi:type="xsd:double"&gt;3.40203277388354&lt;/D&gt;&lt;D xsi:type="xsd:double"&gt;3.32725651916081&lt;/D&gt;&lt;D xsi:type="xsd:double"&gt;3.2523965896897&lt;/D&gt;&lt;D xsi:type="xsd:double"&gt;3.26122868140366&lt;/D&gt;&lt;D xsi:type="xsd:double"&gt;3.32489213994749&lt;/D&gt;&lt;D xsi:type="xsd:double"&gt;3.56144505058513&lt;/D&gt;&lt;D xsi:type="xsd:double"&gt;3.28566586666083&lt;/D&gt;&lt;D xsi:type="xsd:double"&gt;3.35282341462269&lt;/D&gt;&lt;D xsi:type="xsd:double"&gt;3.33752180428413&lt;/D&gt;&lt;D xsi:type="xsd:double"&gt;3.11453456196558&lt;/D&gt;&lt;D xsi:type="xsd:double"&gt;3.07592978067572&lt;/D&gt;&lt;D xsi:type="xsd:double"&gt;2.97245976882578&lt;/D&gt;&lt;D xsi:type="xsd:double"&gt;3.07612984309698&lt;/D&gt;&lt;D xsi:type="xsd:double"&gt;3.245017543943&lt;/D&gt;&lt;D xsi:type="xsd:double"&gt;3.14859909691742&lt;/D&gt;&lt;D xsi:type="xsd:double"&gt;3.33048724163772&lt;/D&gt;&lt;D xsi:type="xsd:double"&gt;3.37710235713593&lt;/D&gt;&lt;D xsi:type="xsd:double"&gt;3.24861361788119&lt;/D&gt;&lt;D xsi:type="xsd:double"&gt;3.35396462548007&lt;/D&gt;&lt;D xsi:type="xsd:double"&gt;3.58487063692347&lt;/D&gt;&lt;D xsi:type="xsd:double"&gt;3.80911457694375&lt;/D&gt;&lt;D xsi:type="xsd:double"&gt;3.43511876013101&lt;/D&gt;&lt;D xsi:type="xsd:double"&gt;3.23284673751629&lt;/D&gt;&lt;D xsi:type="xsd:double"&gt;3.19905467441089&lt;/D&gt;&lt;D xsi:type="xsd:double"&gt;3.40277973311682&lt;/D&gt;&lt;D xsi:type="xsd:double"&gt;3.18438186360691&lt;/D&gt;&lt;D xsi:type="xsd:double"&gt;2.99275449360664&lt;/D&gt;&lt;D xsi:type="xsd:double"&gt;2.9284295770785&lt;/D&gt;&lt;D xsi:type="xsd:double"&gt;3.1389667739111&lt;/D&gt;&lt;D xsi:type="xsd:double"&gt;3.24934851858915&lt;/D&gt;&lt;D xsi:type="xsd:double"&gt;3.32759208356343&lt;/D&gt;&lt;D xsi:type="xsd:double"&gt;3.37625739347219&lt;/D&gt;&lt;D xsi:type="xsd:double"&gt;3.13127011138696&lt;/D&gt;&lt;D xsi:type="xsd:double"&gt;3.16565917158009&lt;/D&gt;&lt;D xsi:type="xsd:double"&gt;3.12570567291269&lt;/D&gt;&lt;D xsi:type="xsd:double"&gt;3.14948275111581&lt;/D&gt;&lt;D xsi:type="xsd:double"&gt;3.05981802958212&lt;/D&gt;&lt;D xsi:type="xsd:double"&gt;3.45612101710878&lt;/D&gt;&lt;D xsi:type="xsd:double"&gt;3.27524411912853&lt;/D&gt;&lt;D xsi:type="xsd:double"&gt;3.18347011343749&lt;/D&gt;&lt;D xsi:type="xsd:double"&gt;3.33094914775152&lt;/D&gt;&lt;D xsi:type="xsd:double"&gt;3.22609455532009&lt;/D&gt;&lt;D xsi:type="xsd:double"&gt;3.13840562904469&lt;/D&gt;&lt;D xsi:type="xsd:double"&gt;3.44368259302487&lt;/D&gt;&lt;D xsi:type="xsd:double"&gt;3.28254809268879&lt;/D&gt;&lt;D xsi:type="xsd:double"&gt;3.2857196225051&lt;/D&gt;&lt;D xsi:type="xsd:double"&gt;3.14122530703045&lt;/D&gt;&lt;D xsi:type="xsd:double"&gt;3.25188228602662&lt;/D&gt;&lt;D xsi:type="xsd:double"&gt;3.40944788950573&lt;/D&gt;&lt;D xsi:type="xsd:double"&gt;3.5390024848674&lt;/D&gt;&lt;D xsi:type="xsd:double"&gt;3.62257077927088&lt;/D&gt;&lt;D xsi:type="xsd:double"&gt;3.73681267836244&lt;/D&gt;&lt;D xsi:type="xsd:double"&gt;3.78621402777191&lt;/D&gt;&lt;D xsi:type="xsd:double"&gt;4.11977352758802&lt;/D&gt;&lt;D xsi:type="xsd:double"&gt;4.03711238482831&lt;/D&gt;&lt;D xsi:type="xsd:double"&gt;3.99765648366217&lt;/D&gt;&lt;D xsi:type="xsd:double"&gt;3.73446396137105&lt;/D&gt;&lt;D xsi:type="xsd:double"&gt;3.83875150722867&lt;/D&gt;&lt;D xsi:type="xsd:double"&gt;3.87154800717779&lt;/D&gt;&lt;D xsi:type="xsd:double"&gt;3.62967557347753&lt;/D&gt;&lt;D xsi:type="xsd:double"&gt;3.88197384787661&lt;/D&gt;&lt;D xsi:type="xsd:double"&gt;3.73867045803802&lt;/D&gt;&lt;D xsi:type="xsd:double"&gt;3.76295976589462&lt;/D&gt;&lt;D xsi:type="xsd:double"&gt;4.09710422456677&lt;/D&gt;&lt;D xsi:type="xsd:double"&gt;4.14712153231643&lt;/D&gt;&lt;D xsi:type="xsd:double"&gt;4.18913942735653&lt;/D&gt;&lt;D xsi:type="xsd:double"&gt;4.14167475817761&lt;/D&gt;&lt;D xsi:type="xsd:double"&gt;3.65655277170005&lt;/D&gt;&lt;D xsi:type="xsd:double"&gt;3.648377256514&lt;/D&gt;&lt;D xsi:type="xsd:double"&gt;3.70801715214445&lt;/D&gt;&lt;D xsi:type="xsd:double"&gt;5.85649780930253&lt;/D&gt;&lt;D xsi:type="xsd:double"&gt;4.33695850289267&lt;/D&gt;&lt;D xsi:type="xsd:double"&gt;3.4895063424537&lt;/D&gt;&lt;D xsi:type="xsd:double"&gt;3.38959869625691&lt;/D&gt;&lt;D xsi:type="xsd:double"&gt;3.33555802519429&lt;/D&gt;&lt;D xsi:type="xsd:double"&gt;3.3747419197325&lt;/D&gt;&lt;D xsi:type="xsd:double"&gt;3.4813233630399&lt;/D&gt;&lt;D xsi:type="xsd:double"&gt;3.56906772978805&lt;/D&gt;&lt;D xsi:type="xsd:double"&gt;3.52920389061615&lt;/D&gt;&lt;D xsi:type="xsd:double"&gt;3.7687028456071&lt;/D&gt;&lt;D xsi:type="xsd:double"&gt;3.93238067858946&lt;/D&gt;&lt;D xsi:type="xsd:double"&gt;3.84958564062709&lt;/D&gt;&lt;D xsi:type="xsd:double"&gt;3.83708891327911&lt;/D&gt;&lt;D xsi:type="xsd:double"&gt;4.05136543614259&lt;/D&gt;&lt;D xsi:type="xsd:double"&gt;4.28286510768228&lt;/D&gt;&lt;D xsi:type="xsd:double"&gt;4.28492742588824&lt;/D&gt;&lt;D xsi:type="xsd:double"&gt;4.52233520068696&lt;/D&gt;&lt;D xsi:type="xsd:double"&gt;4.99601576209053&lt;/D&gt;&lt;D xsi:type="xsd:double"&gt;5.15514029276861&lt;/D&gt;&lt;D xsi:type="xsd:double"&gt;4.74935478541962&lt;/D&gt;&lt;D xsi:type="xsd:double"&gt;4.46839174687691&lt;/D&gt;&lt;D xsi:type="xsd:double"&gt;4.64454908201007&lt;/D&gt;&lt;D xsi:type="xsd:double"&gt;4.51906823767767&lt;/D&gt;&lt;D xsi:type="xsd:double"&gt;4.33308245627667&lt;/D&gt;&lt;D xsi:type="xsd:double"&gt;4.33121679588152&lt;/D&gt;&lt;D xsi:type="xsd:double"&gt;4.61680143190158&lt;/D&gt;&lt;D xsi:type="xsd:double"&gt;4.94911398897946&lt;/D&gt;&lt;D xsi:type="xsd:double"&gt;5.24122215775809&lt;/D&gt;&lt;D xsi:type="xsd:double"&gt;5.00306397376781&lt;/D&gt;&lt;D xsi:type="xsd:double"&gt;4.8416383866416&lt;/D&gt;&lt;D xsi:type="xsd:double"&gt;5.37147611860738&lt;/D&gt;&lt;D xsi:type="xsd:double"&gt;5.44489165058495&lt;/D&gt;&lt;D xsi:type="xsd:double"&gt;4.95493888982006&lt;/D&gt;&lt;D xsi:type="xsd:double"&gt;4.99237328189915&lt;/D&gt;&lt;D xsi:type="xsd:double"&gt;4.56106859902495&lt;/D&gt;&lt;D xsi:type="xsd:double"&gt;4.66948182712529&lt;/D&gt;&lt;D xsi:type="xsd:double"&gt;4.92860999789913&lt;/D&gt;&lt;D xsi:type="xsd:double"&gt;4.44807499316173&lt;/D&gt;&lt;D xsi:type="xsd:double"&gt;4.70602357920983&lt;/D&gt;&lt;D xsi:type="xsd:double"&gt;4.41900879382652&lt;/D&gt;&lt;D xsi:type="xsd:double"&gt;4.23805881597193&lt;/D&gt;&lt;D xsi:type="xsd:double"&gt;4.50792314213503&lt;/D&gt;&lt;D xsi:type="xsd:double"&gt;4.48378882274334&lt;/D&gt;&lt;D xsi:type="xsd:double"&gt;4.49260676892259&lt;/D&gt;&lt;D xsi:type="xsd:double"&gt;4.35171284786761&lt;/D&gt;&lt;D xsi:type="xsd:double"&gt;4.22265731776726&lt;/D&gt;&lt;D xsi:type="xsd:double"&gt;4.43968639404147&lt;/D&gt;&lt;D xsi:type="xsd:double"&gt;4.35447055561191&lt;/D&gt;&lt;D xsi:type="xsd:double"&gt;4.32039546550247&lt;/D&gt;&lt;D xsi:type="xsd:double"&gt;4.14933339244289&lt;/D&gt;&lt;/FQL&gt;&lt;FQL&gt;&lt;Q&gt;EPU^FMA_PE(LTMA,-10AY,0,AM,"PORTAGG","MEANR")&lt;/Q&gt;&lt;R&gt;121&lt;/R&gt;&lt;C&gt;1&lt;/C&gt;&lt;D xsi:type="xsd:double"&gt;14.8250817521072&lt;/D&gt;&lt;D xsi:type="xsd:double"&gt;14.7774665502127&lt;/D&gt;&lt;D xsi:type="xsd:double"&gt;15.2295400579083&lt;/D&gt;&lt;D xsi:type="xsd:double"&gt;15.8289665684879&lt;/D&gt;&lt;D xsi:type="xsd:double"&gt;15.7337486220945&lt;/D&gt;&lt;D xsi:type="xsd:double"&gt;15.6540714520904&lt;/D&gt;&lt;D xsi:type="xsd:double"&gt;14.2496344830412&lt;/D&gt;&lt;D xsi:type="xsd:double"&gt;14.1648847117845&lt;/D&gt;&lt;D xsi:type="xsd:double"&gt;14.057860387504&lt;/D&gt;&lt;D xsi:type="xsd:double"&gt;14.969922229735&lt;/D&gt;&lt;D xsi:type="xsd:double"&gt;16.3841948538374&lt;/D&gt;&lt;D xsi:type="xsd:double"&gt;16.1094402863266&lt;/D&gt;&lt;D xsi:type="xsd:double"&gt;15.6339653039638&lt;/D&gt;&lt;D xsi:type="xsd:double"&gt;15.6129176232527&lt;/D&gt;&lt;D xsi:type="xsd:double"&gt;16.3478414122687&lt;/D&gt;&lt;D xsi:type="xsd:double"&gt;15.7159337579577&lt;/D&gt;&lt;D xsi:type="xsd:double"&gt;14.9952922849173&lt;/D&gt;&lt;D xsi:type="xsd:double"&gt;14.5564926543739&lt;/D&gt;&lt;D xsi:type="xsd:double"&gt;15.0095418478413&lt;/D&gt;&lt;D xsi:type="xsd:double"&gt;11.3175509679281&lt;/D&gt;&lt;D xsi:type="xsd:double"&gt;10.3708259186498&lt;/D&gt;&lt;D xsi:type="xsd:double"&gt;13.4671276207711&lt;/D&gt;&lt;D xsi:type="xsd:double"&gt;17.8138585431184&lt;/D&gt;&lt;D xsi:type="xsd:double"&gt;22.5098253591353&lt;/D&gt;&lt;D xsi:type="xsd:double"&gt;21.8422359570564&lt;/D&gt;&lt;D xsi:type="xsd:double"&gt;21.0827885597261&lt;/D&gt;&lt;D xsi:type="xsd:double"&gt;20.1619458359601&lt;/D&gt;&lt;D xsi:type="xsd:double"&gt;19.9513258103363&lt;/D&gt;&lt;D xsi:type="xsd:double"&gt;18.9460556083398&lt;/D&gt;&lt;D xsi:type="xsd:double"&gt;17.6775882175594&lt;/D&gt;&lt;D xsi:type="xsd:double"&gt;16.4676298849637&lt;/D&gt;&lt;D xsi:type="xsd:double"&gt;15.6747226212148&lt;/D&gt;&lt;D xsi:type="xsd:double"&gt;15.2099985685799&lt;/D&gt;&lt;D xsi:type="xsd:double"&gt;15.4611397574099&lt;/D&gt;&lt;D xsi:type="xsd:double"&gt;16.937891261651&lt;/D&gt;&lt;D xsi:type="xsd:double"&gt;16.1776916477441&lt;/D&gt;&lt;D xsi:type="xsd:double"&gt;15.4751973559316&lt;/D&gt;&lt;D xsi:type="xsd:double"&gt;15.1516485108675&lt;/D&gt;&lt;D xsi:type="xsd:double"&gt;14.7675117007231&lt;/D&gt;&lt;D xsi:type="xsd:double"&gt;14.9181106049376&lt;/D&gt;&lt;D xsi:type="xsd:double"&gt;15.2650820808148&lt;/D&gt;&lt;D xsi:type="xsd:double"&gt;16.6767689509954&lt;/D&gt;&lt;D xsi:type="xsd:double"&gt;16.4454337748944&lt;/D&gt;&lt;D xsi:type="xsd:double"&gt;16.6527639479502&lt;/D&gt;&lt;D xsi:type="xsd:double"&gt;16.4503893121955&lt;/D&gt;&lt;D xsi:type="xsd:double"&gt;17.6619486836358&lt;/D&gt;&lt;D xsi:type="xsd:double"&gt;18.6939935479772&lt;/D&gt;&lt;D xsi:type="xsd:double"&gt;19.518179280356&lt;/D&gt;&lt;D xsi:type="xsd:double"&gt;19.1076987776669&lt;/D&gt;&lt;D xsi:type="xsd:double"&gt;18.4210607942983&lt;/D&gt;&lt;D xsi:type="xsd:double"&gt;18.1078461015865&lt;/D&gt;&lt;D xsi:type="xsd:double"&gt;17.4667699129487&lt;/D&gt;&lt;D xsi:type="xsd:double"&gt;17.3075158026106&lt;/D&gt;&lt;D xsi:type="xsd:double"&gt;16.1628734810263&lt;/D&gt;&lt;D xsi:type="xsd:double"&gt;16.1946574922204&lt;/D&gt;&lt;D xsi:type="xsd:double"&gt;17.035024169216&lt;/D&gt;&lt;D xsi:type="xsd:double"&gt;17.1828799521264&lt;/D&gt;&lt;D xsi:type="xsd:double"&gt;17.8282426335111&lt;/D&gt;&lt;D xsi:type="xsd:double"&gt;19.3004468538212&lt;/D&gt;&lt;D xsi:type="xsd:double"&gt;20.019380534182&lt;/D&gt;&lt;D xsi:type="xsd:double"&gt;19.4007241632317&lt;/D&gt;&lt;D xsi:type="xsd:double"&gt;18.2794445516714&lt;/D&gt;&lt;D xsi:type="xsd:double"&gt;17.800306988329&lt;/D&gt;&lt;D xsi:type="xsd:double"&gt;18.423376754206&lt;/D&gt;&lt;D xsi:type="xsd:double"&gt;17.8561456495934&lt;/D&gt;&lt;D xsi:type="xsd:double"&gt;17.282892467292&lt;/D&gt;&lt;D xsi:type="xsd:double"&gt;17.0617568664063&lt;/D&gt;&lt;D xsi:type="xsd:double"&gt;16.9552380214588&lt;/D&gt;&lt;D xsi:type="xsd:double"&gt;16.3669081275271&lt;/D&gt;&lt;D xsi:type="xsd:double"&gt;16.9697328475494&lt;/D&gt;&lt;D xsi:type="xsd:double"&gt;16.6692235842382&lt;/D&gt;&lt;D xsi:type="xsd:double"&gt;15.7405353079093&lt;/D&gt;&lt;D xsi:type="xsd:double"&gt;15.9093974844274&lt;/D&gt;&lt;D xsi:type="xsd:double"&gt;17.1322140390369&lt;/D&gt;&lt;D xsi:type="xsd:double"&gt;19.8243697752858&lt;/D&gt;&lt;D xsi:type="xsd:double"&gt;22.4563080357942&lt;/D&gt;&lt;D xsi:type="xsd:double"&gt;29.4747326590934&lt;/D&gt;&lt;D xsi:type="xsd:double"&gt;36.1484945009131&lt;/D&gt;&lt;D xsi:type="xsd:double"&gt;36.9152488602067&lt;/D&gt;&lt;D xsi:type="xsd:double"&gt;43.3048791957352&lt;/D&gt;&lt;D xsi:type="xsd:double"&gt;52.7747084726022&lt;/D&gt;&lt;D xsi:type="xsd:double"&gt;47.9328317082683&lt;/D&gt;&lt;D xsi:type="xsd:double"&gt;52.5464380377308&lt;/D&gt;&lt;D xsi:type="xsd:double"&gt;64.6125514203512&lt;/D&gt;&lt;D xsi:type="xsd:double"&gt;58.9751299519289&lt;/D&gt;&lt;D xsi:type="xsd:double"&gt;53.1803610151208&lt;/D&gt;&lt;D xsi:type="xsd:double"&gt;46.1090457851938&lt;/D&gt;&lt;D xsi:type="xsd:double"&gt;40.6801873464898&lt;/D&gt;&lt;D xsi:type="xsd:double"&gt;34.7309544144676&lt;/D&gt;&lt;D xsi:type="xsd:double"&gt;29.37830749495&lt;/D&gt;&lt;D xsi:type="xsd:double"&gt;24.7023074389426&lt;/D&gt;&lt;D xsi:type="xsd:double"&gt;18.6410505036886&lt;/D&gt;&lt;D xsi:type="xsd:double"&gt;13.5024584966245&lt;/D&gt;&lt;D xsi:type="xsd:double"&gt;12.5893157309966&lt;/D&gt;&lt;D xsi:type="xsd:double"&gt;12.4288647602431&lt;/D&gt;&lt;D xsi:type="xsd:double"&gt;13.5074440062201&lt;/D&gt;&lt;D xsi:type="xsd:double"&gt;12.8143367947611&lt;/D&gt;&lt;D xsi:type="xsd:double"&gt;11.7543401775525&lt;/D&gt;&lt;D xsi:type="xsd:double"&gt;11.1419723175872&lt;/D&gt;&lt;D xsi:type="xsd:double"&gt;10.1718367510343&lt;/D&gt;&lt;D xsi:type="xsd:double"&gt;10.0794362888752&lt;/D&gt;&lt;D xsi:type="xsd:double"&gt;9.3627918435271&lt;/D&gt;&lt;D xsi:type="xsd:double"&gt;9.25460870532276&lt;/D&gt;&lt;D xsi:type="xsd:double"&gt;9.99021406961269&lt;/D&gt;&lt;D xsi:type="xsd:double"&gt;9.2558341288874&lt;/D&gt;&lt;D xsi:type="xsd:double"&gt;10.4145719856886&lt;/D&gt;&lt;D xsi:type="xsd:double"&gt;9.70307286611125&lt;/D&gt;&lt;D xsi:type="xsd:double"&gt;9.38401567029969&lt;/D&gt;&lt;D xsi:type="xsd:double"&gt;9.62863960633754&lt;/D&gt;&lt;D xsi:type="xsd:double"&gt;9.57238670352436&lt;/D&gt;&lt;D xsi:type="xsd:double"&gt;10.0848448008248&lt;/D&gt;&lt;D xsi:type="xsd:double"&gt;10.5429668194738&lt;/D&gt;&lt;D xsi:type="xsd:double"&gt;10.8072036250446&lt;/D&gt;&lt;D xsi:type="xsd:double"&gt;11.0501033407601&lt;/D&gt;&lt;D xsi:type="xsd:double"&gt;10.6839761471325&lt;/D&gt;&lt;D xsi:type="xsd:double"&gt;11.8345569537486&lt;/D&gt;&lt;D xsi:type="xsd:double"&gt;14.3335936255964&lt;/D&gt;&lt;D xsi:type="xsd:double"&gt;14.6084485659305&lt;/D&gt;&lt;D xsi:type="xsd:double"&gt;15.0998705935802&lt;/D&gt;&lt;D xsi:type="xsd:double"&gt;15.2772670196288&lt;/D&gt;&lt;D xsi:type="xsd:double"&gt;15.0900906573049&lt;/D&gt;&lt;/FQL&gt;&lt;FQL&gt;&lt;Q&gt;GREK^FG_PRICE_MAVG(0,,,,60)&lt;/Q&gt;&lt;R&gt;1&lt;/R&gt;&lt;C&gt;1&lt;/C&gt;&lt;D xsi:type="xsd:double"&gt;39.852665&lt;/D&gt;&lt;/FQL&gt;&lt;FQL&gt;&lt;Q&gt;EPHE^FG_PRICE_MAVG(0,,,,200)&lt;/Q&gt;&lt;R&gt;1&lt;/R&gt;&lt;C&gt;1&lt;/C&gt;&lt;D xsi:type="xsd:double"&gt;25.791872&lt;/D&gt;&lt;/FQL&gt;&lt;FQL&gt;&lt;Q&gt;UAE^P_PRICE(0)/P_PRICE_LOW_PR(0,,,,,,"PRICE","INTRA","52W")-1&lt;/Q&gt;&lt;R&gt;1&lt;/R&gt;&lt;C&gt;1&lt;/C&gt;&lt;D xsi:type="xsd:double"&gt;0.0954169&lt;/D&gt;&lt;/FQL&gt;&lt;FQL&gt;&lt;Q&gt;MCHI^FG_TOTAL_RETURNC(0,-12AM)&lt;/Q&gt;&lt;R&gt;1&lt;/R&gt;&lt;C&gt;1&lt;/C&gt;&lt;D xsi:type="xsd:double"&gt;-17.65151&lt;/D&gt;&lt;/FQL&gt;&lt;FQL&gt;&lt;Q&gt;EWZ^FG_TOTAL_RETURNC(0,-12AM)&lt;/Q&gt;&lt;R&gt;1&lt;/R&gt;&lt;C&gt;1&lt;/C&gt;&lt;D xsi:type="xsd:double"&gt;10.182953&lt;/D&gt;&lt;/FQL&gt;&lt;FQL&gt;&lt;Q&gt;CNYA^FMA_PCT_ABOVE_MAVG(200,0,,,,"PORTAGG")&lt;/Q&gt;&lt;R&gt;1&lt;/R&gt;&lt;C&gt;1&lt;/C&gt;&lt;D xsi:type="xsd:double"&gt;41.8111753371869&lt;/D&gt;&lt;/FQL&gt;&lt;FQL&gt;&lt;Q&gt;VWO^FMA_PCT_ABOVE_MAVG(200,0,,,,"PORTAGG")&lt;/Q&gt;&lt;R&gt;1&lt;/R&gt;&lt;C&gt;1&lt;/C&gt;&lt;D xsi:type="xsd:double"&gt;40.5057771964247&lt;/D&gt;&lt;/FQL&gt;&lt;FQL&gt;&lt;Q&gt;UAE^FMA_COS_DOWN("EPS","1M",+1,NOW,,,"PORTAGG","MEANR")&lt;/Q&gt;&lt;R&gt;1&lt;/R&gt;&lt;C&gt;1&lt;/C&gt;&lt;D xsi:type="xsd:double"&gt;5&lt;/D&gt;&lt;/FQL&gt;&lt;FQL&gt;&lt;Q&gt;EWW^SIZE(FG_CONSTITUENTS)&lt;/Q&gt;&lt;R&gt;1&lt;/R&gt;&lt;C&gt;1&lt;/C&gt;&lt;D xsi:type="xsd:long"&gt;44&lt;/D&gt;&lt;/FQL&gt;&lt;FQL&gt;&lt;Q&gt;QAT^FG_ROE(0)&lt;/Q&gt;&lt;R&gt;1&lt;/R&gt;&lt;C&gt;1&lt;/C&gt;&lt;D xsi:type="xsd:double"&gt;10.3896881726862&lt;/D&gt;&lt;/FQL&gt;&lt;FQL&gt;&lt;Q&gt;REFQALEND-FDS^FG_YIELD(NOW,,,0)&lt;/Q&gt;&lt;R&gt;1&lt;/R&gt;&lt;C&gt;1&lt;/C&gt;&lt;D xsi:type="xsd:double"&gt;6.25&lt;/D&gt;&lt;/FQL&gt;&lt;FQL&gt;&lt;Q&gt;REFTWDISC-FDS^FG_YIELD(NOW,,,0)&lt;/Q&gt;&lt;R&gt;1&lt;/R&gt;&lt;C&gt;1&lt;/C&gt;&lt;D xsi:type="xsd:double"&gt;2&lt;/D&gt;&lt;/FQL&gt;&lt;FQL&gt;&lt;Q&gt;TRYPE10Y-FDS^PCTCHG(FG_YIELD(0,,,,"YTM"),FG_YIELD(-1AM,,,,"YTM"))&lt;/Q&gt;&lt;R&gt;1&lt;/R&gt;&lt;C&gt;1&lt;/C&gt;&lt;D xsi:type="xsd:double"&gt;8.548539&lt;/D&gt;&lt;/FQL&gt;&lt;FQL&gt;&lt;Q&gt;VNM^FMA_EVAL_EBIT(LTMA,NOW,NOW,M,"PORTAGG","MEANR")&lt;/Q&gt;&lt;R&gt;1&lt;/R&gt;&lt;C&gt;1&lt;/C&gt;&lt;D xsi:type="xsd:double"&gt;19.4738951746845&lt;/D&gt;&lt;/FQL&gt;&lt;FQL&gt;&lt;Q&gt;SET-BKK^FMA_DIV_YLD(NTMA,NOW,NOW,M,"PORTAGG","MEANR")&lt;/Q&gt;&lt;R&gt;1&lt;/R&gt;&lt;C&gt;1&lt;/C&gt;&lt;D xsi:type="xsd:double"&gt;3.51057067004828&lt;/D&gt;&lt;/FQL&gt;&lt;FQL&gt;&lt;Q&gt;INDA^FMA_PE(LTM,0,,,"PORTAGG","MEANR")&lt;/Q&gt;&lt;R&gt;1&lt;/R&gt;&lt;C&gt;1&lt;/C&gt;&lt;D xsi:type="xsd:double"&gt;25.1898937559266&lt;/D&gt;&lt;/FQL&gt;&lt;FQL&gt;&lt;Q&gt;EWZ^FMA_PE(LTM,0,,,"PORTAGG","MEANR")&lt;/Q&gt;&lt;R&gt;1&lt;/R&gt;&lt;C&gt;1&lt;/C&gt;&lt;D xsi:type="xsd:double"&gt;7.34519681377362&lt;/D&gt;&lt;/FQL&gt;&lt;FQL&gt;&lt;Q&gt;EWT^JULIAN(FMA_DIV_YLD(NTMA,NOW,NOW,M,"PORTAGG","MEANR").DATES)&lt;/Q&gt;&lt;R&gt;1&lt;/R&gt;&lt;C&gt;1&lt;/C&gt;&lt;D xsi:type="xsd:long"&gt;45379&lt;/D&gt;&lt;/FQL&gt;&lt;FQL&gt;&lt;Q&gt;EPHE^FMA_EVAL_EBITDA(NTMA,0,,,"PORTAGG","MEANR")&lt;/Q&gt;&lt;R&gt;1&lt;/R&gt;&lt;C&gt;1&lt;/C&gt;&lt;D xsi:type="xsd:double"&gt;8.40644465813767&lt;/D&gt;&lt;/FQL&gt;&lt;FQL&gt;&lt;Q&gt;CNYA^FMA_EVAL_EBITDA(NTMA,0,,,"PORTAGG","MEANR")&lt;/Q&gt;&lt;R&gt;1&lt;/R&gt;&lt;C&gt;1&lt;/C&gt;&lt;D xsi:type="xsd:double"&gt;9.86241235505868&lt;/D&gt;&lt;/FQL&gt;&lt;FQL&gt;&lt;Q&gt;EWT^FG_COMPANY_NAME&lt;/Q&gt;&lt;R&gt;1&lt;/R&gt;&lt;C&gt;1&lt;/C&gt;&lt;D xsi:type="xsd:string"&gt;iShares MSCI Taiwan ETF&lt;/D&gt;&lt;/FQL&gt;&lt;FQL&gt;&lt;Q&gt;SPY^P_PRICE(0)/P_PRICE_LOW_PR(0,,,,,,"PRICE","INTRA","52W")-1&lt;/Q&gt;&lt;R&gt;1&lt;/R&gt;&lt;C&gt;1&lt;/C&gt;&lt;D xsi:type="xsd:double"&gt;0.23723185&lt;/D&gt;&lt;/FQL&gt;&lt;FQL&gt;&lt;Q&gt;KSA^FMA_RBICS_REV_CURRENT(30, LOC, "PORTAGG")&lt;/Q&gt;&lt;R&gt;1&lt;/R&gt;&lt;C&gt;1&lt;/C&gt;&lt;D xsi:type="xsd:double"&gt;44.5429367554233&lt;/D&gt;&lt;/FQL&gt;&lt;FQL&gt;&lt;Q&gt;REFMYON-FDS^(SUBARRAY(NOT_NA(NO_REPEAT_F(FG_YIELD(NOW,-10AY,D))),0,1)-SUBARRAY(NOT_NA(NO_REPEAT_F(FG_YIELD(NOW,-10AY,D))),1,1))*100&lt;/Q&gt;&lt;R&gt;1&lt;/R&gt;&lt;C&gt;1&lt;/C&gt;&lt;D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xsi:type="xsd:double"&gt;25&lt;/D&gt;&lt;/FQL&gt;&lt;FQL&gt;&lt;Q&gt;CC_CL^IMF_IFS_RCPI_Q(0)&lt;/Q&gt;&lt;R&gt;0&lt;/R&gt;&lt;C&gt;0&lt;/C&gt;&lt;/FQL&gt;&lt;FQL&gt;&lt;Q&gt;EWM^FG_FCF_YIELD_NTM(0)&lt;/Q&gt;&lt;R&gt;1&lt;/R&gt;&lt;C&gt;1&lt;/C&gt;&lt;D xsi:type="xsd:double"&gt;6.2103841708457&lt;/D&gt;&lt;/FQL&gt;&lt;FQL&gt;&lt;Q&gt;SET-BKK^FMA_PE(LTM,0,,,"PORTAGG","MEANR")&lt;/Q&gt;&lt;R&gt;1&lt;/R&gt;&lt;C&gt;1&lt;/C&gt;&lt;D xsi:type="xsd:double"&gt;16.8581921950177&lt;/D&gt;&lt;/FQL&gt;&lt;FQL&gt;&lt;Q&gt;CNYA^FMA_DIV_YLD(NTMA,NOW,NOW,M,"PORTAGG","MEANR")&lt;/Q&gt;&lt;R&gt;1&lt;/R&gt;&lt;C&gt;1&lt;/C&gt;&lt;D xsi:type="xsd:double"&gt;2.80197942567063&lt;/D&gt;&lt;/FQL&gt;&lt;FQL&gt;&lt;Q&gt;SET-BKK^JULIAN(FMA_DIV_YLD(NTMA,NOW,NOW,M,"PORTAGG","MEANR").DATES)&lt;/Q&gt;&lt;R&gt;1&lt;/R&gt;&lt;C&gt;1&lt;/C&gt;&lt;D xsi:type="xsd:long"&gt;45380&lt;/D&gt;&lt;/FQL&gt;&lt;FQL&gt;&lt;Q&gt;VWO^FMA_EVAL_EBITDA(NTMA,0,,,"PORTAGG","MEANR")&lt;/Q&gt;&lt;R&gt;1&lt;/R&gt;&lt;C&gt;1&lt;/C&gt;&lt;D xsi:type="xsd:double"&gt;9.61567290028743&lt;/D&gt;&lt;/FQL&gt;&lt;FQL&gt;&lt;Q&gt;CAGDPY@QA^EE_ACTUAL_ANNUAL(MED,+1)&lt;/Q&gt;&lt;R&gt;1&lt;/R&gt;&lt;C&gt;1&lt;/C&gt;&lt;D xsi:type="xsd:double"&gt;15.2&lt;/D&gt;&lt;/FQL&gt;&lt;FQL&gt;&lt;Q&gt;EWZ^FMA_DIV_YLD(NTMA,-10AY,0,AM,"PORTAGG","MEANR")&lt;/Q&gt;&lt;R&gt;121&lt;/R&gt;&lt;C&gt;1&lt;/C&gt;&lt;D xsi:type="xsd:double"&gt;4.11484810378419&lt;/D&gt;&lt;D xsi:type="xsd:double"&gt;4.00912856800201&lt;/D&gt;&lt;D xsi:type="xsd:double"&gt;3.9448937165169&lt;/D&gt;&lt;D xsi:type="xsd:double"&gt;3.7721534909077&lt;/D&gt;&lt;D xsi:type="xsd:double"&gt;3.74593228587033&lt;/D&gt;&lt;D xsi:type="xsd:double"&gt;3.69324166389714&lt;/D&gt;&lt;D xsi:type="xsd:double"&gt;3.72535998650366&lt;/D&gt;&lt;D xsi:type="xsd:double"&gt;3.91143167062201&lt;/D&gt;&lt;D xsi:type="xsd:double"&gt;4.3474525747893&lt;/D&gt;&lt;D xsi:type="xsd:double"&gt;4.12277516836964&lt;/D&gt;&lt;D xsi:type="xsd:double"&gt;3.95890856327014&lt;/D&gt;&lt;D xsi:type="xsd:double"&gt;3.93926650487288&lt;/D&gt;&lt;D xsi:type="xsd:double"&gt;3.65560803886743&lt;/D&gt;&lt;D xsi:type="xsd:double"&gt;3.63312685426777&lt;/D&gt;&lt;D xsi:type="xsd:double"&gt;3.84615797048141&lt;/D&gt;&lt;D xsi:type="xsd:double"&gt;3.85574442396407&lt;/D&gt;&lt;D xsi:type="xsd:double"&gt;4.07902085823922&lt;/D&gt;&lt;D xsi:type="xsd:double"&gt;4.28317121504718&lt;/D&gt;&lt;D xsi:type="xsd:double"&gt;4.05319144414366&lt;/D&gt;&lt;D xsi:type="xsd:double"&gt;3.96605735018311&lt;/D&gt;&lt;D xsi:type="xsd:double"&gt;4.13985489386586&lt;/D&gt;&lt;D xsi:type="xsd:double"&gt;4.86447414741386&lt;/D&gt;&lt;D xsi:type="xsd:double"&gt;4.27795612106145&lt;/D&gt;&lt;D xsi:type="xsd:double"&gt;3.27416057008348&lt;/D&gt;&lt;D xsi:type="xsd:double"&gt;3.14890283203665&lt;/D&gt;&lt;D xsi:type="xsd:double"&gt;3.37162498393461&lt;/D&gt;&lt;D xsi:type="xsd:double"&gt;3.45663343874052&lt;/D&gt;&lt;D xsi:type="xsd:double"&gt;2.97005655617098&lt;/D&gt;&lt;D xsi:type="xsd:double"&gt;2.99127897693165&lt;/D&gt;&lt;D xsi:type="xsd:double"&gt;3.18530084219748&lt;/D&gt;&lt;D xsi:type="xsd:double"&gt;2.89494242</t>
        </r>
      </text>
    </comment>
    <comment ref="A22" authorId="0" shapeId="0" xr:uid="{8F5E515D-E70E-4AE3-8BDC-A8D6B7A8B90B}">
      <text>
        <r>
          <rPr>
            <b/>
            <sz val="9"/>
            <color indexed="81"/>
            <rFont val="Tahoma"/>
            <charset val="1"/>
          </rPr>
          <t>993285&lt;/D&gt;&lt;D xsi:type="xsd:double"&gt;3.15818018165221&lt;/D&gt;&lt;D xsi:type="xsd:double"&gt;3.59315340319183&lt;/D&gt;&lt;D xsi:type="xsd:double"&gt;3.36730836287543&lt;/D&gt;&lt;D xsi:type="xsd:double"&gt;3.31815526873272&lt;/D&gt;&lt;D xsi:type="xsd:double"&gt;3.6343308778012&lt;/D&gt;&lt;D xsi:type="xsd:double"&gt;3.65849355388237&lt;/D&gt;&lt;D xsi:type="xsd:double"&gt;3.87302603240802&lt;/D&gt;&lt;D xsi:type="xsd:double"&gt;3.69923170238329&lt;/D&gt;&lt;D xsi:type="xsd:double"&gt;3.4959501402585&lt;/D&gt;&lt;D xsi:type="xsd:double"&gt;3.37258072560773&lt;/D&gt;&lt;D xsi:type="xsd:double"&gt;3.11367069140846&lt;/D&gt;&lt;D xsi:type="xsd:double"&gt;3.17160046245116&lt;/D&gt;&lt;D xsi:type="xsd:double"&gt;3.41703934926218&lt;/D&gt;&lt;D xsi:type="xsd:double"&gt;3.52208480498681&lt;/D&gt;&lt;D xsi:type="xsd:double"&gt;3.29187949230528&lt;/D&gt;&lt;D xsi:type="xsd:double"&gt;3.37924466425463&lt;/D&gt;&lt;D xsi:type="xsd:double"&gt;3.44445705232156&lt;/D&gt;&lt;D xsi:type="xsd:double"&gt;3.60754623148489&lt;/D&gt;&lt;D xsi:type="xsd:double"&gt;3.85251722569635&lt;/D&gt;&lt;D xsi:type="xsd:double"&gt;4.5786044201868&lt;/D&gt;&lt;D xsi:type="xsd:double"&gt;4.2434663412765&lt;/D&gt;&lt;D xsi:type="xsd:double"&gt;4.36001871682618&lt;/D&gt;&lt;D xsi:type="xsd:double"&gt;4.34508771687802&lt;/D&gt;&lt;D xsi:type="xsd:double"&gt;4.09919207984837&lt;/D&gt;&lt;D xsi:type="xsd:double"&gt;3.87820234820228&lt;/D&gt;&lt;D xsi:type="xsd:double"&gt;4.02951414810582&lt;/D&gt;&lt;D xsi:type="xsd:double"&gt;3.71391070436455&lt;/D&gt;&lt;D xsi:type="xsd:double"&gt;3.48710120503738&lt;/D&gt;&lt;D xsi:type="xsd:double"&gt;3.29355268767851&lt;/D&gt;&lt;D xsi:type="xsd:double"&gt;3.47810423248706&lt;/D&gt;&lt;D xsi:type="xsd:double"&gt;3.69015981351734&lt;/D&gt;&lt;D xsi:type="xsd:double"&gt;3.12354305336951&lt;/D&gt;&lt;D xsi:type="xsd:double"&gt;3.07708645235697&lt;/D&gt;&lt;D xsi:type="xsd:double"&gt;3.38602642992467&lt;/D&gt;&lt;D xsi:type="xsd:double"&gt;3.21494146449604&lt;/D&gt;&lt;D xsi:type="xsd:double"&gt;3.34216849718683&lt;/D&gt;&lt;D xsi:type="xsd:double"&gt;3.29871390558009&lt;/D&gt;&lt;D xsi:type="xsd:double"&gt;3.14907830156578&lt;/D&gt;&lt;D xsi:type="xsd:double"&gt;3.07888600465559&lt;/D&gt;&lt;D xsi:type="xsd:double"&gt;3.10521495419904&lt;/D&gt;&lt;D xsi:type="xsd:double"&gt;5.32685627606923&lt;/D&gt;&lt;D xsi:type="xsd:double"&gt;4.01225517700665&lt;/D&gt;&lt;D xsi:type="xsd:double"&gt;3.64605485595149&lt;/D&gt;&lt;D xsi:type="xsd:double"&gt;2.85545057611874&lt;/D&gt;&lt;D xsi:type="xsd:double"&gt;2.67675983156573&lt;/D&gt;&lt;D xsi:type="xsd:double"&gt;2.76694049970114&lt;/D&gt;&lt;D xsi:type="xsd:double"&gt;3.36267188807557&lt;/D&gt;&lt;D xsi:type="xsd:double"&gt;3.45260109211442&lt;/D&gt;&lt;D xsi:type="xsd:double"&gt;3.45836750065022&lt;/D&gt;&lt;D xsi:type="xsd:double"&gt;3.35080955706242&lt;/D&gt;&lt;D xsi:type="xsd:double"&gt;3.42429854259437&lt;/D&gt;&lt;D xsi:type="xsd:double"&gt;3.74291578997655&lt;/D&gt;&lt;D xsi:type="xsd:double"&gt;4.28479478426582&lt;/D&gt;&lt;D xsi:type="xsd:double"&gt;4.51800366989217&lt;/D&gt;&lt;D xsi:type="xsd:double"&gt;4.68931826720212&lt;/D&gt;&lt;D xsi:type="xsd:double"&gt;4.72771684380699&lt;/D&gt;&lt;D xsi:type="xsd:double"&gt;5.21819366051393&lt;/D&gt;&lt;D xsi:type="xsd:double"&gt;5.88793868267697&lt;/D&gt;&lt;D xsi:type="xsd:double"&gt;6.51645969260085&lt;/D&gt;&lt;D xsi:type="xsd:double"&gt;6.50627598346415&lt;/D&gt;&lt;D xsi:type="xsd:double"&gt;7.79149205689985&lt;/D&gt;&lt;D xsi:type="xsd:double"&gt;7.47431282570982&lt;/D&gt;&lt;D xsi:type="xsd:double"&gt;7.22526489198847&lt;/D&gt;&lt;D xsi:type="xsd:double"&gt;6.86961149835896&lt;/D&gt;&lt;D xsi:type="xsd:double"&gt;9.11850732101053&lt;/D&gt;&lt;D xsi:type="xsd:double"&gt;8.39660554134222&lt;/D&gt;&lt;D xsi:type="xsd:double"&gt;10.0067242611566&lt;/D&gt;&lt;D xsi:type="xsd:double"&gt;10.8996577354035&lt;/D&gt;&lt;D xsi:type="xsd:double"&gt;11.5301367409036&lt;/D&gt;&lt;D xsi:type="xsd:double"&gt;10.396865503105&lt;/D&gt;&lt;D xsi:type="xsd:double"&gt;10.6162382947983&lt;/D&gt;&lt;D xsi:type="xsd:double"&gt;9.33125766280347&lt;/D&gt;&lt;D xsi:type="xsd:double"&gt;8.45988988927513&lt;/D&gt;&lt;D xsi:type="xsd:double"&gt;7.37713304670379&lt;/D&gt;&lt;D xsi:type="xsd:double"&gt;6.61830772224457&lt;/D&gt;&lt;D xsi:type="xsd:double"&gt;6.45433951819848&lt;/D&gt;&lt;D xsi:type="xsd:double"&gt;7.15479043688117&lt;/D&gt;&lt;D xsi:type="xsd:double"&gt;6.50284890854214&lt;/D&gt;&lt;D xsi:type="xsd:double"&gt;6.53589477744724&lt;/D&gt;&lt;D xsi:type="xsd:double"&gt;6.0485445523245&lt;/D&gt;&lt;D xsi:type="xsd:double"&gt;6.0746731767344&lt;/D&gt;&lt;D xsi:type="xsd:double"&gt;6.02211249873837&lt;/D&gt;&lt;D xsi:type="xsd:double"&gt;5.84459204721095&lt;/D&gt;&lt;D xsi:type="xsd:double"&gt;6.27460335772773&lt;/D&gt;&lt;D xsi:type="xsd:double"&gt;5.98792286017129&lt;/D&gt;&lt;D xsi:type="xsd:double"&gt;5.70304261402863&lt;/D&gt;&lt;D xsi:type="xsd:double"&gt;5.69614766013688&lt;/D&gt;&lt;D xsi:type="xsd:double"&gt;5.73542217837709&lt;/D&gt;&lt;D xsi:type="xsd:double"&gt;6.18490342414532&lt;/D&gt;&lt;D xsi:type="xsd:double"&gt;6.26330626704823&lt;/D&gt;&lt;/FQL&gt;&lt;FQL&gt;&lt;Q&gt;CNYA^FMA_PE(LTMA,-10AY,0,AM,"PORTAGG","MEANR")&lt;/Q&gt;&lt;R&gt;121&lt;/R&gt;&lt;C&gt;1&lt;/C&gt;&lt;D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xsi:type="xsd:double"&gt;14.9801819338532&lt;/D&gt;&lt;D xsi:type="xsd:double"&gt;15.0193150681439&lt;/D&gt;&lt;D xsi:type="xsd:double"&gt;15.1531869357234&lt;/D&gt;&lt;D xsi:type="xsd:double"&gt;15.065974784787&lt;/D&gt;&lt;D xsi:type="xsd:double"&gt;14.9112379005882&lt;/D&gt;&lt;D xsi:type="xsd:double"&gt;15.1110618329203&lt;/D&gt;&lt;D xsi:type="xsd:double"&gt;15.2409624384416&lt;/D&gt;&lt;D xsi:type="xsd:double"&gt;15.2262648771301&lt;/D&gt;&lt;D xsi:type="xsd:double"&gt;15.6800638480607&lt;/D&gt;&lt;D xsi:type="xsd:double"&gt;15.9159470935535&lt;/D&gt;&lt;D xsi:type="xsd:double"&gt;16.4337231882745&lt;/D&gt;&lt;D xsi:type="xsd:double"&gt;15.6992365087323&lt;/D&gt;&lt;D xsi:type="xsd:double"&gt;16.6164027899679&lt;/D&gt;&lt;D xsi:type="xsd:double"&gt;15.1560849487267&lt;/D&gt;&lt;D xsi:type="xsd:double"&gt;15.2460145510875&lt;/D&gt;&lt;D xsi:type="xsd:double"&gt;14.8136661495357&lt;/D&gt;&lt;D xsi:type="xsd:double"&gt;14.4946153535409&lt;/D&gt;&lt;D xsi:type="xsd:double"&gt;14.1341465320459&lt;/D&gt;&lt;D xsi:type="xsd:double"&gt;13.2312736349803&lt;/D&gt;&lt;D xsi:type="xsd:double"&gt;12.4245753977471&lt;/D&gt;&lt;D xsi:type="xsd:double"&gt;12.3586862815038&lt;/D&gt;&lt;D xsi:type="xsd:double"&gt;11.3650216597953&lt;/D&gt;&lt;D xsi:type="xsd:double"&gt;11.7102005249115&lt;/D&gt;&lt;D xsi:type="xsd:double"&gt;11.2038753886588&lt;/D&gt;&lt;D xsi:type="xsd:double"&gt;11.1585439531637&lt;/D&gt;&lt;D xsi:type="xsd:double"&gt;11.7278583748196&lt;/D&gt;&lt;D xsi:type="xsd:double"&gt;12.7333682339473&lt;/D&gt;&lt;D xsi:type="xsd:double"&gt;12.8508937993221&lt;/D&gt;&lt;D xsi:type="xsd:double"&gt;12.3643048380474&lt;/D&gt;&lt;D xsi:type="xsd:double"&gt;12.5026846559009&lt;/D&gt;&lt;D xsi:type="xsd:double"&gt;12.5250933461417&lt;/D&gt;&lt;D xsi:type="xsd:double"&gt;12.4098681266444&lt;/D&gt;&lt;D xsi:type="xsd:double"&gt;12.9103982323816&lt;/D&gt;&lt;D xsi:type="xsd:double"&gt;12.8202421222388&lt;/D&gt;&lt;D xsi:type="xsd:double"&gt;12.906121444023&lt;/D&gt;&lt;D xsi:type="xsd:double"&gt;14.3650139107775&lt;/D&gt;&lt;D xsi:type="xsd:double"&gt;14.8695085303291&lt;/D&gt;&lt;D xsi:type="xsd:double"&gt;14.6975960904523&lt;/D&gt;&lt;D xsi:type="xsd:double"&gt;14.0029077135721&lt;/D&gt;&lt;D xsi:type="xsd:double"&gt;14.1100327633416&lt;/D&gt;&lt;D xsi:type="xsd:double"&gt;14.3214582722348&lt;/D&gt;&lt;D xsi:type="xsd:double"&gt;14.7062016801038&lt;/D&gt;&lt;D xsi:type="xsd:double"&gt;15.8162180219195&lt;/D&gt;&lt;D xsi:type="xsd:double"&gt;16.6662307478963&lt;/D&gt;&lt;D xsi:type="xsd:double"&gt;17.1471657728455&lt;/D&gt;&lt;D xsi:type="xsd:double"&gt;17.5649416980987&lt;/D&gt;&lt;D xsi:type="xsd:double"&gt;17.9856846675676&lt;/D&gt;&lt;D xsi:type="xsd:double"&gt;19.1660392350437&lt;/D&gt;&lt;D xsi:type="xsd:double"&gt;21.0396373856195&lt;/D&gt;&lt;D xsi:type="xsd:double"&gt;22.0858622004624&lt;/D&gt;&lt;D xsi:type="xsd:double"&gt;19.8646767965187&lt;/D&gt;&lt;D xsi:type="xsd:double"&gt;19.391078744508&lt;/D&gt;&lt;D xsi:type="xsd:double"&gt;19.3105494768798&lt;/D&gt;&lt;D xsi:type="xsd:double"&gt;19.0845823157539&lt;/D&gt;&lt;D xsi:type="xsd:double"&gt;18.7310504810562&lt;/D&gt;&lt;D xsi:type="xsd:double"&gt;18.0370981582757&lt;/D&gt;&lt;D xsi:type="xsd:double"&gt;17.9791599517916&lt;/D&gt;&lt;D xsi:type="xsd:double"&gt;17.8199474087416&lt;/D&gt;&lt;D xsi:type="xsd:double"&gt;17.7008248167763&lt;/D&gt;&lt;D xsi:type="xsd:double"&gt;18.3564308687575&lt;/D&gt;&lt;D xsi:type="xsd:double"&gt;17.4983780585178&lt;/D&gt;&lt;D xsi:type="xsd:double"&gt;16.8149314300265&lt;/D&gt;&lt;D xsi:type="xsd:double"&gt;16.3223403080991&lt;/D&gt;&lt;D xsi:type="xsd:double"&gt;15.9477360529101&lt;/D&gt;&lt;D xsi:type="xsd:double"&gt;15.6339333768744&lt;/D&gt;&lt;D xsi:type="xsd:double"&gt;15.834932382137&lt;/D&gt;&lt;D xsi:type="xsd:double"&gt;15.6221794019071&lt;/D&gt;&lt;D xsi:type="xsd:double"&gt;15.2926990075688&lt;/D&gt;&lt;D xsi:type="xsd:double"&gt;14.6102415088228&lt;/D&gt;&lt;D xsi:type="xsd:double"&gt;14.1238249680555&lt;/D&gt;&lt;D xsi:type="xsd:double"&gt;14.1202672784031&lt;/D&gt;&lt;D xsi:type="xsd:double"&gt;14.4246130035465&lt;/D&gt;&lt;D xsi:type="xsd:double"&gt;14.8636277016669&lt;/D&gt;&lt;D xsi:type="xsd:double"&gt;14.5580862713147&lt;/D&gt;&lt;D xsi:type="xsd:double"&gt;14.4171889554926&lt;/D&gt;&lt;D xsi:type="xsd:double"&gt;14.4469474914462&lt;/D&gt;&lt;D xsi:type="xsd:double"&gt;14.1508091816132&lt;/D&gt;&lt;D xsi:type="xsd:double"&gt;14.146563798325&lt;/D&gt;&lt;D xsi:type="xsd:double"&gt;13.8227249177071&lt;/D&gt;&lt;D xsi:type="xsd:double"&gt;13.6801212207967&lt;/D&gt;&lt;D xsi:type="xsd:double"&gt;13.7967018121296&lt;/D&gt;&lt;D xsi:type="xsd:double"&gt;13.3501856411035&lt;/D&gt;&lt;D xsi:type="xsd:double"&gt;13.6314198851191&lt;/D&gt;&lt;D xsi:type="xsd:double"&gt;13.0941838188689&lt;/D&gt;&lt;D xsi:type="xsd:double"&gt;12.6085060248124&lt;/D&gt;&lt;D xsi:type="xsd:double"&gt;12.9757578192564&lt;/D&gt;&lt;D xsi:type="xsd:double"&gt;13.5888588210051&lt;/D&gt;&lt;D xsi:type="xsd:double"&gt;13.5780370826262&lt;/D&gt;&lt;/FQL&gt;&lt;FQL&gt;&lt;Q&gt;CPALM-FDS^FG_PRICE_CHANGE(0,-6AM)&lt;/Q&gt;&lt;R&gt;1&lt;/R&gt;&lt;C&gt;1&lt;/C&gt;&lt;D xsi:type="xsd:double"&gt;9.44547625364818&lt;/D&gt;&lt;/FQL&gt;&lt;FQL&gt;&lt;Q&gt;USDVND^FG_PRICE_CHANGE(0,-6AM)&lt;/Q&gt;&lt;R&gt;1&lt;/R&gt;&lt;C&gt;1&lt;/C&gt;&lt;D xsi:type="xsd:double"&gt;3.480029&lt;/D&gt;&lt;/FQL&gt;&lt;FQL&gt;&lt;Q&gt;USDZAR^STD(FG_PRICE_CHANGE(0,-1AY,AM))&lt;/Q&gt;&lt;R&gt;1&lt;/R&gt;&lt;C&gt;1&lt;/C&gt;&lt;D xsi:type="xsd:double"&gt;3.56347758084577&lt;/D&gt;&lt;/FQL&gt;&lt;FQL&gt;&lt;Q&gt;USDPLN^FG_PRICE_CHANGE(0,-1AY)&lt;/Q&gt;&lt;R&gt;1&lt;/R&gt;&lt;C&gt;1&lt;/C&gt;&lt;D xsi:type="xsd:double"&gt;-3.722322&lt;/D&gt;&lt;/FQL&gt;&lt;FQL&gt;&lt;Q&gt;EPU^FMA_EPS(NTMA,-20AY,0,CY,,"PORTAGG","MEANR")&lt;/Q&gt;&lt;R&gt;20&lt;/R&gt;&lt;C&gt;1&lt;/C&gt;&lt;D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xsi:type="xsd:double"&gt;2.32525395129155&lt;/D&gt;&lt;D xsi:type="xsd:double"&gt;3.70455099626404&lt;/D&gt;&lt;D xsi:type="xsd:double"&gt;3.91000310564685&lt;/D&gt;&lt;D xsi:type="xsd:double"&gt;3.95899801372697&lt;/D&gt;&lt;D xsi:type="xsd:double"&gt;2.82022185033686&lt;/D&gt;&lt;D xsi:type="xsd:double"&gt;2.58004727651874&lt;/D&gt;&lt;D xsi:type="xsd:double"&gt;1.7402921975997&lt;/D&gt;&lt;D xsi:type="xsd:double"&gt;2.8587512141433&lt;/D&gt;&lt;D xsi:type="xsd:double"&gt;3.049394604189&lt;/D&gt;&lt;D xsi:type="xsd:double"&gt;2.65459381565907&lt;/D&gt;&lt;D xsi:type="xsd:double"&gt;2.43807405802649&lt;/D&gt;&lt;D xsi:type="xsd:double"&gt;2.41141007958222&lt;/D&gt;&lt;D xsi:type="xsd:double"&gt;2.94854986662745&lt;/D&gt;&lt;D xsi:type="xsd:double"&gt;3.11609677066287&lt;/D&gt;&lt;D xsi:type="xsd:double"&gt;2.96006703881121&lt;/D&gt;&lt;/FQL&gt;&lt;FQL&gt;&lt;Q&gt;KSA^FG_PRICE(0)&lt;/Q&gt;&lt;R&gt;1&lt;/R&gt;&lt;C&gt;1&lt;/C&gt;&lt;D xsi:type="xsd:double"&gt;43.43&lt;/D&gt;&lt;/FQL&gt;&lt;FQL&gt;&lt;Q&gt;EZA^FG_PRICE_MAVG(0,,,,30)&lt;/Q&gt;&lt;R&gt;1&lt;/R&gt;&lt;C&gt;1&lt;/C&gt;&lt;D xsi:type="xsd:double"&gt;39.089&lt;/D&gt;&lt;/FQL&gt;&lt;FQL&gt;&lt;Q&gt;EIDO^FG_PRICE_MAVG(0,,,,60)&lt;/Q&gt;&lt;R&gt;1&lt;/R&gt;&lt;C&gt;1&lt;/C&gt;&lt;D xsi:type="xsd:double"&gt;22.269667&lt;/D&gt;&lt;/FQL&gt;&lt;FQL&gt;&lt;Q&gt;UAE^PERCENT_CHANGE(FMA_EPS(+1,0,,,,"PORTAGG","MEAN"),FMA_EPS(+1,-3AM,,,,"PORTAGG","MEAN"))&lt;/Q&gt;&lt;R&gt;1&lt;/R&gt;&lt;C&gt;1&lt;/C&gt;&lt;D xsi:type="xsd:double"&gt;10.3870767783332&lt;/D&gt;&lt;/FQL&gt;&lt;FQL&gt;&lt;Q&gt;VGK^PERCENT_CHANGE(FMA_EPS(+1,0,,,,"PORTAGG","MEAN"),FMA_EPS(+1,-3AM,,,,"PORTAGG","MEAN"))&lt;/Q&gt;&lt;R&gt;1&lt;/R&gt;&lt;C&gt;1&lt;/C&gt;&lt;D xsi:type="xsd:double"&gt;-8.71714152710512&lt;/D&gt;&lt;/FQL&gt;&lt;FQL&gt;&lt;Q&gt;INDA^FG_ROE(0)&lt;/Q&gt;&lt;R&gt;1&lt;/R&gt;&lt;C&gt;1&lt;/C&gt;&lt;D xsi:type="xsd:double"&gt;16.0366503687901&lt;/D&gt;&lt;/FQL&gt;&lt;FQL&gt;&lt;Q&gt;REFQALEND-FDS^PROPER_NAME(0,,,"SECURITY","NAME")&lt;/Q&gt;&lt;R&gt;1&lt;/R&gt;&lt;C&gt;1&lt;/C&gt;&lt;D xsi:type="xsd:string"&gt;Qatar Lending Rate - Overnight&lt;/D&gt;&lt;/FQL&gt;&lt;FQL&gt;&lt;Q&gt;REFMYON-FDS^PROPER_NAME(0,,,"SECURITY","NAME")&lt;/Q&gt;&lt;R&gt;1&lt;/R&gt;&lt;C&gt;1&lt;/C&gt;&lt;D xsi:type="xsd:string"&gt;Malaysia Policy Rate - Overnight&lt;/D&gt;&lt;/FQL&gt;&lt;FQL&gt;&lt;Q&gt;TIPSCL10Y-FDS^FG_YIELD(0,,,,"YTM")&lt;/Q&gt;&lt;R&gt;1&lt;/R&gt;&lt;C&gt;1&lt;/C&gt;&lt;D xsi:type="xsd:double"&gt;2.804432&lt;/D&gt;&lt;/FQL&gt;&lt;FQL&gt;&lt;Q&gt;SET-BKK^FMA_PE(NTMA,0,,,"PORTAGG","MEANR")&lt;/Q&gt;&lt;R&gt;1&lt;/R&gt;&lt;C&gt;1&lt;/C&gt;&lt;D xsi:type="xsd:double"&gt;14.1412293440708&lt;/D&gt;&lt;/FQL&gt;&lt;FQL&gt;&lt;Q&gt;INDA^JULIAN(FMA_DIV_YLD(NTMA,NOW,NOW,M,"PORTAGG","MEANR").DATES)&lt;/Q&gt;&lt;R&gt;1&lt;/R&gt;&lt;C&gt;1&lt;/C&gt;&lt;D xsi:type="xsd:long"&gt;45379&lt;/D&gt;&lt;/FQL&gt;&lt;FQL&gt;&lt;Q&gt;EWM^FMA_EVAL_EBITDA(NTMA,0,,,"PORTAGG","MEANR")&lt;/Q&gt;&lt;R&gt;1&lt;/R&gt;&lt;C&gt;1&lt;/C&gt;&lt;D xsi:type="xsd:double"&gt;8.80053940173025&lt;/D&gt;&lt;/FQL&gt;&lt;FQL&gt;&lt;Q&gt;EPHE^FG_FCF_YIELD_NTM(0)&lt;/Q&gt;&lt;R&gt;1&lt;/R&gt;&lt;C&gt;1&lt;/C&gt;&lt;D xsi:type="xsd:double"&gt;7.3580268882598&lt;/D&gt;&lt;/FQL&gt;&lt;FQL&gt;&lt;Q&gt;GREK^FMA_EVAL_EBIT(LTMA,NOW,NOW,M,"PORTAGG","MEANR")&lt;/Q&gt;&lt;R&gt;1&lt;/R&gt;&lt;C&gt;1&lt;/C&gt;&lt;D xsi:type="xsd:double"&gt;7.38129093499802&lt;/D&gt;&lt;/FQL&gt;&lt;FQL&gt;&lt;Q&gt;EWY^FMA_EVAL_EBITDA(NTMA,0,,,"PORTAGG","MEANR")&lt;/Q&gt;&lt;R&gt;1&lt;/R&gt;&lt;C&gt;1&lt;/C&gt;&lt;D xsi:type="xsd:double"&gt;6.46527203514203&lt;/D&gt;&lt;/FQL&gt;&lt;FQL&gt;&lt;Q&gt;GREK^FMA_EVAL_EBITDA(NTMA,0,,,"PORTAGG","MEANR")&lt;/Q&gt;&lt;R&gt;1&lt;/R&gt;&lt;C&gt;1&lt;/C&gt;&lt;D xsi:type="xsd:double"&gt;5.14848810904037&lt;/D&gt;&lt;/FQL&gt;&lt;FQL&gt;&lt;Q&gt;EIDO^FG_COMPANY_NAME&lt;/Q&gt;&lt;R&gt;1&lt;/R&gt;&lt;C&gt;1&lt;/C&gt;&lt;D xsi:type="xsd:string"&gt;iShares MSCI Indonesia ETF&lt;/D&gt;&lt;/FQL&gt;&lt;FQL&gt;&lt;Q&gt;UAE^FMA_EVAL_EBIT(LTMA,NOW,NOW,M,"PORTAGG","MEANR")&lt;/Q&gt;&lt;R&gt;1&lt;/R&gt;&lt;C&gt;1&lt;/C&gt;&lt;D xsi:type="xsd:double"&gt;10.2719332343491&lt;/D&gt;&lt;/FQL&gt;&lt;FQL&gt;&lt;Q&gt;USDPLN^FG_COMPANY_NAME&lt;/Q&gt;&lt;R&gt;1&lt;/R&gt;&lt;C&gt;1&lt;/C&gt;&lt;D xsi:type="xsd:string"&gt;Polish Zloty per U.S. Dollar&lt;/D&gt;&lt;/FQL&gt;&lt;FQL&gt;&lt;Q&gt;EWY^FMA_DIV_YLD(NTMA,-10AY,0,AM,"PORTAGG","MEANR")&lt;/Q&gt;&lt;R&gt;121&lt;/R&gt;&lt;C&gt;1&lt;/C&gt;&lt;D xsi:type="xsd:double"&gt;1.28461707646279&lt;/D&gt;&lt;D xsi:type="xsd:double"&gt;1.24624785897797&lt;/D&gt;&lt;D xsi:type="xsd:double"&gt;1.2747060906069&lt;/D&gt;&lt;D xsi:type="xsd:double"&gt;1.28431698446963&lt;/D&gt;&lt;D xsi:type="xsd:double"&gt;1.28602777891302&lt;/D&gt;&lt;D xsi:type="xsd:double"&gt;1.32344268367007&lt;/D&gt;&lt;D xsi:type="xsd:double"&gt;1.48631790400145&lt;/D&gt;&lt;D xsi:type="xsd:double"&gt;1.40090652726079&lt;/D&gt;&lt;D xsi:type="xsd:double"&gt;1.43176977441192&lt;/D&gt;&lt;D xsi:type="xsd:double"&gt;1.54913530451921&lt;/D&gt;&lt;D xsi:type="xsd:double"&gt;1.58727725522256&lt;/D&gt;&lt;D xsi:type="xsd:double"&gt;1.53442311637699&lt;/D&gt;&lt;D xsi:type="xsd:double"&gt;1.48909781654516&lt;/D&gt;&lt;D xsi:type="xsd:double"&gt;1.57632627452871&lt;/D&gt;&lt;D xsi:type="xsd:double"&gt;1.67531916920568&lt;/D&gt;&lt;D xsi:type="xsd:double"&gt;1.69139776262861&lt;/D&gt;&lt;D xsi:type="xsd:double"&gt;1.82119978896764&lt;/D&gt;&lt;D xsi:type="xsd:double"&gt;1.78693676902512&lt;/D&gt;&lt;D xsi:type="xsd:double"&gt;1.71988352485286&lt;/D&gt;&lt;D xsi:type="xsd:double"&gt;1.88547779564394&lt;/D&gt;&lt;D xsi:type="xsd:double"&gt;1.91656420017746&lt;/D&gt;&lt;D xsi:type="xsd:double"&gt;2.05757928230743&lt;/D&gt;&lt;D xsi:type="xsd:double"&gt;1.95187084248715&lt;/D&gt;&lt;D xsi:type="xsd:double"&gt;1.90194153640443&lt;/D&gt;&lt;D xsi:type="xsd:double"&gt;1.90370484578198&lt;/D&gt;&lt;D xsi:type="xsd:double"&gt;2.00553615982665&lt;/D&gt;&lt;D xsi:type="xsd:double"&gt;1.98793728138935&lt;/D&gt;&lt;D xsi:type="xsd:double"&gt;1.92636646337756&lt;/D&gt;&lt;D xsi:type="xsd:double"&gt;1.87022663327799&lt;/D&gt;&lt;D xsi:type="xsd:double"&gt;1.92668847318457&lt;/D&gt;&lt;D xsi:type="xsd:double"&gt;1.91333790439222&lt;/D&gt;&lt;D xsi:type="xsd:double"&gt;2.00533905844591&lt;/D&gt;&lt;D xsi:type="xsd:double"&gt;1.94156633794086&lt;/D&gt;&lt;D xsi:type="xsd:double"&gt;1.95607203347295&lt;/D&gt;&lt;D xsi:type="xsd:double"&gt;1.9328518583149&lt;/D&gt;&lt;D xsi:type="xsd:double"&gt;1.86638642799833&lt;/D&gt;&lt;D xsi:type="xsd:double"&gt;1.95525132250209&lt;/D&gt;&lt;D xsi:type="xsd:double"&gt;1.82993718542798&lt;/D&gt;&lt;D xsi:type="xsd:double"&gt;1.7762981751936&lt;/D&gt;&lt;D xsi:type="xsd:double"&gt;1.74123047521813&lt;/D&gt;&lt;D xsi:type="xsd:double"&gt;1.8347375260892&lt;/D&gt;&lt;D xsi:type="xsd:double"&gt;1.78565186515209&lt;/D&gt;&lt;D xsi:type="xsd:double"&gt;1.71844495527191&lt;/D&gt;&lt;D xsi:type="xsd:double"&gt;1.95974499915208&lt;/D&gt;&lt;D xsi:type="xsd:double"&gt;2.04538337365797&lt;/D&gt;&lt;D xsi:type="xsd:double"&gt;2.01468457302981&lt;/D&gt;&lt;D xsi:type="xsd:double"&gt;2.14620088666938&lt;/D&gt;&lt;D xsi:type="xsd:double"&gt;2.14945290195367&lt;/D&gt;&lt;D xsi:type="xsd:double"&gt;2.19516258422727&lt;/D&gt;&lt;D xsi:type="xsd:double"&gt;2.23449892836629&lt;/D&gt;&lt;D xsi:type="xsd:double"&gt;2.291765754202&lt;/D&gt;&lt;D xsi:type="xsd:double"&gt;2.36168069631384&lt;/D&gt;&lt;D xsi:type="xsd:double"&gt;2.4445132326024&lt;/D&gt;&lt;D xsi:type="xsd:double"&gt;2.40738595387215&lt;/D&gt;&lt;D xsi:type="xsd:double"&gt;2.57249298397936&lt;/D&gt;&lt;D xsi:type="xsd:double"&gt;2.60936816657012&lt;/D&gt;&lt;D xsi:type="xsd:double"&gt;2.62769640581873&lt;/D&gt;&lt;D xsi:type="xsd:double"&gt;2.55069191093384&lt;/D&gt;&lt;D xsi:type="xsd:double"&gt;2.47146012303064&lt;/D&gt;&lt;D xsi:type="xsd:double"&gt;2.50879324100199&lt;/D&gt;&lt;D xsi:type="xsd:double"&gt;2.46531275943955&lt;/D&gt;&lt;D xsi:type="xsd:double"&gt;2.60529647833257&lt;/D&gt;&lt;D xsi:type="xsd:double"&gt;2.55058655928844&lt;/D&gt;&lt;D xsi:type="xsd:double"&gt;2.55228803475165&lt;/D&gt;&lt;D xsi:type="xsd:double"&gt;2.71107637335308&lt;/D&gt;&lt;D xsi:type="xsd:double"&gt;2.50877206879288&lt;/D&gt;&lt;D xsi:type="xsd:double"&gt;2.51581063638127&lt;/D&gt;&lt;D xsi:type="xsd:double"&gt;2.37799795357641&lt;/D&gt;&lt;D xsi:type="xsd:double"&gt;2.32312020375293&lt;/D&gt;&lt;D xsi:type="xsd:double"&gt;2.26727171838572&lt;/D&gt;&lt;D xsi:type="xsd:double"&gt;2.26363192949454&lt;/D&gt;&lt;D xsi:type="xsd:double"&gt;3.15266413950816&lt;/D&gt;&lt;D xsi:type="xsd:double"&gt;2.55377141320994&lt;/D&gt;&lt;D xsi:type="xsd:double"&gt;2.4839698779569&lt;/D&gt;&lt;D xsi:type="xsd:double"&gt;2.26964011895138&lt;/D&gt;&lt;D xsi:type="xsd:double"&gt;2.20862633610609&lt;/D&gt;&lt;D xsi:type="xsd:double"&gt;2.10566872234044&lt;/D&gt;&lt;D xsi:type="xsd:double"&gt;2.0901387127611&lt;/D&gt;&lt;D xsi:type="xsd:double"&gt;2.14922696750304&lt;/D&gt;&lt;D xsi:type="xsd:double"&gt;2.00152777993103&lt;/D&gt;&lt;D xsi:type="xsd:double"&gt;1.86105620384333&lt;/D&gt;&lt;D xsi:type="xsd:double"&gt;1.66396843121774&lt;/D&gt;&lt;D xsi:type="xsd:double"&gt;1.66437797418523&lt;/D&gt;&lt;D xsi:type="xsd:double"&gt;1.67987791891029&lt;/D&gt;&lt;D xsi:type="xsd:double"&gt;1.65924950433982&lt;/D&gt;&lt;D xsi:type="xsd:double"&gt;1.74055509398121&lt;/D&gt;&lt;D xsi:type="xsd:double"&gt;1.6625015391858&lt;/D&gt;&lt;D xsi:type="xsd:double"&gt;1.68631818302329&lt;/D&gt;&lt;D xsi:type="xsd:double"&gt;1.81852530381074&lt;/D&gt;&lt;D xsi:type="xsd:double"&gt;1.84329253422103&lt;/D&gt;&lt;D xsi:type="xsd:double"&gt;1.94562286385745&lt;/D&gt;&lt;D xsi:type="xsd:double"&gt;1.99896600686905&lt;/D&gt;&lt;D xsi:type="xsd:double"&gt;1.92479493139756&lt;/D&gt;&lt;D xsi:type="xsd:double"&gt;2.03058068281405&lt;/D&gt;&lt;D xsi:type="xsd:double"&gt;2.16661526146794&lt;/D&gt;&lt;D xsi:type="xsd:double"&gt;2.22845599870395&lt;/D&gt;&lt;D xsi:type="xsd:double"&gt;2.27965914602741&lt;/D&gt;&lt;D xsi:type="xsd:double"&gt;2.35425264210067&lt;/D&gt;&lt;D xsi:type="xsd:double"&gt;2.53512384026543&lt;/D&gt;&lt;D xsi:type="xsd:double"&gt;2.61255078833319&lt;/D&gt;&lt;D xsi:type="xsd:double"&gt;2.4923643285451&lt;/D&gt;&lt;D xsi:type="xsd:double"&gt;2.67261352348745&lt;/D&gt;&lt;D xsi:type="xsd:double"&gt;2.72242316473129&lt;/D&gt;&lt;D xsi:type="xsd:double"&gt;2.51017188875153&lt;/D&gt;&lt;D xsi:type="xsd:double"&gt;2.54585884719959&lt;/D&gt;&lt;D xsi:type="xsd:double"&gt;2.53078708107748&lt;/D&gt;&lt;D xsi:type="xsd:double"&gt;2.4681608878801&lt;/D&gt;&lt;D xsi:type="xsd:double"&gt;2.49806378086969&lt;/D&gt;&lt;D xsi:type="xsd:double"&gt;2.29770599174458&lt;/D&gt;&lt;D xsi:type="xsd:double"&gt;2.39910401662666&lt;/D&gt;&lt;D xsi:type="xsd:double"&gt;2.30060117743495&lt;/D&gt;&lt;D xsi:type="xsd:double"&gt;2.33199180115494&lt;/D&gt;&lt;D xsi:type="xsd:double"&gt;2.48781469072382&lt;/D&gt;&lt;D xsi:type="xsd:double"&gt;2.36899706054931&lt;/D&gt;&lt;D xsi:type="xsd:double"&gt;2.49662689282777&lt;/D&gt;&lt;D xsi:type="xsd:double"&gt;2.43540565716356&lt;/D&gt;&lt;D xsi:type="xsd:double"&gt;2.33218391388409&lt;/D&gt;&lt;D xsi:type="xsd:double"&gt;2.45675032853855&lt;/D&gt;&lt;D xsi:type="xsd:double"&gt;2.24462756485849&lt;/D&gt;&lt;D xsi:type="xsd:double"&gt;2.21552512618746&lt;/D&gt;&lt;D xsi:type="xsd:double"&gt;2.21675264184161&lt;/D&gt;&lt;/FQL&gt;&lt;FQL&gt;&lt;Q&gt;ECH^JULIAN(FMA_DIV_YLD(LTMA,-10AY,0,AM,"PORTAGG","MEANR").DATES)&lt;/Q&gt;&lt;R&gt;121&lt;/R&gt;&lt;C&gt;1&lt;/C&gt;&lt;D xsi:type="xsd:long"&gt;41746&lt;/D&gt;&lt;D xsi:type="xsd:long"&gt;41775&lt;/D&gt;&lt;D xsi:type="xsd:long"&gt;41808&lt;/D&gt;&lt;D xsi:type="xsd:long"&gt;41838&lt;/D&gt;&lt;D xsi:type="xsd:long"&gt;41869&lt;/D&gt;&lt;D xsi:type="xsd:long"&gt;41900&lt;/D&gt;&lt;D xsi:type="xsd:long"&gt;41929&lt;/D&gt;&lt;D xsi:type="xsd:long"&gt;41961&lt;/D&gt;&lt;D xsi:type="xsd:long"&gt;41991&lt;/D&gt;&lt;D xsi:type="xsd:long"&gt;42020&lt;/D&gt;&lt;D xsi:type="xsd:long"&gt;42053&lt;/D&gt;&lt;D xsi:type="xsd:long"&gt;42081&lt;/D&gt;&lt;D xsi:type="xsd:long"&gt;42111&lt;/D&gt;&lt;D xsi:type="xsd:long"&gt;42142&lt;/D&gt;&lt;D xsi:type="xsd:long"&gt;42173&lt;/D&gt;&lt;D xsi:type="xsd:long"&gt;42202&lt;/D&gt;&lt;D xsi:type="xsd:long"&gt;42234&lt;/D&gt;&lt;D xsi:type="xsd:long"&gt;42265&lt;/D&gt;&lt;D xsi:type="xsd:long"&gt;42293&lt;/D&gt;&lt;D xsi:type="xsd:long"&gt;42326&lt;/D&gt;&lt;D xsi:type="xsd:long"&gt;42356&lt;/D&gt;&lt;D xsi:type="xsd:long"&gt;42384&lt;/D&gt;&lt;D xsi:type="xsd:long"&gt;42418&lt;/D&gt;&lt;D xsi:type="xsd:long"&gt;42447&lt;/D&gt;&lt;D xsi:type="xsd:long"&gt;42478&lt;/D&gt;&lt;D xsi:type="xsd:long"&gt;42508&lt;/D&gt;&lt;D xsi:type="xsd:long"&gt;42538&lt;/D&gt;&lt;D xsi:type="xsd:long"&gt;42569&lt;/D&gt;&lt;D xsi:type="xsd:long"&gt;42600&lt;/D&gt;&lt;D xsi:type="xsd:long"&gt;42629&lt;/D&gt;&lt;D xsi:type="xsd:long"&gt;42661&lt;/D&gt;&lt;D xsi:type="xsd:long"&gt;42692&lt;/D&gt;&lt;D xsi:type="xsd:long"&gt;42720&lt;/D&gt;&lt;D xsi:type="xsd:long"&gt;42753&lt;/D&gt;&lt;D xsi:type="xsd:long"&gt;42783&lt;/D&gt;&lt;D xsi:type="xsd:long"&gt;42811&lt;/D&gt;&lt;D xsi:type="xsd:long"&gt;42843&lt;/D&gt;&lt;D xsi:type="xsd:long"&gt;42873&lt;/D&gt;&lt;D xsi:type="xsd:long"&gt;42902&lt;/D&gt;&lt;D xsi:type="xsd:long"&gt;42934&lt;/D&gt;&lt;D xsi:type="xsd:long"&gt;42965&lt;/D&gt;&lt;D xsi:type="xsd:long"&gt;42996&lt;/D&gt;&lt;D xsi:type="xsd:long"&gt;43026&lt;/D&gt;&lt;D xsi:type="xsd:long"&gt;43056&lt;/D&gt;&lt;D xsi:type="xsd:long"&gt;43087&lt;/D&gt;&lt;D xsi:type="xsd:long"&gt;43118&lt;/D&gt;&lt;D xsi:type="xsd:long"&gt;43147&lt;/D&gt;&lt;D xsi:type="xsd:long"&gt;43175&lt;/D&gt;&lt;D xsi:type="xsd:long"&gt;43208&lt;/D&gt;&lt;D xsi:type="xsd:long"&gt;43238&lt;/D&gt;&lt;D xsi:type="xsd:long"&gt;43269&lt;/D&gt;&lt;D xsi:type="xsd:long"&gt;43299&lt;/D&gt;&lt;D xsi:type="xsd:long"&gt;43329&lt;/D&gt;&lt;D xsi:type="xsd:long"&gt;43361&lt;/D&gt;&lt;D xsi:type="xsd:long"&gt;43391&lt;/D&gt;&lt;D xsi:type="xsd:long"&gt;43420&lt;/D&gt;&lt;D xsi:type="xsd:long"&gt;43452&lt;/D&gt;&lt;D xsi:type="xsd:long"&gt;43483&lt;/D&gt;&lt;D xsi:type="xsd:long"&gt;43511&lt;/D&gt;&lt;D xsi:type="xsd:long"&gt;43542&lt;/D&gt;&lt;D xsi:type="xsd:long"&gt;43573&lt;/D&gt;&lt;D xsi:type="xsd:long"&gt;43602&lt;/D&gt;&lt;D xsi:type="xsd:long"&gt;43634&lt;/D&gt;&lt;D xsi:type="xsd:long"&gt;43664&lt;/D&gt;&lt;D xsi:type="xsd:long"&gt;43693&lt;/D&gt;&lt;D xsi:type="xsd:long"&gt;43726&lt;/D&gt;&lt;D xsi:type="xsd:long"&gt;43756&lt;/D&gt;&lt;D xsi:type="xsd:long"&gt;43787&lt;/D&gt;&lt;D xsi:type="xsd:long"&gt;43817&lt;/D&gt;&lt;D xsi:type="xsd:long"&gt;43847&lt;/D&gt;&lt;D xsi:type="xsd:long"&gt;43879&lt;/D&gt;&lt;D xsi:type="xsd:long"&gt;43908&lt;/D&gt;&lt;D xsi:type="xsd:long"&gt;43938&lt;/D&gt;&lt;D xsi:type="xsd:long"&gt;43969&lt;/D&gt;&lt;D xsi:type="xsd:long"&gt;44000&lt;/D&gt;&lt;D xsi:type="xsd:long"&gt;44029&lt;/D&gt;&lt;D xsi:type="xsd:long"&gt;44061&lt;/D&gt;&lt;D xsi:type="xsd:long"&gt;44092&lt;/D&gt;&lt;D xsi:type="xsd:long"&gt;44120&lt;/D&gt;&lt;D xsi:type="xsd:long"&gt;44153&lt;/D&gt;&lt;D xsi:type="xsd:long"&gt;44183&lt;/D&gt;&lt;D xsi:type="xsd:long"&gt;44211&lt;/D&gt;&lt;D xsi:type="xsd:long"&gt;44245&lt;/D&gt;&lt;D xsi:type="xsd:long"&gt;44273&lt;/D&gt;&lt;D xsi:type="xsd:long"&gt;44302&lt;/D&gt;&lt;D xsi:type="xsd:long"&gt;44334&lt;/D&gt;&lt;D xsi:type="xsd:long"&gt;44365&lt;/D&gt;&lt;D xsi:type="xsd:long"&gt;44393&lt;/D&gt;&lt;D xsi:type="xsd:long"&gt;44426&lt;/D&gt;&lt;D xsi:type="xsd:long"&gt;44456&lt;/D&gt;&lt;D xsi:type="xsd:long"&gt;44487&lt;/D&gt;&lt;D xsi:type="xsd:long"&gt;44518&lt;/D&gt;&lt;D xsi:type="xsd:long"&gt;44547&lt;/D&gt;&lt;D xsi:type="xsd:long"&gt;44579&lt;/D&gt;&lt;D xsi:type="xsd:long"&gt;44610&lt;/D&gt;&lt;D xsi:type="xsd:long"&gt;44638&lt;/D&gt;&lt;D xsi:type="xsd:long"&gt;44669&lt;/D&gt;&lt;D xsi:type="xsd:long"&gt;44699&lt;/D&gt;&lt;D xsi:type="xsd:long"&gt;44729&lt;/D&gt;&lt;D xsi:type="xsd:long"&gt;44760&lt;/D&gt;&lt;D xsi:type="xsd:long"&gt;44791&lt;/D&gt;&lt;D xsi:type="xsd:long"&gt;44820&lt;/D&gt;&lt;D xsi:type="xsd:long"&gt;44852&lt;/D&gt;&lt;D xsi:type="xsd:long"&gt;44883&lt;/D&gt;&lt;D xsi:type="xsd:long"&gt;44911&lt;/D&gt;&lt;D xsi:type="xsd:long"&gt;44944&lt;/D&gt;&lt;D xsi:type="xsd:long"&gt;44974&lt;/D&gt;&lt;D xsi:type="xsd:long"&gt;45002&lt;/D&gt;&lt;D xsi:type="xsd:long"&gt;45034&lt;/D&gt;&lt;D xsi:type="xsd:long"&gt;45064&lt;/D&gt;&lt;D xsi:type="xsd:long"&gt;45093&lt;/D&gt;&lt;D xsi:type="xsd:long"&gt;45125&lt;/D&gt;&lt;D xsi:type="xsd:long"&gt;45156&lt;/D&gt;&lt;D xsi:type="xsd:long"&gt;45187&lt;/D&gt;&lt;D xsi:type="xsd:long"&gt;45217&lt;/D&gt;&lt;D xsi:type="xsd:long"&gt;45247&lt;/D&gt;&lt;D xsi:type="xsd:long"&gt;45278&lt;/D&gt;&lt;D xsi:type="xsd:long"&gt;45309&lt;/D&gt;&lt;D xsi:type="xsd:long"&gt;45338&lt;/D&gt;&lt;D xsi:type="xsd:long"&gt;45369&lt;/D&gt;&lt;D xsi:type="xsd:long"&gt;45398&lt;/D&gt;&lt;/FQL&gt;&lt;FQL&gt;&lt;Q&gt;CPALM-FDS^FG_PRICE_CHANGE(0,-3AM)&lt;/Q&gt;&lt;R&gt;1&lt;/R&gt;&lt;C&gt;1&lt;/C&gt;&lt;D xsi:type="xsd:double"&gt;4.98854670399593&lt;/D&gt;&lt;/FQL&gt;&lt;FQL&gt;&lt;Q&gt;UAE^PERCENT_CHANGE(FMA_EPS(+1,0,,,,"PORTAGG","MEAN"),FMA_EPS(+1,-1AM,,,,"PORTAGG","MEAN"))&lt;/Q&gt;&lt;R&gt;1&lt;/R&gt;&lt;C&gt;1&lt;/C&gt;&lt;D xsi:type="xsd:double"&gt;2.00356880895963&lt;/D&gt;&lt;/FQL&gt;&lt;FQL&gt;&lt;Q&gt;MCHI^PERCENT_CHANGE(FMA_EPS(+1,0,,,,"PORTAGG","MEAN"),FMA_EPS(+1,-1AM,,,,"PORTAGG","MEAN"))&lt;/Q&gt;&lt;R&gt;1&lt;/R&gt;&lt;C&gt;1&lt;/C&gt;&lt;D xsi:type="xsd:double"&gt;-2.39088928517411&lt;/D&gt;&lt;/FQL&gt;&lt;FQL&gt;&lt;Q&gt;EWZ^PERCENT_CHANGE(FMA_EPS(+1,0,,,,"PORTAGG","MEAN"),FMA_EPS(+1,-3AM,,,,"PORTAGG","MEAN"))&lt;/Q&gt;&lt;R&gt;1&lt;/R&gt;&lt;C&gt;1&lt;/C&gt;&lt;D xsi:type="xsd:double"&gt;-5.32720155504339&lt;/D&gt;&lt;/FQL&gt;&lt;FQL&gt;&lt;Q&gt;EWM^FG_TOTAL_RETURNC(0,-12AM)&lt;/Q&gt;&lt;R&gt;1&lt;/R&gt;&lt;C&gt;1&lt;/C&gt;&lt;D xsi:type="xsd:double"&gt;1.0404229&lt;/D&gt;&lt;/FQL&gt;&lt;FQL&gt;&lt;Q&gt;EPHE^FG_TOTAL_RETURNC(0,-3AM)&lt;/Q&gt;&lt;R&gt;1&lt;/R&gt;&lt;C&gt;1&lt;/C&gt;&lt;D xsi:type="xsd:double"&gt;-3.8726985&lt;/D&gt;&lt;/FQL&gt;&lt;FQL&gt;&lt;Q&gt;SPY^P_PRICE(0)/P_PRICE_HIGH_PR(0,,,,,,"PRICE","INTRA","52W")&lt;/Q&gt;&lt;R&gt;1&lt;/R&gt;&lt;C&gt;1&lt;/C&gt;&lt;D xsi:type="xsd:double"&gt;0.952174&lt;/D&gt;&lt;/FQL&gt;&lt;FQL&gt;&lt;Q&gt;VGK^PERCENT_CHANGE(FMA_EPS(+1,0,,,,"PORTAGG","MEAN"),FMA_EPS(+1,-1AM,,,,"PORTAGG","MEAN"))&lt;/Q&gt;&lt;R&gt;1&lt;/R&gt;&lt;C&gt;1&lt;/C&gt;&lt;D xsi:type="xsd:double"&gt;-5.01320984237334&lt;/D&gt;&lt;/FQL&gt;&lt;FQL&gt;&lt;Q&gt;TUR^SIZE(FG_CONSTITUENTS)&lt;/Q&gt;&lt;R&gt;1&lt;/R&gt;&lt;C&gt;1&lt;/C&gt;&lt;D xsi:type="xsd:long"&gt;98&lt;/D&gt;&lt;/FQL&gt;&lt;FQL&gt;&lt;Q&gt;EWW^FMA_COS_UP("EPS","1M",+1,NOW,,,"PORTAGG","MEANR")&lt;/Q&gt;&lt;R&gt;1&lt;/R&gt;&lt;C&gt;1&lt;/C&gt;&lt;D xsi:type="xsd:double"&gt;14&lt;/D&gt;&lt;/FQL&gt;&lt;FQL&gt;&lt;Q&gt;USDZAR^FG_PRICE_CHANGE(0,-6AM)&lt;/Q&gt;&lt;R&gt;1&lt;/R&gt;&lt;C&gt;1&lt;/C&gt;&lt;D xsi:type="xsd:double"&gt;0.52497387&lt;/D&gt;&lt;/FQL&gt;&lt;FQL&gt;&lt;Q&gt;MCHI^P_PRICE_RETURNS_PR('52W',2,-10AY,0,AM)&lt;/Q&gt;&lt;R&gt;121&lt;/R&gt;&lt;C&gt;1&lt;/C&gt;&lt;D xsi:type="xsd:double"&gt;8.574533&lt;/D&gt;&lt;D xsi:type="xsd:double"&gt;0.07907152&lt;/D&gt;&lt;D xsi:type="xsd:double"&gt;13.582098&lt;/D&gt;&lt;D xsi:type="xsd:double"&gt;16.639328&lt;/D&gt;&lt;D xsi:type="xsd:double"&gt;17.017353&lt;/D&gt;&lt;D xsi:type="xsd:double"&gt;5.6313634&lt;/D&gt;&lt;D xsi:type="xsd:double"&gt;1.470685&lt;/D&gt;&lt;D xsi:type="xsd:double"&gt;-0.56955814&lt;/D&gt;&lt;D xsi:type="xsd:double"&gt;3.8534403&lt;/D&gt;&lt;D xsi:type="xsd:double"&gt;14.160466&lt;/D&gt;&lt;D xsi:type="xsd:double"&gt;17.996073&lt;/D&gt;&lt;D xsi:type="xsd:double"&gt;25.577414&lt;/D&gt;&lt;D xsi:type="xsd:double"&gt;38.168217&lt;/D&gt;&lt;D xsi:type="xsd:double"&gt;38.94526&lt;/D&gt;&lt;D xsi:type="xsd:double"&gt;24.865162&lt;/D&gt;&lt;D xsi:type="xsd:double"&gt;13.1021385&lt;/D&gt;&lt;D xsi:type="xsd:double"&gt;-3.559631&lt;/D&gt;&lt;D xsi:type="xsd:double"&gt;-8.4566&lt;/D&gt;&lt;D xsi:type="xsd:double"&gt;6.618488&lt;/D&gt;&lt;D xsi:type="xsd:double"&gt;-0.118255615&lt;/D&gt;&lt;D xsi:type="xsd:double"&gt;-5.931324&lt;/D&gt;&lt;D xsi:type="xsd:double"&gt;-24.362797&lt;/D&gt;&lt;D xsi:type="xsd:double"&gt;-24.816053&lt;/D&gt;&lt;D xsi:type="xsd:double"&gt;-18.38435&lt;/D&gt;&lt;D xsi:type="xsd:double"&gt;-26.718348&lt;/D&gt;&lt;D xsi:type="xsd:double"&gt;-33.136402&lt;/D&gt;&lt;D xsi:type="xsd:double"&gt;-27.378284&lt;/D&gt;&lt;D xsi:type="xsd:double"&gt;-14.376915&lt;/D&gt;&lt;D xsi:type="xsd:double"&gt;0.090289116&lt;/D&gt;&lt;D xsi:type="xsd:double"&gt;6.3263893&lt;/D&gt;&lt;D xsi:type="xsd:double"&gt;0.7580161&lt;/D&gt;&lt;D xsi:type="xsd:double"&gt;-1.9312918&lt;/D&gt;&lt;D xsi:type="xsd:double"&gt;-1.6195178&lt;/D&gt;&lt;D xsi:type="xsd:double"&gt;24.872292&lt;/D&gt;&lt;D xsi:type="xsd:double"&gt;28.934502&lt;/D&gt;&lt;D xsi:type="xsd:double"&gt;22.504997&lt;/D&gt;&lt;D xsi:type="xsd:double"&gt;15.339506&lt;/D&gt;&lt;D xsi:type="xsd:double"&gt;33.873283&lt;/D&gt;&lt;D xsi:type="xsd:double"&gt;33.380795&lt;/D&gt;&lt;D xsi:type="xsd:double"&gt;32.186127&lt;/D&gt;&lt;D xsi:type="xsd:double"&gt;27.395857&lt;/D&gt;&lt;D xsi:type="xsd:double"&gt;35.061203&lt;/D&gt;&lt;D xsi:type="xsd:double"&gt;38.973534&lt;/D&gt;&lt;D xsi:type="xsd:double"&gt;50.90796&lt;/D&gt;&lt;D xsi:type="xsd:double"&gt;52.532196&lt;/D&gt;&lt;D xsi:type="xsd:double"&gt;58.913635&lt;/D&gt;&lt;D xsi:type="xsd:double"&gt;47.075798&lt;/D&gt;&lt;D xsi:type="xsd:double"&gt;46.45641&lt;/D&gt;&lt;D xsi:type="xsd:double"&gt;38.708176&lt;/D&gt;&lt;D xsi:type="xsd:double"&gt;33.966614&lt;/D&gt;&lt;D xsi:type="xsd:double"&gt;31.021893&lt;/D&gt;&lt;D xsi:type="xsd:double"&gt;13.022137&lt;/D&gt;&lt;D xsi:type="xsd:double"&gt;2.112031&lt;/D&gt;&lt;D xsi:type="xsd:double"&gt;-8.065539&lt;/D&gt;&lt;D xsi:type="xsd:double"&gt;-18.849009&lt;/D&gt;&lt;D xsi:type="xsd:double"&gt;-14.941102&lt;/D&gt;&lt;D xsi:type="xsd:double"&gt;-16.887737&lt;/D&gt;&lt;D xsi:type="xsd:double"&gt;-20.085907&lt;/D&gt;&lt;D xsi:type="xsd:double"&gt;-16.652817&lt;/D&gt;&lt;D xsi:type="xsd:double"&gt;-12.47574&lt;/D&gt;&lt;D xsi:type="xsd:double"&gt;-2.8486252&lt;/D&gt;&lt;D xsi:type="xsd:double"&gt;-15.793127&lt;/D&gt;&lt;D xsi:type="xsd:double"&gt;-15.056729&lt;/D&gt;&lt;D xsi:type="xsd:double"&gt;-5.911374&lt;/D&gt;&lt;D xsi:type="xsd:double"&gt;-4.290211&lt;/D&gt;&lt;D xsi:type="xsd:double"&gt;2.864337&lt;/D&gt;&lt;D xsi:type="xsd:double"&gt;11.152053&lt;/D&gt;&lt;D xsi:type="xsd:double"&gt;6.7520022&lt;/D&gt;&lt;D xsi:type="xsd:double"&gt;20.19496&lt;/D&gt;&lt;D xsi:type="xsd:double"&gt;21.334648&lt;/D&gt;&lt;D xsi:type="xsd:double"&gt;11.960006&lt;/D&gt;&lt;D xsi:type="xsd:double"&gt;-15.146219&lt;/D&gt;&lt;D xsi:type="xsd:double"&gt;-5.7964444&lt;/D&gt;&lt;D xsi:type="xsd:double"&gt;10.401117&lt;/D&gt;&lt;D xsi:type="xsd:double"&gt;14.19487&lt;/D&gt;&lt;D xsi:type="xsd:double"&gt;21.640968&lt;/D&gt;&lt;D xsi:type="xsd:double"&gt;35.39704&lt;/D&gt;&lt;D xsi:type="xsd:double"&gt;27.551197&lt;/D&gt;&lt;D xsi:type="xsd:double"&gt;34.52568&lt;/D&gt;&lt;D xsi:type="xsd:double"&gt;36.43391&lt;/D&gt;&lt;D xsi:type="xsd:double"&gt;28.149246&lt;/D&gt;&lt;D xsi:type="xsd:double"&gt;29.802536&lt;/D&gt;&lt;D xsi:type="xsd:double"&gt;48.080944&lt;/D&gt;&lt;D xsi:type="xsd:double"&gt;62.823997&lt;/D&gt;&lt;D xsi:type="xsd:double"&gt;39.24725&lt;/D&gt;&lt;D xsi:type="xsd:double"&gt;28.890587&lt;/D&gt;&lt;D xsi:type="xsd:double"&gt;24.482954&lt;/D&gt;&lt;D xsi:type="xsd:double"&gt;11.334491&lt;/D&gt;&lt;D xsi:type="xsd:double"&gt;-6.8039236&lt;/D&gt;&lt;D xsi:type="xsd:double"&gt;-6.0604277&lt;/D&gt;&lt;D xsi:type="xsd:double"&gt;-8.188522&lt;/D&gt;&lt;D xsi:type="xsd:double"&gt;-13.616370999999999&lt;/D&gt;&lt;D xsi:type="xsd:double"&gt;-22.022104&lt;/D&gt;&lt;D xsi:type="xsd:double"&gt;-25.879717&lt;/D&gt;&lt;D xsi:type="xsd:double"&gt;-34.49796&lt;/D&gt;&lt;D xsi:type="xsd:double"&gt;-34.050415&lt;/D&gt;&lt;D xsi:type="xsd:double"&gt;-36.357613&lt;/D&gt;&lt;D xsi:type="xsd:double"&gt;-38.867672&lt;/D&gt;&lt;D xsi:type="xsd:double"&gt;-33.50398&lt;/D&gt;&lt;D xsi:type="xsd:double"&gt;-32.2595&lt;/D&gt;&lt;D xsi:type="xsd:double"&gt;-27.569515&lt;/D&gt;&lt;D xsi:type="xsd:double"&gt;-31.33068&lt;/D&gt;&lt;D xsi:type="xsd:double"&gt;-41.298218&lt;/D&gt;&lt;D xsi:type="xsd:double"&gt;-34.65069&lt;/D&gt;&lt;D xsi:type="xsd:double"&gt;-23.090017&lt;/D&gt;&lt;D xsi:type="xsd:double"&gt;-14.677345&lt;/D&gt;&lt;D xsi:type="xsd:double"&gt;-18.287546&lt;/D&gt;&lt;D xsi:type="xsd:double"&gt;-8.783579&lt;/D&gt;&lt;D xsi:type="xsd:double"&gt;-2.0815969&lt;/D&gt;&lt;D xsi:type="xsd:double"&gt;-2.0598412&lt;/D&gt;&lt;D xsi:type="xsd:double"&gt;-5.9237003&lt;/D&gt;&lt;D xsi:type="xsd:double"&gt;-10.752333&lt;/D&gt;&lt;D xsi:type="xsd:double"&gt;-9.092623&lt;/D&gt;&lt;D xsi:type="xsd:double"&gt;-2.09772&lt;/D&gt;&lt;D xsi:type="xsd:double"&gt;5.599153&lt;/D&gt;&lt;D xsi:type="xsd:double"&gt;-2.1634161&lt;/D&gt;&lt;D xsi:type="xsd:double"&gt;-12.865376&lt;/D&gt;&lt;D xsi:type="xsd:double"&gt;-27.272392&lt;/D&gt;&lt;D xsi:type="xsd:double"&gt;-21.68737&lt;/D&gt;&lt;D xsi:type="xsd:double"&gt;-11.322576&lt;/D&gt;&lt;D xsi:type="xsd:double"&gt;-17.65151&lt;/D&gt;&lt;/FQL&gt;&lt;FQL&gt;&lt;Q&gt;VNM^FG_PRICE_MAVG(0,,,,200)&lt;/Q&gt;&lt;R&gt;1&lt;/R&gt;&lt;C&gt;1&lt;/C&gt;&lt;D xsi:type="xsd:double"&gt;13.56455&lt;/D&gt;&lt;/FQL&gt;&lt;FQL&gt;&lt;Q&gt;EZA^FG_PRICE(0)&lt;/Q&gt;&lt;R&gt;1&lt;/R&gt;&lt;C&gt;1&lt;/C&gt;&lt;D xsi:type="xsd:double"&gt;38.26&lt;/D&gt;&lt;/FQL&gt;&lt;FQL&gt;&lt;Q&gt;EIDO^FG_PRICE_MAVG(0,,,,30)&lt;/Q&gt;&lt;R&gt;1&lt;/R&gt;&lt;C&gt;1&lt;/C&gt;&lt;D xsi:type="xsd:double"&gt;22.261333&lt;/D&gt;&lt;/FQL&gt;&lt;FQL&gt;&lt;Q&gt;UAE^FMA_PCT_ABOVE_MAVG(200,0,,,,"PORTAGG")&lt;/Q&gt;&lt;R&gt;1&lt;/R&gt;&lt;C&gt;1&lt;/C&gt;&lt;D xsi:type="xsd:double"&gt;27.027027027027&lt;/D&gt;&lt;/FQL&gt;&lt;FQL&gt;&lt;Q&gt;TUR^FMA_COS_DOWN("EPS","1M",+1,NOW,,,"PORTAGG","MEANR")&lt;/Q&gt;&lt;R&gt;1&lt;/R&gt;&lt;C&gt;1&lt;/C&gt;&lt;D xsi:type="xsd:double"&gt;12&lt;/D&gt;&lt;/FQL&gt;&lt;FQL&gt;&lt;Q&gt;SET-BKK^FMA_RBICS_REV_CURRENT(30, LOC, "PORTAGG")&lt;/Q&gt;&lt;R&gt;1&lt;/R&gt;&lt;C&gt;1&lt;/C&gt;&lt;D xsi:type="xsd:double"&gt;24.0493361724208&lt;/D&gt;&lt;/FQL&gt;&lt;FQL&gt;&lt;Q&gt;REFPEMPR-FDS^FG_YIELD(NOW,,,0)&lt;/Q&gt;&lt;R&gt;1&lt;/R&gt;&lt;C&gt;1&lt;/C&gt;&lt;D xsi:type="xsd:double"&gt;6&lt;/D&gt;&lt;/FQL&gt;&lt;FQL&gt;&lt;Q&gt;VWO^FMA_EVAL_EBIT(LTMA,NOW,NOW,M,"PORTAGG","MEANR")&lt;/Q&gt;&lt;R&gt;1&lt;/R&gt;&lt;C&gt;1&lt;/C&gt;&lt;D xsi:type="xsd:double"&gt;14.3869386780299&lt;/D&gt;&lt;/FQL&gt;&lt;FQL&gt;&lt;Q&gt;USDTRY^STD(FG_PRICE_CHANGE(0,-1AY,AM))&lt;/Q&gt;&lt;R&gt;1&lt;/R&gt;&lt;C&gt;1&lt;/C&gt;&lt;D xsi:type="xsd:double"&gt;5.75183632191004&lt;/D&gt;&lt;/FQL&gt;&lt;FQL&gt;&lt;Q&gt;EWW^FMA_DIV_YLD(NTMA,-10AY,0,AM,"PORTAGG","MEANR")&lt;/Q&gt;&lt;R&gt;121&lt;/R&gt;&lt;C&gt;1&lt;/C&gt;&lt;D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xsi:type="xsd:double"&gt;2.21522564218024&lt;/D&gt;&lt;D xsi:type="xsd:double"&gt;2.145584934031&lt;/D&gt;&lt;D xsi:type="xsd:double"&gt;2.08036202878744&lt;/D&gt;&lt;D xsi:type="xsd:double"&gt;2.0778191200406&lt;/D&gt;&lt;D xsi:type="xsd:double"&gt;2.09280142715675&lt;/D&gt;&lt;D xsi:type="xsd:double"&gt;2.1370522691691&lt;/D&gt;&lt;D xsi:type="xsd:double"&gt;2.0682049996954&lt;/D&gt;&lt;D xsi:type="xsd:double"&gt;2.02038098315987&lt;/D&gt;&lt;D xsi:type="xsd:double"&gt;2.13176132181579&lt;/D&gt;&lt;D xsi:type="xsd:double"&gt;2.07746399951138&lt;/D&gt;&lt;D xsi:type="xsd:double"&gt;2.33243523795422&lt;/D&gt;&lt;D xsi:type="xsd:double"&gt;2.38284145827238&lt;/D&gt;&lt;D xsi:type="xsd:double"&gt;2.36923490827926&lt;/D&gt;&lt;D xsi:type="xsd:double"&gt;2.37692746106561&lt;/D&gt;&lt;D xsi:type="xsd:double"&gt;2.37215274640436&lt;/D&gt;&lt;D xsi:type="xsd:double"&gt;2.39348463955264&lt;/D&gt;&lt;D xsi:type="xsd:double"&gt;2.43517519772149&lt;/D&gt;&lt;D xsi:type="xsd:double"&gt;2.48466312576632&lt;/D&gt;&lt;D xsi:type="xsd:double"&gt;2.37169159644714&lt;/D&gt;&lt;D xsi:type="xsd:double"&gt;2.37233864619671&lt;/D&gt;&lt;D xsi:type="xsd:double"&gt;2.45126744567978&lt;/D&gt;&lt;D xsi:type="xsd:double"&gt;2.47327970947701&lt;/D&gt;&lt;D xsi:type="xsd:double"&gt;2.53479322877522&lt;/D&gt;&lt;D xsi:type="xsd:double"&gt;2.5149778284537&lt;/D&gt;&lt;D xsi:type="xsd:double"&gt;2.4673455719363&lt;/D&gt;&lt;D xsi:type="xsd:double"&gt;2.62706572921456&lt;/D&gt;&lt;D xsi:type="xsd:double"&gt;2.61957148373876&lt;/D&gt;&lt;D xsi:type="xsd:double"&gt;2.57332259072601&lt;/D&gt;&lt;D xsi:type="xsd:double"&gt;2.89013245044069&lt;/D&gt;&lt;D xsi:type="xsd:double"&gt;2.86304536335049&lt;/D&gt;&lt;D xsi:type="xsd:double"&gt;2.70665918418729&lt;/D&gt;&lt;D xsi:type="xsd:double"&gt;2.81929155576395&lt;/D&gt;&lt;D xsi:type="xsd:double"&gt;2.73373199032234&lt;/D&gt;&lt;D xsi:type="xsd:double"&gt;2.94756603601385&lt;/D&gt;&lt;D xsi:type="xsd:double"&gt;3.42956714084556&lt;/D&gt;&lt;D xsi:type="xsd:double"&gt;3.48488857358982&lt;/D&gt;&lt;D xsi:type="xsd:double"&gt;3.23586955165528&lt;/D&gt;&lt;D xsi:type="xsd:double"&gt;3.34559829138291&lt;/D&gt;&lt;D xsi:type="xsd:double"&gt;3.47343445216666&lt;/D&gt;&lt;D xsi:type="xsd:double"&gt;3.2802216151793&lt;/D&gt;&lt;D xsi:type="xsd:double"&gt;3.49013153628187&lt;/D&gt;&lt;D xsi:type="xsd:double"&gt;3.54468301214542&lt;/D&gt;&lt;D xsi:type="xsd:double"&gt;3.66678063382457&lt;/D&gt;&lt;D xsi:type="xsd:double"&gt;3.94378369080649&lt;/D&gt;&lt;D xsi:type="xsd:double"&gt;3.5923014964054&lt;/D&gt;&lt;D xsi:type="xsd:double"&gt;3.48632987034404&lt;/D&gt;&lt;D xsi:type="xsd:double"&gt;3.52055817832426&lt;/D&gt;&lt;D xsi:type="xsd:double"&gt;3.39628948200361&lt;/D&gt;&lt;D xsi:type="xsd:double"&gt;3.33566064456186&lt;/D&gt;&lt;D xsi:type="xsd:double"&gt;3.33748534845211&lt;/D&gt;&lt;D xsi:type="xsd:double"&gt;4.36011738658734&lt;/D&gt;&lt;D xsi:type="xsd:double"&gt;4.33673340032892&lt;/D&gt;&lt;D xsi:type="xsd:double"&gt;3.41520901928698&lt;/D&gt;&lt;D xsi:type="xsd:double"&gt;3.09656066525737&lt;/D&gt;&lt;D xsi:type="xsd:double"&gt;3.16702752119253&lt;/D&gt;&lt;D xsi:type="xsd:double"&gt;2.94966608973409&lt;/D&gt;&lt;D xsi:type="xsd:double"&gt;3.34452200366098&lt;/D&gt;&lt;D xsi:type="xsd:dou</t>
        </r>
      </text>
    </comment>
    <comment ref="A23" authorId="0" shapeId="0" xr:uid="{DBECBA4A-D4C7-4006-977C-1D72A0C09E63}">
      <text>
        <r>
          <rPr>
            <b/>
            <sz val="9"/>
            <color indexed="81"/>
            <rFont val="Tahoma"/>
            <charset val="1"/>
          </rPr>
          <t>ble"&gt;3.34483144391913&lt;/D&gt;&lt;D xsi:type="xsd:double"&gt;3.1971014867527&lt;/D&gt;&lt;D xsi:type="xsd:double"&gt;3.44910815661&lt;/D&gt;&lt;D xsi:type="xsd:double"&gt;3.34687296103816&lt;/D&gt;&lt;D xsi:type="xsd:double"&gt;3.4939801073468&lt;/D&gt;&lt;D xsi:type="xsd:double"&gt;3.3604958870701&lt;/D&gt;&lt;D xsi:type="xsd:double"&gt;3.20827157219276&lt;/D&gt;&lt;D xsi:type="xsd:double"&gt;3.10084379851721&lt;/D&gt;&lt;D xsi:type="xsd:double"&gt;3.13386267915426&lt;/D&gt;&lt;D xsi:type="xsd:double"&gt;3.1217882701488&lt;/D&gt;&lt;D xsi:type="xsd:double"&gt;3.12746217894417&lt;/D&gt;&lt;D xsi:type="xsd:double"&gt;3.17287833770795&lt;/D&gt;&lt;D xsi:type="xsd:double"&gt;3.28581504645395&lt;/D&gt;&lt;D xsi:type="xsd:double"&gt;3.52134819418479&lt;/D&gt;&lt;D xsi:type="xsd:double"&gt;3.44489413402565&lt;/D&gt;&lt;D xsi:type="xsd:double"&gt;3.39370909847961&lt;/D&gt;&lt;D xsi:type="xsd:double"&gt;3.65256017536811&lt;/D&gt;&lt;D xsi:type="xsd:double"&gt;3.43517038578965&lt;/D&gt;&lt;D xsi:type="xsd:double"&gt;3.53384080428227&lt;/D&gt;&lt;D xsi:type="xsd:double"&gt;3.78808324670612&lt;/D&gt;&lt;D xsi:type="xsd:double"&gt;4.16152038008005&lt;/D&gt;&lt;D xsi:type="xsd:double"&gt;4.08338632914951&lt;/D&gt;&lt;D xsi:type="xsd:double"&gt;3.95566351705205&lt;/D&gt;&lt;D xsi:type="xsd:double"&gt;4.10472231089178&lt;/D&gt;&lt;D xsi:type="xsd:double"&gt;4.10090620041219&lt;/D&gt;&lt;D xsi:type="xsd:double"&gt;3.68131323167698&lt;/D&gt;&lt;D xsi:type="xsd:double"&gt;3.88183490192917&lt;/D&gt;&lt;D xsi:type="xsd:double"&gt;3.65973772233668&lt;/D&gt;&lt;D xsi:type="xsd:double"&gt;3.55663347188764&lt;/D&gt;&lt;D xsi:type="xsd:double"&gt;3.8712192036837&lt;/D&gt;&lt;D xsi:type="xsd:double"&gt;3.66355380842304&lt;/D&gt;&lt;D xsi:type="xsd:double"&gt;3.57543021343038&lt;/D&gt;&lt;D xsi:type="xsd:double"&gt;3.66553970073259&lt;/D&gt;&lt;D xsi:type="xsd:double"&gt;3.84243684453175&lt;/D&gt;&lt;D xsi:type="xsd:double"&gt;3.97841302753642&lt;/D&gt;&lt;D xsi:type="xsd:double"&gt;4.14738148402795&lt;/D&gt;&lt;D xsi:type="xsd:double"&gt;4.39197254924984&lt;/D&gt;&lt;D xsi:type="xsd:double"&gt;4.06583043802345&lt;/D&gt;&lt;D xsi:type="xsd:double"&gt;3.72505092948342&lt;/D&gt;&lt;D xsi:type="xsd:double"&gt;3.96151137883018&lt;/D&gt;&lt;D xsi:type="xsd:double"&gt;3.78171379815751&lt;/D&gt;&lt;D xsi:type="xsd:double"&gt;4.05481381913258&lt;/D&gt;&lt;D xsi:type="xsd:double"&gt;4.12234925914564&lt;/D&gt;&lt;/FQL&gt;&lt;FQL&gt;&lt;Q&gt;DDR3512M-FDS^FG_PRICE_CHANGE(0,-3AM)&lt;/Q&gt;&lt;R&gt;1&lt;/R&gt;&lt;C&gt;1&lt;/C&gt;&lt;D xsi:type="xsd:double"&gt;-1.74832435118224&lt;/D&gt;&lt;/FQL&gt;&lt;FQL&gt;&lt;Q&gt;CPALM-FDS^FG_PRICE_CHANGE(0,-1AM)&lt;/Q&gt;&lt;R&gt;1&lt;/R&gt;&lt;C&gt;1&lt;/C&gt;&lt;D xsi:type="xsd:double"&gt;-4.64632454923717&lt;/D&gt;&lt;/FQL&gt;&lt;FQL&gt;&lt;Q&gt;TUR^FG_TOTAL_RETURNC(0,-12AM)&lt;/Q&gt;&lt;R&gt;1&lt;/R&gt;&lt;C&gt;1&lt;/C&gt;&lt;D xsi:type="xsd:double"&gt;16.913902&lt;/D&gt;&lt;/FQL&gt;&lt;FQL&gt;&lt;Q&gt;MCHI^FMA_PCT_ABOVE_MAVG(200,0,,,,"PORTAGG")&lt;/Q&gt;&lt;R&gt;1&lt;/R&gt;&lt;C&gt;1&lt;/C&gt;&lt;D xsi:type="xsd:double"&gt;40.6676783004552&lt;/D&gt;&lt;/FQL&gt;&lt;FQL&gt;&lt;Q&gt;EWZ^PERCENT_CHANGE(FMA_EPS(+1,0,,,,"PORTAGG","MEAN"),FMA_EPS(+1,-1AM,,,,"PORTAGG","MEAN"))&lt;/Q&gt;&lt;R&gt;1&lt;/R&gt;&lt;C&gt;1&lt;/C&gt;&lt;D xsi:type="xsd:double"&gt;1.19435534058681&lt;/D&gt;&lt;/FQL&gt;&lt;FQL&gt;&lt;Q&gt;EWM^FG_TOTAL_RETURNC(0,-1AM)&lt;/Q&gt;&lt;R&gt;1&lt;/R&gt;&lt;C&gt;1&lt;/C&gt;&lt;D xsi:type="xsd:double"&gt;-1.9483447&lt;/D&gt;&lt;/FQL&gt;&lt;FQL&gt;&lt;Q&gt;SPY^FG_TOTAL_RETURNC(0,-6AM)&lt;/Q&gt;&lt;R&gt;1&lt;/R&gt;&lt;C&gt;1&lt;/C&gt;&lt;D xsi:type="xsd:double"&gt;16.947006&lt;/D&gt;&lt;/FQL&gt;&lt;FQL&gt;&lt;Q&gt;VGK^FMA_PCT_ABOVE_MAVG(200,0,,,,"PORTAGG")&lt;/Q&gt;&lt;R&gt;1&lt;/R&gt;&lt;C&gt;1&lt;/C&gt;&lt;D xsi:type="xsd:double"&gt;58.4313725490196&lt;/D&gt;&lt;/FQL&gt;&lt;FQL&gt;&lt;Q&gt;EWT^SIZE(FG_CONSTITUENTS)&lt;/Q&gt;&lt;R&gt;1&lt;/R&gt;&lt;C&gt;1&lt;/C&gt;&lt;D xsi:type="xsd:long"&gt;91&lt;/D&gt;&lt;/FQL&gt;&lt;FQL&gt;&lt;Q&gt;QAT^FMA_RBICS_REV_CURRENT(30, LOC, "PORTAGG")&lt;/Q&gt;&lt;R&gt;1&lt;/R&gt;&lt;C&gt;1&lt;/C&gt;&lt;D xsi:type="xsd:double"&gt;59.4630293891933&lt;/D&gt;&lt;/FQL&gt;&lt;FQL&gt;&lt;Q&gt;EZA^FG_ROE(0)&lt;/Q&gt;&lt;R&gt;1&lt;/R&gt;&lt;C&gt;1&lt;/C&gt;&lt;D xsi:type="xsd:double"&gt;15.0022321420751&lt;/D&gt;&lt;/FQL&gt;&lt;FQL&gt;&lt;Q&gt;EPHE^FMA_PE(NTMA,0,,,"PORTAGG","MEANR")&lt;/Q&gt;&lt;R&gt;1&lt;/R&gt;&lt;C&gt;1&lt;/C&gt;&lt;D xsi:type="xsd:double"&gt;8.82235396863393&lt;/D&gt;&lt;/FQL&gt;&lt;FQL&gt;&lt;Q&gt;EWY^FG_FCF_YIELD_NTM(0)&lt;/Q&gt;&lt;R&gt;1&lt;/R&gt;&lt;C&gt;1&lt;/C&gt;&lt;D xsi:type="xsd:double"&gt;5.02252879895897&lt;/D&gt;&lt;/FQL&gt;&lt;FQL&gt;&lt;Q&gt;CAGDPY@BR^EE_ACTUAL_ANNUAL(MED,+1)&lt;/Q&gt;&lt;R&gt;1&lt;/R&gt;&lt;C&gt;1&lt;/C&gt;&lt;D xsi:type="xsd:double"&gt;-1.5&lt;/D&gt;&lt;/FQL&gt;&lt;FQL&gt;&lt;Q&gt;USDZAR^FG_PRICE_CHANGE(0,-3AM)&lt;/Q&gt;&lt;R&gt;1&lt;/R&gt;&lt;C&gt;1&lt;/C&gt;&lt;D xsi:type="xsd:double"&gt;0.9955287&lt;/D&gt;&lt;/FQL&gt;&lt;FQL&gt;&lt;Q&gt;USDPHP^STD(FG_PRICE_CHANGE(0,-1AY,AM))&lt;/Q&gt;&lt;R&gt;1&lt;/R&gt;&lt;C&gt;1&lt;/C&gt;&lt;D xsi:type="xsd:double"&gt;1.73910157011212&lt;/D&gt;&lt;/FQL&gt;&lt;FQL&gt;&lt;Q&gt;INDA^P_PRICE_RETURNS_PR('52W',2,-10AY,0,AM)&lt;/Q&gt;&lt;R&gt;121&lt;/R&gt;&lt;C&gt;1&lt;/C&gt;&lt;D xsi:type="xsd:double"&gt;7.4337244&lt;/D&gt;&lt;D xsi:type="xsd:double"&gt;9.608042&lt;/D&gt;&lt;D xsi:type="xsd:double"&gt;26.12859&lt;/D&gt;&lt;D xsi:type="xsd:double"&gt;23.428785&lt;/D&gt;&lt;D xsi:type="xsd:double"&gt;44.823433&lt;/D&gt;&lt;D xsi:type="xsd:double"&gt;32.837975&lt;/D&gt;&lt;D xsi:type="xsd:double"&gt;23.19498&lt;/D&gt;&lt;D xsi:type="xsd:double"&gt;33.093166&lt;/D&gt;&lt;D xsi:type="xsd:double"&gt;23.435736&lt;/D&gt;&lt;D xsi:type="xsd:double"&gt;30.541945&lt;/D&gt;&lt;D xsi:type="xsd:double"&gt;40.744854&lt;/D&gt;&lt;D xsi:type="xsd:double"&gt;30.86127&lt;/D&gt;&lt;D xsi:type="xsd:double"&gt;21.466839&lt;/D&gt;&lt;D xsi:type="xsd:double"&gt;5.399239&lt;/D&gt;&lt;D xsi:type="xsd:double"&gt;1.1783838&lt;/D&gt;&lt;D xsi:type="xsd:double"&gt;7.8837276&lt;/D&gt;&lt;D xsi:type="xsd:double"&gt;-1.5816689&lt;/D&gt;&lt;D xsi:type="xsd:double"&gt;-10.508621&lt;/D&gt;&lt;D xsi:type="xsd:double"&gt;0.77198744&lt;/D&gt;&lt;D xsi:type="xsd:double"&gt;-14.396894&lt;/D&gt;&lt;D xsi:type="xsd:double"&gt;-8.852631&lt;/D&gt;&lt;D xsi:type="xsd:double"&gt;-19.370472&lt;/D&gt;&lt;D xsi:type="xsd:double"&gt;-25.835836&lt;/D&gt;&lt;D xsi:type="xsd:double"&gt;-19.155163&lt;/D&gt;&lt;D xsi:type="xsd:double"&gt;-13.457012&lt;/D&gt;&lt;D xsi:type="xsd:double"&gt;-11.452019&lt;/D&gt;&lt;D xsi:type="xsd:double"&gt;-4.9608946&lt;/D&gt;&lt;D xsi:type="xsd:double"&gt;-7.04093&lt;/D&gt;&lt;D xsi:type="xsd:double"&gt;-0.36660433&lt;/D&gt;&lt;D xsi:type="xsd:double"&gt;5.581641&lt;/D&gt;&lt;D xsi:type="xsd:double"&gt;1.2142777&lt;/D&gt;&lt;D xsi:type="xsd:double"&gt;-2.4951994&lt;/D&gt;&lt;D xsi:type="xsd:double"&gt;-0.100916624&lt;/D&gt;&lt;D xsi:type="xsd:double"&gt;10.390413&lt;/D&gt;&lt;D xsi:type="xsd:double"&gt;20.404613&lt;/D&gt;&lt;D xsi:type="xsd:double"&gt;19.475735&lt;/D&gt;&lt;D xsi:type="xsd:double"&gt;14.068449&lt;/D&gt;&lt;D xsi:type="xsd:double"&gt;20.725977&lt;/D&gt;&lt;D xsi:type="xsd:double"&gt;19.208504&lt;/D&gt;&lt;D xsi:type="xsd:double"&gt;17.548286&lt;/D&gt;&lt;D xsi:type="xsd:double"&gt;14.686847&lt;/D&gt;&lt;D xsi:type="xsd:double"&gt;18.201113&lt;/D&gt;&lt;D xsi:type="xsd:double"&gt;17.210781&lt;/D&gt;&lt;D xsi:type="xsd:double"&gt;33.08809&lt;/D&gt;&lt;D xsi:type="xsd:double"&gt;33.795822&lt;/D&gt;&lt;D xsi:type="xsd:double"&gt;35.580326&lt;/D&gt;&lt;D xsi:type="xsd:double"&gt;22.163307&lt;/D&gt;&lt;D xsi:type="xsd:double"&gt;9.715212&lt;/D&gt;&lt;D xsi:type="xsd:double"&gt;13.279676&lt;/D&gt;&lt;D xsi:type="xsd:double"&gt;4.0181994&lt;/D&gt;&lt;D xsi:type="xsd:double"&gt;3.9662004&lt;/D&gt;&lt;D xsi:type="xsd:double"&gt;2.154088&lt;/D&gt;&lt;D xsi:type="xsd:double"&gt;6.3039064&lt;/D&gt;&lt;D xsi:type="xsd:double"&gt;-1.9069493&lt;/D&gt;&lt;D xsi:type="xsd:double"&gt;-12.849581&lt;/D&gt;&lt;D xsi:type="xsd:double"&gt;-5.59451&lt;/D&gt;&lt;D xsi:type="xsd:double"&gt;-5.2940726&lt;/D&gt;&lt;D xsi:type="xsd:double"&gt;-10.450625&lt;/D&gt;&lt;D xsi:type="xsd:double"&gt;-10.343284&lt;/D&gt;&lt;D xsi:type="xsd:double"&gt;5.501449&lt;/D&gt;&lt;D xsi:type="xsd:double"&gt;3.4927368&lt;/D&gt;&lt;D xsi:type="xsd:double"&gt;2.0068645&lt;/D&gt;&lt;D xsi:type="xsd:double"&gt;6.307614&lt;/D&gt;&lt;D xsi:type="xsd:double"&gt;4.3287754&lt;/D&gt;&lt;D xsi:type="xsd:double"&gt;-6.0374317&lt;/D&gt;&lt;D xsi:type="xsd:double"&gt;-3.505224&lt;/D&gt;&lt;D xsi:type="xsd:double"&gt;16.404009&lt;/D&gt;&lt;D xsi:type="xsd:double"&gt;7.2726846&lt;/D&gt;&lt;D xsi:type="xsd:double"&gt;7.200098&lt;/D&gt;&lt;D xsi:type="xsd:double"&gt;10.707951&lt;/D&gt;&lt;D xsi:type="xsd:double"&gt;10.406303&lt;/D&gt;&lt;D xsi:type="xsd:double"&gt;-33.46864&lt;/D&gt;&lt;D xsi:type="xsd:double"&gt;-26.962143&lt;/D&gt;&lt;D xsi:type="xsd:double"&gt;-21.218563&lt;/D&gt;&lt;D xsi:type="xsd:double"&gt;-19.031895&lt;/D&gt;&lt;D xsi:type="xsd:double"&gt;-9.566462&lt;/D&gt;&lt;D xsi:type="xsd:double"&gt;4.387009&lt;/D&gt;&lt;D xsi:type="xsd:double"&gt;7.885492&lt;/D&gt;&lt;D xsi:type="xsd:double"&gt;5.164504&lt;/D&gt;&lt;D xsi:type="xsd:double"&gt;7.8777432&lt;/D&gt;&lt;D xsi:type="xsd:double"&gt;11.999583&lt;/D&gt;&lt;D xsi:type="xsd:double"&gt;14.389634&lt;/D&gt;&lt;D xsi:type="xsd:double"&gt;23.56391&lt;/D&gt;&lt;D xsi:type="xsd:double"&gt;77.79804&lt;/D&gt;&lt;D xsi:type="xsd:double"&gt;65.27472&lt;/D&gt;&lt;D xsi:type="xsd:double"&gt;64.64685&lt;/D&gt;&lt;D xsi:type="xsd:double"&gt;56.119&lt;/D&gt;&lt;D xsi:type="xsd:double"&gt;42.926502&lt;/D&gt;&lt;D xsi:type="xsd:double"&gt;37.55671&lt;/D&gt;&lt;D xsi:type="xsd:double"&gt;42.95324&lt;/D&gt;&lt;D xsi:type="xsd:double"&gt;45.32933&lt;/D&gt;&lt;D xsi:type="xsd:double"&gt;36.21116&lt;/D&gt;&lt;D xsi:type="xsd:double"&gt;19.244492&lt;/D&gt;&lt;D xsi:type="xsd:double"&gt;23.372173&lt;/D&gt;&lt;D xsi:type="xsd:double"&gt;10.667753&lt;/D&gt;&lt;D xsi:type="xsd:double"&gt;15.307629&lt;/D&gt;&lt;D xsi:type="xsd:double"&gt;15.630364&lt;/D&gt;&lt;D xsi:type="xsd:double"&gt;0.051748753&lt;/D&gt;&lt;D xsi:type="xsd:double"&gt;-6.9084764&lt;/D&gt;&lt;D xsi:type="xsd:double"&gt;-3.68523&lt;/D&gt;&lt;D xsi:type="xsd:double"&gt;1.9351125&lt;/D&gt;&lt;D xsi:type="xsd:double"&gt;-8.022672&lt;/D&gt;&lt;D xsi:type="xsd:double"&gt;-13.31194&lt;/D&gt;&lt;D xsi:type="xsd:double"&gt;-8.154928&lt;/D&gt;&lt;D xsi:type="xsd:double"&gt;-5.3189635&lt;/D&gt;&lt;D xsi:type="xsd:double"&gt;-10.497469&lt;/D&gt;&lt;D xsi:type="xsd:double"&gt;-9.596407&lt;/D&gt;&lt;D xsi:type="xsd:double"&gt;-13.616925&lt;/D&gt;&lt;D xsi:type="xsd:double"&gt;-10.608774&lt;/D&gt;&lt;D xsi:type="xsd:double"&gt;1.0617256&lt;/D&gt;&lt;D xsi:type="xsd:double"&gt;11.140907&lt;/D&gt;&lt;D xsi:type="xsd:double"&gt;11.535585&lt;/D&gt;&lt;D xsi:type="xsd:double"&gt;-1.3140142&lt;/D&gt;&lt;D xsi:type="xsd:double"&gt;4.927993&lt;/D&gt;&lt;D xsi:type="xsd:double"&gt;7.716131&lt;/D&gt;&lt;D xsi:type="xsd:double"&gt;5.100608&lt;/D&gt;&lt;D xsi:type="xsd:double"&gt;15.03948&lt;/D&gt;&lt;D xsi:type="xsd:double"&gt;15.809798&lt;/D&gt;&lt;D xsi:type="xsd:double"&gt;26.784111&lt;/D&gt;&lt;D xsi:type="xsd:double"&gt;32.349922&lt;/D&gt;&lt;D xsi:type="xsd:double"&gt;28.10867&lt;/D&gt;&lt;/FQL&gt;&lt;FQL&gt;&lt;Q&gt;DDR3512M-FDS^FG_PRICE_CHANGE(0,-1AM)&lt;/Q&gt;&lt;R&gt;1&lt;/R&gt;&lt;C&gt;1&lt;/C&gt;&lt;D xsi:type="xsd:double"&gt;0.697773044425287&lt;/D&gt;&lt;/FQL&gt;&lt;FQL&gt;&lt;Q&gt;TUR^P_PRICE(0)/P_PRICE_LOW_PR(0,,,,,,"PRICE","INTRA","52W")-1&lt;/Q&gt;&lt;R&gt;1&lt;/R&gt;&lt;C&gt;1&lt;/C&gt;&lt;D xsi:type="xsd:double"&gt;0.36544728&lt;/D&gt;&lt;/FQL&gt;&lt;FQL&gt;&lt;Q&gt;INDA^FG_TOTAL_RETURNC(0,-12AM)&lt;/Q&gt;&lt;R&gt;1&lt;/R&gt;&lt;C&gt;1&lt;/C&gt;&lt;D xsi:type="xsd:double"&gt;28.10867&lt;/D&gt;&lt;/FQL&gt;&lt;FQL&gt;&lt;Q&gt;EWZ^FMA_PCT_ABOVE_MAVG(200,0,,,,"PORTAGG")&lt;/Q&gt;&lt;R&gt;1&lt;/R&gt;&lt;C&gt;1&lt;/C&gt;&lt;D xsi:type="xsd:double"&gt;44&lt;/D&gt;&lt;/FQL&gt;&lt;FQL&gt;&lt;Q&gt;SPY^SIZE(FG_CONSTITUENTS)&lt;/Q&gt;&lt;R&gt;1&lt;/R&gt;&lt;C&gt;1&lt;/C&gt;&lt;D xsi:type="xsd:long"&gt;504&lt;/D&gt;&lt;/FQL&gt;&lt;FQL&gt;&lt;Q&gt;REFPEMPR-FDS^PROPER_NAME(0,,,"SECURITY","NAME")&lt;/Q&gt;&lt;R&gt;1&lt;/R&gt;&lt;C&gt;1&lt;/C&gt;&lt;D xsi:type="xsd:string"&gt;Peru Policy Rate&lt;/D&gt;&lt;/FQL&gt;&lt;FQL&gt;&lt;Q&gt;TRYID10Y-FDS^PCTCHG(FG_YIELD(0,,,,"YTM"),FG_YIELD(-3AM,,,,"YTM"))&lt;/Q&gt;&lt;R&gt;1&lt;/R&gt;&lt;C&gt;1&lt;/C&gt;&lt;D xsi:type="xsd:double"&gt;4.721918&lt;/D&gt;&lt;/FQL&gt;&lt;FQL&gt;&lt;Q&gt;USDTRY^FG_PRICE_CHANGE(0,-3AM)&lt;/Q&gt;&lt;R&gt;1&lt;/R&gt;&lt;C&gt;1&lt;/C&gt;&lt;D xsi:type="xsd:double"&gt;7.845342&lt;/D&gt;&lt;/FQL&gt;&lt;FQL&gt;&lt;Q&gt;EZA^P_PRICE_RETURNS_PR('52W',2,-10AY,0,AM)&lt;/Q&gt;&lt;R&gt;121&lt;/R&gt;&lt;C&gt;1&lt;/C&gt;&lt;D xsi:type="xsd:double"&gt;13.83729&lt;/D&gt;&lt;D xsi:type="xsd:double"&gt;9.890723&lt;/D&gt;&lt;D xsi:type="xsd:double"&gt;21.482431&lt;/D&gt;&lt;D xsi:type="xsd:double"&gt;21.188545&lt;/D&gt;&lt;D xsi:type="xsd:double"&gt;20.58556&lt;/D&gt;&lt;D xsi:type="xsd:double"&gt;3.104496&lt;/D&gt;&lt;D xsi:type="xsd:double"&gt;-2.5298178&lt;/D&gt;&lt;D xsi:type="xsd:double"&gt;10.732424&lt;/D&gt;&lt;D xsi:type="xsd:double"&gt;7.7755213&lt;/D&gt;&lt;D xsi:type="xsd:double"&gt;8.842289&lt;/D&gt;&lt;D xsi:type="xsd:double"&gt;15.486813&lt;/D&gt;&lt;D xsi:type="xsd:double"&gt;6.9740176&lt;/D&gt;&lt;D xsi:type="xsd:double"&gt;6.3197374&lt;/D&gt;&lt;D xsi:type="xsd:double"&gt;2.370727&lt;/D&gt;&lt;D xsi:type="xsd:double"&gt;-5.806679&lt;/D&gt;&lt;D xsi:type="xsd:double"&gt;-3.0081391&lt;/D&gt;&lt;D xsi:type="xsd:double"&gt;-15.466558&lt;/D&gt;&lt;D xsi:type="xsd:double"&gt;-16.128899&lt;/D&gt;&lt;D xsi:type="xsd:double"&gt;-0.54517984&lt;/D&gt;&lt;D xsi:type="xsd:double"&gt;-20.102608&lt;/D&gt;&lt;D xsi:type="xsd:double"&gt;-26.207859&lt;/D&gt;&lt;D xsi:type="xsd:double"&gt;-37.732567&lt;/D&gt;&lt;D xsi:type="xsd:double"&gt;-29.296839&lt;/D&gt;&lt;D xsi:type="xsd:double"&gt;-20.708067&lt;/D&gt;&lt;D xsi:type="xsd:double"&gt;-19.495726&lt;/D&gt;&lt;D xsi:type="xsd:double"&gt;-29.535557&lt;/D&gt;&lt;D xsi:type="xsd:double"&gt;-17.427534&lt;/D&gt;&lt;D xsi:type="xsd:double"&gt;-10.182971&lt;/D&gt;&lt;D xsi:type="xsd:double"&gt;7.4864745&lt;/D&gt;&lt;D xsi:type="xsd:double"&gt;-0.20955205&lt;/D&gt;&lt;D xsi:type="xsd:double"&gt;-7.5742426&lt;/D&gt;&lt;D xsi:type="xsd:double"&gt;-4.36967&lt;/D&gt;&lt;D xsi:type="xsd:double"&gt;10.096275&lt;/D&gt;&lt;D xsi:type="xsd:double"&gt;46.16997&lt;/D&gt;&lt;D xsi:type="xsd:double"&gt;24.725903&lt;/D&gt;&lt;D xsi:type="xsd:double"&gt;20.08196&lt;/D&gt;&lt;D xsi:type="xsd:double"&gt;8.727503&lt;/D&gt;&lt;D xsi:type="xsd:double"&gt;27.65342&lt;/D&gt;&lt;D xsi:type="xsd:double"&gt;19.58282&lt;/D&gt;&lt;D xsi:type="xsd:double"&gt;9.0836525&lt;/D&gt;&lt;D xsi:type="xsd:double"&gt;2.8696656&lt;/D&gt;&lt;D xsi:type="xsd:double"&gt;12.331033&lt;/D&gt;&lt;D xsi:type="xsd:double"&gt;16.608274&lt;/D&gt;&lt;D xsi:type="xsd:double"&gt;26.452303&lt;/D&gt;&lt;D xsi:type="xsd:double"&gt;32.43618&lt;/D&gt;&lt;D xsi:type="xsd:double"&gt;34.221924&lt;/D&gt;&lt;D xsi:type="xsd:double"&gt;33.2062&lt;/D&gt;&lt;D xsi:type="xsd:double"&gt;20.863092&lt;/D&gt;&lt;D xsi:type="xsd:double"&gt;24.202013&lt;/D&gt;&lt;D xsi:type="xsd:double"&gt;9.725534&lt;/D&gt;&lt;D xsi:type="xsd:double"&gt;1.7221808&lt;/D&gt;&lt;D xsi:type="xsd:double"&gt;1.3425231&lt;/D&gt;&lt;D xsi:type="xsd:double"&gt;-9.239078&lt;/D&gt;&lt;D xsi:type="xsd:double"&gt;-11.939549&lt;/D&gt;&lt;D xsi:type="xsd:double"&gt;-18.731285&lt;/D&gt;&lt;D xsi:type="xsd:double"&gt;-9.834475&lt;/D&gt;&lt;D xsi:type="xsd:double"&gt;-21.545584&lt;/D&gt;&lt;D xsi:type="xsd:double"&gt;-21.442253&lt;/D&gt;&lt;D xsi:type="xsd:double"&gt;-27.227842&lt;/D&gt;&lt;D xsi:type="xsd:double"&gt;-21.517187&lt;/D&gt;&lt;D xsi:type="xsd:double"&gt;-13.660359&lt;/D&gt;&lt;D xsi:type="xsd:double"&gt;-14.782649&lt;/D&gt;&lt;D xsi:type="xsd:double"&gt;-1.072973&lt;/D&gt;&lt;D xsi:type="xsd:double"&gt;-1.5584469&lt;/D&gt;&lt;D xsi:type="xsd:double"&gt;-6.640649&lt;/D&gt;&lt;D xsi:type="xsd:double"&gt;4.413247&lt;/D&gt;&lt;D xsi:type="xsd:double"&gt;9.218478&lt;/D&gt;&lt;D xsi:type="xsd:double"&gt;0.64707994&lt;/D&gt;&lt;D xsi:type="xsd:double"&gt;11.313438&lt;/D&gt;&lt;D xsi:type="xsd:double"&gt;-0.8008778&lt;/D&gt;&lt;D xsi:type="xsd:double"&gt;-0.52105784&lt;/D&gt;&lt;D xsi:type="xsd:double"&gt;-44.12172&lt;/D&gt;&lt;D xsi:type="xsd:double"&gt;-41.00855&lt;/D&gt;&lt;D xsi:type="xsd:double"&gt;-30.432266&lt;/D&gt;&lt;D xsi:type="xsd:double"&gt;-27.086401&lt;/D&gt;&lt;D xsi:type="xsd:double"&gt;-20.079262&lt;/D&gt;&lt;D xsi:type="xsd:double"&gt;-9.698402&lt;/D&gt;&lt;D xsi:type="xsd:double"&gt;-17.182367&lt;/D&gt;&lt;D xsi:type="xsd:double"&gt;-15.588724&lt;/D&gt;&lt;D xsi:type="xsd:double"&gt;-7.2457848&lt;/D&gt;&lt;D xsi:type="xsd:double"&gt;-1.7757177&lt;/D&gt;&lt;D xsi:type="xsd:double"&gt;-3.5012484&lt;/D&gt;&lt;D xsi:type="xsd:double"&gt;11.531734&lt;/D&gt;&lt;D xsi:type="xsd:double"&gt;95.115814&lt;/D&gt;&lt;D xsi:type="xsd:double"&gt;86.69832&lt;/D&gt;&lt;D xsi:type="xsd:double"&gt;66.63114&lt;/D&gt;&lt;D xsi:type="xsd:double"&gt;45.837677&lt;/D&gt;&lt;D xsi:type="xsd:double"&gt;30.529749&lt;/D&gt;&lt;D xsi:type="xsd:double"&gt;32.002483&lt;/D&gt;&lt;D xsi:type="xsd:double"&gt;24.622238&lt;/D&gt;&lt;D xsi:type="xsd:double"&gt;36.42775&lt;/D&gt;&lt;D xsi:type="xsd:double"&gt;17.00734&lt;/D&gt;&lt;D xsi:type="xsd:double"&gt;3.8590908&lt;/D&gt;&lt;D xsi:type="xsd:double"&gt;11.78081&lt;/D&gt;&lt;D xsi:type="xsd:double"&gt;9.078968&lt;/D&gt;&lt;D xsi:type="xsd:double"&gt;14.687204&lt;/D&gt;&lt;D xsi:type="xsd:double"&gt;3.2728195&lt;/D&gt;&lt;D xsi:type="xsd:double"&gt;-11.125505&lt;/D&gt;&lt;D xsi:type="xsd:double"&gt;-12.730044&lt;/D&gt;&lt;D xsi:type="xsd:double"&gt;-13.364858&lt;/D&gt;&lt;D xsi:type="xsd:double"&gt;-4.687953&lt;/D&gt;&lt;D xsi:type="xsd:double"&gt;-14.519125&lt;/D&gt;&lt;D xsi:type="xsd:double"&gt;-20.761787&lt;/D&gt;&lt;D xsi:type="xsd:double"&gt;-4.8512936&lt;/D&gt;&lt;D xsi:type="xsd:double"&gt;-6.99479&lt;/D&gt;&lt;D xsi:type="xsd:double"&gt;-1.4793217&lt;/D&gt;&lt;D xsi:type="xsd:double"&gt;-15.999424&lt;/D&gt;&lt;D xsi:type="xsd:double"&gt;-25.604027&lt;/D&gt;&lt;D xsi:type="xsd:double"&gt;-14.8287115&lt;/D&gt;&lt;D xsi:type="xsd:double"&gt;-10.609168&lt;/D&gt;&lt;D xsi:type="xsd:double"&gt;3.3140898&lt;/D&gt;&lt;D xsi:type="xsd:double"&gt;10.295367&lt;/D&gt;&lt;D xsi:type="xsd:double"&gt;-8.23716&lt;/D&gt;&lt;D xsi:type="xsd:double"&gt;2.5935411&lt;/D&gt;&lt;D xsi:type="xsd:double"&gt;3.8911104&lt;/D&gt;&lt;D xsi:type="xsd:double"&gt;-4.279709&lt;/D&gt;&lt;D xsi:type="xsd:double"&gt;0.88995695&lt;/D&gt;&lt;D xsi:type="xsd:double"&gt;-14.662009&lt;/D&gt;&lt;D xsi:type="xsd:double"&gt;-7.369775&lt;/D&gt;&lt;D xsi:type="xsd:double"&gt;-1.3317645&lt;/D&gt;&lt;D xsi:type="xsd:double"&gt;-9.068495&lt;/D&gt;&lt;/FQL&gt;&lt;FQL&gt;&lt;Q&gt;EWT^FMA_DIV_YLD(NTMA,-10AY,0,AM,"PORTAGG","MEANR")&lt;/Q&gt;&lt;R&gt;121&lt;/R&gt;&lt;C&gt;1&lt;/C&gt;&lt;D xsi:type="xsd:double"&gt;3.23535671891425&lt;/D&gt;&lt;D xsi:type="xsd:double"&gt;3.27451037350381&lt;/D&gt;&lt;D xsi:type="xsd:double"&gt;3.16071324392421&lt;/D&gt;&lt;D xsi:type="xsd:double"&gt;3.15631724494546&lt;/D&gt;&lt;D xsi:type="xsd:double"&gt;3.30047071477231&lt;/D&gt;&lt;D xsi:type="xsd:double"&gt;3.32060212163889&lt;/D&gt;&lt;D xsi:type="xsd:double"&gt;3.68277485349182&lt;/D&gt;&lt;D xsi:type="xsd:double"&gt;3.48731214798023&lt;/D&gt;&lt;D xsi:type="xsd:double"&gt;3.53519511183116&lt;/D&gt;&lt;D xsi:type="xsd:double"&gt;3.54842433282164&lt;/D&gt;&lt;D xsi:type="xsd:double"&gt;3.40943912321507&lt;/D&gt;&lt;D xsi:type="xsd:double"&gt;3.42879923556543&lt;/D&gt;&lt;D xsi:type="xsd:double"&gt;3.60760214710347&lt;/D&gt;&lt;D xsi:type="xsd:double"&gt;3.72329145904098&lt;/D&gt;&lt;D xsi:type="xsd:double"&gt;3.88309575177356&lt;/D&gt;&lt;D xsi:type="xsd:double"&gt;4.00782296413407&lt;/D&gt;&lt;D xsi:type="xsd:double"&gt;4.35871074185123&lt;/D&gt;&lt;D xsi:type="xsd:double"&gt;4.20553658085194&lt;/D&gt;&lt;D xsi:type="xsd:double"&gt;4.11794385350482&lt;/D&gt;&lt;D xsi:type="xsd:double"&gt;4.22392187497085&lt;/D&gt;&lt;D xsi:type="xsd:double"&gt;4.23348815591709&lt;/D&gt;&lt;D xsi:type="xsd:double"&gt;4.61372359480547&lt;/D&gt;&lt;D xsi:type="xsd:double"&gt;4.31588190866916&lt;/D&gt;&lt;D xsi:type="xsd:double"&gt;4.06629356058917&lt;/D&gt;&lt;D xsi:type="xsd:double"&gt;4.25760945795863&lt;/D&gt;&lt;D xsi:type="xsd:double"&gt;4.52746704517073&lt;/D&gt;&lt;D xsi:type="xsd:double"&gt;4.22534343262884&lt;/D&gt;&lt;D xsi:type="xsd:double"&gt;4.05815469445012&lt;/D&gt;&lt;D xsi:type="xsd:double"&gt;4.03248409868609&lt;/D&gt;&lt;D xsi:type="xsd:double"&gt;4.19155473854849&lt;/D&gt;&lt;D xsi:type="xsd:double"&gt;4.01833718916815&lt;/D&gt;&lt;D xsi:type="xsd:double"&gt;4.23292194140792&lt;/D&gt;&lt;D xsi:type="xsd:double"&gt;4.14792243247906&lt;/D&gt;&lt;D xsi:type="xsd:double"&gt;4.2154648548181&lt;/D&gt;&lt;D xsi:type="xsd:double"&gt;4.0709110149792&lt;/D&gt;&lt;D xsi:type="xsd:double"&gt;4.081339718058&lt;/D&gt;&lt;D xsi:type="xsd:double"&gt;4.1529720643554&lt;/D&gt;&lt;D xsi:type="xsd:double"&gt;4.08829912492716&lt;/D&gt;&lt;D xsi:type="xsd:double"&gt;4.04703869152097&lt;/D&gt;&lt;D xsi:type="xsd:double"&gt;3.96136107227477&lt;/D&gt;&lt;D xsi:type="xsd:double"&gt;4.04693256016275&lt;/D&gt;&lt;D xsi:type="xsd:double"&gt;4.02537765881708&lt;/D&gt;&lt;D xsi:type="xsd:double"&gt;4.00594581193904&lt;/D&gt;&lt;D xsi:type="xsd:double"&gt;4.05183231669755&lt;/D&gt;&lt;D xsi:type="xsd:double"&gt;4.20337923400379&lt;/D&gt;&lt;D xsi:type="xsd:double"&gt;4.07786488003002&lt;/D&gt;&lt;D xsi:type="xsd:double"&gt;4.31142778466364&lt;/D&gt;&lt;D xsi:type="xsd:double"&gt;4.10588545072384&lt;/D&gt;&lt;D xsi:type="xsd:double"&gt;4.22316179657923&lt;/D&gt;&lt;D xsi:type="xsd:double"&gt;4.3557095784788&lt;/D&gt;&lt;D xsi:type="xsd:double"&gt;4.30675901065418&lt;/D&gt;&lt;D xsi:type="xsd:double"&gt;4.45024982153963&lt;/D&gt;&lt;D xsi:type="xsd:double"&gt;4.49279565856616&lt;/D&gt;&lt;D xsi:type="xsd:double"&gt;4.4907599788004&lt;/D&gt;&lt;D xsi:type="xsd:double"&gt;4.94763968299595&lt;/D&gt;&lt;D xsi:type="xsd:double"&gt;4.87095826999278&lt;/D&gt;&lt;D xsi:type="xsd:double"&gt;4.93254499601699&lt;/D&gt;&lt;D xsi:type="xsd:double"&gt;4.73446759034622&lt;/D&gt;&lt;D xsi:type="xsd:double"&gt;4.56685304605726&lt;/D&gt;&lt;D xsi:type="xsd:double"&gt;4.34541939424406&lt;/D&gt;&lt;D xsi:type="xsd:double"&gt;4.20250288498874&lt;/D&gt;&lt;D xsi:type="xsd:double"&gt;4.49311057374745&lt;/D&gt;&lt;D xsi:type="xsd:double"&gt;4.44785533553737&lt;/D&gt;&lt;D xsi:type="xsd:double"&gt;4.30909768663458&lt;/D&gt;&lt;D xsi:type="xsd:double"&gt;4.47766287434203&lt;/D&gt;&lt;D xsi:type="xsd:double"&gt;4.20292525515835&lt;/D&gt;&lt;D xsi:type="xsd:double"&gt;4.19435890713666&lt;/D&gt;&lt;D xsi:type="xsd:double"&gt;4.0381935125197&lt;/D&gt;&lt;D xsi:type="xsd:double"&gt;3.91750745899482&lt;/D&gt;&lt;D xsi:type="xsd:double"&gt;3.97811883572267&lt;/D&gt;&lt;D xsi:type="xsd:double"&gt;4.10762551163066&lt;/D&gt;&lt;D xsi:type="xsd:double"&gt;5.083121756737&lt;/D&gt;&lt;D xsi:type="xsd:double"&gt;4.2374837419614&lt;/D&gt;&lt;D xsi:type="xsd:double"&gt;4.18296506962022&lt;/D&gt;&lt;D xsi:type="xsd:double"&gt;3.92364444773871&lt;/D&gt;&lt;D xsi:type="xsd:double"&gt;3.72937629538242&lt;/D&gt;&lt;D xsi:type="xsd:double"&gt;3.66365125631038&lt;/D&gt;&lt;D xsi:type="xsd:double"&gt;3.81245926030082&lt;/D&gt;&lt;D xsi:type="xsd:double"&gt;3.87100894232197&lt;/D&gt;&lt;D xsi:type="xsd:double"&gt;3.7281692216751&lt;/D&gt;&lt;D xsi:type="xsd:double"&gt;3.69912899158533&lt;/D&gt;&lt;D xsi:type="xsd:double"&gt;3.44840294164254&lt;/D&gt;&lt;D xsi:type="xsd:double"&gt;3.44336175742534&lt;/D&gt;&lt;D xsi:type="xsd:double"&gt;3.61269052654619&lt;/D&gt;&lt;D xsi:type="xsd:double"&gt;3.60967635621863&lt;/D&gt;&lt;D xsi:type="xsd:double"&gt;4.21978733385281&lt;/D&gt;&lt;D xsi:type="xsd:double"&gt;4.02674134222847&lt;/D&gt;&lt;D xsi:type="xsd:double"&gt;4.00975075136914&lt;/D&gt;&lt;D xsi:type="xsd:double"&gt;4.36589813847026&lt;/D&gt;&lt;D xsi:type="xsd:double"&gt;4.27789283235531&lt;/D&gt;&lt;D xsi:type="xsd:double"&gt;4.48676983244615&lt;/D&gt;&lt;D xsi:type="xsd:double"&gt;4.20111064283192&lt;/D&gt;&lt;D xsi:type="xsd:double"&gt;4.20476559602819&lt;/D&gt;&lt;D xsi:type="xsd:double"&gt;4.17978214517006&lt;/D&gt;&lt;D xsi:type="xsd:double"&gt;4.2874355332419&lt;/D&gt;&lt;D xsi:type="xsd:double"&gt;4.52539191519316&lt;/D&gt;&lt;D xsi:type="xsd:double"&gt;4.70114028809246&lt;/D&gt;&lt;D xsi:type="xsd:double"&gt;4.81006370384278&lt;/D&gt;&lt;D xsi:type="xsd:double"&gt;4.96151960969603&lt;/D&gt;&lt;D xsi:type="xsd:double"&gt;5.22354447378143&lt;/D&gt;&lt;D xsi:type="xsd:double"&gt;4.88442373559709&lt;/D&gt;&lt;D xsi:type="xsd:double"&gt;5.06527262631912&lt;/D&gt;&lt;D xsi:type="xsd:double"&gt;5.36930201289055&lt;/D&gt;&lt;D xsi:type="xsd:double"&gt;4.49560048463471&lt;/D&gt;&lt;D xsi:type="xsd:double"&gt;4.44528937884041&lt;/D&gt;&lt;D xsi:type="xsd:double"&gt;4.22167481325137&lt;/D&gt;&lt;D xsi:type="xsd:double"&gt;4.01783462636025&lt;/D&gt;&lt;D xsi:type="xsd:double"&gt;3.98843856871009&lt;/D&gt;&lt;D xsi:type="xsd:double"&gt;3.8652823684919&lt;/D&gt;&lt;D xsi:type="xsd:double"&gt;3.67395558551259&lt;/D&gt;&lt;D xsi:type="xsd:double"&gt;3.43849351214339&lt;/D&gt;&lt;D xsi:type="xsd:double"&gt;3.4004948300606&lt;/D&gt;&lt;D xsi:type="xsd:double"&gt;3.63153572858503&lt;/D&gt;&lt;D xsi:type="xsd:double"&gt;3.59259455505607&lt;/D&gt;&lt;D xsi:type="xsd:double"&gt;3.61948805099703&lt;/D&gt;&lt;D xsi:type="xsd:double"&gt;3.46722397965295&lt;/D&gt;&lt;D xsi:type="xsd:double"&gt;3.36526176793204&lt;/D&gt;&lt;D xsi:type="xsd:double"&gt;3.49005839398735&lt;/D&gt;&lt;D xsi:type="xsd:double"&gt;3.31291491704882&lt;/D&gt;&lt;D xsi:type="xsd:double"&gt;3.13491393919214&lt;/D&gt;&lt;D xsi:type="xsd:double"&gt;3.11691033810349&lt;/D&gt;&lt;/FQL&gt;&lt;FQL&gt;&lt;Q&gt;W-FDS^FG_PRICE_CHANGE(0,-3AM)&lt;/Q&gt;&lt;R&gt;1&lt;/R&gt;&lt;C&gt;1&lt;/C&gt;&lt;D xsi:type="xsd:double"&gt;-8.32621690862512&lt;/D&gt;&lt;/FQL&gt;&lt;FQL&gt;&lt;Q&gt;VNM^FG_PRICE_MAVG(0,,,,30)&lt;/Q&gt;&lt;R&gt;1&lt;/R&gt;&lt;C&gt;1&lt;/C&gt;&lt;D xsi:type="xsd:double"&gt;13.36&lt;/D&gt;&lt;/FQL&gt;&lt;FQL&gt;&lt;Q&gt;EWZ^FG_PRICE_MAVG(0,,,,60)&lt;/Q&gt;&lt;R&gt;1&lt;/R&gt;&lt;C&gt;1&lt;/C&gt;&lt;D xsi:type="xsd:double"&gt;32.5575&lt;/D&gt;&lt;/FQL&gt;&lt;FQL&gt;&lt;Q&gt;ECH^FG_PRICE_MAVG(0,,,,200)&lt;/Q&gt;&lt;R&gt;1&lt;/R&gt;&lt;C&gt;1&lt;/C&gt;&lt;D xsi:type="xsd:double"&gt;26.90427&lt;/D&gt;&lt;/FQL&gt;&lt;FQL&gt;&lt;Q&gt;EWM^PERCENT_CHANGE(FMA_EPS(+1,0,,,,"PORTAGG","MEAN"),FMA_EPS(+1,-3AM,,,,"PORTAGG","MEAN"))&lt;/Q&gt;&lt;R&gt;1&lt;/R&gt;&lt;C&gt;1&lt;/C&gt;&lt;D xsi:type="xsd:double"&gt;-0.801303558274609&lt;/D&gt;&lt;/FQL&gt;&lt;FQL&gt;&lt;Q&gt;EPHE^FMA_PCT_ABOVE_MAVG(200,0,,,,"PORTAGG")&lt;/Q&gt;&lt;R&gt;1&lt;/R&gt;&lt;C&gt;1&lt;/C&gt;&lt;D xsi:type="xsd:double"&gt;37.1428571428571&lt;/D&gt;&lt;/FQL&gt;&lt;FQL&gt;&lt;Q&gt;SPY^FG_TOTAL_RETURNC(0,-3AM)&lt;/Q&gt;&lt;R&gt;1&lt;/R&gt;&lt;C&gt;1&lt;/C&gt;&lt;D xsi:type="xsd:double"&gt;5.161214&lt;/D&gt;&lt;/FQL&gt;&lt;FQL&gt;&lt;Q&gt;QAT^FMA_COS_DOWN("EPS","1M",+1,NOW,,,"PORTAGG","MEANR")&lt;/Q&gt;&lt;R&gt;1&lt;/R&gt;&lt;C&gt;1&lt;/C&gt;&lt;D xsi:type="xsd:double"&gt;5&lt;/D&gt;&lt;/FQL&gt;&lt;FQL&gt;&lt;Q&gt;EWT^FMA_COS_DOWN("EPS","1M",+1,NOW,,,"PORTAGG","MEANR")&lt;/Q&gt;&lt;R&gt;1&lt;/R&gt;&lt;C&gt;1&lt;/C&gt;&lt;D xsi:type="xsd:double"&gt;37&lt;/D&gt;&lt;/FQL&gt;&lt;FQL&gt;&lt;Q&gt;MCHI^FMA_RBICS_REV_CURRENT(30, LOC, "PORTAGG")&lt;/Q&gt;&lt;R&gt;1&lt;/R&gt;&lt;C&gt;1&lt;/C&gt;&lt;D xsi:type="xsd:double"&gt;23.3465581141153&lt;/D&gt;&lt;/FQL&gt;&lt;FQL&gt;&lt;Q&gt;EWZ^FG_ROE(0)&lt;/Q&gt;&lt;R&gt;1&lt;/R&gt;&lt;C&gt;1&lt;/C&gt;&lt;D xsi:type="xsd:double"&gt;19.7855746112543&lt;/D&gt;&lt;/FQL&gt;&lt;FQL&gt;&lt;Q&gt;REFPL7D-FDS^(SUBARRAY(NOT_NA(NO_REPEAT_F(FG_YIELD(NOW,-10AY,D))),0,1)-SUBARRAY(NOT_NA(NO_REPEAT_F(FG_YIELD(NOW,-10AY,D))),1,1))*100&lt;/Q&gt;&lt;R&gt;1&lt;/R&gt;&lt;C&gt;1&lt;/C&gt;&lt;D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xsi:type="xsd:double"&gt;-25&lt;/D&gt;&lt;/FQL&gt;&lt;FQL&gt;&lt;Q&gt;CC_SA^IMF_IFS_RCPI_Q(0)&lt;/Q&gt;&lt;R&gt;0&lt;/R&gt;&lt;C&gt;0&lt;/C&gt;&lt;/FQL&gt;&lt;FQL&gt;&lt;Q&gt;VWO^FG_FCF_YIELD_NTM(0)&lt;/Q&gt;&lt;R&gt;1&lt;/R&gt;&lt;C&gt;1&lt;/C&gt;&lt;D xsi:type="xsd:double"&gt;4.90642076521817&lt;/D&gt;&lt;/FQL&gt;&lt;FQL&gt;&lt;Q&gt;QAT^FMA_EVAL_EBIT(LTMA,NOW,NOW,M,"PORTAGG","MEANR")&lt;/Q&gt;&lt;R&gt;1&lt;/R&gt;&lt;C&gt;1&lt;/C&gt;&lt;D xsi:type="xsd:double"&gt;15.6127770285343&lt;/D&gt;&lt;/FQL&gt;&lt;FQL&gt;&lt;Q&gt;EWY^FMA_DIV_YLD(NTMA,NOW,NOW,M,"PORTAGG","MEANR")&lt;/Q&gt;&lt;R&gt;1&lt;/R&gt;&lt;C&gt;1&lt;/C&gt;&lt;D xsi:type="xsd:double"&gt;2.15927431751681&lt;/D&gt;&lt;/FQL&gt;&lt;FQL&gt;&lt;Q&gt;ECH^FG_COMPANY_NAME&lt;/Q&gt;&lt;R&gt;1&lt;/R&gt;&lt;C&gt;1&lt;/C&gt;&lt;D xsi:type="xsd:string"&gt;iShares MSCI Chile ETF&lt;/D&gt;&lt;/FQL&gt;&lt;FQL&gt;&lt;Q&gt;USDPHP^FG_PRICE_CHANGE(0,-6AM)&lt;/Q&gt;&lt;R&gt;1&lt;/R&gt;&lt;C&gt;1&lt;/C&gt;&lt;D xsi:type="xsd:double"&gt;0.8296609&lt;/D&gt;&lt;/FQL&gt;&lt;FQL&gt;&lt;Q&gt;DDR3512M-FDS^FG_PRICE_MAVG(0,,,,30)&lt;/Q&gt;&lt;R&gt;1&lt;/R&gt;&lt;C&gt;1&lt;/C&gt;&lt;D xsi:type="xsd:double"&gt;0.9640818&lt;/D&gt;&lt;/FQL&gt;&lt;FQL&gt;&lt;Q&gt;BRENT-FDS^FG_PRICE(0)/MAX(FG_PRICE(0,-1AY))&lt;/Q&gt;&lt;R&gt;1&lt;/R&gt;&lt;C&gt;1&lt;/C&gt;&lt;D xsi:type="xsd:double"&gt;0.870614479821537&lt;/D&gt;&lt;/FQL&gt;&lt;FQL&gt;&lt;Q&gt;ECH^FG_PRICE_MAVG(0,,,,60)&lt;/Q&gt;&lt;R&gt;1&lt;/R&gt;&lt;C&gt;1&lt;/C&gt;&lt;D xsi:type="xsd:double"&gt;26.037333&lt;/D&gt;&lt;/FQL&gt;&lt;FQL&gt;&lt;Q&gt;TUR^P_PRICE(0)/P_PRICE_HIGH_PR(0,,,,,,"PRICE","INTRA","52W")&lt;/Q&gt;&lt;R&gt;1&lt;/R&gt;&lt;C&gt;1&lt;/C&gt;&lt;D xsi:type="xsd:double"&gt;0.9481892&lt;/D&gt;&lt;/FQL&gt;&lt;FQL&gt;&lt;Q&gt;INDA^P_PRICE(0)/P_PRICE_LOW_PR(0,,,,,,"PRICE","INTRA","52W")-1&lt;/Q&gt;&lt;R&gt;1&lt;/R&gt;&lt;C&gt;1&lt;/C&gt;&lt;D xsi:type="xsd:double"&gt;0.28802013&lt;/D&gt;&lt;/FQL&gt;&lt;FQL&gt;&lt;Q&gt;EWY^FG_TOTAL_RETURNC(0,-12AM)&lt;/Q&gt;&lt;R&gt;1&lt;/R&gt;&lt;C&gt;1&lt;/C&gt;&lt;D xsi:type="xsd:double"&gt;0.70905685&lt;/D&gt;&lt;/FQL&gt;&lt;FQL&gt;&lt;Q&gt;EWM^PERCENT_CHANGE(FMA_EPS(+1,0,,,,"PORTAGG","MEAN"),FMA_EPS(+1,-1AM,,,,"PORTAGG","MEAN"))&lt;/Q&gt;&lt;R&gt;1&lt;/R&gt;&lt;C&gt;1&lt;/C&gt;&lt;D xsi:type="xsd:double"&gt;-1.7753927882286&lt;/D&gt;&lt;/FQL&gt;&lt;FQL&gt;&lt;Q&gt;DUMMY^ECON_DATE(45279,,, 'MM/YYYY')&lt;/Q&gt;&lt;R&gt;1&lt;/R&gt;&lt;C&gt;1&lt;/C&gt;&lt;D xsi:type="xsd:string"&gt;12/2023&lt;/D&gt;&lt;/FQL&gt;&lt;FQL&gt;&lt;Q&gt;DUMMY^ECON_DATE(45370,,, 'MM/YYYY')&lt;/Q&gt;&lt;R&gt;1&lt;/R&gt;&lt;C&gt;1&lt;/C&gt;&lt;D xsi:type="xsd:string"&gt;03/2024&lt;/D&gt;&lt;/FQL&gt;&lt;FQL&gt;&lt;Q&gt;CC_US^IMF_IFS_RCPI_Q(-1AM)&lt;/Q&gt;&lt;R&gt;1&lt;/R&gt;&lt;C&gt;1&lt;/C&gt;&lt;D xsi:type="xsd:double"&gt;3.2433991&lt;/D&gt;&lt;/FQL&gt;&lt;FQL&gt;&lt;Q&gt;CC_CN^IMF_IFS_RCPI_Q(-1AM)&lt;/Q&gt;&lt;R&gt;1&lt;/R&gt;&lt;C&gt;1&lt;/C&gt;&lt;D xsi:type="xsd:double"&gt;-0.322581&lt;/D&gt;&lt;/FQL&gt;&lt;FQL&gt;&lt;Q&gt;CC_CL^IMF_IFS_RCPI_Q(-1AM)&lt;/Q&gt;&lt;R&gt;1&lt;/R&gt;&lt;C&gt;1&lt;/C&gt;&lt;D xsi:type="xsd:double"&gt;4.586063&lt;/D&gt;&lt;/FQL&gt;&lt;FQL&gt;&lt;Q&gt;CC_ID^IMF_IFS_RCPI_Q(-1AM)&lt;/Q&gt;&lt;R&gt;1&lt;/R&gt;&lt;C&gt;1&lt;/C&gt;&lt;D xsi:type="xsd:double"&gt;2.681245&lt;/D&gt;&lt;/FQL&gt;&lt;FQL&gt;&lt;Q&gt;CC_PH^IMF_IFS_RCPI_Q(-1AM)&lt;/Q&gt;&lt;R&gt;1&lt;/R&gt;&lt;C&gt;1&lt;/C&gt;&lt;D xsi:type="xsd:double"&gt;4.322206&lt;/D&gt;&lt;/FQL&gt;&lt;FQL&gt;&lt;Q&gt;CC_PL^IMF_IFS_RCPI_Q(-1AM)&lt;/Q&gt;&lt;R&gt;1&lt;/R&gt;&lt;C&gt;1&lt;/C&gt;&lt;D xsi:type="xsd:double"&gt;6.202308&lt;/D&gt;&lt;/FQL&gt;&lt;FQL&gt;&lt;Q&gt;CC_PE^IMF_IFS_RCPI_Q(-1AM)&lt;/Q&gt;&lt;R&gt;1&lt;/R&gt;&lt;C&gt;1&lt;/C&gt;&lt;D xsi:type="xsd:double"&gt;3.9030175&lt;/D&gt;&lt;/FQL&gt;&lt;FQL&gt;&lt;Q&gt;CC_MY^IMF_IFS_RCPI_Q(-1AM)&lt;/Q&gt;&lt;R&gt;1&lt;/R&gt;&lt;C&gt;1&lt;/C&gt;&lt;D xsi:type="xsd:double"&gt;1.6028895&lt;/D&gt;&lt;/FQL&gt;&lt;FQL&gt;&lt;Q&gt;CC_TW^IMF_IFS_RCPI_Q(-1AM)&lt;/Q&gt;&lt;R&gt;0&lt;/R&gt;&lt;C&gt;0&lt;/C&gt;&lt;/FQL&gt;&lt;FQL&gt;&lt;Q&gt;CC_MX^IMF_IFS_RCPI_Q(-1AM)&lt;/Q&gt;&lt;R&gt;1&lt;/R&gt;&lt;C&gt;1&lt;/C&gt;&lt;D xsi:type="xsd:double"&gt;4.4145546&lt;/D&gt;&lt;/FQL&gt;&lt;FQL&gt;&lt;Q&gt;CC_KR^IMF_IFS_RCPI_Q(-1AM)&lt;/Q&gt;&lt;R&gt;1&lt;/R&gt;&lt;C&gt;1&lt;/C&gt;&lt;D xsi:type="xsd:double"&gt;3.404687&lt;/D&gt;&lt;/FQL&gt;&lt;FQL&gt;&lt;Q&gt;CC_BR^IMF_IFS_RCPI_Q(-1AM)&lt;/Q&gt;&lt;R&gt;1&lt;/R&gt;&lt;C&gt;1&lt;/C&gt;&lt;D xsi:type="xsd:double"&gt;4.7076507&lt;/D&gt;&lt;/FQL&gt;&lt;FQL&gt;&lt;Q&gt;CC_ZA^IMF_IFS_RCPI_Q(-1AM)&lt;/Q&gt;&lt;R&gt;1&lt;/R&gt;&lt;C&gt;1&lt;/C&gt;&lt;D xsi:type="xsd:double"&gt;5.633361&lt;/D&gt;&lt;/FQL&gt;&lt;FQL&gt;&lt;Q&gt;CC_GR^IMF_IFS_RCPI_Q(-1AM)&lt;/Q&gt;&lt;R&gt;1&lt;/R&gt;&lt;C&gt;1&lt;/C&gt;&lt;D xsi:type="xsd:double"&gt;3.309465&lt;/D&gt;&lt;/FQL&gt;&lt;FQL&gt;&lt;Q&gt;CC_IN^IMF_IFS_RCPI_Q(-1AM)&lt;/Q&gt;&lt;R&gt;1&lt;/R&gt;&lt;C&gt;1&lt;/C&gt;&lt;D xsi:type="xsd:double"&gt;5.3696327&lt;/D&gt;&lt;/FQL&gt;&lt;FQL&gt;&lt;Q&gt;CC_QA^IMF_IFS_RCPI_Q(-1AM)&lt;/Q&gt;&lt;R&gt;0&lt;/R&gt;&lt;C&gt;0&lt;/C&gt;&lt;/FQL&gt;&lt;FQL&gt;&lt;Q&gt;CC_TH^IMF_IFS_RCPI_Q(-1AM)&lt;/Q&gt;&lt;R&gt;0&lt;/R&gt;&lt;C&gt;0&lt;/C&gt;&lt;/FQL&gt;&lt;FQL&gt;&lt;Q&gt;CC_TR^IMF_IFS_RCPI_Q(-1AM)&lt;/Q&gt;&lt;R&gt;1&lt;/R&gt;&lt;C&gt;1&lt;/C&gt;&lt;D xsi:type="xsd:double"&gt;62.72422&lt;/D&gt;&lt;/FQL&gt;&lt;FQL&gt;&lt;Q&gt;CC_AE^IMF_IFS_RCPI_Q(-1AM)&lt;/Q&gt;&lt;R&gt;0&lt;/R&gt;&lt;C&gt;0&lt;/C&gt;&lt;/FQL&gt;&lt;FQL&gt;&lt;Q&gt;CC_VN^IMF_IFS_RCPI_Q(-1AM)&lt;/Q&gt;&lt;R&gt;1&lt;/R&gt;&lt;C&gt;1&lt;/C&gt;&lt;D xsi:type="xsd:double"&gt;3.5401578&lt;/D&gt;&lt;/FQL&gt;&lt;FQL&gt;&lt;Q&gt;CC_SA^IMF_IFS_RCPI_Q(-1AM)&lt;/Q&gt;&lt;R&gt;1&lt;/R&gt;&lt;C&gt;1&lt;/C&gt;&lt;D xsi:type="xsd:double"&gt;1.5943921&lt;/D&gt;&lt;/FQL&gt;&lt;FQL&gt;&lt;Q&gt;DUMMY^ECON_EXPR_DATA('FDS_ECON[NTCPMIMFGSA@CN]',03/2024,,Q)&lt;/Q&gt;&lt;R&gt;1&lt;/R&gt;&lt;C&gt;1&lt;/C&gt;&lt;D xsi:type="xsd:double"&gt;50.938282&lt;/D&gt;&lt;/FQL&gt;&lt;FQL&gt;&lt;Q&gt;DUMMY^ECON_EXPR_DATA('FDS_ECON[NTCPMIMFGSA@CN]',12/2023,,Q)&lt;/Q&gt;&lt;R&gt;1&lt;/R&gt;&lt;C&gt;1&lt;/C&gt;&lt;D xsi:type="xsd:double"&gt;50.34384&lt;/D&gt;&lt;/FQL&gt;&lt;FQL&gt;&lt;Q&gt;DUMMY^ECON_EXPR_DATA('FDS_ECON[NTCPMIMFGSA@CL]',03/2024,,Q)&lt;/Q&gt;&lt;R&gt;0&lt;/R&gt;&lt;C&gt;0&lt;/C&gt;&lt;/FQL&gt;&lt;FQL&gt;&lt;Q&gt;DUMMY^ECON_EXPR_DATA('FDS_ECON[NTCPMIMFGSA@CL]',12/2023,,Q)&lt;/Q&gt;&lt;R&gt;0&lt;/R&gt;&lt;C&gt;0&lt;/C&gt;&lt;/FQL&gt;&lt;FQL&gt;&lt;Q&gt;DUMMY^ECON_EXPR_DATA('FDS_ECON[NTCPMIMFGSA@ID]',03/2024,,Q)&lt;/Q&gt;&lt;R&gt;1&lt;/R&gt;&lt;C&gt;1&lt;/C&gt;&lt;D xsi:type="xsd:double"&gt;53.247562&lt;/D&gt;&lt;/FQL&gt;&lt;FQL&gt;&lt;Q&gt;DUMMY^ECON_EXPR_DATA('FDS_ECON[NTCPMIMFGSA@ID]',12/2023,,Q)&lt;/Q&gt;&lt;R&gt;1&lt;/R&gt;&lt;C&gt;1&lt;/C&gt;&lt;D xsi:type="xsd:double"&gt;51.828487&lt;/D&gt;&lt;/FQL&gt;&lt;FQL&gt;&lt;Q&gt;DUMMY^ECON_EXPR_DATA('FDS_ECON[NTCPMIPHMANHE]',03/2024,,Q)&lt;/Q&gt;&lt;R&gt;0&lt;/R&gt;&lt;C&gt;0&lt;/C&gt;&lt;/FQL&gt;&lt;FQL&gt;&lt;Q&gt;DUMMY^ECON_EXPR_DATA('FDS_ECON[NTCPMIPHMANHE]',12/2023,,Q)&lt;/Q&gt;&lt;R&gt;1&lt;/R&gt;&lt;C&gt;1&lt;/C&gt;&lt;D xsi:type="xsd:double"&gt;52.222515&lt;/D&gt;&lt;/FQL&gt;&lt;FQL&gt;&lt;Q&gt;DUMMY^ECON_EXPR_DATA('FDS_ECON[NTCPMIMFGSA@PL]',03/2024,,Q)&lt;/Q&gt;&lt;R&gt;1&lt;/R&gt;&lt;C&gt;1&lt;/C&gt;&lt;D xsi:type="xsd:double"&gt;47.64948&lt;/D&gt;&lt;/FQL&gt;&lt;FQL&gt;&lt;Q&gt;DUMMY^ECON_EXPR_DATA('FDS_ECON[NTCPMIMFGSA@PL]',12/2023,,Q)&lt;/Q&gt;&lt;R&gt;1&lt;/R&gt;&lt;C&gt;1&lt;/C&gt;&lt;D xsi:type="xsd:double"&gt;46.884846&lt;/D&gt;&lt;/FQL&gt;&lt;FQL&gt;&lt;Q&gt;DUMMY^ECON_EXPR_DATA('FDS_ECON[NTCPMIMFGSA@PE]',03/2024,,Q)&lt;/Q&gt;&lt;R&gt;0&lt;/R&gt;&lt;C&gt;0&lt;/C&gt;&lt;/FQL&gt;&lt;FQL&gt;&lt;Q&gt;DUMMY^ECON_EXPR_DATA('FDS_ECON[NTCPMIMFGSA@PE]',12/2023,,Q)&lt;/Q&gt;&lt;R&gt;0&lt;/R&gt;&lt;C&gt;0&lt;/C&gt;&lt;/FQL&gt;&lt;FQL&gt;&lt;Q&gt;DUMMY^ECON_EXPR_DATA('FDS_ECON[PMIMYMANHE]',03/2024,,Q)&lt;/Q&gt;&lt;R&gt;1&lt;/R&gt;&lt;C&gt;1&lt;/C&gt;&lt;D xsi:type="xsd:double"&gt;48.949593&lt;/D&gt;&lt;/FQL&gt;&lt;FQL&gt;&lt;Q&gt;DUMMY^ECON_EXPR_DATA('FDS_ECON[PMIMYMANHE]',12/2023,,Q)&lt;/Q&gt;&lt;R&gt;1&lt;/R&gt;&lt;C&gt;1&lt;/C&gt;&lt;D xsi:type="xsd:double"&gt;47.499214&lt;/D&gt;&lt;/FQL&gt;&lt;FQL&gt;&lt;Q&gt;DUMMY^ECON_EXPR_DATA('FDS_ECON[NTCPMIMFGSA@TW]',03/2024,,Q)&lt;/Q&gt;&lt;R&gt;1&lt;/R&gt;&lt;C&gt;1&lt;/C&gt;&lt;D xsi:type="xsd:double"&gt;48.897906999999996&lt;/D&gt;&lt;/FQL&gt;&lt;FQL&gt;&lt;Q&gt;DUMMY^ECON_EXPR_DATA('FDS_ECON[NTCPMIMFGSA@TW]',12/2023,,Q)&lt;/Q&gt;&lt;R&gt;1&lt;/R&gt;&lt;C&gt;1&lt;/C&gt;&lt;D xsi:type="xsd:double"&gt;47.63588&lt;/D&gt;&lt;/FQL&gt;&lt;FQL&gt;&lt;Q&gt;DUMMY^ECON_EXPR_DATA('FDS_ECON[NTCPMIMFGSA@MX]',03/2024,,Q)&lt;/Q&gt;&lt;R&gt;1&lt;/R&gt;&lt;C&gt;1&lt;/C&gt;&lt;D xsi:type="xsd:double"&gt;51.565502&lt;/D&gt;&lt;/FQL&gt;&lt;FQL&gt;&lt;Q&gt;DUMMY^ECON_EXPR_DATA('FDS_ECON[NTCPMIMFGSA@MX]',12/2023,,Q)&lt;/Q&gt;&lt;R&gt;1&lt;/R&gt;&lt;C&gt;1&lt;/C&gt;&lt;D xsi:type="xsd:double"&gt;52.180695&lt;/D&gt;&lt;/FQL&gt;&lt;FQL&gt;&lt;Q&gt;DUMMY^ECON_EXPR_DATA('FDS_ECON[NTCPMIMFGSA@KR]',03/2024,,Q)&lt;/Q&gt;&lt;R&gt;1&lt;/R&gt;&lt;C&gt;1&lt;/C&gt;&lt;D xsi:type="xsd:double"&gt;50.57622&lt;/D&gt;&lt;/FQL&gt;&lt;FQL&gt;&lt;Q&gt;DUMMY^ECON_EXPR_DATA('FDS_ECON[NTCPMIMFGSA@KR]',12/2023,,Q)&lt;/Q&gt;&lt;R&gt;1&lt;/R&gt;&lt;C&gt;1&lt;/C&gt;&lt;D xsi:type="xsd:double"&gt;49.900604&lt;/D&gt;&lt;/FQL&gt;&lt;FQL&gt;&lt;Q&gt;DUMMY^ECON_EXPR_DATA('FDS_ECON[NTCPMIMFGSA@BR]',03/2024,,Q)&lt;/Q&gt;&lt;R&gt;1&lt;/R&gt;&lt;C&gt;1&lt;/C&gt;&lt;D xsi:type="xsd:double"&gt;53.509575&lt;/D&gt;&lt;/FQL&gt;&lt;FQL&gt;&lt;Q&gt;DUMMY^ECON_EXPR_DATA('FDS_ECON[NTCPMIMFGSA@BR]',12/2023,,Q)&lt;/Q&gt;&lt;R&gt;1&lt;/R&gt;&lt;C&gt;1&lt;/C&gt;&lt;D xsi:type="xsd:double"&gt;48.798813&lt;/D&gt;&lt;/FQL&gt;&lt;FQL&gt;&lt;Q&gt;DUMMY^ECON_EXPR_DATA('FDS_ECON[PMIMFGSA@ZA]',03/2024,,Q)&lt;/Q&gt;&lt;R&gt;1&lt;/R&gt;&lt;C&gt;1&lt;/C&gt;&lt;D xsi:type="xsd:double"&gt;49.458923&lt;/D&gt;&lt;/FQL&gt;&lt;FQL&gt;&lt;Q&gt;DUMMY^ECON_EXPR_DATA('FDS_ECON[PMIMFGSA@ZA]',12/2023,,Q)&lt;/Q&gt;&lt;R&gt;1&lt;/R&gt;&lt;C&gt;1&lt;/C&gt;&lt;D xsi:type="xsd:double"&gt;49.293606&lt;/D&gt;&lt;/FQL&gt;&lt;FQL&gt;&lt;Q&gt;DUMMY^ECON_EXPR_DATA('FDS_ECON[NTCPMIMFGSA@GR]',03/2024,,Q)&lt;/Q&gt;&lt;R&gt;1&lt;/R&gt;&lt;C&gt;1&lt;/C&gt;&lt;D xsi:type="xsd:double"&gt;55.77546&lt;/D&gt;&lt;/FQL&gt;&lt;FQL&gt;&lt;Q&gt;DUMMY^ECON_EXPR_DATA('FDS_ECON[NTCPMIMFGSA@GR]',12/2023,,Q)&lt;/Q&gt;&lt;R&gt;1&lt;/R&gt;&lt;C&gt;1&lt;/C&gt;&lt;D xsi:type="xsd:double"&gt;50.99575&lt;/D&gt;&lt;/FQL&gt;&lt;FQL&gt;&lt;Q&gt;DUMMY^ECON_EXPR_DATA('FDS_ECON[NTCPMIMFGSA@IN]',03/2024,,Q)&lt;/Q&gt;&lt;R&gt;1&lt;/R&gt;&lt;C&gt;1&lt;/C&gt;&lt;D xsi:type="xsd:double"&gt;57.516636&lt;/D&gt;&lt;/FQL&gt;&lt;FQL&gt;&lt;Q&gt;DUMMY^ECON_EXPR_DATA('FDS_ECON[NTCPMIMFGSA@IN]',12/2023,,Q)&lt;/Q&gt;&lt;R&gt;1&lt;/R&gt;&lt;C&gt;1&lt;/C&gt;&lt;D xsi:type="xsd:double"&gt;55.461708&lt;/D&gt;&lt;/FQL&gt;&lt;FQL&gt;&lt;Q&gt;DUMMY^ECON_EXPR_DATA('FDS_ECON[PMIQAWHEHE]',03/2024,,Q)&lt;/Q&gt;&lt;R&gt;1&lt;/R&gt;&lt;C&gt;1&lt;/C&gt;&lt;D xsi:type="xsd:double"&gt;50.683044&lt;/D&gt;&lt;/FQL&gt;&lt;FQL&gt;&lt;Q&gt;DUMMY^ECON_EXPR_DATA('FDS_ECON[PMIQAWHEHE]',12/2023,,Q)&lt;/Q&gt;&lt;R&gt;1&lt;/R&gt;&lt;C&gt;1&lt;/C&gt;&lt;D xsi:type="xsd:double"&gt;50.688427&lt;/D&gt;&lt;/FQL&gt;&lt;FQL&gt;&lt;Q&gt;DUMMY^ECON_EXPR_DATA('FDS_ECON[NTCPMITHMANHE]',03/2024,,Q)&lt;/Q&gt;&lt;R&gt;0&lt;/R&gt;&lt;C&gt;0&lt;/C&gt;&lt;/FQL&gt;&lt;FQL&gt;&lt;Q&gt;DUMMY^ECON_EXPR_DATA('FDS_ECON[NTCPMITHMANHE]',12/2023,,Q)&lt;/Q&gt;&lt;R&gt;1&lt;/R&gt;&lt;C&gt;1&lt;/C&gt;&lt;D xsi:type="xsd:double"&gt;46.69516&lt;/D&gt;&lt;/FQL&gt;&lt;FQL&gt;&lt;Q&gt;DUMMY^ECON_EXPR_DATA('FDS_ECON[NTCPMIMFGSA@TR]',03/2024,,Q)&lt;/Q&gt;&lt;R&gt;1&lt;/R&gt;&lt;C&gt;1&lt;/C&gt;&lt;D xsi:type="xsd:double"&gt;49.822453&lt;/D&gt;&lt;/FQL&gt;&lt;FQL&gt;&lt;Q&gt;DUMMY^ECON_EXPR_DATA('FDS_ECON[NTCPMIMFGSA@TR]',12/2023,,Q)&lt;/Q&gt;&lt;R&gt;1&lt;/R&gt;&lt;C&gt;1&lt;/C&gt;&lt;D xsi:type="xsd:double"&gt;47.664864&lt;/D&gt;&lt;/FQL&gt;&lt;FQL&gt;&lt;Q&gt;DUMMY^ECON_EXPR_DATA('FDS_ECON[NTCPMIMFGSA@AE]',03/2024,,Q)&lt;/Q&gt;&lt;R&gt;0&lt;/R&gt;&lt;C&gt;0&lt;/C&gt;&lt;/FQL&gt;&lt;FQL&gt;&lt;Q&gt;DUMMY^ECON_EXPR_DATA('FDS_ECON[NTCPMIMFGSA@AE]',12/2023,,Q)&lt;/Q&gt;&lt;R&gt;0&lt;/R&gt;&lt;C&gt;0&lt;/C&gt;&lt;/FQL&gt;&lt;FQL&gt;&lt;Q&gt;DUMMY^ECON_EXPR_DATA('FDS_ECON[NTCPMIMFGSA@VN]',03/2024,,Q)&lt;/Q&gt;&lt;R&gt;1&lt;/R&gt;&lt;C&gt;1&lt;/C&gt;&lt;D xsi:type="xsd:double"&gt;50.18627&lt;/D&gt;&lt;/FQL&gt;&lt;FQL&gt;&lt;Q&gt;DUMMY^ECON_EXPR_DATA('FDS_ECON[NTCPMIMFGSA@VN]',12/2023,,Q)&lt;/Q&gt;&lt;R&gt;1&lt;/R&gt;&lt;C&gt;1&lt;/C&gt;&lt;D xsi:type="xsd:double"&gt;48.59743&lt;/D&gt;&lt;/FQL&gt;&lt;FQL&gt;&lt;Q&gt;DUMMY^ECON_EXPR_DATA('FDS_ECON[NTCPMIINDEXSA@SA]',03/2024,,Q)&lt;/Q&gt;&lt;R&gt;1&lt;/R&gt;&lt;C&gt;1&lt;/C&gt;&lt;D xsi:type="xsd:double"&gt;56.53707&lt;/D&gt;&lt;/FQL&gt;&lt;FQL&gt;&lt;Q&gt;DUMMY^ECON_EXPR_DATA('FDS_ECON[NTCPMIINDEXSA@SA]',12/2023,,Q)&lt;/Q&gt;&lt;R&gt;1&lt;/R&gt;&lt;C&gt;1&lt;/C&gt;&lt;D xsi:type="xsd:double"&gt;57.793106&lt;/D&gt;&lt;/FQL&gt;&lt;FQL&gt;&lt;Q&gt;DUMMY^ECON_EXPR_DATA('FDS_ECON[PMIDMMANHE]',03/2024,,Q)&lt;/Q&gt;&lt;R&gt;1&lt;/R&gt;&lt;C&gt;1&lt;/C&gt;&lt;D xsi:type="xsd:double"&gt;49.13533&lt;/D&gt;&lt;/FQL&gt;&lt;FQL&gt;&lt;Q&gt;DUMMY^ECON_EXPR_DATA('FDS_ECON[PMIDMMANHE]',12/2023,,Q)&lt;/Q&gt;&lt;R&gt;1&lt;/R&gt;&lt;C&gt;1&lt;/C&gt;&lt;D xsi:type="xsd:double"&gt;47.377975&lt;/D&gt;&lt;/FQL&gt;&lt;FQL&gt;&lt;Q&gt;DUMMY^ECON_EXPR_DATA('FDS_ECON[NTCPMIMFGSA@EME]',03/2024,,Q)&lt;/Q&gt;&lt;R&gt;1&lt;/R&gt;&lt;C&gt;1&lt;/C&gt;&lt;D xsi:type="xsd:double"&gt;51.51058&lt;/D&gt;&lt;/FQL&gt;&lt;FQL&gt;&lt;Q&gt;DUMMY^ECON_EXPR_DATA('FDS_ECON[NTCPMIMFGSA@EME]',12/2023,,Q)&lt;/Q&gt;&lt;R&gt;1&lt;/R&gt;&lt;C&gt;1&lt;/C&gt;&lt;D xsi:type="xsd:double"&gt;50.624123&lt;/D&gt;&lt;/FQL&gt;&lt;/Schema&gt;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<sst xmlns="http://schemas.openxmlformats.org/spreadsheetml/2006/main" count="2616" uniqueCount="922">
  <si>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</si>
  <si>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</si>
  <si>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</si>
  <si>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</si>
  <si>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</si>
  <si>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</si>
  <si>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</si>
  <si>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</si>
  <si>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</si>
  <si>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</si>
  <si>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</si>
  <si>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</si>
  <si>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</si>
  <si>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</si>
  <si>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</si>
  <si>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</si>
  <si>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</si>
  <si>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</si>
  <si>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</si>
  <si>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</si>
  <si>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</si>
  <si>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</si>
  <si>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</si>
  <si>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</si>
  <si>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</si>
  <si>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</si>
  <si>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</si>
  <si>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</si>
  <si>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</si>
  <si>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</si>
  <si>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</si>
  <si>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</si>
  <si>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</si>
  <si>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</si>
  <si>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</si>
  <si>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</si>
  <si>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</si>
  <si>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</si>
  <si>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</si>
  <si>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</si>
  <si>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</si>
  <si>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</si>
  <si>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</si>
  <si>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</si>
  <si>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</si>
  <si>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</si>
  <si>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</si>
  <si>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</si>
  <si>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</si>
  <si>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</si>
  <si>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</si>
  <si>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</si>
  <si>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</si>
  <si>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</si>
  <si>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</si>
  <si>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</si>
  <si>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</si>
  <si>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</si>
  <si>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</si>
  <si>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</si>
  <si>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</si>
  <si>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</si>
  <si>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</si>
  <si>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</si>
  <si>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</si>
  <si>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</si>
  <si>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</si>
  <si>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</si>
  <si>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</si>
  <si>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</si>
  <si>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</si>
  <si>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</si>
  <si>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</si>
  <si>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</si>
  <si>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</si>
  <si>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</si>
  <si>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</si>
  <si>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</si>
  <si>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</si>
  <si>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</si>
  <si>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</si>
  <si>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</si>
  <si>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</si>
  <si>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</si>
  <si>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</si>
  <si>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</si>
  <si>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</si>
  <si>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</si>
  <si>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</si>
  <si>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</si>
  <si>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</si>
  <si>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</si>
  <si>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</si>
  <si>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</si>
  <si>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</si>
  <si>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</si>
  <si>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</si>
  <si>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</si>
  <si>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</si>
  <si>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</si>
  <si>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</si>
  <si>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</si>
  <si>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</si>
  <si>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</si>
  <si>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</si>
  <si>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</si>
  <si>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</si>
  <si>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</si>
  <si>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</si>
  <si>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</si>
  <si>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</si>
  <si>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</si>
  <si>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</si>
  <si>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</si>
  <si>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</si>
  <si>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</si>
  <si>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</si>
  <si>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</si>
  <si>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</si>
  <si>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</si>
  <si>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</si>
  <si>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</si>
  <si>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</si>
  <si>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</si>
  <si>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</si>
  <si>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</si>
  <si>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</si>
  <si>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</si>
  <si>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</si>
  <si>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</si>
  <si>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</si>
  <si>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</si>
  <si>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</si>
  <si>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</si>
  <si>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</si>
  <si>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</si>
  <si>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</si>
  <si>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</si>
  <si>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</si>
  <si>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</si>
  <si>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</si>
  <si>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</si>
  <si>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</si>
  <si>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</si>
  <si>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</si>
  <si>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</si>
  <si>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</si>
  <si>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</si>
  <si>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</si>
  <si>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</si>
  <si>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</si>
  <si>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</si>
  <si>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</si>
  <si>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</si>
  <si>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</si>
  <si>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</si>
  <si>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</si>
  <si>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</si>
  <si>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</si>
  <si>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</si>
  <si>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</si>
  <si>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</si>
  <si>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</si>
  <si>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</si>
  <si>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</si>
  <si>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</si>
  <si>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</si>
  <si>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</si>
  <si>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</si>
  <si>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</si>
  <si>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</si>
  <si>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</si>
  <si>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</si>
  <si>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</si>
  <si>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</si>
  <si>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</si>
  <si>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</si>
  <si>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</si>
  <si>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</si>
  <si>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</si>
  <si>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</si>
  <si>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</si>
  <si>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</si>
  <si>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</si>
  <si>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</si>
  <si>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</si>
  <si>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</si>
  <si>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</si>
  <si>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</si>
  <si>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</si>
  <si>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</si>
  <si>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</si>
  <si>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</si>
  <si>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</si>
  <si>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</si>
  <si>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</si>
  <si>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</si>
  <si>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</si>
  <si>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</si>
  <si>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</si>
  <si>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</si>
  <si>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</si>
  <si>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</si>
  <si>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</si>
  <si>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</si>
  <si>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</si>
  <si>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</si>
  <si>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</si>
  <si>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</si>
  <si>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</si>
  <si>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</si>
  <si>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</si>
  <si>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</si>
  <si>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</si>
  <si>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</si>
  <si>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</si>
  <si>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</si>
  <si>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</si>
  <si>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</si>
  <si>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</si>
  <si>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</si>
  <si>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</si>
  <si>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</si>
  <si>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</si>
  <si>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</si>
  <si>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</si>
  <si>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</si>
  <si>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</si>
  <si>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</si>
  <si>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</si>
  <si>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</si>
  <si>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</si>
  <si>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</si>
  <si>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</si>
  <si>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</si>
  <si>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</si>
  <si>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</si>
  <si>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</si>
  <si>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</si>
  <si>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</si>
  <si>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</si>
  <si>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</si>
  <si>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</si>
  <si>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</si>
  <si>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</si>
  <si>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</si>
  <si>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</si>
  <si>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</si>
  <si>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</si>
  <si>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</si>
  <si>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</si>
  <si>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</si>
  <si>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</si>
  <si>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</si>
  <si>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</si>
  <si>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</si>
  <si>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</si>
  <si>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</si>
  <si>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</si>
  <si>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</si>
  <si>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</si>
  <si>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</si>
  <si>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</si>
  <si>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</si>
  <si>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</si>
  <si>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</si>
  <si>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</si>
  <si>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</si>
  <si>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</si>
  <si>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</si>
  <si>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</si>
  <si>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</si>
  <si>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</si>
  <si>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</si>
  <si>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</si>
  <si>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</si>
  <si>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</si>
  <si>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</si>
  <si>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</si>
  <si>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</si>
  <si>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</si>
  <si>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</si>
  <si>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</si>
  <si>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</si>
  <si>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</si>
  <si>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</si>
  <si>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</si>
  <si>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</si>
  <si>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</si>
  <si>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</si>
  <si>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</si>
  <si>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</si>
  <si>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</si>
  <si>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</si>
  <si>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</si>
  <si>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</si>
  <si>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</si>
  <si>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</si>
  <si>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</si>
  <si>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</si>
  <si>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</si>
  <si>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</si>
  <si>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</si>
  <si>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</si>
  <si>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</si>
  <si>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</si>
  <si>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</si>
  <si>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</si>
  <si>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</si>
  <si>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</si>
  <si>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</si>
  <si>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</si>
  <si>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</si>
  <si>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</si>
  <si>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</si>
  <si>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</si>
  <si>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</si>
  <si>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</si>
  <si>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</si>
  <si>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</si>
  <si>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</si>
  <si>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</si>
  <si>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</si>
  <si>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</si>
  <si>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</si>
  <si>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</si>
  <si>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</si>
  <si>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</si>
  <si>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</si>
  <si>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</si>
  <si>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</si>
  <si>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</si>
  <si>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</si>
  <si>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</si>
  <si>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</si>
  <si>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</si>
  <si>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</si>
  <si>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</si>
  <si>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</si>
  <si>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</si>
  <si>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</si>
  <si>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</si>
  <si>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</si>
  <si>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</si>
  <si>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</si>
  <si>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</si>
  <si>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</si>
  <si>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</si>
  <si>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</si>
  <si>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</si>
  <si>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</si>
  <si>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</si>
  <si>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</si>
  <si>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</si>
  <si>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</si>
  <si>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</si>
  <si>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</si>
  <si>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</si>
  <si>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</si>
  <si>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</si>
  <si>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</si>
  <si>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</si>
  <si>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</si>
  <si>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</si>
  <si>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</si>
  <si>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</si>
  <si>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</si>
  <si>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</si>
  <si>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</si>
  <si>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</si>
  <si>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</si>
  <si>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</si>
  <si>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</si>
  <si>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</si>
  <si>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</si>
  <si>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</si>
  <si>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</si>
  <si>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</si>
  <si>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</si>
  <si>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</si>
  <si>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</si>
  <si>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</si>
  <si>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</si>
  <si>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</si>
  <si>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</si>
  <si>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</si>
  <si>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</si>
  <si>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</si>
  <si>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</si>
  <si>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</si>
  <si>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</si>
  <si>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</si>
  <si>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</si>
  <si>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</si>
  <si>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</si>
  <si>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</si>
  <si>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</si>
  <si>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</si>
  <si>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</si>
  <si>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</si>
  <si>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</si>
  <si>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</si>
  <si>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</si>
  <si>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</si>
  <si>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</si>
  <si>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</si>
  <si>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</si>
  <si>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</si>
  <si>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</si>
  <si>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</si>
  <si>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</si>
  <si>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</si>
  <si>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</si>
  <si>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</si>
  <si>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</si>
  <si>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</si>
  <si>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</si>
  <si>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</si>
  <si>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</si>
  <si>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</si>
  <si>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</si>
  <si>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</si>
  <si>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</si>
  <si>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</si>
  <si>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</si>
  <si>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</si>
  <si>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</si>
  <si>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</si>
  <si>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</si>
  <si>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</si>
  <si>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</si>
  <si>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</si>
  <si>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</si>
  <si>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</si>
  <si>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</si>
  <si>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</si>
  <si>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</si>
  <si>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</si>
  <si>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</si>
  <si>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</si>
  <si>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</si>
  <si>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</si>
  <si>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</si>
  <si>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</si>
  <si>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</si>
  <si>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Thailand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</si>
  <si>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</si>
  <si>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</si>
  <si>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</si>
  <si>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</si>
  <si>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</si>
  <si>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</si>
  <si>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</si>
  <si>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</si>
  <si>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</si>
  <si>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</si>
  <si>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</si>
  <si>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</si>
  <si>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</si>
  <si>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</si>
  <si>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</si>
  <si>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</si>
  <si>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</si>
  <si>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</si>
  <si>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</si>
  <si>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</si>
  <si>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</si>
  <si>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</si>
  <si>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</si>
  <si>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</si>
  <si>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</si>
  <si>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</si>
  <si>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</si>
  <si>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</si>
  <si>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</si>
  <si>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</si>
  <si>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</si>
  <si>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</si>
  <si>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</si>
  <si>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</si>
  <si>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</si>
  <si>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</si>
  <si>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</si>
  <si>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</si>
  <si>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</si>
  <si>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</si>
  <si>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</si>
  <si>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</si>
  <si>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</si>
  <si>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</si>
  <si>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</si>
  <si>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</si>
  <si>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</si>
  <si>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</si>
  <si>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</si>
  <si>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</si>
  <si>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</si>
  <si>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</si>
  <si>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</si>
  <si>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</si>
  <si>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</si>
  <si>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</si>
  <si>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</si>
  <si>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</si>
  <si>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</si>
  <si>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</si>
  <si>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</si>
  <si>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</si>
  <si>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</si>
  <si>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</si>
  <si>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</si>
  <si>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</si>
  <si>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</si>
  <si>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</si>
  <si>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</si>
  <si>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</si>
  <si>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</si>
  <si>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</si>
  <si>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</si>
  <si>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</si>
  <si>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</si>
  <si>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</si>
  <si>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</si>
  <si>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</si>
  <si>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</si>
  <si>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</si>
  <si>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</si>
  <si>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</si>
  <si>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</si>
  <si>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</si>
  <si>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</si>
  <si>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</si>
  <si>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</si>
  <si>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</si>
  <si>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</si>
  <si>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</si>
  <si>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</si>
  <si>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</si>
  <si>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</si>
  <si>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</si>
  <si>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</si>
  <si>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</si>
  <si>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</si>
  <si>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</si>
  <si>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</si>
  <si>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</si>
  <si>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</si>
  <si>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</si>
  <si>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</si>
  <si>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</si>
  <si>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</si>
  <si>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</si>
  <si>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</si>
  <si>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</si>
  <si>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</si>
  <si>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</si>
  <si>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</si>
  <si>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</si>
  <si>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</si>
  <si>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</si>
  <si>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</si>
  <si>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</si>
  <si>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</si>
  <si>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</si>
  <si>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</si>
  <si>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</si>
  <si>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</si>
  <si>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</si>
  <si>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</si>
  <si>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</si>
  <si>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</si>
  <si>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</si>
  <si>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</si>
  <si>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</si>
  <si>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</si>
  <si>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</si>
  <si>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</si>
  <si>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</si>
  <si>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</si>
  <si>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</si>
  <si>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</si>
  <si>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</si>
  <si>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</si>
  <si>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</si>
  <si>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</si>
  <si>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</si>
  <si>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</si>
  <si>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</si>
  <si>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</si>
  <si>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</si>
  <si>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</si>
  <si>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</si>
  <si>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</si>
  <si>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</si>
  <si>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</si>
  <si>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</si>
  <si>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</si>
  <si>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</si>
  <si>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</si>
  <si>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</si>
  <si>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</si>
  <si>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</si>
  <si>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</si>
  <si>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</si>
  <si>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</si>
  <si>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</si>
  <si>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</si>
  <si>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</si>
  <si>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</si>
  <si>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</si>
  <si>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</si>
  <si>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</si>
  <si>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</si>
  <si>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</si>
  <si>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</si>
  <si>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</si>
  <si>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</si>
  <si>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</si>
  <si>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</si>
  <si>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</si>
  <si>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</si>
  <si>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</si>
  <si>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</si>
  <si>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</si>
  <si>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</si>
  <si>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</si>
  <si>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</si>
  <si>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</si>
  <si>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</si>
  <si>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</si>
  <si>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</si>
  <si>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</si>
  <si>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</si>
  <si>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</si>
  <si>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</si>
  <si>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</si>
  <si>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</si>
  <si>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</si>
  <si>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</si>
  <si>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</si>
  <si>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</si>
  <si>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</si>
  <si>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</si>
  <si>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</si>
  <si>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</si>
  <si>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</si>
  <si>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</si>
  <si>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</si>
  <si>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</si>
  <si>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</si>
  <si>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</si>
  <si>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</si>
  <si>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</si>
  <si>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</si>
  <si>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</si>
  <si>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</si>
  <si>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</si>
  <si>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</si>
  <si>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</si>
  <si>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</si>
  <si>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</si>
  <si>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</si>
  <si>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</si>
  <si>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</si>
  <si>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</si>
  <si>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</si>
  <si>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</si>
  <si>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</si>
  <si>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</si>
  <si>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</si>
  <si>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</si>
  <si>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</si>
  <si>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</si>
  <si>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</si>
  <si>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</si>
  <si>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</si>
  <si>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</si>
  <si>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</si>
  <si>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</si>
  <si>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</si>
  <si>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</si>
  <si>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</si>
  <si>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</si>
  <si>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</si>
  <si>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</si>
  <si>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</si>
  <si>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</si>
  <si>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</si>
  <si>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</si>
  <si>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</si>
  <si>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</si>
  <si>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</si>
  <si>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</si>
  <si>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</si>
  <si>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</si>
  <si>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</si>
  <si>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</si>
  <si>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</si>
  <si>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</si>
  <si>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</si>
  <si>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</si>
  <si>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</si>
  <si>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</si>
  <si>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</si>
  <si>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</si>
  <si>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</si>
  <si>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</si>
  <si>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</si>
  <si>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</si>
  <si>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</si>
  <si>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</si>
  <si>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</si>
  <si>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</si>
  <si>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</si>
  <si>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</si>
  <si>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</si>
  <si>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</si>
  <si>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</si>
  <si>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</si>
  <si>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</si>
  <si>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</si>
  <si>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</si>
  <si>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</si>
  <si>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</si>
  <si>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</si>
  <si>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</si>
  <si>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</si>
  <si>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</si>
  <si>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</si>
  <si>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</si>
  <si>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</si>
  <si>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</si>
  <si>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</si>
  <si>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</si>
  <si>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</si>
  <si>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</si>
  <si>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</si>
  <si>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</si>
  <si>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</si>
  <si>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</si>
  <si>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</si>
  <si>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</si>
  <si>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</si>
  <si>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</si>
  <si>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</si>
  <si>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</si>
  <si>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</si>
  <si>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</si>
  <si>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</si>
  <si>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</si>
  <si>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</si>
  <si>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</si>
  <si>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</si>
  <si>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</si>
  <si>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</si>
  <si>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</si>
  <si>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</si>
  <si>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</si>
  <si>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</si>
  <si>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</si>
  <si>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</si>
  <si>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</si>
  <si>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</si>
  <si>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</si>
  <si>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</si>
  <si>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</si>
  <si>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</si>
  <si>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</si>
  <si>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</si>
  <si>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</si>
  <si>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</si>
  <si>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</si>
  <si>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</si>
  <si>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</si>
  <si>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</si>
  <si>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</si>
  <si>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</si>
  <si>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</si>
  <si>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</si>
  <si>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</si>
  <si>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</si>
  <si>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</si>
  <si>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</si>
  <si>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</si>
  <si>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</si>
  <si>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</si>
  <si>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</si>
  <si>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</si>
  <si>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</si>
  <si>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</si>
  <si>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</si>
  <si>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</si>
  <si>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</si>
  <si>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</si>
  <si>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</si>
  <si>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</si>
  <si>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</si>
  <si>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</si>
  <si>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</si>
  <si>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</si>
  <si>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</si>
  <si>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</si>
  <si>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</si>
  <si>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</si>
  <si>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</si>
  <si>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</si>
  <si>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</si>
  <si>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</si>
  <si>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</si>
  <si>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</si>
  <si>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</si>
  <si>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</si>
  <si>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</si>
  <si>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</si>
  <si>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</si>
  <si>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</si>
  <si>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</si>
  <si>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</si>
  <si>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</si>
  <si>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</si>
  <si>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</si>
  <si>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</si>
  <si>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</si>
  <si>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</si>
  <si>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</si>
  <si>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</si>
  <si>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</si>
  <si>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</si>
  <si>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</si>
  <si>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</si>
  <si>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</si>
  <si>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</si>
  <si>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</si>
  <si>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</si>
  <si>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</si>
  <si>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</si>
  <si>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</si>
  <si>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</si>
  <si>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</si>
  <si>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</si>
  <si>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</si>
  <si>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</si>
  <si>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</si>
  <si>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</si>
  <si>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</si>
  <si>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</si>
  <si>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</si>
  <si>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</si>
  <si>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</si>
  <si>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</si>
  <si>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</si>
  <si>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</si>
  <si>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</si>
  <si>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</si>
  <si>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</si>
  <si>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</si>
  <si>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</si>
  <si>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</si>
  <si>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</si>
  <si>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</si>
  <si>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</si>
  <si>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</si>
  <si>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</si>
  <si>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</si>
  <si>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</si>
  <si>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</si>
  <si>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</si>
  <si>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</si>
  <si>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</si>
  <si>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</si>
  <si>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</si>
  <si>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</si>
  <si>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</si>
  <si>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</si>
  <si>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</si>
  <si>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</si>
  <si>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</si>
  <si>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</si>
  <si>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</si>
  <si>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</si>
  <si>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</si>
  <si>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</si>
  <si>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</si>
  <si>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</si>
  <si>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</si>
  <si>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</si>
  <si>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</si>
  <si>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</si>
  <si>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</si>
  <si>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</si>
  <si>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</si>
  <si>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</si>
  <si>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</si>
  <si>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</si>
  <si>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</si>
  <si>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</si>
  <si>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</si>
  <si>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</si>
  <si>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</si>
  <si>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</si>
  <si>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</si>
  <si>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</si>
  <si>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</si>
  <si>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</si>
  <si>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</si>
  <si>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</si>
  <si>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</si>
  <si>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</si>
  <si>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</si>
  <si>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</si>
  <si>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</si>
  <si>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</si>
  <si>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</si>
  <si>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</si>
  <si>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</si>
  <si>
    <t>1 month return</t>
  </si>
  <si>
    <t>PMI Q-Q Change</t>
  </si>
  <si>
    <t>Overall Safety Score</t>
  </si>
  <si>
    <t>SAFETY PERCENTILE</t>
  </si>
  <si>
    <t>SAFETY</t>
  </si>
  <si>
    <t>Safety</t>
  </si>
  <si>
    <t>Monthly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</si>
</sst>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sz val="7"/>
      <name val="Courier New"/>
      <family val="3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6" xfId="0" applyBorder="1"/>
    <xf numFmtId="0" fontId="0" fillId="0" borderId="15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37" borderId="31" xfId="0" applyFont="1" applyFill="1" applyBorder="1"/>
    <xf numFmtId="10" fontId="0" fillId="0" borderId="33" xfId="3" applyNumberFormat="1" applyFont="1" applyBorder="1"/>
    <xf numFmtId="10" fontId="0" fillId="0" borderId="32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2" xfId="3" applyFont="1" applyBorder="1" applyAlignment="1">
      <alignment horizontal="center" vertical="center"/>
    </xf>
    <xf numFmtId="9" fontId="0" fillId="0" borderId="20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1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6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4" fontId="42" fillId="0" borderId="4" xfId="0" applyNumberFormat="1" applyFont="1" applyBorder="1"/>
    <xf numFmtId="14" fontId="42" fillId="0" borderId="7" xfId="0" applyNumberFormat="1" applyFont="1" applyBorder="1"/>
    <xf numFmtId="0" fontId="13" fillId="0" borderId="14" xfId="0" applyFont="1" applyBorder="1" applyAlignment="1">
      <alignment horizontal="center" vertical="center"/>
    </xf>
    <xf numFmtId="9" fontId="0" fillId="2" borderId="12" xfId="0" applyNumberFormat="1" applyFill="1" applyBorder="1"/>
    <xf numFmtId="9" fontId="0" fillId="2" borderId="4" xfId="0" applyNumberFormat="1" applyFill="1" applyBorder="1"/>
    <xf numFmtId="9" fontId="1" fillId="2" borderId="0" xfId="0" applyNumberFormat="1" applyFont="1" applyFill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167" fontId="4" fillId="0" borderId="7" xfId="0" applyNumberFormat="1" applyFont="1" applyBorder="1"/>
    <xf numFmtId="0" fontId="0" fillId="36" borderId="0" xfId="0" applyFill="1"/>
    <xf numFmtId="1" fontId="0" fillId="36" borderId="0" xfId="0" applyNumberFormat="1" applyFill="1"/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16" zoomScaleNormal="100" workbookViewId="0">
      <selection activeCell="D22" sqref="D22:F24"/>
    </sheetView>
  </sheetViews>
  <sheetFormatPr defaultRowHeight="14.5" x14ac:dyDescent="0.35"/>
  <cols>
    <col min="3" max="3" width="18.54296875" customWidth="1"/>
    <col min="4" max="4" width="26.81640625" customWidth="1"/>
    <col min="5" max="5" width="21" customWidth="1"/>
    <col min="6" max="6" width="18.81640625" customWidth="1"/>
    <col min="7" max="7" width="24.453125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3" t="s">
        <v>417</v>
      </c>
      <c r="D8" s="53" t="s">
        <v>55</v>
      </c>
    </row>
    <row r="9" spans="3:19" ht="15" thickBot="1" x14ac:dyDescent="0.4">
      <c r="M9" t="s">
        <v>484</v>
      </c>
      <c r="N9" s="69">
        <v>0.06</v>
      </c>
      <c r="S9" s="68"/>
    </row>
    <row r="10" spans="3:19" x14ac:dyDescent="0.35">
      <c r="C10" s="1" t="s">
        <v>418</v>
      </c>
      <c r="D10" s="65" t="s">
        <v>61</v>
      </c>
      <c r="E10" s="16" t="s">
        <v>9</v>
      </c>
      <c r="F10" s="16" t="s">
        <v>56</v>
      </c>
      <c r="G10" s="190" t="s">
        <v>57</v>
      </c>
    </row>
    <row r="11" spans="3:19" ht="15" thickBot="1" x14ac:dyDescent="0.4">
      <c r="D11" s="191" t="s">
        <v>82</v>
      </c>
      <c r="E11" s="189">
        <v>0.4</v>
      </c>
      <c r="F11" s="189">
        <v>0.3</v>
      </c>
      <c r="G11" s="192">
        <v>0.3</v>
      </c>
    </row>
    <row r="12" spans="3:19" s="19" customFormat="1" ht="15" thickBot="1" x14ac:dyDescent="0.4">
      <c r="D12" s="193" t="s">
        <v>81</v>
      </c>
      <c r="E12" s="194">
        <f>E11*$E$34</f>
        <v>0.4</v>
      </c>
      <c r="F12" s="194">
        <f t="shared" ref="F12:G12" si="0">F11*$E$34</f>
        <v>0.3</v>
      </c>
      <c r="G12" s="195">
        <f t="shared" si="0"/>
        <v>0.3</v>
      </c>
      <c r="H12" s="18"/>
      <c r="M12" s="63" t="s">
        <v>454</v>
      </c>
      <c r="N12" s="64"/>
      <c r="O12" s="66" t="s">
        <v>483</v>
      </c>
    </row>
    <row r="13" spans="3:19" s="19" customFormat="1" ht="15" thickBot="1" x14ac:dyDescent="0.4">
      <c r="D13" s="20"/>
      <c r="E13" s="18"/>
      <c r="F13" s="18"/>
      <c r="G13" s="18"/>
      <c r="M13" s="57" t="s">
        <v>455</v>
      </c>
      <c r="N13" s="58" t="e">
        <f>(1/'Value -2 '!#REF!)</f>
        <v>#REF!</v>
      </c>
      <c r="O13" s="58" t="e">
        <f>N13*(1+N9)</f>
        <v>#REF!</v>
      </c>
    </row>
    <row r="14" spans="3:19" x14ac:dyDescent="0.35">
      <c r="C14" s="1" t="s">
        <v>419</v>
      </c>
      <c r="D14" s="15" t="s">
        <v>78</v>
      </c>
      <c r="E14" s="196" t="s">
        <v>63</v>
      </c>
      <c r="F14" s="197" t="s">
        <v>64</v>
      </c>
      <c r="G14" s="197" t="s">
        <v>79</v>
      </c>
      <c r="H14" s="11" t="s">
        <v>77</v>
      </c>
      <c r="M14" s="59" t="s">
        <v>456</v>
      </c>
      <c r="N14" s="60" t="e">
        <f>(1/'Value -2 '!#REF!)</f>
        <v>#REF!</v>
      </c>
      <c r="O14" s="61"/>
    </row>
    <row r="15" spans="3:19" x14ac:dyDescent="0.35">
      <c r="D15" s="191" t="s">
        <v>82</v>
      </c>
      <c r="E15" s="69">
        <v>0.2</v>
      </c>
      <c r="F15" s="69">
        <v>0.2</v>
      </c>
      <c r="G15" s="69">
        <v>0.3</v>
      </c>
      <c r="H15" s="187">
        <v>0.3</v>
      </c>
      <c r="M15" s="59"/>
      <c r="N15" s="61"/>
      <c r="O15" s="61"/>
    </row>
    <row r="16" spans="3:19" ht="15" thickBot="1" x14ac:dyDescent="0.4">
      <c r="D16" s="193" t="s">
        <v>81</v>
      </c>
      <c r="E16" s="194">
        <f t="shared" ref="E16:F16" si="1">E15*$F$34</f>
        <v>0</v>
      </c>
      <c r="F16" s="194">
        <f t="shared" si="1"/>
        <v>0</v>
      </c>
      <c r="G16" s="194">
        <f>G15*$F$34</f>
        <v>0</v>
      </c>
      <c r="H16" s="195">
        <f>H15*$F$34</f>
        <v>0</v>
      </c>
      <c r="M16" s="59" t="s">
        <v>457</v>
      </c>
      <c r="N16" s="60" t="e">
        <f>'LIQIDITY 2'!#REF!/100</f>
        <v>#REF!</v>
      </c>
      <c r="O16" s="67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9" t="s">
        <v>458</v>
      </c>
      <c r="N17" s="60" t="e">
        <f>'LIQIDITY 2'!#REF!/100</f>
        <v>#REF!</v>
      </c>
      <c r="O17" s="61"/>
    </row>
    <row r="18" spans="3:22" x14ac:dyDescent="0.35">
      <c r="C18" s="1" t="s">
        <v>420</v>
      </c>
      <c r="D18" s="65" t="s">
        <v>70</v>
      </c>
      <c r="E18" s="138" t="s">
        <v>73</v>
      </c>
      <c r="F18" s="5"/>
      <c r="M18" s="59"/>
      <c r="N18" s="61"/>
      <c r="O18" s="61"/>
    </row>
    <row r="19" spans="3:22" x14ac:dyDescent="0.35">
      <c r="D19" s="191" t="s">
        <v>82</v>
      </c>
      <c r="E19" s="187">
        <v>1</v>
      </c>
      <c r="F19" s="5"/>
      <c r="G19" s="5"/>
      <c r="M19" s="59"/>
      <c r="N19" s="61"/>
      <c r="O19" s="61"/>
    </row>
    <row r="20" spans="3:22" ht="15" thickBot="1" x14ac:dyDescent="0.4">
      <c r="D20" s="193" t="s">
        <v>81</v>
      </c>
      <c r="E20" s="198">
        <f>E19*$G$34</f>
        <v>0</v>
      </c>
      <c r="F20" s="5"/>
      <c r="G20" s="5"/>
      <c r="M20" s="59"/>
      <c r="N20" s="61"/>
      <c r="O20" s="61"/>
    </row>
    <row r="21" spans="3:22" ht="15" thickBot="1" x14ac:dyDescent="0.4">
      <c r="G21" s="5"/>
      <c r="M21" s="59" t="s">
        <v>459</v>
      </c>
      <c r="N21" s="60" t="e">
        <f>N13-N16</f>
        <v>#REF!</v>
      </c>
      <c r="O21" s="60" t="e">
        <f>O13-O16</f>
        <v>#REF!</v>
      </c>
    </row>
    <row r="22" spans="3:22" ht="15" thickBot="1" x14ac:dyDescent="0.4">
      <c r="C22" s="1" t="s">
        <v>516</v>
      </c>
      <c r="D22" s="15" t="s">
        <v>58</v>
      </c>
      <c r="E22" s="16" t="s">
        <v>514</v>
      </c>
      <c r="F22" s="11" t="s">
        <v>59</v>
      </c>
      <c r="M22" s="12" t="s">
        <v>460</v>
      </c>
      <c r="N22" s="62" t="e">
        <f>N13-N17</f>
        <v>#REF!</v>
      </c>
      <c r="O22" s="60"/>
    </row>
    <row r="23" spans="3:22" x14ac:dyDescent="0.35">
      <c r="D23" s="191" t="s">
        <v>82</v>
      </c>
      <c r="E23" s="69">
        <v>0</v>
      </c>
      <c r="F23" s="187">
        <v>0</v>
      </c>
      <c r="G23" s="5"/>
      <c r="M23" s="9"/>
      <c r="N23" s="5"/>
      <c r="T23" s="9"/>
    </row>
    <row r="24" spans="3:22" ht="15" thickBot="1" x14ac:dyDescent="0.4">
      <c r="D24" s="193" t="s">
        <v>81</v>
      </c>
      <c r="E24" s="17">
        <f>E23*$H$34</f>
        <v>0</v>
      </c>
      <c r="F24" s="169">
        <f t="shared" ref="F24" si="2">F23*$H$34</f>
        <v>0</v>
      </c>
      <c r="G24" s="5"/>
      <c r="Q24" s="5"/>
      <c r="R24" s="56"/>
      <c r="T24" s="9"/>
      <c r="V24" s="9"/>
    </row>
    <row r="25" spans="3:22" ht="15" thickBot="1" x14ac:dyDescent="0.4"/>
    <row r="26" spans="3:22" x14ac:dyDescent="0.35">
      <c r="C26" s="119" t="s">
        <v>784</v>
      </c>
      <c r="D26" s="168" t="s">
        <v>785</v>
      </c>
      <c r="E26" s="10" t="s">
        <v>780</v>
      </c>
      <c r="F26" s="11" t="s">
        <v>786</v>
      </c>
    </row>
    <row r="27" spans="3:22" x14ac:dyDescent="0.35">
      <c r="D27" s="191" t="s">
        <v>82</v>
      </c>
      <c r="E27" s="69">
        <v>0.6</v>
      </c>
      <c r="F27" s="187">
        <v>0.4</v>
      </c>
    </row>
    <row r="28" spans="3:22" ht="15" thickBot="1" x14ac:dyDescent="0.4">
      <c r="D28" s="193" t="s">
        <v>81</v>
      </c>
      <c r="E28" s="17">
        <f>E27*$I$34</f>
        <v>0</v>
      </c>
      <c r="F28" s="169">
        <f>F27*$I$34</f>
        <v>0</v>
      </c>
    </row>
    <row r="29" spans="3:22" ht="15" thickBot="1" x14ac:dyDescent="0.4"/>
    <row r="30" spans="3:22" x14ac:dyDescent="0.35">
      <c r="C30" t="s">
        <v>903</v>
      </c>
      <c r="D30" s="15" t="s">
        <v>904</v>
      </c>
      <c r="E30" s="188">
        <v>0.2</v>
      </c>
    </row>
    <row r="31" spans="3:22" ht="15" thickBot="1" x14ac:dyDescent="0.4">
      <c r="D31" s="12"/>
      <c r="E31" s="169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515</v>
      </c>
      <c r="I33" s="123" t="s">
        <v>785</v>
      </c>
      <c r="J33" s="123" t="s">
        <v>904</v>
      </c>
    </row>
    <row r="34" spans="3:12" ht="15" thickBot="1" x14ac:dyDescent="0.4">
      <c r="D34" s="12"/>
      <c r="E34" s="71">
        <v>1</v>
      </c>
      <c r="F34" s="72">
        <v>0</v>
      </c>
      <c r="G34" s="72">
        <v>0</v>
      </c>
      <c r="H34" s="72">
        <v>0</v>
      </c>
      <c r="I34" s="73">
        <v>0</v>
      </c>
      <c r="J34" s="73">
        <v>0</v>
      </c>
    </row>
    <row r="38" spans="3:12" x14ac:dyDescent="0.35">
      <c r="C38" s="53" t="s">
        <v>421</v>
      </c>
      <c r="D38" s="53" t="s">
        <v>60</v>
      </c>
    </row>
    <row r="39" spans="3:12" x14ac:dyDescent="0.35">
      <c r="E39" s="1" t="s">
        <v>412</v>
      </c>
      <c r="F39" t="s">
        <v>413</v>
      </c>
      <c r="G39" s="1" t="s">
        <v>414</v>
      </c>
      <c r="H39" t="s">
        <v>415</v>
      </c>
      <c r="I39" s="1" t="s">
        <v>431</v>
      </c>
      <c r="J39" s="1" t="s">
        <v>535</v>
      </c>
      <c r="K39" s="1" t="s">
        <v>759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3" t="s">
        <v>401</v>
      </c>
      <c r="D42" s="53" t="s">
        <v>10</v>
      </c>
    </row>
    <row r="43" spans="3:12" x14ac:dyDescent="0.35">
      <c r="C43" t="s">
        <v>422</v>
      </c>
      <c r="D43" t="s">
        <v>416</v>
      </c>
      <c r="E43" s="5">
        <v>0.5</v>
      </c>
    </row>
    <row r="44" spans="3:12" x14ac:dyDescent="0.35">
      <c r="C44" t="s">
        <v>423</v>
      </c>
      <c r="D44" t="s">
        <v>464</v>
      </c>
      <c r="E44" s="5">
        <v>0.25</v>
      </c>
      <c r="F44" s="5"/>
    </row>
    <row r="45" spans="3:12" x14ac:dyDescent="0.35">
      <c r="C45" t="s">
        <v>465</v>
      </c>
      <c r="D45" t="s">
        <v>466</v>
      </c>
      <c r="E45" s="5">
        <v>0.25</v>
      </c>
    </row>
    <row r="47" spans="3:12" x14ac:dyDescent="0.35">
      <c r="D47" s="1"/>
    </row>
    <row r="48" spans="3:12" x14ac:dyDescent="0.35">
      <c r="C48" s="53" t="s">
        <v>424</v>
      </c>
      <c r="D48" s="53" t="s">
        <v>920</v>
      </c>
    </row>
    <row r="49" spans="3:8" x14ac:dyDescent="0.35">
      <c r="E49" t="s">
        <v>398</v>
      </c>
      <c r="F49" t="s">
        <v>399</v>
      </c>
    </row>
    <row r="50" spans="3:8" x14ac:dyDescent="0.35">
      <c r="D50" t="s">
        <v>65</v>
      </c>
      <c r="E50" s="76">
        <v>-0.05</v>
      </c>
      <c r="F50">
        <v>-10</v>
      </c>
    </row>
    <row r="52" spans="3:8" x14ac:dyDescent="0.35">
      <c r="E52" s="1" t="s">
        <v>921</v>
      </c>
      <c r="F52" t="s">
        <v>531</v>
      </c>
      <c r="G52" t="s">
        <v>407</v>
      </c>
    </row>
    <row r="53" spans="3:8" x14ac:dyDescent="0.35">
      <c r="D53" s="1" t="s">
        <v>532</v>
      </c>
      <c r="E53" s="5">
        <v>0.25</v>
      </c>
      <c r="F53" s="5">
        <v>0.25</v>
      </c>
      <c r="G53" s="5">
        <v>0.5</v>
      </c>
    </row>
    <row r="55" spans="3:8" x14ac:dyDescent="0.35">
      <c r="C55" s="53" t="s">
        <v>426</v>
      </c>
      <c r="D55" s="53" t="s">
        <v>504</v>
      </c>
      <c r="F55" s="1">
        <v>1</v>
      </c>
      <c r="G55" s="1">
        <v>3</v>
      </c>
      <c r="H55" s="1">
        <v>6</v>
      </c>
    </row>
    <row r="56" spans="3:8" x14ac:dyDescent="0.35">
      <c r="C56" s="53" t="s">
        <v>427</v>
      </c>
      <c r="D56" t="s">
        <v>489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427</v>
      </c>
      <c r="D57" t="s">
        <v>428</v>
      </c>
      <c r="E57" s="5">
        <v>0.3</v>
      </c>
    </row>
    <row r="58" spans="3:8" x14ac:dyDescent="0.35">
      <c r="C58" t="s">
        <v>429</v>
      </c>
      <c r="D58" t="s">
        <v>430</v>
      </c>
      <c r="E58" s="5">
        <v>0.2</v>
      </c>
    </row>
    <row r="60" spans="3:8" x14ac:dyDescent="0.35">
      <c r="C60" s="53" t="s">
        <v>511</v>
      </c>
      <c r="D60" s="53" t="s">
        <v>506</v>
      </c>
    </row>
    <row r="61" spans="3:8" x14ac:dyDescent="0.35">
      <c r="D61" t="s">
        <v>508</v>
      </c>
      <c r="F61" s="5">
        <v>0.25</v>
      </c>
      <c r="G61" t="s">
        <v>538</v>
      </c>
    </row>
    <row r="62" spans="3:8" x14ac:dyDescent="0.35">
      <c r="D62" t="s">
        <v>509</v>
      </c>
      <c r="F62" s="5">
        <v>0.25</v>
      </c>
    </row>
    <row r="63" spans="3:8" x14ac:dyDescent="0.35">
      <c r="D63" t="s">
        <v>510</v>
      </c>
      <c r="F63" s="5">
        <v>0.25</v>
      </c>
    </row>
    <row r="64" spans="3:8" x14ac:dyDescent="0.35">
      <c r="D64" t="s">
        <v>550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3" t="s">
        <v>505</v>
      </c>
      <c r="D69" s="53" t="s">
        <v>425</v>
      </c>
    </row>
    <row r="71" spans="3:9" x14ac:dyDescent="0.35">
      <c r="C71" s="119" t="s">
        <v>802</v>
      </c>
      <c r="D71" s="6">
        <v>0.3</v>
      </c>
    </row>
    <row r="72" spans="3:9" x14ac:dyDescent="0.35">
      <c r="C72" s="19" t="s">
        <v>556</v>
      </c>
      <c r="D72" s="18">
        <v>0.33329999999999999</v>
      </c>
    </row>
    <row r="73" spans="3:9" x14ac:dyDescent="0.35">
      <c r="C73" s="19" t="s">
        <v>558</v>
      </c>
      <c r="D73" s="18">
        <v>0.33329999999999999</v>
      </c>
    </row>
    <row r="74" spans="3:9" x14ac:dyDescent="0.35">
      <c r="C74" s="19" t="s">
        <v>559</v>
      </c>
      <c r="D74" s="18">
        <v>0.33329999999999999</v>
      </c>
    </row>
    <row r="76" spans="3:9" x14ac:dyDescent="0.35">
      <c r="C76" s="119" t="s">
        <v>557</v>
      </c>
      <c r="D76" s="5">
        <v>0.2</v>
      </c>
    </row>
    <row r="77" spans="3:9" x14ac:dyDescent="0.35">
      <c r="G77" s="1"/>
      <c r="H77" s="1"/>
    </row>
    <row r="78" spans="3:9" x14ac:dyDescent="0.35">
      <c r="C78" s="119" t="s">
        <v>554</v>
      </c>
      <c r="D78" s="5">
        <v>0.4</v>
      </c>
    </row>
    <row r="80" spans="3:9" x14ac:dyDescent="0.35">
      <c r="C80" s="119" t="s">
        <v>560</v>
      </c>
      <c r="D80" s="5">
        <v>0.1</v>
      </c>
    </row>
    <row r="82" spans="3:8" x14ac:dyDescent="0.35">
      <c r="C82" t="s">
        <v>841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5" x14ac:dyDescent="0.35"/>
  <cols>
    <col min="3" max="3" width="26.81640625" bestFit="1" customWidth="1"/>
    <col min="4" max="4" width="10.81640625" customWidth="1"/>
  </cols>
  <sheetData>
    <row r="4" spans="3:4" x14ac:dyDescent="0.35">
      <c r="C4" s="1" t="s">
        <v>912</v>
      </c>
    </row>
    <row r="5" spans="3:4" ht="15" thickBot="1" x14ac:dyDescent="0.4"/>
    <row r="6" spans="3:4" x14ac:dyDescent="0.35">
      <c r="C6" s="65" t="s">
        <v>909</v>
      </c>
      <c r="D6" s="179">
        <f>Timing!L30</f>
        <v>0.14285714285714285</v>
      </c>
    </row>
    <row r="7" spans="3:4" x14ac:dyDescent="0.35">
      <c r="C7" s="59" t="s">
        <v>910</v>
      </c>
      <c r="D7" s="60">
        <f>Timing!M30</f>
        <v>0.38095238095238093</v>
      </c>
    </row>
    <row r="8" spans="3:4" ht="15" thickBot="1" x14ac:dyDescent="0.4">
      <c r="C8" s="12" t="s">
        <v>911</v>
      </c>
      <c r="D8" s="62">
        <f>Timing!N30</f>
        <v>0.42857142857142855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7"/>
  <sheetViews>
    <sheetView tabSelected="1" zoomScale="85" zoomScaleNormal="85" workbookViewId="0">
      <selection activeCell="Q13" sqref="Q13"/>
    </sheetView>
  </sheetViews>
  <sheetFormatPr defaultRowHeight="14.5" x14ac:dyDescent="0.35"/>
  <cols>
    <col min="2" max="2" width="13.453125" customWidth="1"/>
    <col min="3" max="3" width="34.453125" bestFit="1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6.453125" bestFit="1" customWidth="1"/>
    <col min="13" max="13" width="18.1796875" customWidth="1"/>
    <col min="14" max="14" width="17.1796875" customWidth="1"/>
  </cols>
  <sheetData>
    <row r="2" spans="2:16" ht="18.75" customHeight="1" x14ac:dyDescent="0.35">
      <c r="D2" s="132">
        <f>Assumption!D72*Assumption!$D$71</f>
        <v>9.9989999999999996E-2</v>
      </c>
      <c r="E2" s="132">
        <f>Assumption!D73*Assumption!$D$71</f>
        <v>9.9989999999999996E-2</v>
      </c>
      <c r="F2" s="132">
        <f>Assumption!D74*Assumption!$D$71</f>
        <v>9.9989999999999996E-2</v>
      </c>
      <c r="G2" s="132"/>
      <c r="H2" s="132"/>
      <c r="I2" s="132">
        <f>Assumption!D76</f>
        <v>0.2</v>
      </c>
      <c r="J2" s="132">
        <f>Assumption!D78</f>
        <v>0.4</v>
      </c>
      <c r="K2" s="119"/>
      <c r="L2" s="132">
        <f>Assumption!D80</f>
        <v>0.1</v>
      </c>
      <c r="P2" s="52">
        <f>SUM(D2:N2)</f>
        <v>0.99996999999999991</v>
      </c>
    </row>
    <row r="4" spans="2:16" ht="60.75" customHeight="1" x14ac:dyDescent="0.35">
      <c r="B4" s="203" t="s">
        <v>555</v>
      </c>
      <c r="C4" s="204"/>
      <c r="D4" s="208" t="s">
        <v>802</v>
      </c>
      <c r="E4" s="209"/>
      <c r="F4" s="210"/>
      <c r="G4" s="211" t="s">
        <v>838</v>
      </c>
      <c r="H4" s="211" t="s">
        <v>838</v>
      </c>
      <c r="I4" s="201" t="s">
        <v>557</v>
      </c>
      <c r="J4" s="207" t="s">
        <v>554</v>
      </c>
      <c r="K4" s="207"/>
      <c r="L4" s="201" t="s">
        <v>560</v>
      </c>
      <c r="M4" s="201" t="s">
        <v>561</v>
      </c>
      <c r="N4" s="201" t="s">
        <v>750</v>
      </c>
    </row>
    <row r="5" spans="2:16" x14ac:dyDescent="0.35">
      <c r="B5" s="205"/>
      <c r="C5" s="206"/>
      <c r="D5" s="170" t="s">
        <v>556</v>
      </c>
      <c r="E5" s="170" t="s">
        <v>558</v>
      </c>
      <c r="F5" s="170" t="s">
        <v>919</v>
      </c>
      <c r="G5" s="212"/>
      <c r="H5" s="213"/>
      <c r="I5" s="202"/>
      <c r="J5" s="170" t="s">
        <v>564</v>
      </c>
      <c r="K5" s="170" t="s">
        <v>562</v>
      </c>
      <c r="L5" s="202"/>
      <c r="M5" s="202"/>
      <c r="N5" s="202"/>
    </row>
    <row r="6" spans="2:16" x14ac:dyDescent="0.35">
      <c r="B6" s="181"/>
      <c r="C6" s="182"/>
      <c r="D6" s="181"/>
      <c r="E6" s="181"/>
      <c r="F6" s="181"/>
      <c r="G6" s="180"/>
      <c r="H6" s="180"/>
      <c r="I6" s="182"/>
      <c r="J6" s="186"/>
      <c r="K6" s="183"/>
      <c r="L6" s="183"/>
      <c r="M6" s="183"/>
      <c r="N6" s="183"/>
    </row>
    <row r="7" spans="2:16" x14ac:dyDescent="0.35">
      <c r="B7" s="80" t="s">
        <v>12</v>
      </c>
      <c r="C7" s="82" t="s">
        <v>54</v>
      </c>
      <c r="D7" s="128">
        <f>VLOOKUP(B7,'Value -2 '!$D$3:$AC$23,26,FALSE)</f>
        <v>72.7</v>
      </c>
      <c r="E7" s="128">
        <f>VLOOKUP(B7,'Quality - 2'!$B$2:$S$22,18,FALSE)</f>
        <v>18.099999999999998</v>
      </c>
      <c r="F7" s="128">
        <f>VLOOKUP(B7,Safety!$B$4:$R$24,17,FALSE)</f>
        <v>22.7</v>
      </c>
      <c r="G7" s="134">
        <f t="shared" ref="G7:G27" si="0">(D7*$D$2 +E7*$E$2 +F7*$F$2)/($D$2+$E$2+$F$2)</f>
        <v>37.833333333333336</v>
      </c>
      <c r="H7" s="133" cm="1">
        <f t="array" ref="H7">_xlfn.PERCENTRANK.EXC(_xlfn._xlws.FILTER($G$7:G$27, ISNUMBER($G$7:G$27)),G7)*100</f>
        <v>22.7</v>
      </c>
      <c r="I7" s="171">
        <f>VLOOKUP(B7,'LIQIDITY 2'!$A$3:$X$23,24,FALSE)</f>
        <v>63.6</v>
      </c>
      <c r="J7" s="126">
        <f ca="1">VLOOKUP(B7,'Momnetum ranking'!A:AJ,36,FALSE)</f>
        <v>13.600000000000001</v>
      </c>
      <c r="K7" s="173">
        <f>VLOOKUP(B7,'Momnetum ranking'!$A$3:$H$23,8,FALSE)</f>
        <v>0.42</v>
      </c>
      <c r="L7" s="127">
        <f>VLOOKUP(B7,'Currency- 2'!$A$3:$U$23,21,FALSE)</f>
        <v>9</v>
      </c>
      <c r="M7" s="136">
        <f t="shared" ref="M7:M27" ca="1" si="1">D7*$D$2 + E7*$E$2 + F7*$F$2 + I7*$I$2 + J7*$J$2 + L7*$L$2</f>
        <v>30.408865000000002</v>
      </c>
      <c r="N7" s="127" cm="1">
        <f t="array" aca="1" ref="N7" ca="1">_xlfn.PERCENTRANK.EXC(_xlfn._xlws.FILTER($M$7:M$27, ISNUMBER($M$7:M$27)),M7)*100</f>
        <v>18.099999999999998</v>
      </c>
    </row>
    <row r="8" spans="2:16" x14ac:dyDescent="0.35">
      <c r="B8" s="80" t="s">
        <v>23</v>
      </c>
      <c r="C8" s="82" t="s">
        <v>439</v>
      </c>
      <c r="D8" s="128">
        <f>VLOOKUP(B8,'Value -2 '!$D$3:$AC$23,26,FALSE)</f>
        <v>86.3</v>
      </c>
      <c r="E8" s="128">
        <f>VLOOKUP(B8,'Quality - 2'!$B$2:$S$22,18,FALSE)</f>
        <v>9</v>
      </c>
      <c r="F8" s="128">
        <f>VLOOKUP(B8,Safety!$B$4:$R$24,17,FALSE)</f>
        <v>4.5</v>
      </c>
      <c r="G8" s="134">
        <f t="shared" si="0"/>
        <v>33.266666666666673</v>
      </c>
      <c r="H8" s="134" cm="1">
        <f t="array" ref="H8">_xlfn.PERCENTRANK.EXC(_xlfn._xlws.FILTER($G$7:G$27, ISNUMBER($G$7:G$27)),G8)*100</f>
        <v>13.600000000000001</v>
      </c>
      <c r="I8" s="171">
        <f>VLOOKUP(B8,'LIQIDITY 2'!$A$3:$X$23,24,FALSE)</f>
        <v>63.6</v>
      </c>
      <c r="J8" s="126">
        <f ca="1">VLOOKUP(B8,'Momnetum ranking'!A:AJ,36,FALSE)</f>
        <v>90.9</v>
      </c>
      <c r="K8" s="173">
        <f>VLOOKUP(B8,'Momnetum ranking'!$A$3:$H$23,8,FALSE)</f>
        <v>0.39393939393939392</v>
      </c>
      <c r="L8" s="127">
        <f>VLOOKUP(B8,'Currency- 2'!$A$3:$U$23,21,FALSE)</f>
        <v>54.500000000000007</v>
      </c>
      <c r="M8" s="136">
        <f t="shared" ca="1" si="1"/>
        <v>64.50900200000001</v>
      </c>
      <c r="N8" s="127" cm="1">
        <f t="array" aca="1" ref="N8" ca="1">_xlfn.PERCENTRANK.EXC(_xlfn._xlws.FILTER($M$7:M$27, ISNUMBER($M$7:M$27)),M8)*100</f>
        <v>90.9</v>
      </c>
    </row>
    <row r="9" spans="2:16" x14ac:dyDescent="0.35">
      <c r="B9" s="80" t="s">
        <v>21</v>
      </c>
      <c r="C9" s="82" t="s">
        <v>38</v>
      </c>
      <c r="D9" s="128">
        <f>VLOOKUP(B9,'Value -2 '!$D$3:$AC$23,26,FALSE)</f>
        <v>22.7</v>
      </c>
      <c r="E9" s="128">
        <f>VLOOKUP(B9,'Quality - 2'!$B$2:$S$22,18,FALSE)</f>
        <v>77.2</v>
      </c>
      <c r="F9" s="128">
        <f>VLOOKUP(B9,Safety!$B$4:$R$24,17,FALSE)</f>
        <v>59</v>
      </c>
      <c r="G9" s="134">
        <f t="shared" si="0"/>
        <v>52.966666666666676</v>
      </c>
      <c r="H9" s="134" cm="1">
        <f t="array" ref="H9">_xlfn.PERCENTRANK.EXC(_xlfn._xlws.FILTER($G$7:G$27, ISNUMBER($G$7:G$27)),G9)*100</f>
        <v>63.6</v>
      </c>
      <c r="I9" s="171">
        <f>VLOOKUP(B9,'LIQIDITY 2'!$A$3:$X$23,24,FALSE)</f>
        <v>4.5</v>
      </c>
      <c r="J9" s="126">
        <f ca="1">VLOOKUP(B9,'Momnetum ranking'!A:AJ,36,FALSE)</f>
        <v>54.500000000000007</v>
      </c>
      <c r="K9" s="173">
        <f>VLOOKUP(B9,'Momnetum ranking'!$A$3:$H$23,8,FALSE)</f>
        <v>0.28712871287128711</v>
      </c>
      <c r="L9" s="127">
        <f>VLOOKUP(B9,'Currency- 2'!$A$3:$U$23,21,FALSE)</f>
        <v>22.7</v>
      </c>
      <c r="M9" s="136">
        <f t="shared" ca="1" si="1"/>
        <v>40.858411000000011</v>
      </c>
      <c r="N9" s="127" cm="1">
        <f t="array" aca="1" ref="N9" ca="1">_xlfn.PERCENTRANK.EXC(_xlfn._xlws.FILTER($M$7:M$27, ISNUMBER($M$7:M$27)),M9)*100</f>
        <v>31.8</v>
      </c>
    </row>
    <row r="10" spans="2:16" x14ac:dyDescent="0.35">
      <c r="B10" s="80" t="s">
        <v>24</v>
      </c>
      <c r="C10" s="82" t="s">
        <v>40</v>
      </c>
      <c r="D10" s="128">
        <f>VLOOKUP(B10,'Value -2 '!$D$3:$AC$23,26,FALSE)</f>
        <v>27.200000000000003</v>
      </c>
      <c r="E10" s="128">
        <f>VLOOKUP(B10,'Quality - 2'!$B$2:$S$22,18,FALSE)</f>
        <v>90.9</v>
      </c>
      <c r="F10" s="128">
        <f>VLOOKUP(B10,Safety!$B$4:$R$24,17,FALSE)</f>
        <v>77.2</v>
      </c>
      <c r="G10" s="134">
        <f t="shared" si="0"/>
        <v>65.100000000000009</v>
      </c>
      <c r="H10" s="134" cm="1">
        <f t="array" ref="H10">_xlfn.PERCENTRANK.EXC(_xlfn._xlws.FILTER($G$7:G$27, ISNUMBER($G$7:G$27)),G10)*100</f>
        <v>81.8</v>
      </c>
      <c r="I10" s="171">
        <f>VLOOKUP(B10,'LIQIDITY 2'!$A$3:$X$23,24,FALSE)</f>
        <v>4.5</v>
      </c>
      <c r="J10" s="126">
        <f ca="1">VLOOKUP(B10,'Momnetum ranking'!A:AJ,36,FALSE)</f>
        <v>72.7</v>
      </c>
      <c r="K10" s="173">
        <f>VLOOKUP(B10,'Momnetum ranking'!$A$3:$H$23,8,FALSE)</f>
        <v>0.32967032967032966</v>
      </c>
      <c r="L10" s="127">
        <f>VLOOKUP(B10,'Currency- 2'!$A$3:$U$23,21,FALSE)</f>
        <v>68.100000000000009</v>
      </c>
      <c r="M10" s="136">
        <f t="shared" ca="1" si="1"/>
        <v>56.318047000000007</v>
      </c>
      <c r="N10" s="127" cm="1">
        <f t="array" aca="1" ref="N10" ca="1">_xlfn.PERCENTRANK.EXC(_xlfn._xlws.FILTER($M$7:M$27, ISNUMBER($M$7:M$27)),M10)*100</f>
        <v>72.7</v>
      </c>
    </row>
    <row r="11" spans="2:16" x14ac:dyDescent="0.35">
      <c r="B11" s="80" t="s">
        <v>32</v>
      </c>
      <c r="C11" s="82" t="s">
        <v>52</v>
      </c>
      <c r="D11" s="128">
        <f>VLOOKUP(B11,'Value -2 '!$D$3:$AC$23,26,FALSE)</f>
        <v>4.5</v>
      </c>
      <c r="E11" s="128">
        <f>VLOOKUP(B11,'Quality - 2'!$B$2:$S$22,18,FALSE)</f>
        <v>81.8</v>
      </c>
      <c r="F11" s="128">
        <f>VLOOKUP(B11,Safety!$B$4:$R$24,17,FALSE)</f>
        <v>45.4</v>
      </c>
      <c r="G11" s="134">
        <f t="shared" si="0"/>
        <v>43.9</v>
      </c>
      <c r="H11" s="134" cm="1">
        <f t="array" ref="H11">_xlfn.PERCENTRANK.EXC(_xlfn._xlws.FILTER($G$7:G$27, ISNUMBER($G$7:G$27)),G11)*100</f>
        <v>40.9</v>
      </c>
      <c r="I11" s="171">
        <f>VLOOKUP(B11,'LIQIDITY 2'!$A$3:$X$23,24,FALSE)</f>
        <v>50</v>
      </c>
      <c r="J11" s="126">
        <f ca="1">VLOOKUP(B11,'Momnetum ranking'!A:AJ,36,FALSE)</f>
        <v>86.3</v>
      </c>
      <c r="K11" s="173">
        <f>VLOOKUP(B11,'Momnetum ranking'!$A$3:$H$23,8,FALSE)</f>
        <v>0.38686131386861317</v>
      </c>
      <c r="L11" s="127">
        <f>VLOOKUP(B11,'Currency- 2'!$A$3:$U$23,21,FALSE)</f>
        <v>63.6</v>
      </c>
      <c r="M11" s="136">
        <f t="shared" ca="1" si="1"/>
        <v>64.048682999999997</v>
      </c>
      <c r="N11" s="127" cm="1">
        <f t="array" aca="1" ref="N11" ca="1">_xlfn.PERCENTRANK.EXC(_xlfn._xlws.FILTER($M$7:M$27, ISNUMBER($M$7:M$27)),M11)*100</f>
        <v>86.3</v>
      </c>
    </row>
    <row r="12" spans="2:16" x14ac:dyDescent="0.35">
      <c r="B12" s="80" t="s">
        <v>34</v>
      </c>
      <c r="C12" s="82" t="s">
        <v>447</v>
      </c>
      <c r="D12" s="128">
        <f>VLOOKUP(B12,'Value -2 '!$D$3:$AC$23,26,FALSE)</f>
        <v>81.8</v>
      </c>
      <c r="E12" s="128">
        <f>VLOOKUP(B12,'Quality - 2'!$B$2:$S$22,18,FALSE)</f>
        <v>13.600000000000001</v>
      </c>
      <c r="F12" s="128">
        <f>VLOOKUP(B12,Safety!$B$4:$R$24,17,FALSE)</f>
        <v>54.500000000000007</v>
      </c>
      <c r="G12" s="134">
        <f t="shared" si="0"/>
        <v>49.966666666666669</v>
      </c>
      <c r="H12" s="134" cm="1">
        <f t="array" ref="H12">_xlfn.PERCENTRANK.EXC(_xlfn._xlws.FILTER($G$7:G$27, ISNUMBER($G$7:G$27)),G12)*100</f>
        <v>54.500000000000007</v>
      </c>
      <c r="I12" s="171">
        <f>VLOOKUP(B12,'LIQIDITY 2'!$A$3:$X$23,24,FALSE)</f>
        <v>4.5</v>
      </c>
      <c r="J12" s="126">
        <f ca="1">VLOOKUP(B12,'Momnetum ranking'!A:AJ,36,FALSE)</f>
        <v>50</v>
      </c>
      <c r="K12" s="173">
        <f>VLOOKUP(B12,'Momnetum ranking'!$A$3:$H$23,8,FALSE)</f>
        <v>0.19047619047619047</v>
      </c>
      <c r="L12" s="127">
        <f>VLOOKUP(B12,'Currency- 2'!$A$3:$U$23,21,FALSE)</f>
        <v>95.399999999999991</v>
      </c>
      <c r="M12" s="136">
        <f t="shared" ca="1" si="1"/>
        <v>45.428500999999997</v>
      </c>
      <c r="N12" s="127" cm="1">
        <f t="array" aca="1" ref="N12" ca="1">_xlfn.PERCENTRANK.EXC(_xlfn._xlws.FILTER($M$7:M$27, ISNUMBER($M$7:M$27)),M12)*100</f>
        <v>45.4</v>
      </c>
    </row>
    <row r="13" spans="2:16" x14ac:dyDescent="0.35">
      <c r="B13" s="80" t="s">
        <v>26</v>
      </c>
      <c r="C13" s="82" t="s">
        <v>41</v>
      </c>
      <c r="D13" s="128">
        <f>VLOOKUP(B13,'Value -2 '!$D$3:$AC$23,26,FALSE)</f>
        <v>77.2</v>
      </c>
      <c r="E13" s="128">
        <f>VLOOKUP(B13,'Quality - 2'!$B$2:$S$22,18,FALSE)</f>
        <v>86.3</v>
      </c>
      <c r="F13" s="128">
        <f>VLOOKUP(B13,Safety!$B$4:$R$24,17,FALSE)</f>
        <v>68.100000000000009</v>
      </c>
      <c r="G13" s="134">
        <f t="shared" si="0"/>
        <v>77.200000000000017</v>
      </c>
      <c r="H13" s="134" cm="1">
        <f t="array" ref="H13">_xlfn.PERCENTRANK.EXC(_xlfn._xlws.FILTER($G$7:G$27, ISNUMBER($G$7:G$27)),G13)*100</f>
        <v>90.9</v>
      </c>
      <c r="I13" s="171">
        <f>VLOOKUP(B13,'LIQIDITY 2'!$A$3:$X$23,24,FALSE)</f>
        <v>86.3</v>
      </c>
      <c r="J13" s="126">
        <f ca="1">VLOOKUP(B13,'Momnetum ranking'!A:AJ,36,FALSE)</f>
        <v>22.7</v>
      </c>
      <c r="K13" s="173">
        <f>VLOOKUP(B13,'Momnetum ranking'!$A$3:$H$23,8,FALSE)</f>
        <v>0.22995461422087746</v>
      </c>
      <c r="L13" s="127">
        <f>VLOOKUP(B13,'Currency- 2'!$A$3:$U$23,21,FALSE)</f>
        <v>77.2</v>
      </c>
      <c r="M13" s="136">
        <f t="shared" ca="1" si="1"/>
        <v>57.217684000000006</v>
      </c>
      <c r="N13" s="127" cm="1">
        <f t="array" aca="1" ref="N13" ca="1">_xlfn.PERCENTRANK.EXC(_xlfn._xlws.FILTER($M$7:M$27, ISNUMBER($M$7:M$27)),M13)*100</f>
        <v>77.2</v>
      </c>
    </row>
    <row r="14" spans="2:16" x14ac:dyDescent="0.35">
      <c r="B14" s="80" t="s">
        <v>432</v>
      </c>
      <c r="C14" s="82" t="s">
        <v>435</v>
      </c>
      <c r="D14" s="128">
        <f>VLOOKUP(B14,'Value -2 '!$D$3:$AC$23,26,FALSE)</f>
        <v>68.100000000000009</v>
      </c>
      <c r="E14" s="128">
        <f>VLOOKUP(B14,'Quality - 2'!$B$2:$S$22,18,FALSE)</f>
        <v>95.399999999999991</v>
      </c>
      <c r="F14" s="128">
        <f>VLOOKUP(B14,Safety!$B$4:$R$24,17,FALSE)</f>
        <v>81.8</v>
      </c>
      <c r="G14" s="134">
        <f t="shared" si="0"/>
        <v>81.766666666666666</v>
      </c>
      <c r="H14" s="134" cm="1">
        <f t="array" ref="H14">_xlfn.PERCENTRANK.EXC(_xlfn._xlws.FILTER($G$7:G$27, ISNUMBER($G$7:G$27)),G14)*100</f>
        <v>95.399999999999991</v>
      </c>
      <c r="I14" s="171">
        <f>VLOOKUP(B14,'LIQIDITY 2'!$A$3:$X$23,24,FALSE)</f>
        <v>86.3</v>
      </c>
      <c r="J14" s="126">
        <f ca="1">VLOOKUP(B14,'Momnetum ranking'!A:AJ,36,FALSE)</f>
        <v>40.9</v>
      </c>
      <c r="K14" s="173">
        <f>VLOOKUP(B14,'Momnetum ranking'!$A$3:$H$23,8,FALSE)</f>
        <v>0.19075144508670519</v>
      </c>
      <c r="L14" s="127">
        <f>VLOOKUP(B14,'Currency- 2'!$A$3:$U$23,21,FALSE)</f>
        <v>77.2</v>
      </c>
      <c r="M14" s="136">
        <f t="shared" ca="1" si="1"/>
        <v>65.867547000000002</v>
      </c>
      <c r="N14" s="127" cm="1">
        <f t="array" aca="1" ref="N14" ca="1">_xlfn.PERCENTRANK.EXC(_xlfn._xlws.FILTER($M$7:M$27, ISNUMBER($M$7:M$27)),M14)*100</f>
        <v>95.399999999999991</v>
      </c>
    </row>
    <row r="15" spans="2:16" x14ac:dyDescent="0.35">
      <c r="B15" s="80" t="s">
        <v>28</v>
      </c>
      <c r="C15" s="82" t="s">
        <v>443</v>
      </c>
      <c r="D15" s="128">
        <f>VLOOKUP(B15,'Value -2 '!$D$3:$AC$23,26,FALSE)</f>
        <v>95.399999999999991</v>
      </c>
      <c r="E15" s="128">
        <f>VLOOKUP(B15,'Quality - 2'!$B$2:$S$22,18,FALSE)</f>
        <v>4.5</v>
      </c>
      <c r="F15" s="128">
        <f>VLOOKUP(B15,Safety!$B$4:$R$24,17,FALSE)</f>
        <v>9</v>
      </c>
      <c r="G15" s="134">
        <f t="shared" si="0"/>
        <v>36.299999999999997</v>
      </c>
      <c r="H15" s="134" cm="1">
        <f t="array" ref="H15">_xlfn.PERCENTRANK.EXC(_xlfn._xlws.FILTER($G$7:G$27, ISNUMBER($G$7:G$27)),G15)*100</f>
        <v>18.099999999999998</v>
      </c>
      <c r="I15" s="171">
        <f>VLOOKUP(B15,'LIQIDITY 2'!$A$3:$X$23,24,FALSE)</f>
        <v>4.5</v>
      </c>
      <c r="J15" s="126">
        <f ca="1">VLOOKUP(B15,'Momnetum ranking'!A:AJ,36,FALSE)</f>
        <v>63.6</v>
      </c>
      <c r="K15" s="173">
        <f>VLOOKUP(B15,'Momnetum ranking'!$A$3:$H$23,8,FALSE)</f>
        <v>0.2</v>
      </c>
      <c r="L15" s="127">
        <f>VLOOKUP(B15,'Currency- 2'!$A$3:$U$23,21,FALSE)</f>
        <v>45.4</v>
      </c>
      <c r="M15" s="136">
        <f t="shared" ca="1" si="1"/>
        <v>41.768910999999996</v>
      </c>
      <c r="N15" s="127" cm="1">
        <f t="array" aca="1" ref="N15" ca="1">_xlfn.PERCENTRANK.EXC(_xlfn._xlws.FILTER($M$7:M$27, ISNUMBER($M$7:M$27)),M15)*100</f>
        <v>40.9</v>
      </c>
    </row>
    <row r="16" spans="2:16" x14ac:dyDescent="0.35">
      <c r="B16" s="80" t="s">
        <v>30</v>
      </c>
      <c r="C16" s="82" t="s">
        <v>438</v>
      </c>
      <c r="D16" s="128">
        <f>VLOOKUP(B16,'Value -2 '!$D$3:$AC$23,26,FALSE)</f>
        <v>59</v>
      </c>
      <c r="E16" s="128">
        <f>VLOOKUP(B16,'Quality - 2'!$B$2:$S$22,18,FALSE)</f>
        <v>45.4</v>
      </c>
      <c r="F16" s="128">
        <f>VLOOKUP(B16,Safety!$B$4:$R$24,17,FALSE)</f>
        <v>72.7</v>
      </c>
      <c r="G16" s="134">
        <f t="shared" si="0"/>
        <v>59.033333333333339</v>
      </c>
      <c r="H16" s="134" cm="1">
        <f t="array" ref="H16">_xlfn.PERCENTRANK.EXC(_xlfn._xlws.FILTER($G$7:G$27, ISNUMBER($G$7:G$27)),G16)*100</f>
        <v>68.100000000000009</v>
      </c>
      <c r="I16" s="171">
        <f>VLOOKUP(B16,'LIQIDITY 2'!$A$3:$X$23,24,FALSE)</f>
        <v>4.5</v>
      </c>
      <c r="J16" s="126">
        <f ca="1">VLOOKUP(B16,'Momnetum ranking'!A:AJ,36,FALSE)</f>
        <v>27.200000000000003</v>
      </c>
      <c r="K16" s="173">
        <f>VLOOKUP(B16,'Momnetum ranking'!$A$3:$H$23,8,FALSE)</f>
        <v>0.31428571428571428</v>
      </c>
      <c r="L16" s="127">
        <f>VLOOKUP(B16,'Currency- 2'!$A$3:$U$23,21,FALSE)</f>
        <v>27.200000000000003</v>
      </c>
      <c r="M16" s="136">
        <f t="shared" ca="1" si="1"/>
        <v>32.208229000000003</v>
      </c>
      <c r="N16" s="127" cm="1">
        <f t="array" aca="1" ref="N16" ca="1">_xlfn.PERCENTRANK.EXC(_xlfn._xlws.FILTER($M$7:M$27, ISNUMBER($M$7:M$27)),M16)*100</f>
        <v>22.7</v>
      </c>
    </row>
    <row r="17" spans="2:14" x14ac:dyDescent="0.35">
      <c r="B17" s="80" t="s">
        <v>33</v>
      </c>
      <c r="C17" s="82" t="s">
        <v>441</v>
      </c>
      <c r="D17" s="128">
        <f>VLOOKUP(B17,'Value -2 '!$D$3:$AC$23,26,FALSE)</f>
        <v>36.299999999999997</v>
      </c>
      <c r="E17" s="128">
        <f>VLOOKUP(B17,'Quality - 2'!$B$2:$S$22,18,FALSE)</f>
        <v>68.100000000000009</v>
      </c>
      <c r="F17" s="128">
        <f>VLOOKUP(B17,Safety!$B$4:$R$24,17,FALSE)</f>
        <v>40.9</v>
      </c>
      <c r="G17" s="134">
        <f t="shared" si="0"/>
        <v>48.433333333333337</v>
      </c>
      <c r="H17" s="134" cm="1">
        <f t="array" ref="H17">_xlfn.PERCENTRANK.EXC(_xlfn._xlws.FILTER($G$7:G$27, ISNUMBER($G$7:G$27)),G17)*100</f>
        <v>50</v>
      </c>
      <c r="I17" s="171">
        <f>VLOOKUP(B17,'LIQIDITY 2'!$A$3:$X$23,24,FALSE)</f>
        <v>4.5</v>
      </c>
      <c r="J17" s="126">
        <f ca="1">VLOOKUP(B17,'Momnetum ranking'!A:AJ,36,FALSE)</f>
        <v>77.2</v>
      </c>
      <c r="K17" s="173">
        <f>VLOOKUP(B17,'Momnetum ranking'!$A$3:$H$23,8,FALSE)</f>
        <v>0.23529411764705882</v>
      </c>
      <c r="L17" s="127">
        <f>VLOOKUP(B17,'Currency- 2'!$A$3:$U$23,21,FALSE)</f>
        <v>50</v>
      </c>
      <c r="M17" s="136">
        <f t="shared" ca="1" si="1"/>
        <v>51.308547000000004</v>
      </c>
      <c r="N17" s="127" cm="1">
        <f t="array" aca="1" ref="N17" ca="1">_xlfn.PERCENTRANK.EXC(_xlfn._xlws.FILTER($M$7:M$27, ISNUMBER($M$7:M$27)),M17)*100</f>
        <v>54.500000000000007</v>
      </c>
    </row>
    <row r="18" spans="2:14" x14ac:dyDescent="0.35">
      <c r="B18" s="80" t="s">
        <v>36</v>
      </c>
      <c r="C18" s="82" t="s">
        <v>449</v>
      </c>
      <c r="D18" s="128">
        <f>VLOOKUP(B18,'Value -2 '!$D$3:$AC$23,26,FALSE)</f>
        <v>13.600000000000001</v>
      </c>
      <c r="E18" s="128">
        <f>VLOOKUP(B18,'Quality - 2'!$B$2:$S$22,18,FALSE)</f>
        <v>36.299999999999997</v>
      </c>
      <c r="F18" s="128">
        <f>VLOOKUP(B18,Safety!$B$4:$R$24,17,FALSE)</f>
        <v>90.9</v>
      </c>
      <c r="G18" s="134">
        <f t="shared" si="0"/>
        <v>46.933333333333344</v>
      </c>
      <c r="H18" s="134" cm="1">
        <f t="array" ref="H18">_xlfn.PERCENTRANK.EXC(_xlfn._xlws.FILTER($G$7:G$27, ISNUMBER($G$7:G$27)),G18)*100</f>
        <v>45.4</v>
      </c>
      <c r="I18" s="171">
        <f>VLOOKUP(B18,'LIQIDITY 2'!$A$3:$X$23,24,FALSE)</f>
        <v>4.5</v>
      </c>
      <c r="J18" s="126">
        <f ca="1">VLOOKUP(B18,'Momnetum ranking'!A:AJ,36,FALSE)</f>
        <v>68.100000000000009</v>
      </c>
      <c r="K18" s="173">
        <f>VLOOKUP(B18,'Momnetum ranking'!$A$3:$H$23,8,FALSE)</f>
        <v>0.27049180327868855</v>
      </c>
      <c r="L18" s="127">
        <f>VLOOKUP(B18,'Currency- 2'!$A$3:$U$23,21,FALSE)</f>
        <v>86.3</v>
      </c>
      <c r="M18" s="136">
        <f t="shared" ca="1" si="1"/>
        <v>50.848592000000011</v>
      </c>
      <c r="N18" s="127" cm="1">
        <f t="array" aca="1" ref="N18" ca="1">_xlfn.PERCENTRANK.EXC(_xlfn._xlws.FILTER($M$7:M$27, ISNUMBER($M$7:M$27)),M18)*100</f>
        <v>50</v>
      </c>
    </row>
    <row r="19" spans="2:14" x14ac:dyDescent="0.35">
      <c r="B19" s="80" t="s">
        <v>7</v>
      </c>
      <c r="C19" s="82" t="s">
        <v>53</v>
      </c>
      <c r="D19" s="128">
        <f>VLOOKUP(B19,'Value -2 '!$D$3:$AC$23,26,FALSE)</f>
        <v>31.8</v>
      </c>
      <c r="E19" s="128">
        <f>VLOOKUP(B19,'Quality - 2'!$B$2:$S$22,18,FALSE)</f>
        <v>59</v>
      </c>
      <c r="F19" s="128">
        <f>VLOOKUP(B19,Safety!$B$4:$R$24,17,FALSE)</f>
        <v>31.8</v>
      </c>
      <c r="G19" s="134">
        <f t="shared" si="0"/>
        <v>40.866666666666667</v>
      </c>
      <c r="H19" s="134" cm="1">
        <f t="array" ref="H19">_xlfn.PERCENTRANK.EXC(_xlfn._xlws.FILTER($G$7:G$27, ISNUMBER($G$7:G$27)),G19)*100</f>
        <v>27.200000000000003</v>
      </c>
      <c r="I19" s="171">
        <f>VLOOKUP(B19,'LIQIDITY 2'!$A$3:$X$23,24,FALSE)</f>
        <v>63.6</v>
      </c>
      <c r="J19" s="126">
        <f ca="1">VLOOKUP(B19,'Momnetum ranking'!A:AJ,36,FALSE)</f>
        <v>59</v>
      </c>
      <c r="K19" s="173">
        <f>VLOOKUP(B19,'Momnetum ranking'!$A$3:$H$23,8,FALSE)</f>
        <v>0.31818181818181818</v>
      </c>
      <c r="L19" s="127">
        <f>VLOOKUP(B19,'Currency- 2'!$A$3:$U$23,21,FALSE)</f>
        <v>72.7</v>
      </c>
      <c r="M19" s="136">
        <f t="shared" ca="1" si="1"/>
        <v>55.848774000000006</v>
      </c>
      <c r="N19" s="127" cm="1">
        <f t="array" aca="1" ref="N19" ca="1">_xlfn.PERCENTRANK.EXC(_xlfn._xlws.FILTER($M$7:M$27, ISNUMBER($M$7:M$27)),M19)*100</f>
        <v>63.6</v>
      </c>
    </row>
    <row r="20" spans="2:14" x14ac:dyDescent="0.35">
      <c r="B20" s="80" t="s">
        <v>29</v>
      </c>
      <c r="C20" s="82" t="s">
        <v>440</v>
      </c>
      <c r="D20" s="128">
        <f>VLOOKUP(B20,'Value -2 '!$D$3:$AC$23,26,FALSE)</f>
        <v>18.099999999999998</v>
      </c>
      <c r="E20" s="128">
        <f>VLOOKUP(B20,'Quality - 2'!$B$2:$S$22,18,FALSE)</f>
        <v>31.8</v>
      </c>
      <c r="F20" s="128">
        <f>VLOOKUP(B20,Safety!$B$4:$R$24,17,FALSE)</f>
        <v>18.099999999999998</v>
      </c>
      <c r="G20" s="134">
        <f t="shared" si="0"/>
        <v>22.666666666666668</v>
      </c>
      <c r="H20" s="134" cm="1">
        <f t="array" ref="H20">_xlfn.PERCENTRANK.EXC(_xlfn._xlws.FILTER($G$7:G$27, ISNUMBER($G$7:G$27)),G20)*100</f>
        <v>9</v>
      </c>
      <c r="I20" s="171">
        <f>VLOOKUP(B20,'LIQIDITY 2'!$A$3:$X$23,24,FALSE)</f>
        <v>63.6</v>
      </c>
      <c r="J20" s="126">
        <f ca="1">VLOOKUP(B20,'Momnetum ranking'!A:AJ,36,FALSE)</f>
        <v>95.399999999999991</v>
      </c>
      <c r="K20" s="173">
        <f>VLOOKUP(B20,'Momnetum ranking'!$A$3:$H$23,8,FALSE)</f>
        <v>0.23076923076923078</v>
      </c>
      <c r="L20" s="127">
        <f>VLOOKUP(B20,'Currency- 2'!$A$3:$U$23,21,FALSE)</f>
        <v>59</v>
      </c>
      <c r="M20" s="136">
        <f t="shared" ca="1" si="1"/>
        <v>63.579319999999996</v>
      </c>
      <c r="N20" s="127" cm="1">
        <f t="array" aca="1" ref="N20" ca="1">_xlfn.PERCENTRANK.EXC(_xlfn._xlws.FILTER($M$7:M$27, ISNUMBER($M$7:M$27)),M20)*100</f>
        <v>81.8</v>
      </c>
    </row>
    <row r="21" spans="2:14" x14ac:dyDescent="0.35">
      <c r="B21" s="80" t="s">
        <v>757</v>
      </c>
      <c r="C21" s="82" t="s">
        <v>758</v>
      </c>
      <c r="D21" s="128">
        <f>VLOOKUP(B21,'Value -2 '!$D$3:$AC$23,26,FALSE)</f>
        <v>45.4</v>
      </c>
      <c r="E21" s="128">
        <f>VLOOKUP(B21,'Quality - 2'!$B$2:$S$22,18,FALSE)</f>
        <v>72.7</v>
      </c>
      <c r="F21" s="128">
        <f>VLOOKUP(B21,Safety!$B$4:$R$24,17,FALSE)</f>
        <v>95.399999999999991</v>
      </c>
      <c r="G21" s="134">
        <f t="shared" si="0"/>
        <v>71.166666666666671</v>
      </c>
      <c r="H21" s="134" cm="1">
        <f t="array" ref="H21">_xlfn.PERCENTRANK.EXC(_xlfn._xlws.FILTER($G$7:G$27, ISNUMBER($G$7:G$27)),G21)*100</f>
        <v>86.3</v>
      </c>
      <c r="I21" s="171">
        <f>VLOOKUP(B21,'LIQIDITY 2'!$A$3:$X$23,24,FALSE)</f>
        <v>50</v>
      </c>
      <c r="J21" s="126">
        <f ca="1">VLOOKUP(B21,'Momnetum ranking'!A:AJ,36,FALSE)</f>
        <v>18.099999999999998</v>
      </c>
      <c r="K21" s="173">
        <f>VLOOKUP(B21,'Momnetum ranking'!$A$3:$H$23,8,FALSE)</f>
        <v>60</v>
      </c>
      <c r="L21" s="127">
        <f>VLOOKUP(B21,'Currency- 2'!$A$3:$U$23,21,FALSE)</f>
        <v>31.8</v>
      </c>
      <c r="M21" s="136">
        <f t="shared" ca="1" si="1"/>
        <v>41.767865</v>
      </c>
      <c r="N21" s="127" cm="1">
        <f t="array" aca="1" ref="N21" ca="1">_xlfn.PERCENTRANK.EXC(_xlfn._xlws.FILTER($M$7:M$27, ISNUMBER($M$7:M$27)),M21)*100</f>
        <v>36.299999999999997</v>
      </c>
    </row>
    <row r="22" spans="2:14" x14ac:dyDescent="0.35">
      <c r="B22" s="80" t="s">
        <v>22</v>
      </c>
      <c r="C22" s="82" t="s">
        <v>442</v>
      </c>
      <c r="D22" s="128">
        <f>VLOOKUP(B22,'Value -2 '!$D$3:$AC$23,26,FALSE)</f>
        <v>40.9</v>
      </c>
      <c r="E22" s="128">
        <f>VLOOKUP(B22,'Quality - 2'!$B$2:$S$22,18,FALSE)</f>
        <v>22.7</v>
      </c>
      <c r="F22" s="128">
        <f>VLOOKUP(B22,Safety!$B$4:$R$24,17,FALSE)</f>
        <v>63.6</v>
      </c>
      <c r="G22" s="134">
        <f t="shared" si="0"/>
        <v>42.4</v>
      </c>
      <c r="H22" s="134" cm="1">
        <f t="array" ref="H22">_xlfn.PERCENTRANK.EXC(_xlfn._xlws.FILTER($G$7:G$27, ISNUMBER($G$7:G$27)),G22)*100</f>
        <v>36.299999999999997</v>
      </c>
      <c r="I22" s="171">
        <f>VLOOKUP(B22,'LIQIDITY 2'!$A$3:$X$23,24,FALSE)</f>
        <v>4.5</v>
      </c>
      <c r="J22" s="126">
        <f ca="1">VLOOKUP(B22,'Momnetum ranking'!A:AJ,36,FALSE)</f>
        <v>31.8</v>
      </c>
      <c r="K22" s="173">
        <f>VLOOKUP(B22,'Momnetum ranking'!$A$3:$H$23,8,FALSE)</f>
        <v>0.29411764705882354</v>
      </c>
      <c r="L22" s="127">
        <f>VLOOKUP(B22,'Currency- 2'!$A$3:$U$23,21,FALSE)</f>
        <v>18.099999999999998</v>
      </c>
      <c r="M22" s="136">
        <f t="shared" ca="1" si="1"/>
        <v>28.148727999999998</v>
      </c>
      <c r="N22" s="127" cm="1">
        <f t="array" aca="1" ref="N22" ca="1">_xlfn.PERCENTRANK.EXC(_xlfn._xlws.FILTER($M$7:M$27, ISNUMBER($M$7:M$27)),M22)*100</f>
        <v>13.600000000000001</v>
      </c>
    </row>
    <row r="23" spans="2:14" x14ac:dyDescent="0.35">
      <c r="B23" s="80" t="s">
        <v>37</v>
      </c>
      <c r="C23" s="82" t="s">
        <v>448</v>
      </c>
      <c r="D23" s="128">
        <f>VLOOKUP(B23,'Value -2 '!$D$3:$AC$23,26,FALSE)</f>
        <v>9</v>
      </c>
      <c r="E23" s="128">
        <f>VLOOKUP(B23,'Quality - 2'!$B$2:$S$22,18,FALSE)</f>
        <v>27.200000000000003</v>
      </c>
      <c r="F23" s="128">
        <f>VLOOKUP(B23,Safety!$B$4:$R$24,17,FALSE)</f>
        <v>22.7</v>
      </c>
      <c r="G23" s="134">
        <f t="shared" si="0"/>
        <v>19.633333333333336</v>
      </c>
      <c r="H23" s="134" cm="1">
        <f t="array" ref="H23">_xlfn.PERCENTRANK.EXC(_xlfn._xlws.FILTER($G$7:G$27, ISNUMBER($G$7:G$27)),G23)*100</f>
        <v>4.5</v>
      </c>
      <c r="I23" s="171">
        <f>VLOOKUP(B23,'LIQIDITY 2'!$A$3:$X$23,24,FALSE)</f>
        <v>63.6</v>
      </c>
      <c r="J23" s="126">
        <f ca="1">VLOOKUP(B23,'Momnetum ranking'!A:AJ,36,FALSE)</f>
        <v>4.5</v>
      </c>
      <c r="K23" s="173">
        <f>VLOOKUP(B23,'Momnetum ranking'!$A$3:$H$23,8,FALSE)</f>
        <v>0.2608695652173913</v>
      </c>
      <c r="L23" s="127">
        <f>VLOOKUP(B23,'Currency- 2'!$A$3:$U$23,21,FALSE)</f>
        <v>40.9</v>
      </c>
      <c r="M23" s="136">
        <f t="shared" ca="1" si="1"/>
        <v>24.499411000000002</v>
      </c>
      <c r="N23" s="127" cm="1">
        <f t="array" aca="1" ref="N23" ca="1">_xlfn.PERCENTRANK.EXC(_xlfn._xlws.FILTER($M$7:M$27, ISNUMBER($M$7:M$27)),M23)*100</f>
        <v>4.5</v>
      </c>
    </row>
    <row r="24" spans="2:14" x14ac:dyDescent="0.35">
      <c r="B24" s="80" t="s">
        <v>25</v>
      </c>
      <c r="C24" s="82" t="s">
        <v>446</v>
      </c>
      <c r="D24" s="128">
        <f>VLOOKUP(B24,'Value -2 '!$D$3:$AC$23,26,FALSE)</f>
        <v>54.500000000000007</v>
      </c>
      <c r="E24" s="128">
        <f>VLOOKUP(B24,'Quality - 2'!$B$2:$S$22,18,FALSE)</f>
        <v>63.6</v>
      </c>
      <c r="F24" s="128">
        <f>VLOOKUP(B24,Safety!$B$4:$R$24,17,FALSE)</f>
        <v>9</v>
      </c>
      <c r="G24" s="134">
        <f t="shared" si="0"/>
        <v>42.366666666666674</v>
      </c>
      <c r="H24" s="134" cm="1">
        <f t="array" ref="H24">_xlfn.PERCENTRANK.EXC(_xlfn._xlws.FILTER($G$7:G$27, ISNUMBER($G$7:G$27)),G24)*100</f>
        <v>31.8</v>
      </c>
      <c r="I24" s="171">
        <f>VLOOKUP(B24,'LIQIDITY 2'!$A$3:$X$23,24,FALSE)</f>
        <v>50</v>
      </c>
      <c r="J24" s="126">
        <f ca="1">VLOOKUP(B24,'Momnetum ranking'!A:AJ,36,FALSE)</f>
        <v>81.8</v>
      </c>
      <c r="K24" s="173">
        <f>VLOOKUP(B24,'Momnetum ranking'!$A$3:$H$23,8,FALSE)</f>
        <v>0.12244897959183673</v>
      </c>
      <c r="L24" s="127">
        <f>VLOOKUP(B24,'Currency- 2'!$A$3:$U$23,21,FALSE)</f>
        <v>4.5</v>
      </c>
      <c r="M24" s="136">
        <f t="shared" ca="1" si="1"/>
        <v>55.878729</v>
      </c>
      <c r="N24" s="127" cm="1">
        <f t="array" aca="1" ref="N24" ca="1">_xlfn.PERCENTRANK.EXC(_xlfn._xlws.FILTER($M$7:M$27, ISNUMBER($M$7:M$27)),M24)*100</f>
        <v>68.100000000000009</v>
      </c>
    </row>
    <row r="25" spans="2:14" x14ac:dyDescent="0.35">
      <c r="B25" s="80" t="s">
        <v>27</v>
      </c>
      <c r="C25" s="82" t="s">
        <v>436</v>
      </c>
      <c r="D25" s="128">
        <f>VLOOKUP(B25,'Value -2 '!$D$3:$AC$23,26,FALSE)</f>
        <v>90.9</v>
      </c>
      <c r="E25" s="128">
        <f>VLOOKUP(B25,'Quality - 2'!$B$2:$S$22,18,FALSE)</f>
        <v>50</v>
      </c>
      <c r="F25" s="128">
        <f>VLOOKUP(B25,Safety!$B$4:$R$24,17,FALSE)</f>
        <v>36.299999999999997</v>
      </c>
      <c r="G25" s="134">
        <f t="shared" si="0"/>
        <v>59.066666666666677</v>
      </c>
      <c r="H25" s="134" cm="1">
        <f t="array" ref="H25">_xlfn.PERCENTRANK.EXC(_xlfn._xlws.FILTER($G$7:G$27, ISNUMBER($G$7:G$27)),G25)*100</f>
        <v>72.7</v>
      </c>
      <c r="I25" s="171">
        <f>VLOOKUP(B25,'LIQIDITY 2'!$A$3:$X$23,24,FALSE)</f>
        <v>86.3</v>
      </c>
      <c r="J25" s="126">
        <f ca="1">VLOOKUP(B25,'Momnetum ranking'!A:AJ,36,FALSE)</f>
        <v>45.4</v>
      </c>
      <c r="K25" s="173">
        <f>VLOOKUP(B25,'Momnetum ranking'!$A$3:$H$23,8,FALSE)</f>
        <v>0.27586206896551724</v>
      </c>
      <c r="L25" s="127">
        <f>VLOOKUP(B25,'Currency- 2'!$A$3:$U$23,21,FALSE)</f>
        <v>13.600000000000001</v>
      </c>
      <c r="M25" s="136">
        <f t="shared" ca="1" si="1"/>
        <v>54.498227999999997</v>
      </c>
      <c r="N25" s="127" cm="1">
        <f t="array" aca="1" ref="N25" ca="1">_xlfn.PERCENTRANK.EXC(_xlfn._xlws.FILTER($M$7:M$27, ISNUMBER($M$7:M$27)),M25)*100</f>
        <v>59</v>
      </c>
    </row>
    <row r="26" spans="2:14" x14ac:dyDescent="0.35">
      <c r="B26" s="80" t="s">
        <v>31</v>
      </c>
      <c r="C26" s="82" t="s">
        <v>444</v>
      </c>
      <c r="D26" s="128">
        <f>VLOOKUP(B26,'Value -2 '!$D$3:$AC$23,26,FALSE)</f>
        <v>63.6</v>
      </c>
      <c r="E26" s="128">
        <f>VLOOKUP(B26,'Quality - 2'!$B$2:$S$22,18,FALSE)</f>
        <v>40.9</v>
      </c>
      <c r="F26" s="128">
        <f>VLOOKUP(B26,Safety!$B$4:$R$24,17,FALSE)</f>
        <v>50</v>
      </c>
      <c r="G26" s="134">
        <f t="shared" si="0"/>
        <v>51.500000000000007</v>
      </c>
      <c r="H26" s="134" cm="1">
        <f t="array" ref="H26">_xlfn.PERCENTRANK.EXC(_xlfn._xlws.FILTER($G$7:G$27, ISNUMBER($G$7:G$27)),G26)*100</f>
        <v>59</v>
      </c>
      <c r="I26" s="171">
        <f>VLOOKUP(B26,'LIQIDITY 2'!$A$3:$X$23,24,FALSE)</f>
        <v>4.5</v>
      </c>
      <c r="J26" s="126">
        <f ca="1">VLOOKUP(B26,'Momnetum ranking'!A:AJ,36,FALSE)</f>
        <v>36.299999999999997</v>
      </c>
      <c r="K26" s="173">
        <f>VLOOKUP(B26,'Momnetum ranking'!$A$3:$H$23,8,FALSE)</f>
        <v>0.17647058823529413</v>
      </c>
      <c r="L26" s="127">
        <f>VLOOKUP(B26,'Currency- 2'!$A$3:$U$23,21,FALSE)</f>
        <v>90.9</v>
      </c>
      <c r="M26" s="136">
        <f t="shared" ca="1" si="1"/>
        <v>39.958455000000001</v>
      </c>
      <c r="N26" s="127" cm="1">
        <f t="array" aca="1" ref="N26" ca="1">_xlfn.PERCENTRANK.EXC(_xlfn._xlws.FILTER($M$7:M$27, ISNUMBER($M$7:M$27)),M26)*100</f>
        <v>27.200000000000003</v>
      </c>
    </row>
    <row r="27" spans="2:14" x14ac:dyDescent="0.35">
      <c r="B27" s="81" t="s">
        <v>35</v>
      </c>
      <c r="C27" s="83" t="s">
        <v>437</v>
      </c>
      <c r="D27" s="129">
        <f>VLOOKUP(B27,'Value -2 '!$D$3:$AC$23,26,FALSE)</f>
        <v>50</v>
      </c>
      <c r="E27" s="129">
        <f>VLOOKUP(B27,'Quality - 2'!$B$2:$S$22,18,FALSE)</f>
        <v>50</v>
      </c>
      <c r="F27" s="129">
        <f>VLOOKUP(B27,Safety!$B$4:$R$24,17,FALSE)</f>
        <v>86.3</v>
      </c>
      <c r="G27" s="135">
        <f t="shared" si="0"/>
        <v>62.1</v>
      </c>
      <c r="H27" s="135" cm="1">
        <f t="array" ref="H27">_xlfn.PERCENTRANK.EXC(_xlfn._xlws.FILTER($G$7:G$27, ISNUMBER($G$7:G$27)),G27)*100</f>
        <v>77.2</v>
      </c>
      <c r="I27" s="172">
        <f>VLOOKUP(B27,'LIQIDITY 2'!$A$3:$X$23,24,FALSE)</f>
        <v>4.5</v>
      </c>
      <c r="J27" s="130">
        <f ca="1">VLOOKUP(B27,'Momnetum ranking'!A:AJ,36,FALSE)</f>
        <v>9</v>
      </c>
      <c r="K27" s="174">
        <f>VLOOKUP(B27,'Momnetum ranking'!$A$3:$H$23,8,FALSE)</f>
        <v>0.27272727272727271</v>
      </c>
      <c r="L27" s="131">
        <f>VLOOKUP(B27,'Currency- 2'!$A$3:$U$23,21,FALSE)</f>
        <v>36.299999999999997</v>
      </c>
      <c r="M27" s="137">
        <f t="shared" ca="1" si="1"/>
        <v>26.758136999999998</v>
      </c>
      <c r="N27" s="131" cm="1">
        <f t="array" aca="1" ref="N27" ca="1">_xlfn.PERCENTRANK.EXC(_xlfn._xlws.FILTER($M$7:M$27, ISNUMBER($M$7:M$27)),M27)*100</f>
        <v>9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2" zoomScale="82" zoomScaleNormal="82" workbookViewId="0">
      <selection activeCell="R12" sqref="R12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40" t="s">
        <v>848</v>
      </c>
      <c r="D2" s="141">
        <v>0.5</v>
      </c>
      <c r="E2" s="65" t="s">
        <v>862</v>
      </c>
      <c r="F2" s="138">
        <v>0.1</v>
      </c>
      <c r="R2" s="159" t="s">
        <v>888</v>
      </c>
      <c r="S2" s="159" t="s">
        <v>888</v>
      </c>
    </row>
    <row r="3" spans="2:21" ht="15" thickBot="1" x14ac:dyDescent="0.4">
      <c r="C3" s="142" t="s">
        <v>849</v>
      </c>
      <c r="D3" s="143">
        <v>70</v>
      </c>
      <c r="E3" s="59" t="s">
        <v>850</v>
      </c>
      <c r="F3" s="61">
        <v>50</v>
      </c>
      <c r="R3" s="163">
        <f ca="1">COUNTIF(R9:R29,"&gt;0")</f>
        <v>17</v>
      </c>
      <c r="S3" s="163">
        <f ca="1">COUNTIF(S9:S29,"&gt;0")</f>
        <v>15</v>
      </c>
    </row>
    <row r="4" spans="2:21" ht="15" thickBot="1" x14ac:dyDescent="0.4">
      <c r="C4" s="142" t="s">
        <v>851</v>
      </c>
      <c r="D4" s="144">
        <v>0.3</v>
      </c>
      <c r="E4" s="59" t="s">
        <v>857</v>
      </c>
      <c r="F4" s="139">
        <v>0.1</v>
      </c>
    </row>
    <row r="5" spans="2:21" ht="15" thickBot="1" x14ac:dyDescent="0.4">
      <c r="C5" s="145" t="s">
        <v>852</v>
      </c>
      <c r="D5" s="146">
        <v>70</v>
      </c>
      <c r="E5" s="12" t="s">
        <v>849</v>
      </c>
      <c r="F5" s="14">
        <v>60</v>
      </c>
      <c r="Q5" s="65" t="s">
        <v>886</v>
      </c>
      <c r="R5" s="11"/>
    </row>
    <row r="6" spans="2:21" ht="15" thickBot="1" x14ac:dyDescent="0.4">
      <c r="Q6" s="12" t="s">
        <v>887</v>
      </c>
      <c r="R6" s="162">
        <v>0.01</v>
      </c>
    </row>
    <row r="7" spans="2:21" ht="15" thickBot="1" x14ac:dyDescent="0.4"/>
    <row r="8" spans="2:21" ht="15" thickBot="1" x14ac:dyDescent="0.4">
      <c r="B8" s="150" t="s">
        <v>853</v>
      </c>
      <c r="C8" s="151" t="s">
        <v>529</v>
      </c>
      <c r="D8" s="151" t="s">
        <v>555</v>
      </c>
      <c r="E8" s="151" t="s">
        <v>854</v>
      </c>
      <c r="F8" s="151" t="s">
        <v>554</v>
      </c>
      <c r="G8" s="151" t="s">
        <v>556</v>
      </c>
      <c r="H8" s="151" t="s">
        <v>557</v>
      </c>
      <c r="I8" s="151" t="s">
        <v>560</v>
      </c>
      <c r="J8" s="151" t="s">
        <v>858</v>
      </c>
      <c r="K8" s="151" t="s">
        <v>890</v>
      </c>
      <c r="L8" s="151" t="s">
        <v>859</v>
      </c>
      <c r="M8" s="151" t="s">
        <v>895</v>
      </c>
      <c r="N8" s="151" t="s">
        <v>860</v>
      </c>
      <c r="O8" s="151" t="s">
        <v>891</v>
      </c>
      <c r="P8" s="151" t="s">
        <v>861</v>
      </c>
      <c r="Q8" s="151" t="s">
        <v>892</v>
      </c>
      <c r="R8" s="151" t="s">
        <v>893</v>
      </c>
      <c r="S8" s="165" t="s">
        <v>894</v>
      </c>
    </row>
    <row r="9" spans="2:21" x14ac:dyDescent="0.35">
      <c r="B9" s="65" t="s">
        <v>432</v>
      </c>
      <c r="C9" s="10" t="str" cm="1">
        <f t="array" ref="C9">_xll.FDS(B9,"FG_COMPANY_NAME")</f>
        <v>iShares MSCI China A ETF</v>
      </c>
      <c r="D9" s="10" t="s">
        <v>615</v>
      </c>
      <c r="E9" s="175">
        <f>HLOOKUP(B9,'Monthly Returns'!$A$1:$V$139,139,FALSE)</f>
        <v>0.20343692565638696</v>
      </c>
      <c r="F9" s="10">
        <f ca="1">VLOOKUP(B9,OUTPUT_COUNTRY!$B$7:$N$27, 9, FALSE)</f>
        <v>40.9</v>
      </c>
      <c r="G9" s="176">
        <f>VLOOKUP(B9,OUTPUT_COUNTRY!$B$7:$N$27, 7, FALSE)</f>
        <v>95.399999999999991</v>
      </c>
      <c r="H9" s="10">
        <f>VLOOKUP(B9,OUTPUT_COUNTRY!$B$7:$N$27, 8, FALSE)</f>
        <v>86.3</v>
      </c>
      <c r="I9" s="10">
        <f>VLOOKUP(B9,OUTPUT_COUNTRY!$B$7:$N$27, 11, FALSE)</f>
        <v>77.2</v>
      </c>
      <c r="J9" s="176">
        <f t="shared" ref="J9:J29" ca="1" si="0">IF(F9&gt;=$D$3,1/E9,0)</f>
        <v>0</v>
      </c>
      <c r="K9" s="175">
        <f t="shared" ref="K9:K29" ca="1" si="1">J9/$J$30</f>
        <v>0</v>
      </c>
      <c r="L9" s="10">
        <f t="shared" ref="L9:L29" si="2">IF(G9&gt;=$D$5,1/E9,0)</f>
        <v>4.9155284704264535</v>
      </c>
      <c r="M9" s="175">
        <f t="shared" ref="M9:M29" si="3">L9/$L$30</f>
        <v>0.18346610179961603</v>
      </c>
      <c r="N9" s="10">
        <f>IF(H9&gt;=$F$3,1/E9,0)</f>
        <v>4.9155284704264535</v>
      </c>
      <c r="O9" s="175">
        <f t="shared" ref="O9:O29" si="4">N9/$N$30</f>
        <v>0.11328262953626717</v>
      </c>
      <c r="P9" s="10">
        <f>IF(I9&gt;=$F$5,1/E9,0)</f>
        <v>4.9155284704264535</v>
      </c>
      <c r="Q9" s="175">
        <f t="shared" ref="Q9:Q29" si="5">P9/$P$30</f>
        <v>0.13061255342385028</v>
      </c>
      <c r="R9" s="175">
        <f t="shared" ref="R9:R29" ca="1" si="6">IF($D$2*K9+$D$4*M9+$F$2*O9+$F$4*Q9 = 0,"",$D$2*K9+$D$4*M9+$F$2*O9+$F$4*Q9)</f>
        <v>7.9429348835896557E-2</v>
      </c>
      <c r="S9" s="177">
        <f t="shared" ref="S9:S29" ca="1" si="7">IFERROR(IF(R9&gt;=$R$6, R9/SUMIF($R$9:$R$29,"&gt;="&amp;$R$6), ""),"")</f>
        <v>8.0707228713078949E-2</v>
      </c>
      <c r="U9" s="52"/>
    </row>
    <row r="10" spans="2:21" x14ac:dyDescent="0.35">
      <c r="B10" s="59" t="s">
        <v>27</v>
      </c>
      <c r="C10" t="str" cm="1">
        <f t="array" ref="C10">_xll.FDS(B10,"FG_COMPANY_NAME")</f>
        <v>iShares MSCI Chile ETF</v>
      </c>
      <c r="D10" t="s">
        <v>614</v>
      </c>
      <c r="E10" s="147">
        <f>HLOOKUP(B10,'Monthly Returns'!$A$1:$V$139,139,FALSE)</f>
        <v>0.29694739704462131</v>
      </c>
      <c r="F10">
        <f ca="1">VLOOKUP(B10,OUTPUT_COUNTRY!$B$7:$N$27, 9, FALSE)</f>
        <v>45.4</v>
      </c>
      <c r="G10" s="47">
        <f>VLOOKUP(B10,OUTPUT_COUNTRY!$B$7:$N$27, 7, FALSE)</f>
        <v>72.7</v>
      </c>
      <c r="H10">
        <f>VLOOKUP(B10,OUTPUT_COUNTRY!$B$7:$N$27, 8, FALSE)</f>
        <v>86.3</v>
      </c>
      <c r="I10">
        <f>VLOOKUP(B10,OUTPUT_COUNTRY!$B$7:$N$27, 11, FALSE)</f>
        <v>13.600000000000001</v>
      </c>
      <c r="J10" s="47">
        <f t="shared" ca="1" si="0"/>
        <v>0</v>
      </c>
      <c r="K10" s="147">
        <f t="shared" ca="1" si="1"/>
        <v>0</v>
      </c>
      <c r="L10">
        <f t="shared" si="2"/>
        <v>3.3675998171815369</v>
      </c>
      <c r="M10" s="147">
        <f t="shared" si="3"/>
        <v>0.1256915537355833</v>
      </c>
      <c r="N10">
        <f t="shared" ref="N10:N29" si="8">IF(H10&gt;=$F$3,1/E10,0)</f>
        <v>3.3675998171815369</v>
      </c>
      <c r="O10" s="147">
        <f t="shared" si="4"/>
        <v>7.760926720521677E-2</v>
      </c>
      <c r="P10">
        <f t="shared" ref="P10:P29" si="9">IF(I10&gt;=$F$5,1/E10,0)</f>
        <v>0</v>
      </c>
      <c r="Q10" s="147">
        <f t="shared" si="5"/>
        <v>0</v>
      </c>
      <c r="R10" s="147">
        <f t="shared" ca="1" si="6"/>
        <v>4.5468392841196664E-2</v>
      </c>
      <c r="S10" s="166">
        <f t="shared" ca="1" si="7"/>
        <v>4.619990008771372E-2</v>
      </c>
      <c r="U10" s="52"/>
    </row>
    <row r="11" spans="2:21" x14ac:dyDescent="0.35">
      <c r="B11" s="59" t="s">
        <v>35</v>
      </c>
      <c r="C11" t="str" cm="1">
        <f t="array" ref="C11">_xll.FDS(B11,"FG_COMPANY_NAME")</f>
        <v>iShares MSCI Indonesia ETF</v>
      </c>
      <c r="D11" t="s">
        <v>651</v>
      </c>
      <c r="E11" s="147">
        <f>HLOOKUP(B11,'Monthly Returns'!$A$1:$V$139,139,FALSE)</f>
        <v>0.26467112474169624</v>
      </c>
      <c r="F11">
        <f ca="1">VLOOKUP(B11,OUTPUT_COUNTRY!$B$7:$N$27, 9, FALSE)</f>
        <v>9</v>
      </c>
      <c r="G11" s="47">
        <f>VLOOKUP(B11,OUTPUT_COUNTRY!$B$7:$N$27, 7, FALSE)</f>
        <v>77.2</v>
      </c>
      <c r="H11">
        <f>VLOOKUP(B11,OUTPUT_COUNTRY!$B$7:$N$27, 8, FALSE)</f>
        <v>4.5</v>
      </c>
      <c r="I11">
        <f>VLOOKUP(B11,OUTPUT_COUNTRY!$B$7:$N$27, 11, FALSE)</f>
        <v>36.299999999999997</v>
      </c>
      <c r="J11" s="47">
        <f t="shared" ca="1" si="0"/>
        <v>0</v>
      </c>
      <c r="K11" s="147">
        <f t="shared" ca="1" si="1"/>
        <v>0</v>
      </c>
      <c r="L11">
        <f t="shared" si="2"/>
        <v>3.7782738898168144</v>
      </c>
      <c r="M11" s="147">
        <f t="shared" si="3"/>
        <v>0.1410194623561655</v>
      </c>
      <c r="N11">
        <f t="shared" si="8"/>
        <v>0</v>
      </c>
      <c r="O11" s="147">
        <f t="shared" si="4"/>
        <v>0</v>
      </c>
      <c r="P11">
        <f t="shared" si="9"/>
        <v>0</v>
      </c>
      <c r="Q11" s="147">
        <f t="shared" si="5"/>
        <v>0</v>
      </c>
      <c r="R11" s="147">
        <f t="shared" ca="1" si="6"/>
        <v>4.2305838706849647E-2</v>
      </c>
      <c r="S11" s="166">
        <f t="shared" ca="1" si="7"/>
        <v>4.2986465965704566E-2</v>
      </c>
      <c r="U11" s="52"/>
    </row>
    <row r="12" spans="2:21" x14ac:dyDescent="0.35">
      <c r="B12" s="59" t="s">
        <v>30</v>
      </c>
      <c r="C12" t="str" cm="1">
        <f t="array" ref="C12">_xll.FDS(B12,"FG_COMPANY_NAME")</f>
        <v>iShares MSCI Philippines ETF</v>
      </c>
      <c r="D12" t="s">
        <v>699</v>
      </c>
      <c r="E12" s="147">
        <f>HLOOKUP(B12,'Monthly Returns'!$A$1:$V$139,139,FALSE)</f>
        <v>0.2670713122929349</v>
      </c>
      <c r="F12">
        <f ca="1">VLOOKUP(B12,OUTPUT_COUNTRY!$B$7:$N$27, 9, FALSE)</f>
        <v>27.200000000000003</v>
      </c>
      <c r="G12" s="47">
        <f>VLOOKUP(B12,OUTPUT_COUNTRY!$B$7:$N$27, 7, FALSE)</f>
        <v>68.100000000000009</v>
      </c>
      <c r="H12">
        <f>VLOOKUP(B12,OUTPUT_COUNTRY!$B$7:$N$27, 8, FALSE)</f>
        <v>4.5</v>
      </c>
      <c r="I12">
        <f>VLOOKUP(B12,OUTPUT_COUNTRY!$B$7:$N$27, 11, FALSE)</f>
        <v>27.200000000000003</v>
      </c>
      <c r="J12" s="47">
        <f t="shared" ca="1" si="0"/>
        <v>0</v>
      </c>
      <c r="K12" s="147">
        <f t="shared" ca="1" si="1"/>
        <v>0</v>
      </c>
      <c r="L12">
        <f t="shared" si="2"/>
        <v>0</v>
      </c>
      <c r="M12" s="147">
        <f t="shared" si="3"/>
        <v>0</v>
      </c>
      <c r="N12">
        <f t="shared" si="8"/>
        <v>0</v>
      </c>
      <c r="O12" s="147">
        <f t="shared" si="4"/>
        <v>0</v>
      </c>
      <c r="P12">
        <f t="shared" si="9"/>
        <v>0</v>
      </c>
      <c r="Q12" s="147">
        <f t="shared" si="5"/>
        <v>0</v>
      </c>
      <c r="R12" s="147" t="str">
        <f t="shared" ca="1" si="6"/>
        <v/>
      </c>
      <c r="S12" s="166" t="str">
        <f t="shared" ca="1" si="7"/>
        <v/>
      </c>
      <c r="U12" s="52"/>
    </row>
    <row r="13" spans="2:21" x14ac:dyDescent="0.35">
      <c r="B13" s="59" t="s">
        <v>23</v>
      </c>
      <c r="C13" t="str" cm="1">
        <f t="array" ref="C13">_xll.FDS(B13,"FG_COMPANY_NAME")</f>
        <v>iShares MSCI Poland ETF</v>
      </c>
      <c r="D13" t="s">
        <v>700</v>
      </c>
      <c r="E13" s="147">
        <f>HLOOKUP(B13,'Monthly Returns'!$A$1:$V$139,139,FALSE)</f>
        <v>0.30616168256165632</v>
      </c>
      <c r="F13">
        <f ca="1">VLOOKUP(B13,OUTPUT_COUNTRY!$B$7:$N$27, 9, FALSE)</f>
        <v>90.9</v>
      </c>
      <c r="G13" s="47">
        <f>VLOOKUP(B13,OUTPUT_COUNTRY!$B$7:$N$27, 7, FALSE)</f>
        <v>13.600000000000001</v>
      </c>
      <c r="H13">
        <f>VLOOKUP(B13,OUTPUT_COUNTRY!$B$7:$N$27, 8, FALSE)</f>
        <v>63.6</v>
      </c>
      <c r="I13">
        <f>VLOOKUP(B13,OUTPUT_COUNTRY!$B$7:$N$27, 11, FALSE)</f>
        <v>54.500000000000007</v>
      </c>
      <c r="J13" s="47">
        <f t="shared" ca="1" si="0"/>
        <v>3.2662480544037877</v>
      </c>
      <c r="K13" s="147">
        <f t="shared" ca="1" si="1"/>
        <v>0.13267044843021208</v>
      </c>
      <c r="L13">
        <f t="shared" si="2"/>
        <v>0</v>
      </c>
      <c r="M13" s="147">
        <f t="shared" si="3"/>
        <v>0</v>
      </c>
      <c r="N13">
        <f t="shared" si="8"/>
        <v>3.2662480544037877</v>
      </c>
      <c r="O13" s="147">
        <f t="shared" si="4"/>
        <v>7.5273527667814935E-2</v>
      </c>
      <c r="P13">
        <f t="shared" si="9"/>
        <v>0</v>
      </c>
      <c r="Q13" s="147">
        <f t="shared" si="5"/>
        <v>0</v>
      </c>
      <c r="R13" s="147">
        <f t="shared" ca="1" si="6"/>
        <v>7.3862576981887529E-2</v>
      </c>
      <c r="S13" s="166">
        <f t="shared" ca="1" si="7"/>
        <v>7.505089719583008E-2</v>
      </c>
      <c r="U13" s="52"/>
    </row>
    <row r="14" spans="2:21" x14ac:dyDescent="0.35">
      <c r="B14" s="59" t="s">
        <v>29</v>
      </c>
      <c r="C14" t="str" cm="1">
        <f t="array" ref="C14">_xll.FDS(B14,"FG_COMPANY_NAME")</f>
        <v>iShares MSCI Peru and Global Exposure ETF</v>
      </c>
      <c r="D14" t="s">
        <v>698</v>
      </c>
      <c r="E14" s="147">
        <f>HLOOKUP(B14,'Monthly Returns'!$A$1:$V$139,139,FALSE)</f>
        <v>0.2870405143238498</v>
      </c>
      <c r="F14">
        <f ca="1">VLOOKUP(B14,OUTPUT_COUNTRY!$B$7:$N$27, 9, FALSE)</f>
        <v>95.399999999999991</v>
      </c>
      <c r="G14" s="47">
        <f>VLOOKUP(B14,OUTPUT_COUNTRY!$B$7:$N$27, 7, FALSE)</f>
        <v>9</v>
      </c>
      <c r="H14">
        <f>VLOOKUP(B14,OUTPUT_COUNTRY!$B$7:$N$27, 8, FALSE)</f>
        <v>63.6</v>
      </c>
      <c r="I14">
        <f>VLOOKUP(B14,OUTPUT_COUNTRY!$B$7:$N$27, 11, FALSE)</f>
        <v>59</v>
      </c>
      <c r="J14" s="47">
        <f t="shared" ca="1" si="0"/>
        <v>3.4838287631820597</v>
      </c>
      <c r="K14" s="147">
        <f t="shared" ca="1" si="1"/>
        <v>0.14150827388699477</v>
      </c>
      <c r="L14">
        <f t="shared" si="2"/>
        <v>0</v>
      </c>
      <c r="M14" s="147">
        <f t="shared" si="3"/>
        <v>0</v>
      </c>
      <c r="N14">
        <f t="shared" si="8"/>
        <v>3.4838287631820597</v>
      </c>
      <c r="O14" s="147">
        <f t="shared" si="4"/>
        <v>8.0287864371398107E-2</v>
      </c>
      <c r="P14">
        <f t="shared" si="9"/>
        <v>0</v>
      </c>
      <c r="Q14" s="147">
        <f t="shared" si="5"/>
        <v>0</v>
      </c>
      <c r="R14" s="147">
        <f t="shared" ca="1" si="6"/>
        <v>7.8782923380637193E-2</v>
      </c>
      <c r="S14" s="166">
        <f t="shared" ca="1" si="7"/>
        <v>8.0050403398152087E-2</v>
      </c>
      <c r="U14" s="52"/>
    </row>
    <row r="15" spans="2:21" x14ac:dyDescent="0.35">
      <c r="B15" s="59" t="s">
        <v>33</v>
      </c>
      <c r="C15" t="str" cm="1">
        <f t="array" ref="C15">_xll.FDS(B15,"FG_COMPANY_NAME")</f>
        <v>iShares MSCI Malaysia ETF</v>
      </c>
      <c r="D15" t="s">
        <v>673</v>
      </c>
      <c r="E15" s="147">
        <f>HLOOKUP(B15,'Monthly Returns'!$A$1:$V$139,139,FALSE)</f>
        <v>0.17923958128771525</v>
      </c>
      <c r="F15">
        <f ca="1">VLOOKUP(B15,OUTPUT_COUNTRY!$B$7:$N$27, 9, FALSE)</f>
        <v>77.2</v>
      </c>
      <c r="G15" s="47">
        <f>VLOOKUP(B15,OUTPUT_COUNTRY!$B$7:$N$27, 7, FALSE)</f>
        <v>50</v>
      </c>
      <c r="H15">
        <f>VLOOKUP(B15,OUTPUT_COUNTRY!$B$7:$N$27, 8, FALSE)</f>
        <v>4.5</v>
      </c>
      <c r="I15">
        <f>VLOOKUP(B15,OUTPUT_COUNTRY!$B$7:$N$27, 11, FALSE)</f>
        <v>50</v>
      </c>
      <c r="J15" s="47">
        <f t="shared" ca="1" si="0"/>
        <v>5.5791248384741579</v>
      </c>
      <c r="K15" s="147">
        <f t="shared" ca="1" si="1"/>
        <v>0.22661628322151808</v>
      </c>
      <c r="L15">
        <f t="shared" si="2"/>
        <v>0</v>
      </c>
      <c r="M15" s="147">
        <f t="shared" si="3"/>
        <v>0</v>
      </c>
      <c r="N15">
        <f t="shared" si="8"/>
        <v>0</v>
      </c>
      <c r="O15" s="147">
        <f t="shared" si="4"/>
        <v>0</v>
      </c>
      <c r="P15">
        <f t="shared" si="9"/>
        <v>0</v>
      </c>
      <c r="Q15" s="147">
        <f t="shared" si="5"/>
        <v>0</v>
      </c>
      <c r="R15" s="147">
        <f t="shared" ca="1" si="6"/>
        <v>0.11330814161075904</v>
      </c>
      <c r="S15" s="166">
        <f t="shared" ca="1" si="7"/>
        <v>0.11513107225550688</v>
      </c>
      <c r="U15" s="52"/>
    </row>
    <row r="16" spans="2:21" x14ac:dyDescent="0.35">
      <c r="B16" s="59" t="s">
        <v>24</v>
      </c>
      <c r="C16" t="str" cm="1">
        <f t="array" ref="C16">_xll.FDS(B16,"FG_COMPANY_NAME")</f>
        <v>iShares MSCI Taiwan ETF</v>
      </c>
      <c r="D16" t="s">
        <v>720</v>
      </c>
      <c r="E16" s="147">
        <f>HLOOKUP(B16,'Monthly Returns'!$A$1:$V$139,139,FALSE)</f>
        <v>0.21598262671208432</v>
      </c>
      <c r="F16">
        <f ca="1">VLOOKUP(B16,OUTPUT_COUNTRY!$B$7:$N$27, 9, FALSE)</f>
        <v>72.7</v>
      </c>
      <c r="G16" s="47">
        <f>VLOOKUP(B16,OUTPUT_COUNTRY!$B$7:$N$27, 7, FALSE)</f>
        <v>81.8</v>
      </c>
      <c r="H16">
        <f>VLOOKUP(B16,OUTPUT_COUNTRY!$B$7:$N$27, 8, FALSE)</f>
        <v>4.5</v>
      </c>
      <c r="I16">
        <f>VLOOKUP(B16,OUTPUT_COUNTRY!$B$7:$N$27, 11, FALSE)</f>
        <v>68.100000000000009</v>
      </c>
      <c r="J16" s="47">
        <f t="shared" ca="1" si="0"/>
        <v>4.6300020294366089</v>
      </c>
      <c r="K16" s="147">
        <f t="shared" ca="1" si="1"/>
        <v>0.18806423616539228</v>
      </c>
      <c r="L16">
        <f t="shared" si="2"/>
        <v>4.6300020294366089</v>
      </c>
      <c r="M16" s="147">
        <f t="shared" si="3"/>
        <v>0.17280917581408103</v>
      </c>
      <c r="N16">
        <f t="shared" si="8"/>
        <v>0</v>
      </c>
      <c r="O16" s="147">
        <f t="shared" si="4"/>
        <v>0</v>
      </c>
      <c r="P16">
        <f t="shared" si="9"/>
        <v>4.6300020294366089</v>
      </c>
      <c r="Q16" s="147">
        <f t="shared" si="5"/>
        <v>0.12302571148974743</v>
      </c>
      <c r="R16" s="147">
        <f t="shared" ca="1" si="6"/>
        <v>0.15817744197589517</v>
      </c>
      <c r="S16" s="166">
        <f t="shared" ca="1" si="7"/>
        <v>0.16072224151268594</v>
      </c>
      <c r="U16" s="52"/>
    </row>
    <row r="17" spans="2:21" x14ac:dyDescent="0.35">
      <c r="B17" s="59" t="s">
        <v>7</v>
      </c>
      <c r="C17" t="str" cm="1">
        <f t="array" ref="C17">_xll.FDS(B17,"FG_COMPANY_NAME")</f>
        <v>iShares MSCI Mexico ETF</v>
      </c>
      <c r="D17" t="s">
        <v>678</v>
      </c>
      <c r="E17" s="147">
        <f>HLOOKUP(B17,'Monthly Returns'!$A$1:$V$139,139,FALSE)</f>
        <v>0.26832255986146769</v>
      </c>
      <c r="F17">
        <f ca="1">VLOOKUP(B17,OUTPUT_COUNTRY!$B$7:$N$27, 9, FALSE)</f>
        <v>59</v>
      </c>
      <c r="G17" s="47">
        <f>VLOOKUP(B17,OUTPUT_COUNTRY!$B$7:$N$27, 7, FALSE)</f>
        <v>27.200000000000003</v>
      </c>
      <c r="H17">
        <f>VLOOKUP(B17,OUTPUT_COUNTRY!$B$7:$N$27, 8, FALSE)</f>
        <v>63.6</v>
      </c>
      <c r="I17">
        <f>VLOOKUP(B17,OUTPUT_COUNTRY!$B$7:$N$27, 11, FALSE)</f>
        <v>72.7</v>
      </c>
      <c r="J17" s="47">
        <f t="shared" ca="1" si="0"/>
        <v>0</v>
      </c>
      <c r="K17" s="147">
        <f t="shared" ca="1" si="1"/>
        <v>0</v>
      </c>
      <c r="L17">
        <f t="shared" si="2"/>
        <v>0</v>
      </c>
      <c r="M17" s="147">
        <f t="shared" si="3"/>
        <v>0</v>
      </c>
      <c r="N17">
        <f t="shared" si="8"/>
        <v>3.7268577063229054</v>
      </c>
      <c r="O17" s="147">
        <f t="shared" si="4"/>
        <v>8.5888677772856539E-2</v>
      </c>
      <c r="P17">
        <f t="shared" si="9"/>
        <v>3.7268577063229054</v>
      </c>
      <c r="Q17" s="147">
        <f t="shared" si="5"/>
        <v>9.9027887682635651E-2</v>
      </c>
      <c r="R17" s="147">
        <f t="shared" ca="1" si="6"/>
        <v>1.8491656545549219E-2</v>
      </c>
      <c r="S17" s="166">
        <f t="shared" ca="1" si="7"/>
        <v>1.8789155091636332E-2</v>
      </c>
      <c r="U17" s="52"/>
    </row>
    <row r="18" spans="2:21" x14ac:dyDescent="0.35">
      <c r="B18" s="59" t="s">
        <v>21</v>
      </c>
      <c r="C18" t="str" cm="1">
        <f t="array" ref="C18">_xll.FDS(B18,"FG_COMPANY_NAME")</f>
        <v>iShares MSCI South Korea ETF</v>
      </c>
      <c r="D18" t="s">
        <v>660</v>
      </c>
      <c r="E18" s="147">
        <f>HLOOKUP(B18,'Monthly Returns'!$A$1:$V$139,139,FALSE)</f>
        <v>0.25721833946936523</v>
      </c>
      <c r="F18">
        <f ca="1">VLOOKUP(B18,OUTPUT_COUNTRY!$B$7:$N$27, 9, FALSE)</f>
        <v>54.500000000000007</v>
      </c>
      <c r="G18" s="47">
        <f>VLOOKUP(B18,OUTPUT_COUNTRY!$B$7:$N$27, 7, FALSE)</f>
        <v>63.6</v>
      </c>
      <c r="H18">
        <f>VLOOKUP(B18,OUTPUT_COUNTRY!$B$7:$N$27, 8, FALSE)</f>
        <v>4.5</v>
      </c>
      <c r="I18">
        <f>VLOOKUP(B18,OUTPUT_COUNTRY!$B$7:$N$27, 11, FALSE)</f>
        <v>22.7</v>
      </c>
      <c r="J18" s="47">
        <f t="shared" ca="1" si="0"/>
        <v>0</v>
      </c>
      <c r="K18" s="147">
        <f t="shared" ca="1" si="1"/>
        <v>0</v>
      </c>
      <c r="L18">
        <f t="shared" si="2"/>
        <v>0</v>
      </c>
      <c r="M18" s="147">
        <f t="shared" si="3"/>
        <v>0</v>
      </c>
      <c r="N18">
        <f t="shared" si="8"/>
        <v>0</v>
      </c>
      <c r="O18" s="147">
        <f t="shared" si="4"/>
        <v>0</v>
      </c>
      <c r="P18">
        <f t="shared" si="9"/>
        <v>0</v>
      </c>
      <c r="Q18" s="147">
        <f t="shared" si="5"/>
        <v>0</v>
      </c>
      <c r="R18" s="147" t="str">
        <f t="shared" ca="1" si="6"/>
        <v/>
      </c>
      <c r="S18" s="166" t="str">
        <f t="shared" ca="1" si="7"/>
        <v/>
      </c>
      <c r="U18" s="52"/>
    </row>
    <row r="19" spans="2:21" x14ac:dyDescent="0.35">
      <c r="B19" s="59" t="s">
        <v>12</v>
      </c>
      <c r="C19" t="str" cm="1">
        <f t="array" ref="C19">_xll.FDS(B19,"FG_COMPANY_NAME")</f>
        <v>iShares MSCI Brazil ETF</v>
      </c>
      <c r="D19" t="s">
        <v>603</v>
      </c>
      <c r="E19" s="147">
        <f>HLOOKUP(B19,'Monthly Returns'!$A$1:$V$139,139,FALSE)</f>
        <v>0.3627238815071126</v>
      </c>
      <c r="F19">
        <f ca="1">VLOOKUP(B19,OUTPUT_COUNTRY!$B$7:$N$27, 9, FALSE)</f>
        <v>13.600000000000001</v>
      </c>
      <c r="G19" s="47">
        <f>VLOOKUP(B19,OUTPUT_COUNTRY!$B$7:$N$27, 7, FALSE)</f>
        <v>22.7</v>
      </c>
      <c r="H19">
        <f>VLOOKUP(B19,OUTPUT_COUNTRY!$B$7:$N$27, 8, FALSE)</f>
        <v>63.6</v>
      </c>
      <c r="I19">
        <f>VLOOKUP(B19,OUTPUT_COUNTRY!$B$7:$N$27, 11, FALSE)</f>
        <v>9</v>
      </c>
      <c r="J19" s="47">
        <f t="shared" ca="1" si="0"/>
        <v>0</v>
      </c>
      <c r="K19" s="147">
        <f t="shared" ca="1" si="1"/>
        <v>0</v>
      </c>
      <c r="L19">
        <f t="shared" si="2"/>
        <v>0</v>
      </c>
      <c r="M19" s="147">
        <f t="shared" si="3"/>
        <v>0</v>
      </c>
      <c r="N19">
        <f t="shared" si="8"/>
        <v>2.7569180056328637</v>
      </c>
      <c r="O19" s="147">
        <f t="shared" si="4"/>
        <v>6.3535573636272158E-2</v>
      </c>
      <c r="P19">
        <f t="shared" si="9"/>
        <v>0</v>
      </c>
      <c r="Q19" s="147">
        <f t="shared" si="5"/>
        <v>0</v>
      </c>
      <c r="R19" s="147">
        <f t="shared" ca="1" si="6"/>
        <v>6.3535573636272161E-3</v>
      </c>
      <c r="S19" s="166" t="str">
        <f t="shared" ca="1" si="7"/>
        <v/>
      </c>
      <c r="U19" s="52"/>
    </row>
    <row r="20" spans="2:21" x14ac:dyDescent="0.35">
      <c r="B20" s="59" t="s">
        <v>22</v>
      </c>
      <c r="C20" t="str" cm="1">
        <f t="array" ref="C20">_xll.FDS(B20,"FG_COMPANY_NAME")</f>
        <v>iShares MSCI South Africa ETF</v>
      </c>
      <c r="D20" t="s">
        <v>713</v>
      </c>
      <c r="E20" s="147">
        <f>HLOOKUP(B20,'Monthly Returns'!$A$1:$V$139,139,FALSE)</f>
        <v>0.29303385375629815</v>
      </c>
      <c r="F20">
        <f ca="1">VLOOKUP(B20,OUTPUT_COUNTRY!$B$7:$N$27, 9, FALSE)</f>
        <v>31.8</v>
      </c>
      <c r="G20" s="47">
        <f>VLOOKUP(B20,OUTPUT_COUNTRY!$B$7:$N$27, 7, FALSE)</f>
        <v>36.299999999999997</v>
      </c>
      <c r="H20">
        <f>VLOOKUP(B20,OUTPUT_COUNTRY!$B$7:$N$27, 8, FALSE)</f>
        <v>4.5</v>
      </c>
      <c r="I20">
        <f>VLOOKUP(B20,OUTPUT_COUNTRY!$B$7:$N$27, 11, FALSE)</f>
        <v>18.099999999999998</v>
      </c>
      <c r="J20" s="47">
        <f t="shared" ca="1" si="0"/>
        <v>0</v>
      </c>
      <c r="K20" s="147">
        <f t="shared" ca="1" si="1"/>
        <v>0</v>
      </c>
      <c r="L20">
        <f t="shared" si="2"/>
        <v>0</v>
      </c>
      <c r="M20" s="147">
        <f t="shared" si="3"/>
        <v>0</v>
      </c>
      <c r="N20">
        <f t="shared" si="8"/>
        <v>0</v>
      </c>
      <c r="O20" s="147">
        <f t="shared" si="4"/>
        <v>0</v>
      </c>
      <c r="P20">
        <f t="shared" si="9"/>
        <v>0</v>
      </c>
      <c r="Q20" s="147">
        <f t="shared" si="5"/>
        <v>0</v>
      </c>
      <c r="R20" s="147" t="str">
        <f t="shared" ca="1" si="6"/>
        <v/>
      </c>
      <c r="S20" s="166" t="str">
        <f t="shared" ca="1" si="7"/>
        <v/>
      </c>
      <c r="U20" s="52"/>
    </row>
    <row r="21" spans="2:21" x14ac:dyDescent="0.35">
      <c r="B21" s="59" t="s">
        <v>28</v>
      </c>
      <c r="C21" t="str" cm="1">
        <f t="array" ref="C21">_xll.FDS(B21,"FG_COMPANY_NAME")</f>
        <v>Global X MSCI Greece ETF</v>
      </c>
      <c r="D21" t="s">
        <v>640</v>
      </c>
      <c r="E21" s="147">
        <f>HLOOKUP(B21,'Monthly Returns'!$A$1:$V$139,139,FALSE)</f>
        <v>0.33690510802898299</v>
      </c>
      <c r="F21">
        <f ca="1">VLOOKUP(B21,OUTPUT_COUNTRY!$B$7:$N$27, 9, FALSE)</f>
        <v>63.6</v>
      </c>
      <c r="G21" s="47">
        <f>VLOOKUP(B21,OUTPUT_COUNTRY!$B$7:$N$27, 7, FALSE)</f>
        <v>18.099999999999998</v>
      </c>
      <c r="H21">
        <f>VLOOKUP(B21,OUTPUT_COUNTRY!$B$7:$N$27, 8, FALSE)</f>
        <v>4.5</v>
      </c>
      <c r="I21">
        <f>VLOOKUP(B21,OUTPUT_COUNTRY!$B$7:$N$27, 11, FALSE)</f>
        <v>45.4</v>
      </c>
      <c r="J21" s="47">
        <f t="shared" ca="1" si="0"/>
        <v>0</v>
      </c>
      <c r="K21" s="147">
        <f t="shared" ca="1" si="1"/>
        <v>0</v>
      </c>
      <c r="L21">
        <f t="shared" si="2"/>
        <v>0</v>
      </c>
      <c r="M21" s="147">
        <f t="shared" si="3"/>
        <v>0</v>
      </c>
      <c r="N21">
        <f t="shared" si="8"/>
        <v>0</v>
      </c>
      <c r="O21" s="147">
        <f t="shared" si="4"/>
        <v>0</v>
      </c>
      <c r="P21">
        <f t="shared" si="9"/>
        <v>0</v>
      </c>
      <c r="Q21" s="147">
        <f t="shared" si="5"/>
        <v>0</v>
      </c>
      <c r="R21" s="147" t="str">
        <f t="shared" ca="1" si="6"/>
        <v/>
      </c>
      <c r="S21" s="166" t="str">
        <f t="shared" ca="1" si="7"/>
        <v/>
      </c>
      <c r="U21" s="52"/>
    </row>
    <row r="22" spans="2:21" x14ac:dyDescent="0.35">
      <c r="B22" s="59" t="s">
        <v>32</v>
      </c>
      <c r="C22" t="str" cm="1">
        <f t="array" ref="C22">_xll.FDS(B22,"FG_COMPANY_NAME")</f>
        <v>iShares MSCI India ETF</v>
      </c>
      <c r="D22" t="s">
        <v>650</v>
      </c>
      <c r="E22" s="147">
        <f>HLOOKUP(B22,'Monthly Returns'!$A$1:$V$139,139,FALSE)</f>
        <v>0.20864996548642945</v>
      </c>
      <c r="F22">
        <f ca="1">VLOOKUP(B22,OUTPUT_COUNTRY!$B$7:$N$27, 9, FALSE)</f>
        <v>86.3</v>
      </c>
      <c r="G22" s="47">
        <f>VLOOKUP(B22,OUTPUT_COUNTRY!$B$7:$N$27, 7, FALSE)</f>
        <v>40.9</v>
      </c>
      <c r="H22">
        <f>VLOOKUP(B22,OUTPUT_COUNTRY!$B$7:$N$27, 8, FALSE)</f>
        <v>50</v>
      </c>
      <c r="I22">
        <f>VLOOKUP(B22,OUTPUT_COUNTRY!$B$7:$N$27, 11, FALSE)</f>
        <v>63.6</v>
      </c>
      <c r="J22" s="47">
        <f t="shared" ca="1" si="0"/>
        <v>4.7927158658698161</v>
      </c>
      <c r="K22" s="147">
        <f t="shared" ca="1" si="1"/>
        <v>0.19467344565769895</v>
      </c>
      <c r="L22">
        <f t="shared" si="2"/>
        <v>0</v>
      </c>
      <c r="M22" s="147">
        <f t="shared" si="3"/>
        <v>0</v>
      </c>
      <c r="N22">
        <f t="shared" si="8"/>
        <v>4.7927158658698161</v>
      </c>
      <c r="O22" s="147">
        <f t="shared" si="4"/>
        <v>0.11045230623164665</v>
      </c>
      <c r="P22">
        <f t="shared" si="9"/>
        <v>4.7927158658698161</v>
      </c>
      <c r="Q22" s="147">
        <f t="shared" si="5"/>
        <v>0.12734924857874899</v>
      </c>
      <c r="R22" s="147">
        <f t="shared" ca="1" si="6"/>
        <v>0.12111687830988904</v>
      </c>
      <c r="S22" s="166">
        <f t="shared" ca="1" si="7"/>
        <v>0.12306543792730604</v>
      </c>
      <c r="U22" s="52"/>
    </row>
    <row r="23" spans="2:21" x14ac:dyDescent="0.35">
      <c r="B23" s="59" t="s">
        <v>26</v>
      </c>
      <c r="C23" t="str" cm="1">
        <f t="array" ref="C23">_xll.FDS(B23,"FG_COMPANY_NAME")</f>
        <v>iShares MSCI China ETF</v>
      </c>
      <c r="D23" t="s">
        <v>615</v>
      </c>
      <c r="E23" s="147">
        <f>HLOOKUP(B23,'Monthly Returns'!$A$1:$V$139,139,FALSE)</f>
        <v>0.22472434882505762</v>
      </c>
      <c r="F23">
        <f ca="1">VLOOKUP(B23,OUTPUT_COUNTRY!$B$7:$N$27, 9, FALSE)</f>
        <v>22.7</v>
      </c>
      <c r="G23" s="47">
        <f>VLOOKUP(B23,OUTPUT_COUNTRY!$B$7:$N$27, 7, FALSE)</f>
        <v>90.9</v>
      </c>
      <c r="H23">
        <f>VLOOKUP(B23,OUTPUT_COUNTRY!$B$7:$N$27, 8, FALSE)</f>
        <v>86.3</v>
      </c>
      <c r="I23">
        <f>VLOOKUP(B23,OUTPUT_COUNTRY!$B$7:$N$27, 11, FALSE)</f>
        <v>77.2</v>
      </c>
      <c r="J23" s="47">
        <f t="shared" ca="1" si="0"/>
        <v>0</v>
      </c>
      <c r="K23" s="147">
        <f t="shared" ca="1" si="1"/>
        <v>0</v>
      </c>
      <c r="L23">
        <f t="shared" si="2"/>
        <v>4.4498960848184517</v>
      </c>
      <c r="M23" s="147">
        <f t="shared" si="3"/>
        <v>0.1660869412122816</v>
      </c>
      <c r="N23">
        <f t="shared" si="8"/>
        <v>4.4498960848184517</v>
      </c>
      <c r="O23" s="147">
        <f t="shared" si="4"/>
        <v>0.10255172616417392</v>
      </c>
      <c r="P23">
        <f t="shared" si="9"/>
        <v>4.4498960848184517</v>
      </c>
      <c r="Q23" s="147">
        <f t="shared" si="5"/>
        <v>0.11824004145346928</v>
      </c>
      <c r="R23" s="147">
        <f t="shared" ca="1" si="6"/>
        <v>7.1905259125448803E-2</v>
      </c>
      <c r="S23" s="166">
        <f t="shared" ca="1" si="7"/>
        <v>7.3062089504227767E-2</v>
      </c>
      <c r="U23" s="52"/>
    </row>
    <row r="24" spans="2:21" x14ac:dyDescent="0.35">
      <c r="B24" s="59" t="s">
        <v>31</v>
      </c>
      <c r="C24" t="str" cm="1">
        <f t="array" ref="C24">_xll.FDS(B24,"FG_COMPANY_NAME")</f>
        <v>iShares MSCI Qatar ETF</v>
      </c>
      <c r="D24" t="s">
        <v>702</v>
      </c>
      <c r="E24" s="147">
        <f>HLOOKUP(B24,'Monthly Returns'!$A$1:$V$139,139,FALSE)</f>
        <v>0.18283969598186101</v>
      </c>
      <c r="F24">
        <f ca="1">VLOOKUP(B24,OUTPUT_COUNTRY!$B$7:$N$27, 9, FALSE)</f>
        <v>36.299999999999997</v>
      </c>
      <c r="G24" s="47">
        <f>VLOOKUP(B24,OUTPUT_COUNTRY!$B$7:$N$27, 7, FALSE)</f>
        <v>59</v>
      </c>
      <c r="H24">
        <f>VLOOKUP(B24,OUTPUT_COUNTRY!$B$7:$N$27, 8, FALSE)</f>
        <v>4.5</v>
      </c>
      <c r="I24">
        <f>VLOOKUP(B24,OUTPUT_COUNTRY!$B$7:$N$27, 11, FALSE)</f>
        <v>90.9</v>
      </c>
      <c r="J24" s="47">
        <f t="shared" ca="1" si="0"/>
        <v>0</v>
      </c>
      <c r="K24" s="147">
        <f t="shared" ca="1" si="1"/>
        <v>0</v>
      </c>
      <c r="L24">
        <f t="shared" si="2"/>
        <v>0</v>
      </c>
      <c r="M24" s="147">
        <f t="shared" si="3"/>
        <v>0</v>
      </c>
      <c r="N24">
        <f t="shared" si="8"/>
        <v>0</v>
      </c>
      <c r="O24" s="147">
        <f t="shared" si="4"/>
        <v>0</v>
      </c>
      <c r="P24">
        <f t="shared" si="9"/>
        <v>5.4692718374417284</v>
      </c>
      <c r="Q24" s="147">
        <f t="shared" si="5"/>
        <v>0.14532629896362756</v>
      </c>
      <c r="R24" s="147">
        <f t="shared" ca="1" si="6"/>
        <v>1.4532629896362757E-2</v>
      </c>
      <c r="S24" s="166">
        <f t="shared" ca="1" si="7"/>
        <v>1.4766434599275145E-2</v>
      </c>
      <c r="U24" s="52"/>
    </row>
    <row r="25" spans="2:21" x14ac:dyDescent="0.35">
      <c r="B25" s="59" t="s">
        <v>757</v>
      </c>
      <c r="C25" t="str" cm="1">
        <f t="array" ref="C25">_xll.FDS(B25,"FG_COMPANY_NAME")</f>
        <v>Thailand SET</v>
      </c>
      <c r="D25" t="s">
        <v>723</v>
      </c>
      <c r="E25" s="147">
        <f>HLOOKUP(B25,'Monthly Returns'!$A$1:$V$139,139,FALSE)</f>
        <v>0.17695136839422618</v>
      </c>
      <c r="F25">
        <f ca="1">VLOOKUP(B25,OUTPUT_COUNTRY!$B$7:$N$27, 9, FALSE)</f>
        <v>18.099999999999998</v>
      </c>
      <c r="G25" s="47">
        <f>VLOOKUP(B25,OUTPUT_COUNTRY!$B$7:$N$27, 7, FALSE)</f>
        <v>86.3</v>
      </c>
      <c r="H25">
        <f>VLOOKUP(B25,OUTPUT_COUNTRY!$B$7:$N$27, 8, FALSE)</f>
        <v>50</v>
      </c>
      <c r="I25">
        <f>VLOOKUP(B25,OUTPUT_COUNTRY!$B$7:$N$27, 11, FALSE)</f>
        <v>31.8</v>
      </c>
      <c r="J25" s="47">
        <f t="shared" ca="1" si="0"/>
        <v>0</v>
      </c>
      <c r="K25" s="147">
        <f t="shared" ca="1" si="1"/>
        <v>0</v>
      </c>
      <c r="L25">
        <f t="shared" si="2"/>
        <v>5.6512702279426366</v>
      </c>
      <c r="M25" s="147">
        <f t="shared" si="3"/>
        <v>0.21092676508227257</v>
      </c>
      <c r="N25">
        <f t="shared" si="8"/>
        <v>5.6512702279426366</v>
      </c>
      <c r="O25" s="147">
        <f t="shared" si="4"/>
        <v>0.13023843834757021</v>
      </c>
      <c r="P25">
        <f t="shared" si="9"/>
        <v>0</v>
      </c>
      <c r="Q25" s="147">
        <f t="shared" si="5"/>
        <v>0</v>
      </c>
      <c r="R25" s="147">
        <f t="shared" ca="1" si="6"/>
        <v>7.630187335943879E-2</v>
      </c>
      <c r="S25" s="166">
        <f t="shared" ca="1" si="7"/>
        <v>7.752943760346645E-2</v>
      </c>
      <c r="U25" s="52"/>
    </row>
    <row r="26" spans="2:21" x14ac:dyDescent="0.35">
      <c r="B26" s="59" t="s">
        <v>25</v>
      </c>
      <c r="C26" t="str" cm="1">
        <f t="array" ref="C26">_xll.FDS(B26,"FG_COMPANY_NAME")</f>
        <v>iShares MSCI Turkey ETF</v>
      </c>
      <c r="D26" t="s">
        <v>727</v>
      </c>
      <c r="E26" s="147">
        <f>HLOOKUP(B26,'Monthly Returns'!$A$1:$V$139,139,FALSE)</f>
        <v>0.34875543015050525</v>
      </c>
      <c r="F26">
        <f ca="1">VLOOKUP(B26,OUTPUT_COUNTRY!$B$7:$N$27, 9, FALSE)</f>
        <v>81.8</v>
      </c>
      <c r="G26" s="47">
        <f>VLOOKUP(B26,OUTPUT_COUNTRY!$B$7:$N$27, 7, FALSE)</f>
        <v>31.8</v>
      </c>
      <c r="H26">
        <f>VLOOKUP(B26,OUTPUT_COUNTRY!$B$7:$N$27, 8, FALSE)</f>
        <v>50</v>
      </c>
      <c r="I26">
        <f>VLOOKUP(B26,OUTPUT_COUNTRY!$B$7:$N$27, 11, FALSE)</f>
        <v>4.5</v>
      </c>
      <c r="J26" s="47">
        <f t="shared" ca="1" si="0"/>
        <v>2.8673388671495394</v>
      </c>
      <c r="K26" s="147">
        <f t="shared" ca="1" si="1"/>
        <v>0.11646731263818387</v>
      </c>
      <c r="L26">
        <f t="shared" si="2"/>
        <v>0</v>
      </c>
      <c r="M26" s="147">
        <f t="shared" si="3"/>
        <v>0</v>
      </c>
      <c r="N26">
        <f t="shared" si="8"/>
        <v>2.8673388671495394</v>
      </c>
      <c r="O26" s="147">
        <f t="shared" si="4"/>
        <v>6.6080318443168543E-2</v>
      </c>
      <c r="P26">
        <f t="shared" si="9"/>
        <v>0</v>
      </c>
      <c r="Q26" s="147">
        <f t="shared" si="5"/>
        <v>0</v>
      </c>
      <c r="R26" s="147">
        <f t="shared" ca="1" si="6"/>
        <v>6.4841688163408795E-2</v>
      </c>
      <c r="S26" s="166">
        <f t="shared" ca="1" si="7"/>
        <v>6.5884877988340473E-2</v>
      </c>
      <c r="U26" s="52"/>
    </row>
    <row r="27" spans="2:21" x14ac:dyDescent="0.35">
      <c r="B27" s="59" t="s">
        <v>34</v>
      </c>
      <c r="C27" t="str" cm="1">
        <f t="array" ref="C27">_xll.FDS(B27,"FG_COMPANY_NAME")</f>
        <v>iShares MSCI UAE ETF</v>
      </c>
      <c r="D27" t="s">
        <v>731</v>
      </c>
      <c r="E27" s="147">
        <f>HLOOKUP(B27,'Monthly Returns'!$A$1:$V$139,139,FALSE)</f>
        <v>0.21655215528648236</v>
      </c>
      <c r="F27">
        <f ca="1">VLOOKUP(B27,OUTPUT_COUNTRY!$B$7:$N$27, 9, FALSE)</f>
        <v>50</v>
      </c>
      <c r="G27" s="47">
        <f>VLOOKUP(B27,OUTPUT_COUNTRY!$B$7:$N$27, 7, FALSE)</f>
        <v>54.500000000000007</v>
      </c>
      <c r="H27">
        <f>VLOOKUP(B27,OUTPUT_COUNTRY!$B$7:$N$27, 8, FALSE)</f>
        <v>4.5</v>
      </c>
      <c r="I27">
        <f>VLOOKUP(B27,OUTPUT_COUNTRY!$B$7:$N$27, 11, FALSE)</f>
        <v>95.399999999999991</v>
      </c>
      <c r="J27" s="47">
        <f t="shared" ca="1" si="0"/>
        <v>0</v>
      </c>
      <c r="K27" s="147">
        <f t="shared" ca="1" si="1"/>
        <v>0</v>
      </c>
      <c r="L27">
        <f t="shared" si="2"/>
        <v>0</v>
      </c>
      <c r="M27" s="147">
        <f t="shared" si="3"/>
        <v>0</v>
      </c>
      <c r="N27">
        <f t="shared" si="8"/>
        <v>0</v>
      </c>
      <c r="O27" s="147">
        <f t="shared" si="4"/>
        <v>0</v>
      </c>
      <c r="P27">
        <f t="shared" si="9"/>
        <v>4.6178252009409677</v>
      </c>
      <c r="Q27" s="147">
        <f t="shared" si="5"/>
        <v>0.12270215591032425</v>
      </c>
      <c r="R27" s="147">
        <f t="shared" ca="1" si="6"/>
        <v>1.2270215591032425E-2</v>
      </c>
      <c r="S27" s="166">
        <f t="shared" ca="1" si="7"/>
        <v>1.246762198831846E-2</v>
      </c>
      <c r="U27" s="52"/>
    </row>
    <row r="28" spans="2:21" x14ac:dyDescent="0.35">
      <c r="B28" s="59" t="s">
        <v>37</v>
      </c>
      <c r="C28" t="str" cm="1">
        <f t="array" ref="C28">_xll.FDS(B28,"FG_COMPANY_NAME")</f>
        <v>VanEck Vietnam ETF</v>
      </c>
      <c r="D28" t="s">
        <v>736</v>
      </c>
      <c r="E28" s="147">
        <f>HLOOKUP(B28,'Monthly Returns'!$A$1:$V$139,139,FALSE)</f>
        <v>0.24310073791953465</v>
      </c>
      <c r="F28">
        <f ca="1">VLOOKUP(B28,OUTPUT_COUNTRY!$B$7:$N$27, 9, FALSE)</f>
        <v>4.5</v>
      </c>
      <c r="G28" s="47">
        <f>VLOOKUP(B28,OUTPUT_COUNTRY!$B$7:$N$27, 7, FALSE)</f>
        <v>4.5</v>
      </c>
      <c r="H28">
        <f>VLOOKUP(B28,OUTPUT_COUNTRY!$B$7:$N$27, 8, FALSE)</f>
        <v>63.6</v>
      </c>
      <c r="I28">
        <f>VLOOKUP(B28,OUTPUT_COUNTRY!$B$7:$N$27, 11, FALSE)</f>
        <v>40.9</v>
      </c>
      <c r="J28" s="47">
        <f t="shared" ca="1" si="0"/>
        <v>0</v>
      </c>
      <c r="K28" s="147">
        <f t="shared" ca="1" si="1"/>
        <v>0</v>
      </c>
      <c r="L28">
        <f t="shared" si="2"/>
        <v>0</v>
      </c>
      <c r="M28" s="147">
        <f t="shared" si="3"/>
        <v>0</v>
      </c>
      <c r="N28">
        <f t="shared" si="8"/>
        <v>4.1135210388830492</v>
      </c>
      <c r="O28" s="147">
        <f t="shared" si="4"/>
        <v>9.4799670623614885E-2</v>
      </c>
      <c r="P28">
        <f t="shared" si="9"/>
        <v>0</v>
      </c>
      <c r="Q28" s="147">
        <f t="shared" si="5"/>
        <v>0</v>
      </c>
      <c r="R28" s="147">
        <f t="shared" ca="1" si="6"/>
        <v>9.4799670623614898E-3</v>
      </c>
      <c r="S28" s="166" t="str">
        <f t="shared" ca="1" si="7"/>
        <v/>
      </c>
      <c r="U28" s="52"/>
    </row>
    <row r="29" spans="2:21" ht="15" thickBot="1" x14ac:dyDescent="0.4">
      <c r="B29" s="12" t="s">
        <v>36</v>
      </c>
      <c r="C29" s="13" t="str" cm="1">
        <f t="array" ref="C29">_xll.FDS(B29,"FG_COMPANY_NAME")</f>
        <v>iShares MSCI Saudi Arabia ETF</v>
      </c>
      <c r="D29" s="13" t="s">
        <v>706</v>
      </c>
      <c r="E29" s="148">
        <f>HLOOKUP(B29,'Monthly Returns'!$A$1:$V$139,139,FALSE)</f>
        <v>0.19871515714538807</v>
      </c>
      <c r="F29" s="13">
        <f ca="1">VLOOKUP(B29,OUTPUT_COUNTRY!$B$7:$N$27, 9, FALSE)</f>
        <v>68.100000000000009</v>
      </c>
      <c r="G29" s="149">
        <f>VLOOKUP(B29,OUTPUT_COUNTRY!$B$7:$N$27, 7, FALSE)</f>
        <v>45.4</v>
      </c>
      <c r="H29" s="13">
        <f>VLOOKUP(B29,OUTPUT_COUNTRY!$B$7:$N$27, 8, FALSE)</f>
        <v>4.5</v>
      </c>
      <c r="I29" s="13">
        <f>VLOOKUP(B29,OUTPUT_COUNTRY!$B$7:$N$27, 11, FALSE)</f>
        <v>86.3</v>
      </c>
      <c r="J29" s="149">
        <f t="shared" ca="1" si="0"/>
        <v>0</v>
      </c>
      <c r="K29" s="148">
        <f t="shared" ca="1" si="1"/>
        <v>0</v>
      </c>
      <c r="L29" s="13">
        <f t="shared" si="2"/>
        <v>0</v>
      </c>
      <c r="M29" s="148">
        <f t="shared" si="3"/>
        <v>0</v>
      </c>
      <c r="N29" s="13">
        <f t="shared" si="8"/>
        <v>0</v>
      </c>
      <c r="O29" s="148">
        <f t="shared" si="4"/>
        <v>0</v>
      </c>
      <c r="P29" s="13">
        <f t="shared" si="9"/>
        <v>5.0323287582353844</v>
      </c>
      <c r="Q29" s="148">
        <f t="shared" si="5"/>
        <v>0.1337161024975965</v>
      </c>
      <c r="R29" s="148">
        <f t="shared" ca="1" si="6"/>
        <v>1.337161024975965E-2</v>
      </c>
      <c r="S29" s="167">
        <f t="shared" ca="1" si="7"/>
        <v>1.358673616875713E-2</v>
      </c>
      <c r="U29" s="52"/>
    </row>
    <row r="30" spans="2:21" x14ac:dyDescent="0.35">
      <c r="J30" s="47">
        <f ca="1">SUM(J9:J29)</f>
        <v>24.619258418515969</v>
      </c>
      <c r="L30" s="47">
        <f>SUM(L9:L29)</f>
        <v>26.792570519622501</v>
      </c>
      <c r="N30">
        <f>SUM(N9:N29)</f>
        <v>43.391722901813104</v>
      </c>
      <c r="P30">
        <f>SUM(P9:P29)</f>
        <v>37.634425953492318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4"/>
  <sheetViews>
    <sheetView topLeftCell="B1" zoomScale="95" zoomScaleNormal="95" workbookViewId="0">
      <selection activeCell="J4" sqref="J4"/>
    </sheetView>
  </sheetViews>
  <sheetFormatPr defaultRowHeight="14.5" x14ac:dyDescent="0.35"/>
  <cols>
    <col min="3" max="3" width="8.453125" bestFit="1" customWidth="1"/>
    <col min="4" max="4" width="34.453125" bestFit="1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3" t="s">
        <v>555</v>
      </c>
      <c r="D2" s="204"/>
      <c r="E2" s="208" t="s">
        <v>802</v>
      </c>
      <c r="F2" s="209"/>
      <c r="G2" s="210"/>
      <c r="H2" s="211" t="s">
        <v>802</v>
      </c>
      <c r="I2" s="201" t="s">
        <v>557</v>
      </c>
      <c r="J2" s="203" t="s">
        <v>554</v>
      </c>
      <c r="K2" s="201" t="s">
        <v>560</v>
      </c>
      <c r="L2" s="201" t="s">
        <v>750</v>
      </c>
    </row>
    <row r="3" spans="3:12" x14ac:dyDescent="0.35">
      <c r="C3" s="205"/>
      <c r="D3" s="206"/>
      <c r="E3" s="170" t="s">
        <v>556</v>
      </c>
      <c r="F3" s="170" t="s">
        <v>558</v>
      </c>
      <c r="G3" s="170" t="s">
        <v>919</v>
      </c>
      <c r="H3" s="212"/>
      <c r="I3" s="214"/>
      <c r="J3" s="215"/>
      <c r="K3" s="214"/>
      <c r="L3" s="214"/>
    </row>
    <row r="4" spans="3:12" x14ac:dyDescent="0.35">
      <c r="C4" s="80" t="s">
        <v>24</v>
      </c>
      <c r="D4" s="82" t="s">
        <v>40</v>
      </c>
      <c r="E4" s="126" t="str">
        <f>IF(VLOOKUP(C4,OUTPUT_COUNTRY!$B$7:$N$27,3,FALSE)&gt;75,"++",(IF(VLOOKUP(C4,OUTPUT_COUNTRY!$B$7:$N$27,3,FALSE)&gt;50,"+",(IF(VLOOKUP(C4,OUTPUT_COUNTRY!$B$7:$N$27,3,FALSE)&gt;25,"-","--")))))</f>
        <v>-</v>
      </c>
      <c r="F4" s="126" t="str">
        <f>IF(VLOOKUP(C4,OUTPUT_COUNTRY!$B$7:$N$27,4,FALSE)&gt;75,"++",(IF(VLOOKUP(C4,OUTPUT_COUNTRY!$B$7:$N$27,4,FALSE)&gt;50,"+",(IF(VLOOKUP(C4,OUTPUT_COUNTRY!$B$7:$N$27,4,FALSE)&gt;25,"-","--")))))</f>
        <v>++</v>
      </c>
      <c r="G4" s="128" t="str">
        <f>IF(VLOOKUP(C4,OUTPUT_COUNTRY!$B$7:$N$27,5,FALSE)&gt;75,"++",(IF(VLOOKUP(C4,OUTPUT_COUNTRY!$B$7:$N$27,5,FALSE)&gt;50,"+",(IF(VLOOKUP(C4,OUTPUT_COUNTRY!$B$7:$N$27,5,FALSE)&gt;25,"-","--")))))</f>
        <v>++</v>
      </c>
      <c r="H4" s="124" t="str">
        <f>IF(VLOOKUP(C4,OUTPUT_COUNTRY!$B$7:$N$27,7,FALSE)&gt;75,"++",(IF(VLOOKUP(C4,OUTPUT_COUNTRY!$B$7:$N$27,7,FALSE)&gt;50,"+",(IF(VLOOKUP(C4,OUTPUT_COUNTRY!$B$7:$N$27,7,FALSE)&gt;25,"-","--")))))</f>
        <v>++</v>
      </c>
      <c r="I4" s="124" t="str">
        <f>IF(VLOOKUP(C4,OUTPUT_COUNTRY!$B$7:$N$27,8,FALSE)&gt;75,"++",(IF(VLOOKUP(C4,OUTPUT_COUNTRY!$B$7:$N$27,8,FALSE)&gt;50,"+",(IF(VLOOKUP(C4,OUTPUT_COUNTRY!$B$7:$N$27,8,FALSE)&gt;25,"-","--")))))</f>
        <v>--</v>
      </c>
      <c r="J4" s="124" t="str">
        <f ca="1">IF(VLOOKUP(C4,OUTPUT_COUNTRY!$B$7:$N$27,9,FALSE)&gt;75,"++",(IF(VLOOKUP(C4,OUTPUT_COUNTRY!$B$7:$N$27,9,FALSE)&gt;50,"+",(IF(VLOOKUP(C4,OUTPUT_COUNTRY!$B$7:$N$27,9,FALSE)&gt;25,"-","--")))))</f>
        <v>+</v>
      </c>
      <c r="K4" s="124" t="str">
        <f>IF(VLOOKUP(C4,OUTPUT_COUNTRY!$B$7:$N$27,11,FALSE)&gt;75,"++",(IF(VLOOKUP(C4,OUTPUT_COUNTRY!$B$7:$N$27,11,FALSE)&gt;50,"+",(IF(VLOOKUP(C4,OUTPUT_COUNTRY!$B$7:$N$27,11,FALSE)&gt;25,"-","--")))))</f>
        <v>+</v>
      </c>
      <c r="L4" s="125" t="str">
        <f ca="1">IF(VLOOKUP(C4,OUTPUT_COUNTRY!$B$7:$N$27,13,FALSE)&gt;75,"++",(IF(VLOOKUP(C4,OUTPUT_COUNTRY!$B$7:$N$27,13,FALSE)&gt;50,"+",(IF(VLOOKUP(C4,OUTPUT_COUNTRY!$B$7:$N$27,13,FALSE)&gt;25,"-","--")))))</f>
        <v>+</v>
      </c>
    </row>
    <row r="5" spans="3:12" x14ac:dyDescent="0.35">
      <c r="C5" s="80" t="s">
        <v>37</v>
      </c>
      <c r="D5" s="82" t="s">
        <v>448</v>
      </c>
      <c r="E5" s="126" t="str">
        <f>IF(VLOOKUP(C5,OUTPUT_COUNTRY!$B$7:$N$27,3,FALSE)&gt;75,"++",(IF(VLOOKUP(C5,OUTPUT_COUNTRY!$B$7:$N$27,3,FALSE)&gt;50,"+",(IF(VLOOKUP(C5,OUTPUT_COUNTRY!$B$7:$N$27,3,FALSE)&gt;25,"-","--")))))</f>
        <v>--</v>
      </c>
      <c r="F5" s="126" t="str">
        <f>IF(VLOOKUP(C5,OUTPUT_COUNTRY!$B$7:$N$27,4,FALSE)&gt;75,"++",(IF(VLOOKUP(C5,OUTPUT_COUNTRY!$B$7:$N$27,4,FALSE)&gt;50,"+",(IF(VLOOKUP(C5,OUTPUT_COUNTRY!$B$7:$N$27,4,FALSE)&gt;25,"-","--")))))</f>
        <v>-</v>
      </c>
      <c r="G5" s="128" t="str">
        <f>IF(VLOOKUP(C5,OUTPUT_COUNTRY!$B$7:$N$27,5,FALSE)&gt;75,"++",(IF(VLOOKUP(C5,OUTPUT_COUNTRY!$B$7:$N$27,5,FALSE)&gt;50,"+",(IF(VLOOKUP(C5,OUTPUT_COUNTRY!$B$7:$N$27,5,FALSE)&gt;25,"-","--")))))</f>
        <v>--</v>
      </c>
      <c r="H5" s="128" t="str">
        <f>IF(VLOOKUP(C5,OUTPUT_COUNTRY!$B$7:$N$27,7,FALSE)&gt;75,"++",(IF(VLOOKUP(C5,OUTPUT_COUNTRY!$B$7:$N$27,7,FALSE)&gt;50,"+",(IF(VLOOKUP(C5,OUTPUT_COUNTRY!$B$7:$N$27,7,FALSE)&gt;25,"-","--")))))</f>
        <v>--</v>
      </c>
      <c r="I5" s="128" t="str">
        <f>IF(VLOOKUP(C5,OUTPUT_COUNTRY!$B$7:$N$27,8,FALSE)&gt;75,"++",(IF(VLOOKUP(C5,OUTPUT_COUNTRY!$B$7:$N$27,8,FALSE)&gt;50,"+",(IF(VLOOKUP(C5,OUTPUT_COUNTRY!$B$7:$N$27,8,FALSE)&gt;25,"-","--")))))</f>
        <v>+</v>
      </c>
      <c r="J5" s="128" t="str">
        <f ca="1">IF(VLOOKUP(C5,OUTPUT_COUNTRY!$B$7:$N$27,9,FALSE)&gt;75,"++",(IF(VLOOKUP(C5,OUTPUT_COUNTRY!$B$7:$N$27,9,FALSE)&gt;50,"+",(IF(VLOOKUP(C5,OUTPUT_COUNTRY!$B$7:$N$27,9,FALSE)&gt;25,"-","--")))))</f>
        <v>--</v>
      </c>
      <c r="K5" s="128" t="str">
        <f>IF(VLOOKUP(C5,OUTPUT_COUNTRY!$B$7:$N$27,11,FALSE)&gt;75,"++",(IF(VLOOKUP(C5,OUTPUT_COUNTRY!$B$7:$N$27,11,FALSE)&gt;50,"+",(IF(VLOOKUP(C5,OUTPUT_COUNTRY!$B$7:$N$27,11,FALSE)&gt;25,"-","--")))))</f>
        <v>-</v>
      </c>
      <c r="L5" s="126" t="str">
        <f ca="1">IF(VLOOKUP(C5,OUTPUT_COUNTRY!$B$7:$N$27,13,FALSE)&gt;75,"++",(IF(VLOOKUP(C5,OUTPUT_COUNTRY!$B$7:$N$27,13,FALSE)&gt;50,"+",(IF(VLOOKUP(C5,OUTPUT_COUNTRY!$B$7:$N$27,13,FALSE)&gt;25,"-","--")))))</f>
        <v>--</v>
      </c>
    </row>
    <row r="6" spans="3:12" x14ac:dyDescent="0.35">
      <c r="C6" s="80" t="s">
        <v>36</v>
      </c>
      <c r="D6" s="82" t="s">
        <v>449</v>
      </c>
      <c r="E6" s="126" t="str">
        <f>IF(VLOOKUP(C6,OUTPUT_COUNTRY!$B$7:$N$27,3,FALSE)&gt;75,"++",(IF(VLOOKUP(C6,OUTPUT_COUNTRY!$B$7:$N$27,3,FALSE)&gt;50,"+",(IF(VLOOKUP(C6,OUTPUT_COUNTRY!$B$7:$N$27,3,FALSE)&gt;25,"-","--")))))</f>
        <v>--</v>
      </c>
      <c r="F6" s="126" t="str">
        <f>IF(VLOOKUP(C6,OUTPUT_COUNTRY!$B$7:$N$27,4,FALSE)&gt;75,"++",(IF(VLOOKUP(C6,OUTPUT_COUNTRY!$B$7:$N$27,4,FALSE)&gt;50,"+",(IF(VLOOKUP(C6,OUTPUT_COUNTRY!$B$7:$N$27,4,FALSE)&gt;25,"-","--")))))</f>
        <v>-</v>
      </c>
      <c r="G6" s="128" t="str">
        <f>IF(VLOOKUP(C6,OUTPUT_COUNTRY!$B$7:$N$27,5,FALSE)&gt;75,"++",(IF(VLOOKUP(C6,OUTPUT_COUNTRY!$B$7:$N$27,5,FALSE)&gt;50,"+",(IF(VLOOKUP(C6,OUTPUT_COUNTRY!$B$7:$N$27,5,FALSE)&gt;25,"-","--")))))</f>
        <v>++</v>
      </c>
      <c r="H6" s="128" t="str">
        <f>IF(VLOOKUP(C6,OUTPUT_COUNTRY!$B$7:$N$27,7,FALSE)&gt;75,"++",(IF(VLOOKUP(C6,OUTPUT_COUNTRY!$B$7:$N$27,7,FALSE)&gt;50,"+",(IF(VLOOKUP(C6,OUTPUT_COUNTRY!$B$7:$N$27,7,FALSE)&gt;25,"-","--")))))</f>
        <v>-</v>
      </c>
      <c r="I6" s="128" t="str">
        <f>IF(VLOOKUP(C6,OUTPUT_COUNTRY!$B$7:$N$27,8,FALSE)&gt;75,"++",(IF(VLOOKUP(C6,OUTPUT_COUNTRY!$B$7:$N$27,8,FALSE)&gt;50,"+",(IF(VLOOKUP(C6,OUTPUT_COUNTRY!$B$7:$N$27,8,FALSE)&gt;25,"-","--")))))</f>
        <v>--</v>
      </c>
      <c r="J6" s="128" t="str">
        <f ca="1">IF(VLOOKUP(C6,OUTPUT_COUNTRY!$B$7:$N$27,9,FALSE)&gt;75,"++",(IF(VLOOKUP(C6,OUTPUT_COUNTRY!$B$7:$N$27,9,FALSE)&gt;50,"+",(IF(VLOOKUP(C6,OUTPUT_COUNTRY!$B$7:$N$27,9,FALSE)&gt;25,"-","--")))))</f>
        <v>+</v>
      </c>
      <c r="K6" s="128" t="str">
        <f>IF(VLOOKUP(C6,OUTPUT_COUNTRY!$B$7:$N$27,11,FALSE)&gt;75,"++",(IF(VLOOKUP(C6,OUTPUT_COUNTRY!$B$7:$N$27,11,FALSE)&gt;50,"+",(IF(VLOOKUP(C6,OUTPUT_COUNTRY!$B$7:$N$27,11,FALSE)&gt;25,"-","--")))))</f>
        <v>++</v>
      </c>
      <c r="L6" s="126" t="str">
        <f ca="1">IF(VLOOKUP(C6,OUTPUT_COUNTRY!$B$7:$N$27,13,FALSE)&gt;75,"++",(IF(VLOOKUP(C6,OUTPUT_COUNTRY!$B$7:$N$27,13,FALSE)&gt;50,"+",(IF(VLOOKUP(C6,OUTPUT_COUNTRY!$B$7:$N$27,13,FALSE)&gt;25,"-","--")))))</f>
        <v>-</v>
      </c>
    </row>
    <row r="7" spans="3:12" x14ac:dyDescent="0.35">
      <c r="C7" s="80" t="s">
        <v>757</v>
      </c>
      <c r="D7" s="82" t="s">
        <v>758</v>
      </c>
      <c r="E7" s="126" t="str">
        <f>IF(VLOOKUP(C7,OUTPUT_COUNTRY!$B$7:$N$27,3,FALSE)&gt;75,"++",(IF(VLOOKUP(C7,OUTPUT_COUNTRY!$B$7:$N$27,3,FALSE)&gt;50,"+",(IF(VLOOKUP(C7,OUTPUT_COUNTRY!$B$7:$N$27,3,FALSE)&gt;25,"-","--")))))</f>
        <v>-</v>
      </c>
      <c r="F7" s="126" t="str">
        <f>IF(VLOOKUP(C7,OUTPUT_COUNTRY!$B$7:$N$27,4,FALSE)&gt;75,"++",(IF(VLOOKUP(C7,OUTPUT_COUNTRY!$B$7:$N$27,4,FALSE)&gt;50,"+",(IF(VLOOKUP(C7,OUTPUT_COUNTRY!$B$7:$N$27,4,FALSE)&gt;25,"-","--")))))</f>
        <v>+</v>
      </c>
      <c r="G7" s="128" t="str">
        <f>IF(VLOOKUP(C7,OUTPUT_COUNTRY!$B$7:$N$27,5,FALSE)&gt;75,"++",(IF(VLOOKUP(C7,OUTPUT_COUNTRY!$B$7:$N$27,5,FALSE)&gt;50,"+",(IF(VLOOKUP(C7,OUTPUT_COUNTRY!$B$7:$N$27,5,FALSE)&gt;25,"-","--")))))</f>
        <v>++</v>
      </c>
      <c r="H7" s="128" t="str">
        <f>IF(VLOOKUP(C7,OUTPUT_COUNTRY!$B$7:$N$27,7,FALSE)&gt;75,"++",(IF(VLOOKUP(C7,OUTPUT_COUNTRY!$B$7:$N$27,7,FALSE)&gt;50,"+",(IF(VLOOKUP(C7,OUTPUT_COUNTRY!$B$7:$N$27,7,FALSE)&gt;25,"-","--")))))</f>
        <v>++</v>
      </c>
      <c r="I7" s="128" t="str">
        <f>IF(VLOOKUP(C7,OUTPUT_COUNTRY!$B$7:$N$27,8,FALSE)&gt;75,"++",(IF(VLOOKUP(C7,OUTPUT_COUNTRY!$B$7:$N$27,8,FALSE)&gt;50,"+",(IF(VLOOKUP(C7,OUTPUT_COUNTRY!$B$7:$N$27,8,FALSE)&gt;25,"-","--")))))</f>
        <v>-</v>
      </c>
      <c r="J7" s="128" t="str">
        <f ca="1">IF(VLOOKUP(C7,OUTPUT_COUNTRY!$B$7:$N$27,9,FALSE)&gt;75,"++",(IF(VLOOKUP(C7,OUTPUT_COUNTRY!$B$7:$N$27,9,FALSE)&gt;50,"+",(IF(VLOOKUP(C7,OUTPUT_COUNTRY!$B$7:$N$27,9,FALSE)&gt;25,"-","--")))))</f>
        <v>--</v>
      </c>
      <c r="K7" s="128" t="str">
        <f>IF(VLOOKUP(C7,OUTPUT_COUNTRY!$B$7:$N$27,11,FALSE)&gt;75,"++",(IF(VLOOKUP(C7,OUTPUT_COUNTRY!$B$7:$N$27,11,FALSE)&gt;50,"+",(IF(VLOOKUP(C7,OUTPUT_COUNTRY!$B$7:$N$27,11,FALSE)&gt;25,"-","--")))))</f>
        <v>-</v>
      </c>
      <c r="L7" s="126" t="str">
        <f ca="1">IF(VLOOKUP(C7,OUTPUT_COUNTRY!$B$7:$N$27,13,FALSE)&gt;75,"++",(IF(VLOOKUP(C7,OUTPUT_COUNTRY!$B$7:$N$27,13,FALSE)&gt;50,"+",(IF(VLOOKUP(C7,OUTPUT_COUNTRY!$B$7:$N$27,13,FALSE)&gt;25,"-","--")))))</f>
        <v>-</v>
      </c>
    </row>
    <row r="8" spans="3:12" x14ac:dyDescent="0.35">
      <c r="C8" s="80" t="s">
        <v>7</v>
      </c>
      <c r="D8" s="82" t="s">
        <v>53</v>
      </c>
      <c r="E8" s="126" t="str">
        <f>IF(VLOOKUP(C8,OUTPUT_COUNTRY!$B$7:$N$27,3,FALSE)&gt;75,"++",(IF(VLOOKUP(C8,OUTPUT_COUNTRY!$B$7:$N$27,3,FALSE)&gt;50,"+",(IF(VLOOKUP(C8,OUTPUT_COUNTRY!$B$7:$N$27,3,FALSE)&gt;25,"-","--")))))</f>
        <v>-</v>
      </c>
      <c r="F8" s="126" t="str">
        <f>IF(VLOOKUP(C8,OUTPUT_COUNTRY!$B$7:$N$27,4,FALSE)&gt;75,"++",(IF(VLOOKUP(C8,OUTPUT_COUNTRY!$B$7:$N$27,4,FALSE)&gt;50,"+",(IF(VLOOKUP(C8,OUTPUT_COUNTRY!$B$7:$N$27,4,FALSE)&gt;25,"-","--")))))</f>
        <v>+</v>
      </c>
      <c r="G8" s="128" t="str">
        <f>IF(VLOOKUP(C8,OUTPUT_COUNTRY!$B$7:$N$27,5,FALSE)&gt;75,"++",(IF(VLOOKUP(C8,OUTPUT_COUNTRY!$B$7:$N$27,5,FALSE)&gt;50,"+",(IF(VLOOKUP(C8,OUTPUT_COUNTRY!$B$7:$N$27,5,FALSE)&gt;25,"-","--")))))</f>
        <v>-</v>
      </c>
      <c r="H8" s="128" t="str">
        <f>IF(VLOOKUP(C8,OUTPUT_COUNTRY!$B$7:$N$27,7,FALSE)&gt;75,"++",(IF(VLOOKUP(C8,OUTPUT_COUNTRY!$B$7:$N$27,7,FALSE)&gt;50,"+",(IF(VLOOKUP(C8,OUTPUT_COUNTRY!$B$7:$N$27,7,FALSE)&gt;25,"-","--")))))</f>
        <v>-</v>
      </c>
      <c r="I8" s="128" t="str">
        <f>IF(VLOOKUP(C8,OUTPUT_COUNTRY!$B$7:$N$27,8,FALSE)&gt;75,"++",(IF(VLOOKUP(C8,OUTPUT_COUNTRY!$B$7:$N$27,8,FALSE)&gt;50,"+",(IF(VLOOKUP(C8,OUTPUT_COUNTRY!$B$7:$N$27,8,FALSE)&gt;25,"-","--")))))</f>
        <v>+</v>
      </c>
      <c r="J8" s="128" t="str">
        <f ca="1">IF(VLOOKUP(C8,OUTPUT_COUNTRY!$B$7:$N$27,9,FALSE)&gt;75,"++",(IF(VLOOKUP(C8,OUTPUT_COUNTRY!$B$7:$N$27,9,FALSE)&gt;50,"+",(IF(VLOOKUP(C8,OUTPUT_COUNTRY!$B$7:$N$27,9,FALSE)&gt;25,"-","--")))))</f>
        <v>+</v>
      </c>
      <c r="K8" s="128" t="str">
        <f>IF(VLOOKUP(C8,OUTPUT_COUNTRY!$B$7:$N$27,11,FALSE)&gt;75,"++",(IF(VLOOKUP(C8,OUTPUT_COUNTRY!$B$7:$N$27,11,FALSE)&gt;50,"+",(IF(VLOOKUP(C8,OUTPUT_COUNTRY!$B$7:$N$27,11,FALSE)&gt;25,"-","--")))))</f>
        <v>+</v>
      </c>
      <c r="L8" s="126" t="str">
        <f ca="1">IF(VLOOKUP(C8,OUTPUT_COUNTRY!$B$7:$N$27,13,FALSE)&gt;75,"++",(IF(VLOOKUP(C8,OUTPUT_COUNTRY!$B$7:$N$27,13,FALSE)&gt;50,"+",(IF(VLOOKUP(C8,OUTPUT_COUNTRY!$B$7:$N$27,13,FALSE)&gt;25,"-","--")))))</f>
        <v>+</v>
      </c>
    </row>
    <row r="9" spans="3:12" x14ac:dyDescent="0.35">
      <c r="C9" s="80" t="s">
        <v>35</v>
      </c>
      <c r="D9" s="82" t="s">
        <v>437</v>
      </c>
      <c r="E9" s="126" t="str">
        <f>IF(VLOOKUP(C9,OUTPUT_COUNTRY!$B$7:$N$27,3,FALSE)&gt;75,"++",(IF(VLOOKUP(C9,OUTPUT_COUNTRY!$B$7:$N$27,3,FALSE)&gt;50,"+",(IF(VLOOKUP(C9,OUTPUT_COUNTRY!$B$7:$N$27,3,FALSE)&gt;25,"-","--")))))</f>
        <v>-</v>
      </c>
      <c r="F9" s="126" t="str">
        <f>IF(VLOOKUP(C9,OUTPUT_COUNTRY!$B$7:$N$27,4,FALSE)&gt;75,"++",(IF(VLOOKUP(C9,OUTPUT_COUNTRY!$B$7:$N$27,4,FALSE)&gt;50,"+",(IF(VLOOKUP(C9,OUTPUT_COUNTRY!$B$7:$N$27,4,FALSE)&gt;25,"-","--")))))</f>
        <v>-</v>
      </c>
      <c r="G9" s="128" t="str">
        <f>IF(VLOOKUP(C9,OUTPUT_COUNTRY!$B$7:$N$27,5,FALSE)&gt;75,"++",(IF(VLOOKUP(C9,OUTPUT_COUNTRY!$B$7:$N$27,5,FALSE)&gt;50,"+",(IF(VLOOKUP(C9,OUTPUT_COUNTRY!$B$7:$N$27,5,FALSE)&gt;25,"-","--")))))</f>
        <v>++</v>
      </c>
      <c r="H9" s="128" t="str">
        <f>IF(VLOOKUP(C9,OUTPUT_COUNTRY!$B$7:$N$27,7,FALSE)&gt;75,"++",(IF(VLOOKUP(C9,OUTPUT_COUNTRY!$B$7:$N$27,7,FALSE)&gt;50,"+",(IF(VLOOKUP(C9,OUTPUT_COUNTRY!$B$7:$N$27,7,FALSE)&gt;25,"-","--")))))</f>
        <v>++</v>
      </c>
      <c r="I9" s="128" t="str">
        <f>IF(VLOOKUP(C9,OUTPUT_COUNTRY!$B$7:$N$27,8,FALSE)&gt;75,"++",(IF(VLOOKUP(C9,OUTPUT_COUNTRY!$B$7:$N$27,8,FALSE)&gt;50,"+",(IF(VLOOKUP(C9,OUTPUT_COUNTRY!$B$7:$N$27,8,FALSE)&gt;25,"-","--")))))</f>
        <v>--</v>
      </c>
      <c r="J9" s="128" t="str">
        <f ca="1">IF(VLOOKUP(C9,OUTPUT_COUNTRY!$B$7:$N$27,9,FALSE)&gt;75,"++",(IF(VLOOKUP(C9,OUTPUT_COUNTRY!$B$7:$N$27,9,FALSE)&gt;50,"+",(IF(VLOOKUP(C9,OUTPUT_COUNTRY!$B$7:$N$27,9,FALSE)&gt;25,"-","--")))))</f>
        <v>--</v>
      </c>
      <c r="K9" s="128" t="str">
        <f>IF(VLOOKUP(C9,OUTPUT_COUNTRY!$B$7:$N$27,11,FALSE)&gt;75,"++",(IF(VLOOKUP(C9,OUTPUT_COUNTRY!$B$7:$N$27,11,FALSE)&gt;50,"+",(IF(VLOOKUP(C9,OUTPUT_COUNTRY!$B$7:$N$27,11,FALSE)&gt;25,"-","--")))))</f>
        <v>-</v>
      </c>
      <c r="L9" s="126" t="str">
        <f ca="1">IF(VLOOKUP(C9,OUTPUT_COUNTRY!$B$7:$N$27,13,FALSE)&gt;75,"++",(IF(VLOOKUP(C9,OUTPUT_COUNTRY!$B$7:$N$27,13,FALSE)&gt;50,"+",(IF(VLOOKUP(C9,OUTPUT_COUNTRY!$B$7:$N$27,13,FALSE)&gt;25,"-","--")))))</f>
        <v>--</v>
      </c>
    </row>
    <row r="10" spans="3:12" x14ac:dyDescent="0.35">
      <c r="C10" s="80" t="s">
        <v>432</v>
      </c>
      <c r="D10" s="82" t="s">
        <v>435</v>
      </c>
      <c r="E10" s="126" t="str">
        <f>IF(VLOOKUP(C10,OUTPUT_COUNTRY!$B$7:$N$27,3,FALSE)&gt;75,"++",(IF(VLOOKUP(C10,OUTPUT_COUNTRY!$B$7:$N$27,3,FALSE)&gt;50,"+",(IF(VLOOKUP(C10,OUTPUT_COUNTRY!$B$7:$N$27,3,FALSE)&gt;25,"-","--")))))</f>
        <v>+</v>
      </c>
      <c r="F10" s="126" t="str">
        <f>IF(VLOOKUP(C10,OUTPUT_COUNTRY!$B$7:$N$27,4,FALSE)&gt;75,"++",(IF(VLOOKUP(C10,OUTPUT_COUNTRY!$B$7:$N$27,4,FALSE)&gt;50,"+",(IF(VLOOKUP(C10,OUTPUT_COUNTRY!$B$7:$N$27,4,FALSE)&gt;25,"-","--")))))</f>
        <v>++</v>
      </c>
      <c r="G10" s="128" t="str">
        <f>IF(VLOOKUP(C10,OUTPUT_COUNTRY!$B$7:$N$27,5,FALSE)&gt;75,"++",(IF(VLOOKUP(C10,OUTPUT_COUNTRY!$B$7:$N$27,5,FALSE)&gt;50,"+",(IF(VLOOKUP(C10,OUTPUT_COUNTRY!$B$7:$N$27,5,FALSE)&gt;25,"-","--")))))</f>
        <v>++</v>
      </c>
      <c r="H10" s="128" t="str">
        <f>IF(VLOOKUP(C10,OUTPUT_COUNTRY!$B$7:$N$27,7,FALSE)&gt;75,"++",(IF(VLOOKUP(C10,OUTPUT_COUNTRY!$B$7:$N$27,7,FALSE)&gt;50,"+",(IF(VLOOKUP(C10,OUTPUT_COUNTRY!$B$7:$N$27,7,FALSE)&gt;25,"-","--")))))</f>
        <v>++</v>
      </c>
      <c r="I10" s="128" t="str">
        <f>IF(VLOOKUP(C10,OUTPUT_COUNTRY!$B$7:$N$27,8,FALSE)&gt;75,"++",(IF(VLOOKUP(C10,OUTPUT_COUNTRY!$B$7:$N$27,8,FALSE)&gt;50,"+",(IF(VLOOKUP(C10,OUTPUT_COUNTRY!$B$7:$N$27,8,FALSE)&gt;25,"-","--")))))</f>
        <v>++</v>
      </c>
      <c r="J10" s="128" t="str">
        <f ca="1">IF(VLOOKUP(C10,OUTPUT_COUNTRY!$B$7:$N$27,9,FALSE)&gt;75,"++",(IF(VLOOKUP(C10,OUTPUT_COUNTRY!$B$7:$N$27,9,FALSE)&gt;50,"+",(IF(VLOOKUP(C10,OUTPUT_COUNTRY!$B$7:$N$27,9,FALSE)&gt;25,"-","--")))))</f>
        <v>-</v>
      </c>
      <c r="K10" s="128" t="str">
        <f>IF(VLOOKUP(C10,OUTPUT_COUNTRY!$B$7:$N$27,11,FALSE)&gt;75,"++",(IF(VLOOKUP(C10,OUTPUT_COUNTRY!$B$7:$N$27,11,FALSE)&gt;50,"+",(IF(VLOOKUP(C10,OUTPUT_COUNTRY!$B$7:$N$27,11,FALSE)&gt;25,"-","--")))))</f>
        <v>++</v>
      </c>
      <c r="L10" s="126" t="str">
        <f ca="1">IF(VLOOKUP(C10,OUTPUT_COUNTRY!$B$7:$N$27,13,FALSE)&gt;75,"++",(IF(VLOOKUP(C10,OUTPUT_COUNTRY!$B$7:$N$27,13,FALSE)&gt;50,"+",(IF(VLOOKUP(C10,OUTPUT_COUNTRY!$B$7:$N$27,13,FALSE)&gt;25,"-","--")))))</f>
        <v>++</v>
      </c>
    </row>
    <row r="11" spans="3:12" x14ac:dyDescent="0.35">
      <c r="C11" s="80" t="s">
        <v>23</v>
      </c>
      <c r="D11" s="82" t="s">
        <v>439</v>
      </c>
      <c r="E11" s="126" t="str">
        <f>IF(VLOOKUP(C11,OUTPUT_COUNTRY!$B$7:$N$27,3,FALSE)&gt;75,"++",(IF(VLOOKUP(C11,OUTPUT_COUNTRY!$B$7:$N$27,3,FALSE)&gt;50,"+",(IF(VLOOKUP(C11,OUTPUT_COUNTRY!$B$7:$N$27,3,FALSE)&gt;25,"-","--")))))</f>
        <v>++</v>
      </c>
      <c r="F11" s="126" t="str">
        <f>IF(VLOOKUP(C11,OUTPUT_COUNTRY!$B$7:$N$27,4,FALSE)&gt;75,"++",(IF(VLOOKUP(C11,OUTPUT_COUNTRY!$B$7:$N$27,4,FALSE)&gt;50,"+",(IF(VLOOKUP(C11,OUTPUT_COUNTRY!$B$7:$N$27,4,FALSE)&gt;25,"-","--")))))</f>
        <v>--</v>
      </c>
      <c r="G11" s="128" t="str">
        <f>IF(VLOOKUP(C11,OUTPUT_COUNTRY!$B$7:$N$27,5,FALSE)&gt;75,"++",(IF(VLOOKUP(C11,OUTPUT_COUNTRY!$B$7:$N$27,5,FALSE)&gt;50,"+",(IF(VLOOKUP(C11,OUTPUT_COUNTRY!$B$7:$N$27,5,FALSE)&gt;25,"-","--")))))</f>
        <v>--</v>
      </c>
      <c r="H11" s="128" t="str">
        <f>IF(VLOOKUP(C11,OUTPUT_COUNTRY!$B$7:$N$27,7,FALSE)&gt;75,"++",(IF(VLOOKUP(C11,OUTPUT_COUNTRY!$B$7:$N$27,7,FALSE)&gt;50,"+",(IF(VLOOKUP(C11,OUTPUT_COUNTRY!$B$7:$N$27,7,FALSE)&gt;25,"-","--")))))</f>
        <v>--</v>
      </c>
      <c r="I11" s="128" t="str">
        <f>IF(VLOOKUP(C11,OUTPUT_COUNTRY!$B$7:$N$27,8,FALSE)&gt;75,"++",(IF(VLOOKUP(C11,OUTPUT_COUNTRY!$B$7:$N$27,8,FALSE)&gt;50,"+",(IF(VLOOKUP(C11,OUTPUT_COUNTRY!$B$7:$N$27,8,FALSE)&gt;25,"-","--")))))</f>
        <v>+</v>
      </c>
      <c r="J11" s="128" t="str">
        <f ca="1">IF(VLOOKUP(C11,OUTPUT_COUNTRY!$B$7:$N$27,9,FALSE)&gt;75,"++",(IF(VLOOKUP(C11,OUTPUT_COUNTRY!$B$7:$N$27,9,FALSE)&gt;50,"+",(IF(VLOOKUP(C11,OUTPUT_COUNTRY!$B$7:$N$27,9,FALSE)&gt;25,"-","--")))))</f>
        <v>++</v>
      </c>
      <c r="K11" s="128" t="str">
        <f>IF(VLOOKUP(C11,OUTPUT_COUNTRY!$B$7:$N$27,11,FALSE)&gt;75,"++",(IF(VLOOKUP(C11,OUTPUT_COUNTRY!$B$7:$N$27,11,FALSE)&gt;50,"+",(IF(VLOOKUP(C11,OUTPUT_COUNTRY!$B$7:$N$27,11,FALSE)&gt;25,"-","--")))))</f>
        <v>+</v>
      </c>
      <c r="L11" s="126" t="str">
        <f ca="1">IF(VLOOKUP(C11,OUTPUT_COUNTRY!$B$7:$N$27,13,FALSE)&gt;75,"++",(IF(VLOOKUP(C11,OUTPUT_COUNTRY!$B$7:$N$27,13,FALSE)&gt;50,"+",(IF(VLOOKUP(C11,OUTPUT_COUNTRY!$B$7:$N$27,13,FALSE)&gt;25,"-","--")))))</f>
        <v>++</v>
      </c>
    </row>
    <row r="12" spans="3:12" x14ac:dyDescent="0.35">
      <c r="C12" s="80" t="s">
        <v>21</v>
      </c>
      <c r="D12" s="82" t="s">
        <v>38</v>
      </c>
      <c r="E12" s="126" t="str">
        <f>IF(VLOOKUP(C12,OUTPUT_COUNTRY!$B$7:$N$27,3,FALSE)&gt;75,"++",(IF(VLOOKUP(C12,OUTPUT_COUNTRY!$B$7:$N$27,3,FALSE)&gt;50,"+",(IF(VLOOKUP(C12,OUTPUT_COUNTRY!$B$7:$N$27,3,FALSE)&gt;25,"-","--")))))</f>
        <v>--</v>
      </c>
      <c r="F12" s="126" t="str">
        <f>IF(VLOOKUP(C12,OUTPUT_COUNTRY!$B$7:$N$27,4,FALSE)&gt;75,"++",(IF(VLOOKUP(C12,OUTPUT_COUNTRY!$B$7:$N$27,4,FALSE)&gt;50,"+",(IF(VLOOKUP(C12,OUTPUT_COUNTRY!$B$7:$N$27,4,FALSE)&gt;25,"-","--")))))</f>
        <v>++</v>
      </c>
      <c r="G12" s="128" t="str">
        <f>IF(VLOOKUP(C12,OUTPUT_COUNTRY!$B$7:$N$27,5,FALSE)&gt;75,"++",(IF(VLOOKUP(C12,OUTPUT_COUNTRY!$B$7:$N$27,5,FALSE)&gt;50,"+",(IF(VLOOKUP(C12,OUTPUT_COUNTRY!$B$7:$N$27,5,FALSE)&gt;25,"-","--")))))</f>
        <v>+</v>
      </c>
      <c r="H12" s="128" t="str">
        <f>IF(VLOOKUP(C12,OUTPUT_COUNTRY!$B$7:$N$27,7,FALSE)&gt;75,"++",(IF(VLOOKUP(C12,OUTPUT_COUNTRY!$B$7:$N$27,7,FALSE)&gt;50,"+",(IF(VLOOKUP(C12,OUTPUT_COUNTRY!$B$7:$N$27,7,FALSE)&gt;25,"-","--")))))</f>
        <v>+</v>
      </c>
      <c r="I12" s="128" t="str">
        <f>IF(VLOOKUP(C12,OUTPUT_COUNTRY!$B$7:$N$27,8,FALSE)&gt;75,"++",(IF(VLOOKUP(C12,OUTPUT_COUNTRY!$B$7:$N$27,8,FALSE)&gt;50,"+",(IF(VLOOKUP(C12,OUTPUT_COUNTRY!$B$7:$N$27,8,FALSE)&gt;25,"-","--")))))</f>
        <v>--</v>
      </c>
      <c r="J12" s="128" t="str">
        <f ca="1">IF(VLOOKUP(C12,OUTPUT_COUNTRY!$B$7:$N$27,9,FALSE)&gt;75,"++",(IF(VLOOKUP(C12,OUTPUT_COUNTRY!$B$7:$N$27,9,FALSE)&gt;50,"+",(IF(VLOOKUP(C12,OUTPUT_COUNTRY!$B$7:$N$27,9,FALSE)&gt;25,"-","--")))))</f>
        <v>+</v>
      </c>
      <c r="K12" s="128" t="str">
        <f>IF(VLOOKUP(C12,OUTPUT_COUNTRY!$B$7:$N$27,11,FALSE)&gt;75,"++",(IF(VLOOKUP(C12,OUTPUT_COUNTRY!$B$7:$N$27,11,FALSE)&gt;50,"+",(IF(VLOOKUP(C12,OUTPUT_COUNTRY!$B$7:$N$27,11,FALSE)&gt;25,"-","--")))))</f>
        <v>--</v>
      </c>
      <c r="L12" s="126" t="str">
        <f ca="1">IF(VLOOKUP(C12,OUTPUT_COUNTRY!$B$7:$N$27,13,FALSE)&gt;75,"++",(IF(VLOOKUP(C12,OUTPUT_COUNTRY!$B$7:$N$27,13,FALSE)&gt;50,"+",(IF(VLOOKUP(C12,OUTPUT_COUNTRY!$B$7:$N$27,13,FALSE)&gt;25,"-","--")))))</f>
        <v>-</v>
      </c>
    </row>
    <row r="13" spans="3:12" x14ac:dyDescent="0.35">
      <c r="C13" s="80" t="s">
        <v>28</v>
      </c>
      <c r="D13" s="82" t="s">
        <v>443</v>
      </c>
      <c r="E13" s="126" t="str">
        <f>IF(VLOOKUP(C13,OUTPUT_COUNTRY!$B$7:$N$27,3,FALSE)&gt;75,"++",(IF(VLOOKUP(C13,OUTPUT_COUNTRY!$B$7:$N$27,3,FALSE)&gt;50,"+",(IF(VLOOKUP(C13,OUTPUT_COUNTRY!$B$7:$N$27,3,FALSE)&gt;25,"-","--")))))</f>
        <v>++</v>
      </c>
      <c r="F13" s="126" t="str">
        <f>IF(VLOOKUP(C13,OUTPUT_COUNTRY!$B$7:$N$27,4,FALSE)&gt;75,"++",(IF(VLOOKUP(C13,OUTPUT_COUNTRY!$B$7:$N$27,4,FALSE)&gt;50,"+",(IF(VLOOKUP(C13,OUTPUT_COUNTRY!$B$7:$N$27,4,FALSE)&gt;25,"-","--")))))</f>
        <v>--</v>
      </c>
      <c r="G13" s="128" t="str">
        <f>IF(VLOOKUP(C13,OUTPUT_COUNTRY!$B$7:$N$27,5,FALSE)&gt;75,"++",(IF(VLOOKUP(C13,OUTPUT_COUNTRY!$B$7:$N$27,5,FALSE)&gt;50,"+",(IF(VLOOKUP(C13,OUTPUT_COUNTRY!$B$7:$N$27,5,FALSE)&gt;25,"-","--")))))</f>
        <v>--</v>
      </c>
      <c r="H13" s="128" t="str">
        <f>IF(VLOOKUP(C13,OUTPUT_COUNTRY!$B$7:$N$27,7,FALSE)&gt;75,"++",(IF(VLOOKUP(C13,OUTPUT_COUNTRY!$B$7:$N$27,7,FALSE)&gt;50,"+",(IF(VLOOKUP(C13,OUTPUT_COUNTRY!$B$7:$N$27,7,FALSE)&gt;25,"-","--")))))</f>
        <v>--</v>
      </c>
      <c r="I13" s="128" t="str">
        <f>IF(VLOOKUP(C13,OUTPUT_COUNTRY!$B$7:$N$27,8,FALSE)&gt;75,"++",(IF(VLOOKUP(C13,OUTPUT_COUNTRY!$B$7:$N$27,8,FALSE)&gt;50,"+",(IF(VLOOKUP(C13,OUTPUT_COUNTRY!$B$7:$N$27,8,FALSE)&gt;25,"-","--")))))</f>
        <v>--</v>
      </c>
      <c r="J13" s="128" t="str">
        <f ca="1">IF(VLOOKUP(C13,OUTPUT_COUNTRY!$B$7:$N$27,9,FALSE)&gt;75,"++",(IF(VLOOKUP(C13,OUTPUT_COUNTRY!$B$7:$N$27,9,FALSE)&gt;50,"+",(IF(VLOOKUP(C13,OUTPUT_COUNTRY!$B$7:$N$27,9,FALSE)&gt;25,"-","--")))))</f>
        <v>+</v>
      </c>
      <c r="K13" s="128" t="str">
        <f>IF(VLOOKUP(C13,OUTPUT_COUNTRY!$B$7:$N$27,11,FALSE)&gt;75,"++",(IF(VLOOKUP(C13,OUTPUT_COUNTRY!$B$7:$N$27,11,FALSE)&gt;50,"+",(IF(VLOOKUP(C13,OUTPUT_COUNTRY!$B$7:$N$27,11,FALSE)&gt;25,"-","--")))))</f>
        <v>-</v>
      </c>
      <c r="L13" s="126" t="str">
        <f ca="1">IF(VLOOKUP(C13,OUTPUT_COUNTRY!$B$7:$N$27,13,FALSE)&gt;75,"++",(IF(VLOOKUP(C13,OUTPUT_COUNTRY!$B$7:$N$27,13,FALSE)&gt;50,"+",(IF(VLOOKUP(C13,OUTPUT_COUNTRY!$B$7:$N$27,13,FALSE)&gt;25,"-","--")))))</f>
        <v>-</v>
      </c>
    </row>
    <row r="14" spans="3:12" x14ac:dyDescent="0.35">
      <c r="C14" s="80" t="s">
        <v>26</v>
      </c>
      <c r="D14" s="82" t="s">
        <v>41</v>
      </c>
      <c r="E14" s="126" t="str">
        <f>IF(VLOOKUP(C14,OUTPUT_COUNTRY!$B$7:$N$27,3,FALSE)&gt;75,"++",(IF(VLOOKUP(C14,OUTPUT_COUNTRY!$B$7:$N$27,3,FALSE)&gt;50,"+",(IF(VLOOKUP(C14,OUTPUT_COUNTRY!$B$7:$N$27,3,FALSE)&gt;25,"-","--")))))</f>
        <v>++</v>
      </c>
      <c r="F14" s="126" t="str">
        <f>IF(VLOOKUP(C14,OUTPUT_COUNTRY!$B$7:$N$27,4,FALSE)&gt;75,"++",(IF(VLOOKUP(C14,OUTPUT_COUNTRY!$B$7:$N$27,4,FALSE)&gt;50,"+",(IF(VLOOKUP(C14,OUTPUT_COUNTRY!$B$7:$N$27,4,FALSE)&gt;25,"-","--")))))</f>
        <v>++</v>
      </c>
      <c r="G14" s="128" t="str">
        <f>IF(VLOOKUP(C14,OUTPUT_COUNTRY!$B$7:$N$27,5,FALSE)&gt;75,"++",(IF(VLOOKUP(C14,OUTPUT_COUNTRY!$B$7:$N$27,5,FALSE)&gt;50,"+",(IF(VLOOKUP(C14,OUTPUT_COUNTRY!$B$7:$N$27,5,FALSE)&gt;25,"-","--")))))</f>
        <v>+</v>
      </c>
      <c r="H14" s="128" t="str">
        <f>IF(VLOOKUP(C14,OUTPUT_COUNTRY!$B$7:$N$27,7,FALSE)&gt;75,"++",(IF(VLOOKUP(C14,OUTPUT_COUNTRY!$B$7:$N$27,7,FALSE)&gt;50,"+",(IF(VLOOKUP(C14,OUTPUT_COUNTRY!$B$7:$N$27,7,FALSE)&gt;25,"-","--")))))</f>
        <v>++</v>
      </c>
      <c r="I14" s="128" t="str">
        <f>IF(VLOOKUP(C14,OUTPUT_COUNTRY!$B$7:$N$27,8,FALSE)&gt;75,"++",(IF(VLOOKUP(C14,OUTPUT_COUNTRY!$B$7:$N$27,8,FALSE)&gt;50,"+",(IF(VLOOKUP(C14,OUTPUT_COUNTRY!$B$7:$N$27,8,FALSE)&gt;25,"-","--")))))</f>
        <v>++</v>
      </c>
      <c r="J14" s="128" t="str">
        <f ca="1">IF(VLOOKUP(C14,OUTPUT_COUNTRY!$B$7:$N$27,9,FALSE)&gt;75,"++",(IF(VLOOKUP(C14,OUTPUT_COUNTRY!$B$7:$N$27,9,FALSE)&gt;50,"+",(IF(VLOOKUP(C14,OUTPUT_COUNTRY!$B$7:$N$27,9,FALSE)&gt;25,"-","--")))))</f>
        <v>--</v>
      </c>
      <c r="K14" s="128" t="str">
        <f>IF(VLOOKUP(C14,OUTPUT_COUNTRY!$B$7:$N$27,11,FALSE)&gt;75,"++",(IF(VLOOKUP(C14,OUTPUT_COUNTRY!$B$7:$N$27,11,FALSE)&gt;50,"+",(IF(VLOOKUP(C14,OUTPUT_COUNTRY!$B$7:$N$27,11,FALSE)&gt;25,"-","--")))))</f>
        <v>++</v>
      </c>
      <c r="L14" s="126" t="str">
        <f ca="1">IF(VLOOKUP(C14,OUTPUT_COUNTRY!$B$7:$N$27,13,FALSE)&gt;75,"++",(IF(VLOOKUP(C14,OUTPUT_COUNTRY!$B$7:$N$27,13,FALSE)&gt;50,"+",(IF(VLOOKUP(C14,OUTPUT_COUNTRY!$B$7:$N$27,13,FALSE)&gt;25,"-","--")))))</f>
        <v>++</v>
      </c>
    </row>
    <row r="15" spans="3:12" x14ac:dyDescent="0.35">
      <c r="C15" s="80" t="s">
        <v>32</v>
      </c>
      <c r="D15" s="82" t="s">
        <v>52</v>
      </c>
      <c r="E15" s="126" t="str">
        <f>IF(VLOOKUP(C15,OUTPUT_COUNTRY!$B$7:$N$27,3,FALSE)&gt;75,"++",(IF(VLOOKUP(C15,OUTPUT_COUNTRY!$B$7:$N$27,3,FALSE)&gt;50,"+",(IF(VLOOKUP(C15,OUTPUT_COUNTRY!$B$7:$N$27,3,FALSE)&gt;25,"-","--")))))</f>
        <v>--</v>
      </c>
      <c r="F15" s="126" t="str">
        <f>IF(VLOOKUP(C15,OUTPUT_COUNTRY!$B$7:$N$27,4,FALSE)&gt;75,"++",(IF(VLOOKUP(C15,OUTPUT_COUNTRY!$B$7:$N$27,4,FALSE)&gt;50,"+",(IF(VLOOKUP(C15,OUTPUT_COUNTRY!$B$7:$N$27,4,FALSE)&gt;25,"-","--")))))</f>
        <v>++</v>
      </c>
      <c r="G15" s="128" t="str">
        <f>IF(VLOOKUP(C15,OUTPUT_COUNTRY!$B$7:$N$27,5,FALSE)&gt;75,"++",(IF(VLOOKUP(C15,OUTPUT_COUNTRY!$B$7:$N$27,5,FALSE)&gt;50,"+",(IF(VLOOKUP(C15,OUTPUT_COUNTRY!$B$7:$N$27,5,FALSE)&gt;25,"-","--")))))</f>
        <v>-</v>
      </c>
      <c r="H15" s="128" t="str">
        <f>IF(VLOOKUP(C15,OUTPUT_COUNTRY!$B$7:$N$27,7,FALSE)&gt;75,"++",(IF(VLOOKUP(C15,OUTPUT_COUNTRY!$B$7:$N$27,7,FALSE)&gt;50,"+",(IF(VLOOKUP(C15,OUTPUT_COUNTRY!$B$7:$N$27,7,FALSE)&gt;25,"-","--")))))</f>
        <v>-</v>
      </c>
      <c r="I15" s="128" t="str">
        <f>IF(VLOOKUP(C15,OUTPUT_COUNTRY!$B$7:$N$27,8,FALSE)&gt;75,"++",(IF(VLOOKUP(C15,OUTPUT_COUNTRY!$B$7:$N$27,8,FALSE)&gt;50,"+",(IF(VLOOKUP(C15,OUTPUT_COUNTRY!$B$7:$N$27,8,FALSE)&gt;25,"-","--")))))</f>
        <v>-</v>
      </c>
      <c r="J15" s="128" t="str">
        <f ca="1">IF(VLOOKUP(C15,OUTPUT_COUNTRY!$B$7:$N$27,9,FALSE)&gt;75,"++",(IF(VLOOKUP(C15,OUTPUT_COUNTRY!$B$7:$N$27,9,FALSE)&gt;50,"+",(IF(VLOOKUP(C15,OUTPUT_COUNTRY!$B$7:$N$27,9,FALSE)&gt;25,"-","--")))))</f>
        <v>++</v>
      </c>
      <c r="K15" s="128" t="str">
        <f>IF(VLOOKUP(C15,OUTPUT_COUNTRY!$B$7:$N$27,11,FALSE)&gt;75,"++",(IF(VLOOKUP(C15,OUTPUT_COUNTRY!$B$7:$N$27,11,FALSE)&gt;50,"+",(IF(VLOOKUP(C15,OUTPUT_COUNTRY!$B$7:$N$27,11,FALSE)&gt;25,"-","--")))))</f>
        <v>+</v>
      </c>
      <c r="L15" s="126" t="str">
        <f ca="1">IF(VLOOKUP(C15,OUTPUT_COUNTRY!$B$7:$N$27,13,FALSE)&gt;75,"++",(IF(VLOOKUP(C15,OUTPUT_COUNTRY!$B$7:$N$27,13,FALSE)&gt;50,"+",(IF(VLOOKUP(C15,OUTPUT_COUNTRY!$B$7:$N$27,13,FALSE)&gt;25,"-","--")))))</f>
        <v>++</v>
      </c>
    </row>
    <row r="16" spans="3:12" x14ac:dyDescent="0.35">
      <c r="C16" s="80" t="s">
        <v>27</v>
      </c>
      <c r="D16" s="82" t="s">
        <v>436</v>
      </c>
      <c r="E16" s="126" t="str">
        <f>IF(VLOOKUP(C16,OUTPUT_COUNTRY!$B$7:$N$27,3,FALSE)&gt;75,"++",(IF(VLOOKUP(C16,OUTPUT_COUNTRY!$B$7:$N$27,3,FALSE)&gt;50,"+",(IF(VLOOKUP(C16,OUTPUT_COUNTRY!$B$7:$N$27,3,FALSE)&gt;25,"-","--")))))</f>
        <v>++</v>
      </c>
      <c r="F16" s="126" t="str">
        <f>IF(VLOOKUP(C16,OUTPUT_COUNTRY!$B$7:$N$27,4,FALSE)&gt;75,"++",(IF(VLOOKUP(C16,OUTPUT_COUNTRY!$B$7:$N$27,4,FALSE)&gt;50,"+",(IF(VLOOKUP(C16,OUTPUT_COUNTRY!$B$7:$N$27,4,FALSE)&gt;25,"-","--")))))</f>
        <v>-</v>
      </c>
      <c r="G16" s="128" t="str">
        <f>IF(VLOOKUP(C16,OUTPUT_COUNTRY!$B$7:$N$27,5,FALSE)&gt;75,"++",(IF(VLOOKUP(C16,OUTPUT_COUNTRY!$B$7:$N$27,5,FALSE)&gt;50,"+",(IF(VLOOKUP(C16,OUTPUT_COUNTRY!$B$7:$N$27,5,FALSE)&gt;25,"-","--")))))</f>
        <v>-</v>
      </c>
      <c r="H16" s="128" t="str">
        <f>IF(VLOOKUP(C16,OUTPUT_COUNTRY!$B$7:$N$27,7,FALSE)&gt;75,"++",(IF(VLOOKUP(C16,OUTPUT_COUNTRY!$B$7:$N$27,7,FALSE)&gt;50,"+",(IF(VLOOKUP(C16,OUTPUT_COUNTRY!$B$7:$N$27,7,FALSE)&gt;25,"-","--")))))</f>
        <v>+</v>
      </c>
      <c r="I16" s="128" t="str">
        <f>IF(VLOOKUP(C16,OUTPUT_COUNTRY!$B$7:$N$27,8,FALSE)&gt;75,"++",(IF(VLOOKUP(C16,OUTPUT_COUNTRY!$B$7:$N$27,8,FALSE)&gt;50,"+",(IF(VLOOKUP(C16,OUTPUT_COUNTRY!$B$7:$N$27,8,FALSE)&gt;25,"-","--")))))</f>
        <v>++</v>
      </c>
      <c r="J16" s="128" t="str">
        <f ca="1">IF(VLOOKUP(C16,OUTPUT_COUNTRY!$B$7:$N$27,9,FALSE)&gt;75,"++",(IF(VLOOKUP(C16,OUTPUT_COUNTRY!$B$7:$N$27,9,FALSE)&gt;50,"+",(IF(VLOOKUP(C16,OUTPUT_COUNTRY!$B$7:$N$27,9,FALSE)&gt;25,"-","--")))))</f>
        <v>-</v>
      </c>
      <c r="K16" s="128" t="str">
        <f>IF(VLOOKUP(C16,OUTPUT_COUNTRY!$B$7:$N$27,11,FALSE)&gt;75,"++",(IF(VLOOKUP(C16,OUTPUT_COUNTRY!$B$7:$N$27,11,FALSE)&gt;50,"+",(IF(VLOOKUP(C16,OUTPUT_COUNTRY!$B$7:$N$27,11,FALSE)&gt;25,"-","--")))))</f>
        <v>--</v>
      </c>
      <c r="L16" s="126" t="str">
        <f ca="1">IF(VLOOKUP(C16,OUTPUT_COUNTRY!$B$7:$N$27,13,FALSE)&gt;75,"++",(IF(VLOOKUP(C16,OUTPUT_COUNTRY!$B$7:$N$27,13,FALSE)&gt;50,"+",(IF(VLOOKUP(C16,OUTPUT_COUNTRY!$B$7:$N$27,13,FALSE)&gt;25,"-","--")))))</f>
        <v>+</v>
      </c>
    </row>
    <row r="17" spans="3:12" x14ac:dyDescent="0.35">
      <c r="C17" s="80" t="s">
        <v>25</v>
      </c>
      <c r="D17" s="82" t="s">
        <v>446</v>
      </c>
      <c r="E17" s="126" t="str">
        <f>IF(VLOOKUP(C17,OUTPUT_COUNTRY!$B$7:$N$27,3,FALSE)&gt;75,"++",(IF(VLOOKUP(C17,OUTPUT_COUNTRY!$B$7:$N$27,3,FALSE)&gt;50,"+",(IF(VLOOKUP(C17,OUTPUT_COUNTRY!$B$7:$N$27,3,FALSE)&gt;25,"-","--")))))</f>
        <v>+</v>
      </c>
      <c r="F17" s="126" t="str">
        <f>IF(VLOOKUP(C17,OUTPUT_COUNTRY!$B$7:$N$27,4,FALSE)&gt;75,"++",(IF(VLOOKUP(C17,OUTPUT_COUNTRY!$B$7:$N$27,4,FALSE)&gt;50,"+",(IF(VLOOKUP(C17,OUTPUT_COUNTRY!$B$7:$N$27,4,FALSE)&gt;25,"-","--")))))</f>
        <v>+</v>
      </c>
      <c r="G17" s="128" t="str">
        <f>IF(VLOOKUP(C17,OUTPUT_COUNTRY!$B$7:$N$27,5,FALSE)&gt;75,"++",(IF(VLOOKUP(C17,OUTPUT_COUNTRY!$B$7:$N$27,5,FALSE)&gt;50,"+",(IF(VLOOKUP(C17,OUTPUT_COUNTRY!$B$7:$N$27,5,FALSE)&gt;25,"-","--")))))</f>
        <v>--</v>
      </c>
      <c r="H17" s="128" t="str">
        <f>IF(VLOOKUP(C17,OUTPUT_COUNTRY!$B$7:$N$27,7,FALSE)&gt;75,"++",(IF(VLOOKUP(C17,OUTPUT_COUNTRY!$B$7:$N$27,7,FALSE)&gt;50,"+",(IF(VLOOKUP(C17,OUTPUT_COUNTRY!$B$7:$N$27,7,FALSE)&gt;25,"-","--")))))</f>
        <v>-</v>
      </c>
      <c r="I17" s="128" t="str">
        <f>IF(VLOOKUP(C17,OUTPUT_COUNTRY!$B$7:$N$27,8,FALSE)&gt;75,"++",(IF(VLOOKUP(C17,OUTPUT_COUNTRY!$B$7:$N$27,8,FALSE)&gt;50,"+",(IF(VLOOKUP(C17,OUTPUT_COUNTRY!$B$7:$N$27,8,FALSE)&gt;25,"-","--")))))</f>
        <v>-</v>
      </c>
      <c r="J17" s="128" t="str">
        <f ca="1">IF(VLOOKUP(C17,OUTPUT_COUNTRY!$B$7:$N$27,9,FALSE)&gt;75,"++",(IF(VLOOKUP(C17,OUTPUT_COUNTRY!$B$7:$N$27,9,FALSE)&gt;50,"+",(IF(VLOOKUP(C17,OUTPUT_COUNTRY!$B$7:$N$27,9,FALSE)&gt;25,"-","--")))))</f>
        <v>++</v>
      </c>
      <c r="K17" s="128" t="str">
        <f>IF(VLOOKUP(C17,OUTPUT_COUNTRY!$B$7:$N$27,11,FALSE)&gt;75,"++",(IF(VLOOKUP(C17,OUTPUT_COUNTRY!$B$7:$N$27,11,FALSE)&gt;50,"+",(IF(VLOOKUP(C17,OUTPUT_COUNTRY!$B$7:$N$27,11,FALSE)&gt;25,"-","--")))))</f>
        <v>--</v>
      </c>
      <c r="L17" s="126" t="str">
        <f ca="1">IF(VLOOKUP(C17,OUTPUT_COUNTRY!$B$7:$N$27,13,FALSE)&gt;75,"++",(IF(VLOOKUP(C17,OUTPUT_COUNTRY!$B$7:$N$27,13,FALSE)&gt;50,"+",(IF(VLOOKUP(C17,OUTPUT_COUNTRY!$B$7:$N$27,13,FALSE)&gt;25,"-","--")))))</f>
        <v>+</v>
      </c>
    </row>
    <row r="18" spans="3:12" x14ac:dyDescent="0.35">
      <c r="C18" s="80" t="s">
        <v>12</v>
      </c>
      <c r="D18" s="82" t="s">
        <v>54</v>
      </c>
      <c r="E18" s="126" t="str">
        <f>IF(VLOOKUP(C18,OUTPUT_COUNTRY!$B$7:$N$27,3,FALSE)&gt;75,"++",(IF(VLOOKUP(C18,OUTPUT_COUNTRY!$B$7:$N$27,3,FALSE)&gt;50,"+",(IF(VLOOKUP(C18,OUTPUT_COUNTRY!$B$7:$N$27,3,FALSE)&gt;25,"-","--")))))</f>
        <v>+</v>
      </c>
      <c r="F18" s="126" t="str">
        <f>IF(VLOOKUP(C18,OUTPUT_COUNTRY!$B$7:$N$27,4,FALSE)&gt;75,"++",(IF(VLOOKUP(C18,OUTPUT_COUNTRY!$B$7:$N$27,4,FALSE)&gt;50,"+",(IF(VLOOKUP(C18,OUTPUT_COUNTRY!$B$7:$N$27,4,FALSE)&gt;25,"-","--")))))</f>
        <v>--</v>
      </c>
      <c r="G18" s="128" t="str">
        <f>IF(VLOOKUP(C18,OUTPUT_COUNTRY!$B$7:$N$27,5,FALSE)&gt;75,"++",(IF(VLOOKUP(C18,OUTPUT_COUNTRY!$B$7:$N$27,5,FALSE)&gt;50,"+",(IF(VLOOKUP(C18,OUTPUT_COUNTRY!$B$7:$N$27,5,FALSE)&gt;25,"-","--")))))</f>
        <v>--</v>
      </c>
      <c r="H18" s="128" t="str">
        <f>IF(VLOOKUP(C18,OUTPUT_COUNTRY!$B$7:$N$27,7,FALSE)&gt;75,"++",(IF(VLOOKUP(C18,OUTPUT_COUNTRY!$B$7:$N$27,7,FALSE)&gt;50,"+",(IF(VLOOKUP(C18,OUTPUT_COUNTRY!$B$7:$N$27,7,FALSE)&gt;25,"-","--")))))</f>
        <v>--</v>
      </c>
      <c r="I18" s="128" t="str">
        <f>IF(VLOOKUP(C18,OUTPUT_COUNTRY!$B$7:$N$27,8,FALSE)&gt;75,"++",(IF(VLOOKUP(C18,OUTPUT_COUNTRY!$B$7:$N$27,8,FALSE)&gt;50,"+",(IF(VLOOKUP(C18,OUTPUT_COUNTRY!$B$7:$N$27,8,FALSE)&gt;25,"-","--")))))</f>
        <v>+</v>
      </c>
      <c r="J18" s="128" t="str">
        <f ca="1">IF(VLOOKUP(C18,OUTPUT_COUNTRY!$B$7:$N$27,9,FALSE)&gt;75,"++",(IF(VLOOKUP(C18,OUTPUT_COUNTRY!$B$7:$N$27,9,FALSE)&gt;50,"+",(IF(VLOOKUP(C18,OUTPUT_COUNTRY!$B$7:$N$27,9,FALSE)&gt;25,"-","--")))))</f>
        <v>--</v>
      </c>
      <c r="K18" s="128" t="str">
        <f>IF(VLOOKUP(C18,OUTPUT_COUNTRY!$B$7:$N$27,11,FALSE)&gt;75,"++",(IF(VLOOKUP(C18,OUTPUT_COUNTRY!$B$7:$N$27,11,FALSE)&gt;50,"+",(IF(VLOOKUP(C18,OUTPUT_COUNTRY!$B$7:$N$27,11,FALSE)&gt;25,"-","--")))))</f>
        <v>--</v>
      </c>
      <c r="L18" s="126" t="str">
        <f ca="1">IF(VLOOKUP(C18,OUTPUT_COUNTRY!$B$7:$N$27,13,FALSE)&gt;75,"++",(IF(VLOOKUP(C18,OUTPUT_COUNTRY!$B$7:$N$27,13,FALSE)&gt;50,"+",(IF(VLOOKUP(C18,OUTPUT_COUNTRY!$B$7:$N$27,13,FALSE)&gt;25,"-","--")))))</f>
        <v>--</v>
      </c>
    </row>
    <row r="19" spans="3:12" x14ac:dyDescent="0.35">
      <c r="C19" s="80" t="s">
        <v>29</v>
      </c>
      <c r="D19" s="82" t="s">
        <v>440</v>
      </c>
      <c r="E19" s="126" t="str">
        <f>IF(VLOOKUP(C19,OUTPUT_COUNTRY!$B$7:$N$27,3,FALSE)&gt;75,"++",(IF(VLOOKUP(C19,OUTPUT_COUNTRY!$B$7:$N$27,3,FALSE)&gt;50,"+",(IF(VLOOKUP(C19,OUTPUT_COUNTRY!$B$7:$N$27,3,FALSE)&gt;25,"-","--")))))</f>
        <v>--</v>
      </c>
      <c r="F19" s="126" t="str">
        <f>IF(VLOOKUP(C19,OUTPUT_COUNTRY!$B$7:$N$27,4,FALSE)&gt;75,"++",(IF(VLOOKUP(C19,OUTPUT_COUNTRY!$B$7:$N$27,4,FALSE)&gt;50,"+",(IF(VLOOKUP(C19,OUTPUT_COUNTRY!$B$7:$N$27,4,FALSE)&gt;25,"-","--")))))</f>
        <v>-</v>
      </c>
      <c r="G19" s="128" t="str">
        <f>IF(VLOOKUP(C19,OUTPUT_COUNTRY!$B$7:$N$27,5,FALSE)&gt;75,"++",(IF(VLOOKUP(C19,OUTPUT_COUNTRY!$B$7:$N$27,5,FALSE)&gt;50,"+",(IF(VLOOKUP(C19,OUTPUT_COUNTRY!$B$7:$N$27,5,FALSE)&gt;25,"-","--")))))</f>
        <v>--</v>
      </c>
      <c r="H19" s="128" t="str">
        <f>IF(VLOOKUP(C19,OUTPUT_COUNTRY!$B$7:$N$27,7,FALSE)&gt;75,"++",(IF(VLOOKUP(C19,OUTPUT_COUNTRY!$B$7:$N$27,7,FALSE)&gt;50,"+",(IF(VLOOKUP(C19,OUTPUT_COUNTRY!$B$7:$N$27,7,FALSE)&gt;25,"-","--")))))</f>
        <v>--</v>
      </c>
      <c r="I19" s="128" t="str">
        <f>IF(VLOOKUP(C19,OUTPUT_COUNTRY!$B$7:$N$27,8,FALSE)&gt;75,"++",(IF(VLOOKUP(C19,OUTPUT_COUNTRY!$B$7:$N$27,8,FALSE)&gt;50,"+",(IF(VLOOKUP(C19,OUTPUT_COUNTRY!$B$7:$N$27,8,FALSE)&gt;25,"-","--")))))</f>
        <v>+</v>
      </c>
      <c r="J19" s="128" t="str">
        <f ca="1">IF(VLOOKUP(C19,OUTPUT_COUNTRY!$B$7:$N$27,9,FALSE)&gt;75,"++",(IF(VLOOKUP(C19,OUTPUT_COUNTRY!$B$7:$N$27,9,FALSE)&gt;50,"+",(IF(VLOOKUP(C19,OUTPUT_COUNTRY!$B$7:$N$27,9,FALSE)&gt;25,"-","--")))))</f>
        <v>++</v>
      </c>
      <c r="K19" s="128" t="str">
        <f>IF(VLOOKUP(C19,OUTPUT_COUNTRY!$B$7:$N$27,11,FALSE)&gt;75,"++",(IF(VLOOKUP(C19,OUTPUT_COUNTRY!$B$7:$N$27,11,FALSE)&gt;50,"+",(IF(VLOOKUP(C19,OUTPUT_COUNTRY!$B$7:$N$27,11,FALSE)&gt;25,"-","--")))))</f>
        <v>+</v>
      </c>
      <c r="L19" s="126" t="str">
        <f ca="1">IF(VLOOKUP(C19,OUTPUT_COUNTRY!$B$7:$N$27,13,FALSE)&gt;75,"++",(IF(VLOOKUP(C19,OUTPUT_COUNTRY!$B$7:$N$27,13,FALSE)&gt;50,"+",(IF(VLOOKUP(C19,OUTPUT_COUNTRY!$B$7:$N$27,13,FALSE)&gt;25,"-","--")))))</f>
        <v>++</v>
      </c>
    </row>
    <row r="20" spans="3:12" x14ac:dyDescent="0.35">
      <c r="C20" s="80" t="s">
        <v>33</v>
      </c>
      <c r="D20" s="82" t="s">
        <v>441</v>
      </c>
      <c r="E20" s="126" t="str">
        <f>IF(VLOOKUP(C20,OUTPUT_COUNTRY!$B$7:$N$27,3,FALSE)&gt;75,"++",(IF(VLOOKUP(C20,OUTPUT_COUNTRY!$B$7:$N$27,3,FALSE)&gt;50,"+",(IF(VLOOKUP(C20,OUTPUT_COUNTRY!$B$7:$N$27,3,FALSE)&gt;25,"-","--")))))</f>
        <v>-</v>
      </c>
      <c r="F20" s="126" t="str">
        <f>IF(VLOOKUP(C20,OUTPUT_COUNTRY!$B$7:$N$27,4,FALSE)&gt;75,"++",(IF(VLOOKUP(C20,OUTPUT_COUNTRY!$B$7:$N$27,4,FALSE)&gt;50,"+",(IF(VLOOKUP(C20,OUTPUT_COUNTRY!$B$7:$N$27,4,FALSE)&gt;25,"-","--")))))</f>
        <v>+</v>
      </c>
      <c r="G20" s="128" t="str">
        <f>IF(VLOOKUP(C20,OUTPUT_COUNTRY!$B$7:$N$27,5,FALSE)&gt;75,"++",(IF(VLOOKUP(C20,OUTPUT_COUNTRY!$B$7:$N$27,5,FALSE)&gt;50,"+",(IF(VLOOKUP(C20,OUTPUT_COUNTRY!$B$7:$N$27,5,FALSE)&gt;25,"-","--")))))</f>
        <v>-</v>
      </c>
      <c r="H20" s="128" t="str">
        <f>IF(VLOOKUP(C20,OUTPUT_COUNTRY!$B$7:$N$27,7,FALSE)&gt;75,"++",(IF(VLOOKUP(C20,OUTPUT_COUNTRY!$B$7:$N$27,7,FALSE)&gt;50,"+",(IF(VLOOKUP(C20,OUTPUT_COUNTRY!$B$7:$N$27,7,FALSE)&gt;25,"-","--")))))</f>
        <v>-</v>
      </c>
      <c r="I20" s="128" t="str">
        <f>IF(VLOOKUP(C20,OUTPUT_COUNTRY!$B$7:$N$27,8,FALSE)&gt;75,"++",(IF(VLOOKUP(C20,OUTPUT_COUNTRY!$B$7:$N$27,8,FALSE)&gt;50,"+",(IF(VLOOKUP(C20,OUTPUT_COUNTRY!$B$7:$N$27,8,FALSE)&gt;25,"-","--")))))</f>
        <v>--</v>
      </c>
      <c r="J20" s="128" t="str">
        <f ca="1">IF(VLOOKUP(C20,OUTPUT_COUNTRY!$B$7:$N$27,9,FALSE)&gt;75,"++",(IF(VLOOKUP(C20,OUTPUT_COUNTRY!$B$7:$N$27,9,FALSE)&gt;50,"+",(IF(VLOOKUP(C20,OUTPUT_COUNTRY!$B$7:$N$27,9,FALSE)&gt;25,"-","--")))))</f>
        <v>++</v>
      </c>
      <c r="K20" s="128" t="str">
        <f>IF(VLOOKUP(C20,OUTPUT_COUNTRY!$B$7:$N$27,11,FALSE)&gt;75,"++",(IF(VLOOKUP(C20,OUTPUT_COUNTRY!$B$7:$N$27,11,FALSE)&gt;50,"+",(IF(VLOOKUP(C20,OUTPUT_COUNTRY!$B$7:$N$27,11,FALSE)&gt;25,"-","--")))))</f>
        <v>-</v>
      </c>
      <c r="L20" s="126" t="str">
        <f ca="1">IF(VLOOKUP(C20,OUTPUT_COUNTRY!$B$7:$N$27,13,FALSE)&gt;75,"++",(IF(VLOOKUP(C20,OUTPUT_COUNTRY!$B$7:$N$27,13,FALSE)&gt;50,"+",(IF(VLOOKUP(C20,OUTPUT_COUNTRY!$B$7:$N$27,13,FALSE)&gt;25,"-","--")))))</f>
        <v>+</v>
      </c>
    </row>
    <row r="21" spans="3:12" x14ac:dyDescent="0.35">
      <c r="C21" s="80" t="s">
        <v>31</v>
      </c>
      <c r="D21" s="82" t="s">
        <v>444</v>
      </c>
      <c r="E21" s="126" t="str">
        <f>IF(VLOOKUP(C21,OUTPUT_COUNTRY!$B$7:$N$27,3,FALSE)&gt;75,"++",(IF(VLOOKUP(C21,OUTPUT_COUNTRY!$B$7:$N$27,3,FALSE)&gt;50,"+",(IF(VLOOKUP(C21,OUTPUT_COUNTRY!$B$7:$N$27,3,FALSE)&gt;25,"-","--")))))</f>
        <v>+</v>
      </c>
      <c r="F21" s="126" t="str">
        <f>IF(VLOOKUP(C21,OUTPUT_COUNTRY!$B$7:$N$27,4,FALSE)&gt;75,"++",(IF(VLOOKUP(C21,OUTPUT_COUNTRY!$B$7:$N$27,4,FALSE)&gt;50,"+",(IF(VLOOKUP(C21,OUTPUT_COUNTRY!$B$7:$N$27,4,FALSE)&gt;25,"-","--")))))</f>
        <v>-</v>
      </c>
      <c r="G21" s="128" t="str">
        <f>IF(VLOOKUP(C21,OUTPUT_COUNTRY!$B$7:$N$27,5,FALSE)&gt;75,"++",(IF(VLOOKUP(C21,OUTPUT_COUNTRY!$B$7:$N$27,5,FALSE)&gt;50,"+",(IF(VLOOKUP(C21,OUTPUT_COUNTRY!$B$7:$N$27,5,FALSE)&gt;25,"-","--")))))</f>
        <v>-</v>
      </c>
      <c r="H21" s="128" t="str">
        <f>IF(VLOOKUP(C21,OUTPUT_COUNTRY!$B$7:$N$27,7,FALSE)&gt;75,"++",(IF(VLOOKUP(C21,OUTPUT_COUNTRY!$B$7:$N$27,7,FALSE)&gt;50,"+",(IF(VLOOKUP(C21,OUTPUT_COUNTRY!$B$7:$N$27,7,FALSE)&gt;25,"-","--")))))</f>
        <v>+</v>
      </c>
      <c r="I21" s="128" t="str">
        <f>IF(VLOOKUP(C21,OUTPUT_COUNTRY!$B$7:$N$27,8,FALSE)&gt;75,"++",(IF(VLOOKUP(C21,OUTPUT_COUNTRY!$B$7:$N$27,8,FALSE)&gt;50,"+",(IF(VLOOKUP(C21,OUTPUT_COUNTRY!$B$7:$N$27,8,FALSE)&gt;25,"-","--")))))</f>
        <v>--</v>
      </c>
      <c r="J21" s="128" t="str">
        <f ca="1">IF(VLOOKUP(C21,OUTPUT_COUNTRY!$B$7:$N$27,9,FALSE)&gt;75,"++",(IF(VLOOKUP(C21,OUTPUT_COUNTRY!$B$7:$N$27,9,FALSE)&gt;50,"+",(IF(VLOOKUP(C21,OUTPUT_COUNTRY!$B$7:$N$27,9,FALSE)&gt;25,"-","--")))))</f>
        <v>-</v>
      </c>
      <c r="K21" s="128" t="str">
        <f>IF(VLOOKUP(C21,OUTPUT_COUNTRY!$B$7:$N$27,11,FALSE)&gt;75,"++",(IF(VLOOKUP(C21,OUTPUT_COUNTRY!$B$7:$N$27,11,FALSE)&gt;50,"+",(IF(VLOOKUP(C21,OUTPUT_COUNTRY!$B$7:$N$27,11,FALSE)&gt;25,"-","--")))))</f>
        <v>++</v>
      </c>
      <c r="L21" s="126" t="str">
        <f ca="1">IF(VLOOKUP(C21,OUTPUT_COUNTRY!$B$7:$N$27,13,FALSE)&gt;75,"++",(IF(VLOOKUP(C21,OUTPUT_COUNTRY!$B$7:$N$27,13,FALSE)&gt;50,"+",(IF(VLOOKUP(C21,OUTPUT_COUNTRY!$B$7:$N$27,13,FALSE)&gt;25,"-","--")))))</f>
        <v>-</v>
      </c>
    </row>
    <row r="22" spans="3:12" x14ac:dyDescent="0.35">
      <c r="C22" s="80" t="s">
        <v>30</v>
      </c>
      <c r="D22" s="82" t="s">
        <v>438</v>
      </c>
      <c r="E22" s="126" t="str">
        <f>IF(VLOOKUP(C22,OUTPUT_COUNTRY!$B$7:$N$27,3,FALSE)&gt;75,"++",(IF(VLOOKUP(C22,OUTPUT_COUNTRY!$B$7:$N$27,3,FALSE)&gt;50,"+",(IF(VLOOKUP(C22,OUTPUT_COUNTRY!$B$7:$N$27,3,FALSE)&gt;25,"-","--")))))</f>
        <v>+</v>
      </c>
      <c r="F22" s="126" t="str">
        <f>IF(VLOOKUP(C22,OUTPUT_COUNTRY!$B$7:$N$27,4,FALSE)&gt;75,"++",(IF(VLOOKUP(C22,OUTPUT_COUNTRY!$B$7:$N$27,4,FALSE)&gt;50,"+",(IF(VLOOKUP(C22,OUTPUT_COUNTRY!$B$7:$N$27,4,FALSE)&gt;25,"-","--")))))</f>
        <v>-</v>
      </c>
      <c r="G22" s="128" t="str">
        <f>IF(VLOOKUP(C22,OUTPUT_COUNTRY!$B$7:$N$27,5,FALSE)&gt;75,"++",(IF(VLOOKUP(C22,OUTPUT_COUNTRY!$B$7:$N$27,5,FALSE)&gt;50,"+",(IF(VLOOKUP(C22,OUTPUT_COUNTRY!$B$7:$N$27,5,FALSE)&gt;25,"-","--")))))</f>
        <v>+</v>
      </c>
      <c r="H22" s="128" t="str">
        <f>IF(VLOOKUP(C22,OUTPUT_COUNTRY!$B$7:$N$27,7,FALSE)&gt;75,"++",(IF(VLOOKUP(C22,OUTPUT_COUNTRY!$B$7:$N$27,7,FALSE)&gt;50,"+",(IF(VLOOKUP(C22,OUTPUT_COUNTRY!$B$7:$N$27,7,FALSE)&gt;25,"-","--")))))</f>
        <v>+</v>
      </c>
      <c r="I22" s="128" t="str">
        <f>IF(VLOOKUP(C22,OUTPUT_COUNTRY!$B$7:$N$27,8,FALSE)&gt;75,"++",(IF(VLOOKUP(C22,OUTPUT_COUNTRY!$B$7:$N$27,8,FALSE)&gt;50,"+",(IF(VLOOKUP(C22,OUTPUT_COUNTRY!$B$7:$N$27,8,FALSE)&gt;25,"-","--")))))</f>
        <v>--</v>
      </c>
      <c r="J22" s="128" t="str">
        <f ca="1">IF(VLOOKUP(C22,OUTPUT_COUNTRY!$B$7:$N$27,9,FALSE)&gt;75,"++",(IF(VLOOKUP(C22,OUTPUT_COUNTRY!$B$7:$N$27,9,FALSE)&gt;50,"+",(IF(VLOOKUP(C22,OUTPUT_COUNTRY!$B$7:$N$27,9,FALSE)&gt;25,"-","--")))))</f>
        <v>-</v>
      </c>
      <c r="K22" s="128" t="str">
        <f>IF(VLOOKUP(C22,OUTPUT_COUNTRY!$B$7:$N$27,11,FALSE)&gt;75,"++",(IF(VLOOKUP(C22,OUTPUT_COUNTRY!$B$7:$N$27,11,FALSE)&gt;50,"+",(IF(VLOOKUP(C22,OUTPUT_COUNTRY!$B$7:$N$27,11,FALSE)&gt;25,"-","--")))))</f>
        <v>-</v>
      </c>
      <c r="L22" s="126" t="str">
        <f ca="1">IF(VLOOKUP(C22,OUTPUT_COUNTRY!$B$7:$N$27,13,FALSE)&gt;75,"++",(IF(VLOOKUP(C22,OUTPUT_COUNTRY!$B$7:$N$27,13,FALSE)&gt;50,"+",(IF(VLOOKUP(C22,OUTPUT_COUNTRY!$B$7:$N$27,13,FALSE)&gt;25,"-","--")))))</f>
        <v>--</v>
      </c>
    </row>
    <row r="23" spans="3:12" x14ac:dyDescent="0.35">
      <c r="C23" s="80" t="s">
        <v>34</v>
      </c>
      <c r="D23" s="82" t="s">
        <v>447</v>
      </c>
      <c r="E23" s="126" t="str">
        <f>IF(VLOOKUP(C23,OUTPUT_COUNTRY!$B$7:$N$27,3,FALSE)&gt;75,"++",(IF(VLOOKUP(C23,OUTPUT_COUNTRY!$B$7:$N$27,3,FALSE)&gt;50,"+",(IF(VLOOKUP(C23,OUTPUT_COUNTRY!$B$7:$N$27,3,FALSE)&gt;25,"-","--")))))</f>
        <v>++</v>
      </c>
      <c r="F23" s="126" t="str">
        <f>IF(VLOOKUP(C23,OUTPUT_COUNTRY!$B$7:$N$27,4,FALSE)&gt;75,"++",(IF(VLOOKUP(C23,OUTPUT_COUNTRY!$B$7:$N$27,4,FALSE)&gt;50,"+",(IF(VLOOKUP(C23,OUTPUT_COUNTRY!$B$7:$N$27,4,FALSE)&gt;25,"-","--")))))</f>
        <v>--</v>
      </c>
      <c r="G23" s="128" t="str">
        <f>IF(VLOOKUP(C23,OUTPUT_COUNTRY!$B$7:$N$27,5,FALSE)&gt;75,"++",(IF(VLOOKUP(C23,OUTPUT_COUNTRY!$B$7:$N$27,5,FALSE)&gt;50,"+",(IF(VLOOKUP(C23,OUTPUT_COUNTRY!$B$7:$N$27,5,FALSE)&gt;25,"-","--")))))</f>
        <v>+</v>
      </c>
      <c r="H23" s="128" t="str">
        <f>IF(VLOOKUP(C23,OUTPUT_COUNTRY!$B$7:$N$27,7,FALSE)&gt;75,"++",(IF(VLOOKUP(C23,OUTPUT_COUNTRY!$B$7:$N$27,7,FALSE)&gt;50,"+",(IF(VLOOKUP(C23,OUTPUT_COUNTRY!$B$7:$N$27,7,FALSE)&gt;25,"-","--")))))</f>
        <v>+</v>
      </c>
      <c r="I23" s="128" t="str">
        <f>IF(VLOOKUP(C23,OUTPUT_COUNTRY!$B$7:$N$27,8,FALSE)&gt;75,"++",(IF(VLOOKUP(C23,OUTPUT_COUNTRY!$B$7:$N$27,8,FALSE)&gt;50,"+",(IF(VLOOKUP(C23,OUTPUT_COUNTRY!$B$7:$N$27,8,FALSE)&gt;25,"-","--")))))</f>
        <v>--</v>
      </c>
      <c r="J23" s="128" t="str">
        <f ca="1">IF(VLOOKUP(C23,OUTPUT_COUNTRY!$B$7:$N$27,9,FALSE)&gt;75,"++",(IF(VLOOKUP(C23,OUTPUT_COUNTRY!$B$7:$N$27,9,FALSE)&gt;50,"+",(IF(VLOOKUP(C23,OUTPUT_COUNTRY!$B$7:$N$27,9,FALSE)&gt;25,"-","--")))))</f>
        <v>-</v>
      </c>
      <c r="K23" s="128" t="str">
        <f>IF(VLOOKUP(C23,OUTPUT_COUNTRY!$B$7:$N$27,11,FALSE)&gt;75,"++",(IF(VLOOKUP(C23,OUTPUT_COUNTRY!$B$7:$N$27,11,FALSE)&gt;50,"+",(IF(VLOOKUP(C23,OUTPUT_COUNTRY!$B$7:$N$27,11,FALSE)&gt;25,"-","--")))))</f>
        <v>++</v>
      </c>
      <c r="L23" s="126" t="str">
        <f ca="1">IF(VLOOKUP(C23,OUTPUT_COUNTRY!$B$7:$N$27,13,FALSE)&gt;75,"++",(IF(VLOOKUP(C23,OUTPUT_COUNTRY!$B$7:$N$27,13,FALSE)&gt;50,"+",(IF(VLOOKUP(C23,OUTPUT_COUNTRY!$B$7:$N$27,13,FALSE)&gt;25,"-","--")))))</f>
        <v>-</v>
      </c>
    </row>
    <row r="24" spans="3:12" x14ac:dyDescent="0.35">
      <c r="C24" s="81" t="s">
        <v>22</v>
      </c>
      <c r="D24" s="83" t="s">
        <v>442</v>
      </c>
      <c r="E24" s="130" t="str">
        <f>IF(VLOOKUP(C24,OUTPUT_COUNTRY!$B$7:$N$27,3,FALSE)&gt;75,"++",(IF(VLOOKUP(C24,OUTPUT_COUNTRY!$B$7:$N$27,3,FALSE)&gt;50,"+",(IF(VLOOKUP(C24,OUTPUT_COUNTRY!$B$7:$N$27,3,FALSE)&gt;25,"-","--")))))</f>
        <v>-</v>
      </c>
      <c r="F24" s="130" t="str">
        <f>IF(VLOOKUP(C24,OUTPUT_COUNTRY!$B$7:$N$27,4,FALSE)&gt;75,"++",(IF(VLOOKUP(C24,OUTPUT_COUNTRY!$B$7:$N$27,4,FALSE)&gt;50,"+",(IF(VLOOKUP(C24,OUTPUT_COUNTRY!$B$7:$N$27,4,FALSE)&gt;25,"-","--")))))</f>
        <v>--</v>
      </c>
      <c r="G24" s="129" t="str">
        <f>IF(VLOOKUP(C24,OUTPUT_COUNTRY!$B$7:$N$27,5,FALSE)&gt;75,"++",(IF(VLOOKUP(C24,OUTPUT_COUNTRY!$B$7:$N$27,5,FALSE)&gt;50,"+",(IF(VLOOKUP(C24,OUTPUT_COUNTRY!$B$7:$N$27,5,FALSE)&gt;25,"-","--")))))</f>
        <v>+</v>
      </c>
      <c r="H24" s="129" t="str">
        <f>IF(VLOOKUP(C24,OUTPUT_COUNTRY!$B$7:$N$27,7,FALSE)&gt;75,"++",(IF(VLOOKUP(C24,OUTPUT_COUNTRY!$B$7:$N$27,7,FALSE)&gt;50,"+",(IF(VLOOKUP(C24,OUTPUT_COUNTRY!$B$7:$N$27,7,FALSE)&gt;25,"-","--")))))</f>
        <v>-</v>
      </c>
      <c r="I24" s="129" t="str">
        <f>IF(VLOOKUP(C24,OUTPUT_COUNTRY!$B$7:$N$27,8,FALSE)&gt;75,"++",(IF(VLOOKUP(C24,OUTPUT_COUNTRY!$B$7:$N$27,8,FALSE)&gt;50,"+",(IF(VLOOKUP(C24,OUTPUT_COUNTRY!$B$7:$N$27,8,FALSE)&gt;25,"-","--")))))</f>
        <v>--</v>
      </c>
      <c r="J24" s="129" t="str">
        <f ca="1">IF(VLOOKUP(C24,OUTPUT_COUNTRY!$B$7:$N$27,9,FALSE)&gt;75,"++",(IF(VLOOKUP(C24,OUTPUT_COUNTRY!$B$7:$N$27,9,FALSE)&gt;50,"+",(IF(VLOOKUP(C24,OUTPUT_COUNTRY!$B$7:$N$27,9,FALSE)&gt;25,"-","--")))))</f>
        <v>-</v>
      </c>
      <c r="K24" s="129" t="str">
        <f>IF(VLOOKUP(C24,OUTPUT_COUNTRY!$B$7:$N$27,11,FALSE)&gt;75,"++",(IF(VLOOKUP(C24,OUTPUT_COUNTRY!$B$7:$N$27,11,FALSE)&gt;50,"+",(IF(VLOOKUP(C24,OUTPUT_COUNTRY!$B$7:$N$27,11,FALSE)&gt;25,"-","--")))))</f>
        <v>--</v>
      </c>
      <c r="L24" s="130" t="str">
        <f ca="1">IF(VLOOKUP(C24,OUTPUT_COUNTRY!$B$7:$N$27,13,FALSE)&gt;75,"++",(IF(VLOOKUP(C24,OUTPUT_COUNTRY!$B$7:$N$27,13,FALSE)&gt;50,"+",(IF(VLOOKUP(C24,OUTPUT_COUNTRY!$B$7:$N$27,13,FALSE)&gt;25,"-","--")))))</f>
        <v>--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35" workbookViewId="0">
      <selection activeCell="B46" sqref="B46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568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498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workbookViewId="0">
      <selection activeCell="O3" sqref="O3:O23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0.089843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9.7265625" bestFit="1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753</v>
      </c>
      <c r="D2" s="74" t="s">
        <v>0</v>
      </c>
      <c r="E2" s="74" t="s">
        <v>574</v>
      </c>
      <c r="F2" s="74"/>
      <c r="G2" s="74" t="s">
        <v>2</v>
      </c>
      <c r="H2" s="74" t="s">
        <v>3</v>
      </c>
      <c r="I2" s="74" t="s">
        <v>408</v>
      </c>
      <c r="J2" s="74" t="s">
        <v>8</v>
      </c>
      <c r="K2" s="74" t="s">
        <v>67</v>
      </c>
      <c r="L2" s="74" t="s">
        <v>409</v>
      </c>
      <c r="M2" s="74" t="s">
        <v>410</v>
      </c>
      <c r="N2" s="74" t="s">
        <v>520</v>
      </c>
      <c r="O2" s="74" t="s">
        <v>754</v>
      </c>
      <c r="P2" s="74" t="s">
        <v>787</v>
      </c>
      <c r="Q2" s="74" t="s">
        <v>521</v>
      </c>
      <c r="R2" s="74" t="s">
        <v>522</v>
      </c>
      <c r="S2" s="74" t="s">
        <v>523</v>
      </c>
      <c r="T2" s="74" t="s">
        <v>755</v>
      </c>
      <c r="U2" s="74" t="s">
        <v>524</v>
      </c>
      <c r="V2" s="74" t="s">
        <v>525</v>
      </c>
      <c r="W2" s="74" t="s">
        <v>526</v>
      </c>
      <c r="X2" s="74" t="s">
        <v>527</v>
      </c>
      <c r="Y2" s="74" t="s">
        <v>528</v>
      </c>
      <c r="Z2" s="74" t="s">
        <v>756</v>
      </c>
      <c r="AA2" s="120" t="s">
        <v>788</v>
      </c>
      <c r="AB2" s="74" t="s">
        <v>541</v>
      </c>
      <c r="AC2" s="74" t="s">
        <v>552</v>
      </c>
    </row>
    <row r="3" spans="1:29" x14ac:dyDescent="0.35">
      <c r="A3" t="s">
        <v>432</v>
      </c>
      <c r="B3" t="s">
        <v>177</v>
      </c>
      <c r="C3" t="s">
        <v>435</v>
      </c>
      <c r="D3" t="s">
        <v>432</v>
      </c>
      <c r="E3" t="s">
        <v>615</v>
      </c>
      <c r="F3" s="2" cm="1">
        <f t="array" ref="F3">_xll.FDS(D3,"JULIAN(FMA_DIV_YLD(NTMA,NOW,NOW,M,""PORTAGG"",""MEANR"").dates)")</f>
        <v>45379</v>
      </c>
      <c r="G3" s="4" cm="1">
        <f t="array" ref="G3">_xll.FDS(D3,"FMA_PE(LTM,0,,,""PORTAGG"",""MEANR"")")</f>
        <v>14.1098224544633</v>
      </c>
      <c r="H3" s="4" cm="1">
        <f t="array" ref="H3">_xll.FDS(D3,"FMA_PE(NTMA,0,,,""PORTAGG"",""MEANR"")")</f>
        <v>12.1761115883368</v>
      </c>
      <c r="I3" cm="1">
        <f t="array" ref="I3">_xll.FDS(D3,"FMA_DIV_YLD(NTMA,NOW,NOW,M,""PORTAGG"",""MEANR"")")</f>
        <v>2.8019794256706301</v>
      </c>
      <c r="J3" s="55" cm="1">
        <f t="array" ref="J3">IFERROR(_xll.FDS(D3,"FG_FCF_YIELD_NTM(0)"),(1/G3*100))</f>
        <v>5.25527944295278</v>
      </c>
      <c r="K3" s="3" cm="1">
        <f t="array" ref="K3">_xll.FDS(D3,"FMA_EVAL_EBITDA(NTMA,0,,,""PORTAGG"",""MEANR"")")</f>
        <v>9.8624123550586802</v>
      </c>
      <c r="L3" cm="1">
        <f t="array" ref="L3">_xll.FDS(D3,"FMA_EVAL_EBIT(LTMA,NOW,NOW,M,""PORTAGG"",""MEANR"")")</f>
        <v>16.359959721894</v>
      </c>
      <c r="M3">
        <f>HLOOKUP(D3,'Index ROE'!$A$1:$V$25,25,FALSE)</f>
        <v>12.022190408047299</v>
      </c>
      <c r="N3">
        <f>VLOOKUP(A3,'LIQIDITY 2'!$A$3:$E$26,5,FALSE)</f>
        <v>2.2660999999999998</v>
      </c>
      <c r="O3" cm="1">
        <f t="array" ref="O3">IFERROR(IFERROR(_xll.FDS(B3,"IMF_IFS_RCPI_Q(0)"),_xll.FDS(B3,"IMF_IFS_RCPI_Q(-1AM)")),$D$31)</f>
        <v>-0.32258100000000001</v>
      </c>
      <c r="P3">
        <f>VLOOKUP(E3,GDP_GROWTH!$B$10:$W$165,22,FALSE)</f>
        <v>5.6866931054303738</v>
      </c>
      <c r="Q3">
        <f t="shared" ref="Q3:Q23" si="0">I3-N3</f>
        <v>0.53587942567063029</v>
      </c>
      <c r="R3" s="55">
        <f t="shared" ref="R3:R23" si="1">J3-N3</f>
        <v>2.9891794429527803</v>
      </c>
      <c r="S3">
        <f t="shared" ref="S3:S23" si="2">M3-N3</f>
        <v>9.7560904080472994</v>
      </c>
      <c r="T3">
        <f>M3-O3</f>
        <v>12.344771408047299</v>
      </c>
      <c r="U3" cm="1">
        <f t="array" ref="U3">_xlfn.PERCENTRANK.EXC(_xlfn._xlws.FILTER(Q$3:Q$23, ISNUMBER(Q$3:Q$23)),Q3)*100</f>
        <v>68.100000000000009</v>
      </c>
      <c r="V3" cm="1">
        <f t="array" ref="V3">_xlfn.PERCENTRANK.EXC(_xlfn._xlws.FILTER(R$3:R$23, ISNUMBER(R$3:R$23)),R3)*100</f>
        <v>68.100000000000009</v>
      </c>
      <c r="W3" cm="1">
        <f t="array" ref="W3">_xlfn.PERCENTRANK.EXC(_xlfn._xlws.FILTER(S$3:S$23, ISNUMBER(S$3:S$23)),S3)*100</f>
        <v>86.3</v>
      </c>
      <c r="X3" cm="1">
        <f t="array" ref="X3">(1-_xlfn.PERCENTRANK.EXC(_xlfn._xlws.FILTER(G$3:G$23, ISNUMBER(G$3:G$23)),G3))*100</f>
        <v>45.499999999999993</v>
      </c>
      <c r="Y3" cm="1">
        <f t="array" ref="Y3">(1-_xlfn.PERCENTRANK.EXC(_xlfn._xlws.FILTER(H$3:H$23, ISNUMBER(H$3:H$23)),H3))*100</f>
        <v>45.499999999999993</v>
      </c>
      <c r="Z3" cm="1">
        <f t="array" ref="Z3">_xlfn.PERCENTRANK.EXC(_xlfn._xlws.FILTER(T$3:T$23, ISNUMBER(T$3:T$23)),T3)*100</f>
        <v>90.9</v>
      </c>
      <c r="AA3" cm="1">
        <f t="array" ref="AA3">_xlfn.PERCENTRANK.EXC(_xlfn._xlws.FILTER(P$3:P$23, ISNUMBER(P$3:P$23)),P3)*100</f>
        <v>86.3</v>
      </c>
      <c r="AB3">
        <f>U3*Assumption!$E$40 + V3*Assumption!$F$40 + X3*Assumption!$G$40 + Y3*Assumption!$H$40 + W3*Assumption!$I$40 +Z3* Assumption!$K$40 + AA3* Assumption!$J$40</f>
        <v>60.900000000000006</v>
      </c>
      <c r="AC3" cm="1">
        <f t="array" ref="AC3">_xlfn.PERCENTRANK.EXC(_xlfn._xlws.FILTER(AB$3:AB$23, ISNUMBER(AB$3:AB$23)),AB3)*100</f>
        <v>68.100000000000009</v>
      </c>
    </row>
    <row r="4" spans="1:29" x14ac:dyDescent="0.35">
      <c r="A4" t="s">
        <v>27</v>
      </c>
      <c r="B4" t="s">
        <v>294</v>
      </c>
      <c r="C4" t="s">
        <v>436</v>
      </c>
      <c r="D4" t="s">
        <v>27</v>
      </c>
      <c r="E4" t="s">
        <v>614</v>
      </c>
      <c r="F4" s="2" cm="1">
        <f t="array" ref="F4">_xll.FDS(D4,"JULIAN(FMA_DIV_YLD(NTMA,NOW,NOW,M,""PORTAGG"",""MEANR"").dates)")</f>
        <v>45379</v>
      </c>
      <c r="G4" s="4" cm="1">
        <f t="array" ref="G4">_xll.FDS(D4,"FMA_PE(LTM,0,,,""PORTAGG"",""MEANR"")")</f>
        <v>10.469937986311001</v>
      </c>
      <c r="H4" s="4" cm="1">
        <f t="array" ref="H4">_xll.FDS(D4,"FMA_PE(NTMA,0,,,""PORTAGG"",""MEANR"")")</f>
        <v>7.8207740987381396</v>
      </c>
      <c r="I4" cm="1">
        <f t="array" ref="I4">_xll.FDS(D4,"FMA_DIV_YLD(NTMA,NOW,NOW,M,""PORTAGG"",""MEANR"")")</f>
        <v>6.8504829382598302</v>
      </c>
      <c r="J4" s="55" cm="1">
        <f t="array" ref="J4">IFERROR(_xll.FDS(D4,"FG_FCF_YIELD_NTM(0)"),(1/G4*100))</f>
        <v>9.2266883258070092</v>
      </c>
      <c r="K4" s="3" cm="1">
        <f t="array" ref="K4">_xll.FDS(D4,"FMA_EVAL_EBITDA(NTMA,0,,,""PORTAGG"",""MEANR"")")</f>
        <v>6.0276733688020698</v>
      </c>
      <c r="L4" cm="1">
        <f t="array" ref="L4">_xll.FDS(D4,"FMA_EVAL_EBIT(LTMA,NOW,NOW,M,""PORTAGG"",""MEANR"")")</f>
        <v>9.6035834835889702</v>
      </c>
      <c r="M4">
        <f>HLOOKUP(D4,'Index ROE'!$A$1:$V$25,25,FALSE)</f>
        <v>13.773591396130101</v>
      </c>
      <c r="N4">
        <f>VLOOKUP(A4,'LIQIDITY 2'!$A$3:$E$26,5,FALSE)</f>
        <v>2.8044319999999998</v>
      </c>
      <c r="O4" cm="1">
        <f t="array" ref="O4">IFERROR(IFERROR(_xll.FDS(B4,"IMF_IFS_RCPI_Q(0)"),_xll.FDS(B4,"IMF_IFS_RCPI_Q(-1AM)")),$D$31)</f>
        <v>4.5860630000000002</v>
      </c>
      <c r="P4">
        <f>VLOOKUP(E4,GDP_GROWTH!$B$10:$W$165,22,FALSE)</f>
        <v>2.8445276358834981</v>
      </c>
      <c r="Q4">
        <f t="shared" si="0"/>
        <v>4.04605093825983</v>
      </c>
      <c r="R4" s="55">
        <f t="shared" si="1"/>
        <v>6.4222563258070089</v>
      </c>
      <c r="S4">
        <f t="shared" si="2"/>
        <v>10.969159396130101</v>
      </c>
      <c r="T4">
        <f t="shared" ref="T4:T23" si="3">M4-O4</f>
        <v>9.1875283961301015</v>
      </c>
      <c r="U4" cm="1">
        <f t="array" ref="U4">_xlfn.PERCENTRANK.EXC(_xlfn._xlws.FILTER(Q$3:Q$23, ISNUMBER(Q$3:Q$23)),Q4)*100</f>
        <v>95.399999999999991</v>
      </c>
      <c r="V4" cm="1">
        <f t="array" ref="V4">_xlfn.PERCENTRANK.EXC(_xlfn._xlws.FILTER(R$3:R$23, ISNUMBER(R$3:R$23)),R4)*100</f>
        <v>86.3</v>
      </c>
      <c r="W4" cm="1">
        <f t="array" ref="W4">_xlfn.PERCENTRANK.EXC(_xlfn._xlws.FILTER(S$3:S$23, ISNUMBER(S$3:S$23)),S4)*100</f>
        <v>95.399999999999991</v>
      </c>
      <c r="X4" cm="1">
        <f t="array" ref="X4">(1-_xlfn.PERCENTRANK.EXC(_xlfn._xlws.FILTER(G$3:G$23, ISNUMBER(G$3:G$23)),G4))*100</f>
        <v>72.8</v>
      </c>
      <c r="Y4" cm="1">
        <f t="array" ref="Y4">(1-_xlfn.PERCENTRANK.EXC(_xlfn._xlws.FILTER(H$3:H$23, ISNUMBER(H$3:H$23)),H4))*100</f>
        <v>81.899999999999991</v>
      </c>
      <c r="Z4" cm="1">
        <f t="array" ref="Z4">_xlfn.PERCENTRANK.EXC(_xlfn._xlws.FILTER(T$3:T$23, ISNUMBER(T$3:T$23)),T4)*100</f>
        <v>54.500000000000007</v>
      </c>
      <c r="AA4" cm="1">
        <f t="array" ref="AA4">_xlfn.PERCENTRANK.EXC(_xlfn._xlws.FILTER(P$3:P$23, ISNUMBER(P$3:P$23)),P4)*100</f>
        <v>50</v>
      </c>
      <c r="AB4">
        <f>U4*Assumption!$E$40 + V4*Assumption!$F$40 + X4*Assumption!$G$40 + Y4*Assumption!$H$40 + W4*Assumption!$I$40 +Z4* Assumption!$K$40 + AA4* Assumption!$J$40</f>
        <v>80.010000000000005</v>
      </c>
      <c r="AC4" cm="1">
        <f t="array" ref="AC4">_xlfn.PERCENTRANK.EXC(_xlfn._xlws.FILTER(AB$3:AB$23, ISNUMBER(AB$3:AB$23)),AB4)*100</f>
        <v>90.9</v>
      </c>
    </row>
    <row r="5" spans="1:29" x14ac:dyDescent="0.35">
      <c r="A5" t="s">
        <v>35</v>
      </c>
      <c r="B5" t="s">
        <v>187</v>
      </c>
      <c r="C5" t="s">
        <v>437</v>
      </c>
      <c r="D5" t="s">
        <v>35</v>
      </c>
      <c r="E5" t="s">
        <v>651</v>
      </c>
      <c r="F5" s="2" cm="1">
        <f t="array" ref="F5">_xll.FDS(D5,"JULIAN(FMA_DIV_YLD(NTMA,NOW,NOW,M,""PORTAGG"",""MEANR"").dates)")</f>
        <v>45379</v>
      </c>
      <c r="G5" s="4" cm="1">
        <f t="array" ref="G5">_xll.FDS(D5,"FMA_PE(LTM,0,,,""PORTAGG"",""MEANR"")")</f>
        <v>15.9150814154322</v>
      </c>
      <c r="H5" s="4" cm="1">
        <f t="array" ref="H5">_xll.FDS(D5,"FMA_PE(NTMA,0,,,""PORTAGG"",""MEANR"")")</f>
        <v>12.578613482361</v>
      </c>
      <c r="I5" cm="1">
        <f t="array" ref="I5">_xll.FDS(D5,"FMA_DIV_YLD(NTMA,NOW,NOW,M,""PORTAGG"",""MEANR"")")</f>
        <v>4.05067553325937</v>
      </c>
      <c r="J5" s="55" cm="1">
        <f t="array" ref="J5">IFERROR(_xll.FDS(D5,"FG_FCF_YIELD_NTM(0)"),(1/G5*100))</f>
        <v>6.2833483153302696</v>
      </c>
      <c r="K5" s="3" cm="1">
        <f t="array" ref="K5">_xll.FDS(D5,"FMA_EVAL_EBITDA(NTMA,0,,,""PORTAGG"",""MEANR"")")</f>
        <v>6.2048173170401997</v>
      </c>
      <c r="L5" cm="1">
        <f t="array" ref="L5">_xll.FDS(D5,"FMA_EVAL_EBIT(LTMA,NOW,NOW,M,""PORTAGG"",""MEANR"")")</f>
        <v>9.4945021713375795</v>
      </c>
      <c r="M5">
        <f>HLOOKUP(D5,'Index ROE'!$A$1:$V$25,25,FALSE)</f>
        <v>14.023409817903</v>
      </c>
      <c r="N5">
        <f>VLOOKUP(A5,'LIQIDITY 2'!$A$3:$E$26,5,FALSE)</f>
        <v>6.9292300000000004</v>
      </c>
      <c r="O5" cm="1">
        <f t="array" ref="O5">IFERROR(IFERROR(_xll.FDS(B5,"IMF_IFS_RCPI_Q(0)"),_xll.FDS(B5,"IMF_IFS_RCPI_Q(-1AM)")),$D$31)</f>
        <v>2.6812450000000001</v>
      </c>
      <c r="P5">
        <f>VLOOKUP(E5,GDP_GROWTH!$B$10:$W$165,22,FALSE)</f>
        <v>3.8153657829076093</v>
      </c>
      <c r="Q5">
        <f t="shared" si="0"/>
        <v>-2.8785544667406304</v>
      </c>
      <c r="R5" s="55">
        <f t="shared" si="1"/>
        <v>-0.64588168466973084</v>
      </c>
      <c r="S5">
        <f t="shared" si="2"/>
        <v>7.0941798179029991</v>
      </c>
      <c r="T5">
        <f t="shared" si="3"/>
        <v>11.342164817902999</v>
      </c>
      <c r="U5" cm="1">
        <f t="array" ref="U5">_xlfn.PERCENTRANK.EXC(_xlfn._xlws.FILTER(Q$3:Q$23, ISNUMBER(Q$3:Q$23)),Q5)*100</f>
        <v>36.299999999999997</v>
      </c>
      <c r="V5" cm="1">
        <f t="array" ref="V5">_xlfn.PERCENTRANK.EXC(_xlfn._xlws.FILTER(R$3:R$23, ISNUMBER(R$3:R$23)),R5)*100</f>
        <v>40.9</v>
      </c>
      <c r="W5" cm="1">
        <f t="array" ref="W5">_xlfn.PERCENTRANK.EXC(_xlfn._xlws.FILTER(S$3:S$23, ISNUMBER(S$3:S$23)),S5)*100</f>
        <v>54.500000000000007</v>
      </c>
      <c r="X5" cm="1">
        <f t="array" ref="X5">(1-_xlfn.PERCENTRANK.EXC(_xlfn._xlws.FILTER(G$3:G$23, ISNUMBER(G$3:G$23)),G5))*100</f>
        <v>41</v>
      </c>
      <c r="Y5" cm="1">
        <f t="array" ref="Y5">(1-_xlfn.PERCENTRANK.EXC(_xlfn._xlws.FILTER(H$3:H$23, ISNUMBER(H$3:H$23)),H5))*100</f>
        <v>36.4</v>
      </c>
      <c r="Z5" cm="1">
        <f t="array" ref="Z5">_xlfn.PERCENTRANK.EXC(_xlfn._xlws.FILTER(T$3:T$23, ISNUMBER(T$3:T$23)),T5)*100</f>
        <v>81.8</v>
      </c>
      <c r="AA5" cm="1">
        <f t="array" ref="AA5">_xlfn.PERCENTRANK.EXC(_xlfn._xlws.FILTER(P$3:P$23, ISNUMBER(P$3:P$23)),P5)*100</f>
        <v>68.100000000000009</v>
      </c>
      <c r="AB5">
        <f>U5*Assumption!$E$40 + V5*Assumption!$F$40 + X5*Assumption!$G$40 + Y5*Assumption!$H$40 + W5*Assumption!$I$40 +Z5* Assumption!$K$40 + AA5* Assumption!$J$40</f>
        <v>45.02</v>
      </c>
      <c r="AC5" cm="1">
        <f t="array" ref="AC5">_xlfn.PERCENTRANK.EXC(_xlfn._xlws.FILTER(AB$3:AB$23, ISNUMBER(AB$3:AB$23)),AB5)*100</f>
        <v>50</v>
      </c>
    </row>
    <row r="6" spans="1:29" x14ac:dyDescent="0.35">
      <c r="A6" t="s">
        <v>30</v>
      </c>
      <c r="B6" t="s">
        <v>205</v>
      </c>
      <c r="C6" t="s">
        <v>438</v>
      </c>
      <c r="D6" t="s">
        <v>30</v>
      </c>
      <c r="E6" t="s">
        <v>699</v>
      </c>
      <c r="F6" s="2" cm="1">
        <f t="array" ref="F6">_xll.FDS(D6,"JULIAN(FMA_DIV_YLD(NTMA,NOW,NOW,M,""PORTAGG"",""MEANR"").dates)")</f>
        <v>45379</v>
      </c>
      <c r="G6" s="4" cm="1">
        <f t="array" ref="G6">_xll.FDS(D6,"FMA_PE(LTM,0,,,""PORTAGG"",""MEANR"")")</f>
        <v>10.0169560596091</v>
      </c>
      <c r="H6" s="4" cm="1">
        <f t="array" ref="H6">_xll.FDS(D6,"FMA_PE(NTMA,0,,,""PORTAGG"",""MEANR"")")</f>
        <v>8.8223539686339301</v>
      </c>
      <c r="I6" cm="1">
        <f t="array" ref="I6">_xll.FDS(D6,"FMA_DIV_YLD(NTMA,NOW,NOW,M,""PORTAGG"",""MEANR"")")</f>
        <v>2.7516952043142</v>
      </c>
      <c r="J6" s="55" cm="1">
        <f t="array" ref="J6">IFERROR(_xll.FDS(D6,"FG_FCF_YIELD_NTM(0)"),(1/G6*100))</f>
        <v>7.3580268882597997</v>
      </c>
      <c r="K6" s="3" cm="1">
        <f t="array" ref="K6">_xll.FDS(D6,"FMA_EVAL_EBITDA(NTMA,0,,,""PORTAGG"",""MEANR"")")</f>
        <v>8.4064446581376693</v>
      </c>
      <c r="L6" cm="1">
        <f t="array" ref="L6">_xll.FDS(D6,"FMA_EVAL_EBIT(LTMA,NOW,NOW,M,""PORTAGG"",""MEANR"")")</f>
        <v>13.433784308472299</v>
      </c>
      <c r="M6">
        <f>HLOOKUP(D6,'Index ROE'!$A$1:$V$25,25,FALSE)</f>
        <v>11.9407094450378</v>
      </c>
      <c r="N6">
        <f>VLOOKUP(A6,'LIQIDITY 2'!$A$3:$E$26,5,FALSE)</f>
        <v>6.8026439999999999</v>
      </c>
      <c r="O6" cm="1">
        <f t="array" ref="O6">IFERROR(IFERROR(_xll.FDS(B6,"IMF_IFS_RCPI_Q(0)"),_xll.FDS(B6,"IMF_IFS_RCPI_Q(-1AM)")),$D$31)</f>
        <v>4.3222060000000004</v>
      </c>
      <c r="P6">
        <f>VLOOKUP(E6,GDP_GROWTH!$B$10:$W$165,22,FALSE)</f>
        <v>3.9454348254778893</v>
      </c>
      <c r="Q6">
        <f t="shared" si="0"/>
        <v>-4.0509487956857999</v>
      </c>
      <c r="R6" s="55">
        <f t="shared" si="1"/>
        <v>0.55538288825979976</v>
      </c>
      <c r="S6">
        <f t="shared" si="2"/>
        <v>5.1380654450378005</v>
      </c>
      <c r="T6">
        <f t="shared" si="3"/>
        <v>7.6185034450378</v>
      </c>
      <c r="U6" cm="1">
        <f t="array" ref="U6">_xlfn.PERCENTRANK.EXC(_xlfn._xlws.FILTER(Q$3:Q$23, ISNUMBER(Q$3:Q$23)),Q6)*100</f>
        <v>31.8</v>
      </c>
      <c r="V6" cm="1">
        <f t="array" ref="V6">_xlfn.PERCENTRANK.EXC(_xlfn._xlws.FILTER(R$3:R$23, ISNUMBER(R$3:R$23)),R6)*100</f>
        <v>45.4</v>
      </c>
      <c r="W6" cm="1">
        <f t="array" ref="W6">_xlfn.PERCENTRANK.EXC(_xlfn._xlws.FILTER(S$3:S$23, ISNUMBER(S$3:S$23)),S6)*100</f>
        <v>18.099999999999998</v>
      </c>
      <c r="X6" cm="1">
        <f t="array" ref="X6">(1-_xlfn.PERCENTRANK.EXC(_xlfn._xlws.FILTER(G$3:G$23, ISNUMBER(G$3:G$23)),G6))*100</f>
        <v>77.3</v>
      </c>
      <c r="Y6" cm="1">
        <f t="array" ref="Y6">(1-_xlfn.PERCENTRANK.EXC(_xlfn._xlws.FILTER(H$3:H$23, ISNUMBER(H$3:H$23)),H6))*100</f>
        <v>72.8</v>
      </c>
      <c r="Z6" cm="1">
        <f t="array" ref="Z6">_xlfn.PERCENTRANK.EXC(_xlfn._xlws.FILTER(T$3:T$23, ISNUMBER(T$3:T$23)),T6)*100</f>
        <v>27.200000000000003</v>
      </c>
      <c r="AA6" cm="1">
        <f t="array" ref="AA6">_xlfn.PERCENTRANK.EXC(_xlfn._xlws.FILTER(P$3:P$23, ISNUMBER(P$3:P$23)),P6)*100</f>
        <v>72.7</v>
      </c>
      <c r="AB6">
        <f>U6*Assumption!$E$40 + V6*Assumption!$F$40 + X6*Assumption!$G$40 + Y6*Assumption!$H$40 + W6*Assumption!$I$40 +Z6* Assumption!$K$40 + AA6* Assumption!$J$40</f>
        <v>54.995000000000005</v>
      </c>
      <c r="AC6" cm="1">
        <f t="array" ref="AC6">_xlfn.PERCENTRANK.EXC(_xlfn._xlws.FILTER(AB$3:AB$23, ISNUMBER(AB$3:AB$23)),AB6)*100</f>
        <v>59</v>
      </c>
    </row>
    <row r="7" spans="1:29" x14ac:dyDescent="0.35">
      <c r="A7" t="s">
        <v>23</v>
      </c>
      <c r="B7" t="s">
        <v>257</v>
      </c>
      <c r="C7" t="s">
        <v>439</v>
      </c>
      <c r="D7" t="s">
        <v>23</v>
      </c>
      <c r="E7" t="s">
        <v>700</v>
      </c>
      <c r="F7" s="2" cm="1">
        <f t="array" ref="F7">_xll.FDS(D7,"JULIAN(FMA_DIV_YLD(NTMA,NOW,NOW,M,""PORTAGG"",""MEANR"").dates)")</f>
        <v>45379</v>
      </c>
      <c r="G7" s="4" cm="1">
        <f t="array" ref="G7">_xll.FDS(D7,"FMA_PE(LTM,0,,,""PORTAGG"",""MEANR"")")</f>
        <v>7.2839421034975302</v>
      </c>
      <c r="H7" s="4" cm="1">
        <f t="array" ref="H7">_xll.FDS(D7,"FMA_PE(NTMA,0,,,""PORTAGG"",""MEANR"")")</f>
        <v>8.5155402337568802</v>
      </c>
      <c r="I7" cm="1">
        <f t="array" ref="I7">_xll.FDS(D7,"FMA_DIV_YLD(NTMA,NOW,NOW,M,""PORTAGG"",""MEANR"")")</f>
        <v>4.8919091005316497</v>
      </c>
      <c r="J7" s="55" cm="1">
        <f t="array" ref="J7">IFERROR(_xll.FDS(D7,"FG_FCF_YIELD_NTM(0)"),(1/G7*100))</f>
        <v>13.728829606152829</v>
      </c>
      <c r="K7" s="3" cm="1">
        <f t="array" ref="K7">_xll.FDS(D7,"FMA_EVAL_EBITDA(NTMA,0,,,""PORTAGG"",""MEANR"")")</f>
        <v>4.4795045899996602</v>
      </c>
      <c r="L7" cm="1">
        <f t="array" ref="L7">_xll.FDS(D7,"FMA_EVAL_EBIT(LTMA,NOW,NOW,M,""PORTAGG"",""MEANR"")")</f>
        <v>7.6905351999740601</v>
      </c>
      <c r="M7">
        <f>HLOOKUP(D7,'Index ROE'!$A$1:$V$25,25,FALSE)</f>
        <v>12.394579327579899</v>
      </c>
      <c r="N7">
        <f>VLOOKUP(A7,'LIQIDITY 2'!$A$3:$E$26,5,FALSE)</f>
        <v>5.7252000000000001</v>
      </c>
      <c r="O7" cm="1">
        <f t="array" ref="O7">IFERROR(IFERROR(_xll.FDS(B7,"IMF_IFS_RCPI_Q(0)"),_xll.FDS(B7,"IMF_IFS_RCPI_Q(-1AM)")),$D$31)</f>
        <v>6.2023080000000004</v>
      </c>
      <c r="P7">
        <f>VLOOKUP(E7,GDP_GROWTH!$B$10:$W$165,22,FALSE)</f>
        <v>3.7030435940290873</v>
      </c>
      <c r="Q7">
        <f t="shared" si="0"/>
        <v>-0.83329089946835033</v>
      </c>
      <c r="R7" s="55">
        <f t="shared" si="1"/>
        <v>8.0036296061528276</v>
      </c>
      <c r="S7">
        <f t="shared" si="2"/>
        <v>6.6693793275798994</v>
      </c>
      <c r="T7">
        <f t="shared" si="3"/>
        <v>6.1922713275798991</v>
      </c>
      <c r="U7" cm="1">
        <f t="array" ref="U7">_xlfn.PERCENTRANK.EXC(_xlfn._xlws.FILTER(Q$3:Q$23, ISNUMBER(Q$3:Q$23)),Q7)*100</f>
        <v>50</v>
      </c>
      <c r="V7" cm="1">
        <f t="array" ref="V7">_xlfn.PERCENTRANK.EXC(_xlfn._xlws.FILTER(R$3:R$23, ISNUMBER(R$3:R$23)),R7)*100</f>
        <v>90.9</v>
      </c>
      <c r="W7" cm="1">
        <f t="array" ref="W7">_xlfn.PERCENTRANK.EXC(_xlfn._xlws.FILTER(S$3:S$23, ISNUMBER(S$3:S$23)),S7)*100</f>
        <v>45.4</v>
      </c>
      <c r="X7" cm="1">
        <f t="array" ref="X7">(1-_xlfn.PERCENTRANK.EXC(_xlfn._xlws.FILTER(G$3:G$23, ISNUMBER(G$3:G$23)),G7))*100</f>
        <v>86.4</v>
      </c>
      <c r="Y7" cm="1">
        <f t="array" ref="Y7">(1-_xlfn.PERCENTRANK.EXC(_xlfn._xlws.FILTER(H$3:H$23, ISNUMBER(H$3:H$23)),H7))*100</f>
        <v>77.3</v>
      </c>
      <c r="Z7" cm="1">
        <f t="array" ref="Z7">_xlfn.PERCENTRANK.EXC(_xlfn._xlws.FILTER(T$3:T$23, ISNUMBER(T$3:T$23)),T7)*100</f>
        <v>18.099999999999998</v>
      </c>
      <c r="AA7" cm="1">
        <f t="array" ref="AA7">_xlfn.PERCENTRANK.EXC(_xlfn._xlws.FILTER(P$3:P$23, ISNUMBER(P$3:P$23)),P7)*100</f>
        <v>63.6</v>
      </c>
      <c r="AB7">
        <f>U7*Assumption!$E$40 + V7*Assumption!$F$40 + X7*Assumption!$G$40 + Y7*Assumption!$H$40 + W7*Assumption!$I$40 +Z7* Assumption!$K$40 + AA7* Assumption!$J$40</f>
        <v>72.500000000000014</v>
      </c>
      <c r="AC7" cm="1">
        <f t="array" ref="AC7">_xlfn.PERCENTRANK.EXC(_xlfn._xlws.FILTER(AB$3:AB$23, ISNUMBER(AB$3:AB$23)),AB7)*100</f>
        <v>86.3</v>
      </c>
    </row>
    <row r="8" spans="1:29" x14ac:dyDescent="0.35">
      <c r="A8" t="s">
        <v>29</v>
      </c>
      <c r="B8" t="s">
        <v>304</v>
      </c>
      <c r="C8" t="s">
        <v>440</v>
      </c>
      <c r="D8" t="s">
        <v>29</v>
      </c>
      <c r="E8" t="s">
        <v>698</v>
      </c>
      <c r="F8" s="2" cm="1">
        <f t="array" ref="F8">_xll.FDS(D8,"JULIAN(FMA_DIV_YLD(NTMA,NOW,NOW,M,""PORTAGG"",""MEANR"").dates)")</f>
        <v>45379</v>
      </c>
      <c r="G8" s="4" cm="1">
        <f t="array" ref="G8">_xll.FDS(D8,"FMA_PE(LTM,0,,,""PORTAGG"",""MEANR"")")</f>
        <v>18.382502404090499</v>
      </c>
      <c r="H8" s="4" cm="1">
        <f t="array" ref="H8">_xll.FDS(D8,"FMA_PE(NTMA,0,,,""PORTAGG"",""MEANR"")")</f>
        <v>12.7618678679894</v>
      </c>
      <c r="I8" cm="1">
        <f t="array" ref="I8">_xll.FDS(D8,"FMA_DIV_YLD(NTMA,NOW,NOW,M,""PORTAGG"",""MEANR"")")</f>
        <v>3.3744571483034602</v>
      </c>
      <c r="J8" s="55" cm="1">
        <f t="array" ref="J8">IFERROR(_xll.FDS(D8,"FG_FCF_YIELD_NTM(0)"),(1/G8*100))</f>
        <v>6.7705444339701097</v>
      </c>
      <c r="K8" s="3" cm="1">
        <f t="array" ref="K8">_xll.FDS(D8,"FMA_EVAL_EBITDA(NTMA,0,,,""PORTAGG"",""MEANR"")")</f>
        <v>7.04651646613768</v>
      </c>
      <c r="L8" cm="1">
        <f t="array" ref="L8">_xll.FDS(D8,"FMA_EVAL_EBIT(LTMA,NOW,NOW,M,""PORTAGG"",""MEANR"")")</f>
        <v>13.2456576815215</v>
      </c>
      <c r="M8">
        <f>HLOOKUP(D8,'Index ROE'!$A$1:$V$25,25,FALSE)</f>
        <v>12.932447367368299</v>
      </c>
      <c r="N8">
        <f>VLOOKUP(A8,'LIQIDITY 2'!$A$3:$E$26,5,FALSE)</f>
        <v>7.5620690000000002</v>
      </c>
      <c r="O8" cm="1">
        <f t="array" ref="O8">IFERROR(IFERROR(_xll.FDS(B8,"IMF_IFS_RCPI_Q(0)"),_xll.FDS(B8,"IMF_IFS_RCPI_Q(-1AM)")),$D$31)</f>
        <v>3.9030174999999998</v>
      </c>
      <c r="P8">
        <f>VLOOKUP(E8,GDP_GROWTH!$B$10:$W$165,22,FALSE)</f>
        <v>2.3642552134477857</v>
      </c>
      <c r="Q8">
        <f t="shared" si="0"/>
        <v>-4.1876118516965395</v>
      </c>
      <c r="R8" s="55">
        <f t="shared" si="1"/>
        <v>-0.79152456602989041</v>
      </c>
      <c r="S8">
        <f t="shared" si="2"/>
        <v>5.370378367368299</v>
      </c>
      <c r="T8">
        <f t="shared" si="3"/>
        <v>9.0294298673683002</v>
      </c>
      <c r="U8" cm="1">
        <f t="array" ref="U8">_xlfn.PERCENTRANK.EXC(_xlfn._xlws.FILTER(Q$3:Q$23, ISNUMBER(Q$3:Q$23)),Q8)*100</f>
        <v>27.200000000000003</v>
      </c>
      <c r="V8" cm="1">
        <f t="array" ref="V8">_xlfn.PERCENTRANK.EXC(_xlfn._xlws.FILTER(R$3:R$23, ISNUMBER(R$3:R$23)),R8)*100</f>
        <v>36.299999999999997</v>
      </c>
      <c r="W8" cm="1">
        <f t="array" ref="W8">_xlfn.PERCENTRANK.EXC(_xlfn._xlws.FILTER(S$3:S$23, ISNUMBER(S$3:S$23)),S8)*100</f>
        <v>27.200000000000003</v>
      </c>
      <c r="X8" cm="1">
        <f t="array" ref="X8">(1-_xlfn.PERCENTRANK.EXC(_xlfn._xlws.FILTER(G$3:G$23, ISNUMBER(G$3:G$23)),G8))*100</f>
        <v>18.200000000000006</v>
      </c>
      <c r="Y8" cm="1">
        <f t="array" ref="Y8">(1-_xlfn.PERCENTRANK.EXC(_xlfn._xlws.FILTER(H$3:H$23, ISNUMBER(H$3:H$23)),H8))*100</f>
        <v>31.899999999999995</v>
      </c>
      <c r="Z8" cm="1">
        <f t="array" ref="Z8">_xlfn.PERCENTRANK.EXC(_xlfn._xlws.FILTER(T$3:T$23, ISNUMBER(T$3:T$23)),T8)*100</f>
        <v>50</v>
      </c>
      <c r="AA8" cm="1">
        <f t="array" ref="AA8">_xlfn.PERCENTRANK.EXC(_xlfn._xlws.FILTER(P$3:P$23, ISNUMBER(P$3:P$23)),P8)*100</f>
        <v>36.299999999999997</v>
      </c>
      <c r="AB8">
        <f>U8*Assumption!$E$40 + V8*Assumption!$F$40 + X8*Assumption!$G$40 + Y8*Assumption!$H$40 + W8*Assumption!$I$40 +Z8* Assumption!$K$40 + AA8* Assumption!$J$40</f>
        <v>30.68</v>
      </c>
      <c r="AC8" cm="1">
        <f t="array" ref="AC8">_xlfn.PERCENTRANK.EXC(_xlfn._xlws.FILTER(AB$3:AB$23, ISNUMBER(AB$3:AB$23)),AB8)*100</f>
        <v>18.099999999999998</v>
      </c>
    </row>
    <row r="9" spans="1:29" x14ac:dyDescent="0.35">
      <c r="A9" t="s">
        <v>33</v>
      </c>
      <c r="B9" t="s">
        <v>194</v>
      </c>
      <c r="C9" t="s">
        <v>441</v>
      </c>
      <c r="D9" t="s">
        <v>33</v>
      </c>
      <c r="E9" t="s">
        <v>673</v>
      </c>
      <c r="F9" s="2" cm="1">
        <f t="array" ref="F9">_xll.FDS(D9,"JULIAN(FMA_DIV_YLD(NTMA,NOW,NOW,M,""PORTAGG"",""MEANR"").dates)")</f>
        <v>45379</v>
      </c>
      <c r="G9" s="4" cm="1">
        <f t="array" ref="G9">_xll.FDS(D9,"FMA_PE(LTM,0,,,""PORTAGG"",""MEANR"")")</f>
        <v>17.470608703837701</v>
      </c>
      <c r="H9" s="4" cm="1">
        <f t="array" ref="H9">_xll.FDS(D9,"FMA_PE(NTMA,0,,,""PORTAGG"",""MEANR"")")</f>
        <v>13.848848432519601</v>
      </c>
      <c r="I9" cm="1">
        <f t="array" ref="I9">_xll.FDS(D9,"FMA_DIV_YLD(NTMA,NOW,NOW,M,""PORTAGG"",""MEANR"")")</f>
        <v>4.1934524893577301</v>
      </c>
      <c r="J9" s="55" cm="1">
        <f t="array" ref="J9">IFERROR(_xll.FDS(D9,"FG_FCF_YIELD_NTM(0)"),(1/G9*100))</f>
        <v>6.2103841708456997</v>
      </c>
      <c r="K9" s="3" cm="1">
        <f t="array" ref="K9">_xll.FDS(D9,"FMA_EVAL_EBITDA(NTMA,0,,,""PORTAGG"",""MEANR"")")</f>
        <v>8.8005394017302496</v>
      </c>
      <c r="L9" cm="1">
        <f t="array" ref="L9">_xll.FDS(D9,"FMA_EVAL_EBIT(LTMA,NOW,NOW,M,""PORTAGG"",""MEANR"")")</f>
        <v>17.977664236418299</v>
      </c>
      <c r="M9">
        <f>HLOOKUP(D9,'Index ROE'!$A$1:$V$25,25,FALSE)</f>
        <v>9.5588573391121194</v>
      </c>
      <c r="N9">
        <f>VLOOKUP(A9,'LIQIDITY 2'!$A$3:$E$26,5,FALSE)</f>
        <v>3.9609320000000001</v>
      </c>
      <c r="O9" cm="1">
        <f t="array" ref="O9">IFERROR(IFERROR(_xll.FDS(B9,"IMF_IFS_RCPI_Q(0)"),_xll.FDS(B9,"IMF_IFS_RCPI_Q(-1AM)")),$D$31)</f>
        <v>1.6028895000000001</v>
      </c>
      <c r="P9">
        <f>VLOOKUP(E9,GDP_GROWTH!$B$10:$W$165,22,FALSE)</f>
        <v>3.5466921531802975</v>
      </c>
      <c r="Q9">
        <f t="shared" si="0"/>
        <v>0.23252048935772995</v>
      </c>
      <c r="R9" s="55">
        <f t="shared" si="1"/>
        <v>2.2494521708456996</v>
      </c>
      <c r="S9">
        <f t="shared" si="2"/>
        <v>5.5979253391121198</v>
      </c>
      <c r="T9">
        <f t="shared" si="3"/>
        <v>7.9559678391121196</v>
      </c>
      <c r="U9" cm="1">
        <f t="array" ref="U9">_xlfn.PERCENTRANK.EXC(_xlfn._xlws.FILTER(Q$3:Q$23, ISNUMBER(Q$3:Q$23)),Q9)*100</f>
        <v>59</v>
      </c>
      <c r="V9" cm="1">
        <f t="array" ref="V9">_xlfn.PERCENTRANK.EXC(_xlfn._xlws.FILTER(R$3:R$23, ISNUMBER(R$3:R$23)),R9)*100</f>
        <v>59</v>
      </c>
      <c r="W9" cm="1">
        <f t="array" ref="W9">_xlfn.PERCENTRANK.EXC(_xlfn._xlws.FILTER(S$3:S$23, ISNUMBER(S$3:S$23)),S9)*100</f>
        <v>31.8</v>
      </c>
      <c r="X9" cm="1">
        <f t="array" ref="X9">(1-_xlfn.PERCENTRANK.EXC(_xlfn._xlws.FILTER(G$3:G$23, ISNUMBER(G$3:G$23)),G9))*100</f>
        <v>31.899999999999995</v>
      </c>
      <c r="Y9" cm="1">
        <f t="array" ref="Y9">(1-_xlfn.PERCENTRANK.EXC(_xlfn._xlws.FILTER(H$3:H$23, ISNUMBER(H$3:H$23)),H9))*100</f>
        <v>27.3</v>
      </c>
      <c r="Z9" cm="1">
        <f t="array" ref="Z9">_xlfn.PERCENTRANK.EXC(_xlfn._xlws.FILTER(T$3:T$23, ISNUMBER(T$3:T$23)),T9)*100</f>
        <v>31.8</v>
      </c>
      <c r="AA9" cm="1">
        <f t="array" ref="AA9">_xlfn.PERCENTRANK.EXC(_xlfn._xlws.FILTER(P$3:P$23, ISNUMBER(P$3:P$23)),P9)*100</f>
        <v>59</v>
      </c>
      <c r="AB9">
        <f>U9*Assumption!$E$40 + V9*Assumption!$F$40 + X9*Assumption!$G$40 + Y9*Assumption!$H$40 + W9*Assumption!$I$40 +Z9* Assumption!$K$40 + AA9* Assumption!$J$40</f>
        <v>38.86</v>
      </c>
      <c r="AC9" cm="1">
        <f t="array" ref="AC9">_xlfn.PERCENTRANK.EXC(_xlfn._xlws.FILTER(AB$3:AB$23, ISNUMBER(AB$3:AB$23)),AB9)*100</f>
        <v>36.299999999999997</v>
      </c>
    </row>
    <row r="10" spans="1:29" x14ac:dyDescent="0.35">
      <c r="A10" t="s">
        <v>24</v>
      </c>
      <c r="B10" t="s">
        <v>217</v>
      </c>
      <c r="C10" t="s">
        <v>40</v>
      </c>
      <c r="D10" t="s">
        <v>24</v>
      </c>
      <c r="E10" t="s">
        <v>720</v>
      </c>
      <c r="F10" s="2" cm="1">
        <f t="array" ref="F10">_xll.FDS(D10,"JULIAN(FMA_DIV_YLD(NTMA,NOW,NOW,M,""PORTAGG"",""MEANR"").dates)")</f>
        <v>45379</v>
      </c>
      <c r="G10" s="4" cm="1">
        <f t="array" ref="G10">_xll.FDS(D10,"FMA_PE(LTM,0,,,""PORTAGG"",""MEANR"")")</f>
        <v>21.618742357941802</v>
      </c>
      <c r="H10" s="4" cm="1">
        <f t="array" ref="H10">_xll.FDS(D10,"FMA_PE(NTMA,0,,,""PORTAGG"",""MEANR"")")</f>
        <v>17.3002902418175</v>
      </c>
      <c r="I10" cm="1">
        <f t="array" ref="I10">_xll.FDS(D10,"FMA_DIV_YLD(NTMA,NOW,NOW,M,""PORTAGG"",""MEANR"")")</f>
        <v>3.0998293107007</v>
      </c>
      <c r="J10" s="55" cm="1">
        <f t="array" ref="J10">IFERROR(_xll.FDS(D10,"FG_FCF_YIELD_NTM(0)"),(1/G10*100))</f>
        <v>3.8272824780265799</v>
      </c>
      <c r="K10" s="3" cm="1">
        <f t="array" ref="K10">_xll.FDS(D10,"FMA_EVAL_EBITDA(NTMA,0,,,""PORTAGG"",""MEANR"")")</f>
        <v>9.9501805562948906</v>
      </c>
      <c r="L10" cm="1">
        <f t="array" ref="L10">_xll.FDS(D10,"FMA_EVAL_EBIT(LTMA,NOW,NOW,M,""PORTAGG"",""MEANR"")")</f>
        <v>20.320631642359398</v>
      </c>
      <c r="M10">
        <f>HLOOKUP(D10,'Index ROE'!$A$1:$V$25,25,FALSE)</f>
        <v>11.9152161134331</v>
      </c>
      <c r="N10">
        <f>VLOOKUP(A10,'LIQIDITY 2'!$A$3:$E$26,5,FALSE)</f>
        <v>1.7124999999999999</v>
      </c>
      <c r="O10" cm="1">
        <f t="array" ref="O10">IFERROR(IFERROR(_xll.FDS(B10,"IMF_IFS_RCPI_Q(0)"),_xll.FDS(B10,"IMF_IFS_RCPI_Q(-1AM)")),$D$31)</f>
        <v>3.2433991</v>
      </c>
      <c r="P10">
        <f>VLOOKUP(E10,GDP_GROWTH!$B$10:$W$165,22,FALSE)</f>
        <v>3.5195870793715778</v>
      </c>
      <c r="Q10">
        <f t="shared" si="0"/>
        <v>1.3873293107007001</v>
      </c>
      <c r="R10" s="55">
        <f t="shared" si="1"/>
        <v>2.11478247802658</v>
      </c>
      <c r="S10">
        <f t="shared" si="2"/>
        <v>10.2027161134331</v>
      </c>
      <c r="T10">
        <f t="shared" si="3"/>
        <v>8.6718170134331007</v>
      </c>
      <c r="U10" cm="1">
        <f t="array" ref="U10">_xlfn.PERCENTRANK.EXC(_xlfn._xlws.FILTER(Q$3:Q$23, ISNUMBER(Q$3:Q$23)),Q10)*100</f>
        <v>86.3</v>
      </c>
      <c r="V10" cm="1">
        <f t="array" ref="V10">_xlfn.PERCENTRANK.EXC(_xlfn._xlws.FILTER(R$3:R$23, ISNUMBER(R$3:R$23)),R10)*100</f>
        <v>54.500000000000007</v>
      </c>
      <c r="W10" cm="1">
        <f t="array" ref="W10">_xlfn.PERCENTRANK.EXC(_xlfn._xlws.FILTER(S$3:S$23, ISNUMBER(S$3:S$23)),S10)*100</f>
        <v>90.9</v>
      </c>
      <c r="X10" cm="1">
        <f t="array" ref="X10">(1-_xlfn.PERCENTRANK.EXC(_xlfn._xlws.FILTER(G$3:G$23, ISNUMBER(G$3:G$23)),G10))*100</f>
        <v>13.700000000000001</v>
      </c>
      <c r="Y10" cm="1">
        <f t="array" ref="Y10">(1-_xlfn.PERCENTRANK.EXC(_xlfn._xlws.FILTER(H$3:H$23, ISNUMBER(H$3:H$23)),H10))*100</f>
        <v>13.700000000000001</v>
      </c>
      <c r="Z10" cm="1">
        <f t="array" ref="Z10">_xlfn.PERCENTRANK.EXC(_xlfn._xlws.FILTER(T$3:T$23, ISNUMBER(T$3:T$23)),T10)*100</f>
        <v>36.299999999999997</v>
      </c>
      <c r="AA10" cm="1">
        <f t="array" ref="AA10">_xlfn.PERCENTRANK.EXC(_xlfn._xlws.FILTER(P$3:P$23, ISNUMBER(P$3:P$23)),P10)*100</f>
        <v>54.500000000000007</v>
      </c>
      <c r="AB10">
        <f>U10*Assumption!$E$40 + V10*Assumption!$F$40 + X10*Assumption!$G$40 + Y10*Assumption!$H$40 + W10*Assumption!$I$40 +Z10* Assumption!$K$40 + AA10* Assumption!$J$40</f>
        <v>37.510000000000005</v>
      </c>
      <c r="AC10" cm="1">
        <f t="array" ref="AC10">_xlfn.PERCENTRANK.EXC(_xlfn._xlws.FILTER(AB$3:AB$23, ISNUMBER(AB$3:AB$23)),AB10)*100</f>
        <v>27.200000000000003</v>
      </c>
    </row>
    <row r="11" spans="1:29" x14ac:dyDescent="0.35">
      <c r="A11" t="s">
        <v>7</v>
      </c>
      <c r="B11" t="s">
        <v>301</v>
      </c>
      <c r="C11" t="s">
        <v>53</v>
      </c>
      <c r="D11" t="s">
        <v>7</v>
      </c>
      <c r="E11" t="s">
        <v>678</v>
      </c>
      <c r="F11" s="2" cm="1">
        <f t="array" ref="F11">_xll.FDS(D11,"JULIAN(FMA_DIV_YLD(NTMA,NOW,NOW,M,""PORTAGG"",""MEANR"").dates)")</f>
        <v>45379</v>
      </c>
      <c r="G11" s="4" cm="1">
        <f t="array" ref="G11">_xll.FDS(D11,"FMA_PE(LTM,0,,,""PORTAGG"",""MEANR"")")</f>
        <v>12.6716481114664</v>
      </c>
      <c r="H11" s="4" cm="1">
        <f t="array" ref="H11">_xll.FDS(D11,"FMA_PE(NTMA,0,,,""PORTAGG"",""MEANR"")")</f>
        <v>12.4018039262755</v>
      </c>
      <c r="I11" cm="1">
        <f t="array" ref="I11">_xll.FDS(D11,"FMA_DIV_YLD(NTMA,NOW,NOW,M,""PORTAGG"",""MEANR"")")</f>
        <v>3.98467504611054</v>
      </c>
      <c r="J11" s="55" cm="1">
        <f t="array" ref="J11">IFERROR(_xll.FDS(D11,"FG_FCF_YIELD_NTM(0)"),(1/G11*100))</f>
        <v>7.8709614972872703</v>
      </c>
      <c r="K11" s="3" cm="1">
        <f t="array" ref="K11">_xll.FDS(D11,"FMA_EVAL_EBITDA(NTMA,0,,,""PORTAGG"",""MEANR"")")</f>
        <v>6.0677309621820497</v>
      </c>
      <c r="L11" cm="1">
        <f t="array" ref="L11">_xll.FDS(D11,"FMA_EVAL_EBIT(LTMA,NOW,NOW,M,""PORTAGG"",""MEANR"")")</f>
        <v>10.5767938017277</v>
      </c>
      <c r="M11">
        <f>HLOOKUP(D11,'Index ROE'!$A$1:$V$25,25,FALSE)</f>
        <v>13.699010068001799</v>
      </c>
      <c r="N11">
        <f>VLOOKUP(A11,'LIQIDITY 2'!$A$3:$E$26,5,FALSE)</f>
        <v>9.9444999999999997</v>
      </c>
      <c r="O11" cm="1">
        <f t="array" ref="O11">IFERROR(IFERROR(_xll.FDS(B11,"IMF_IFS_RCPI_Q(0)"),_xll.FDS(B11,"IMF_IFS_RCPI_Q(-1AM)")),$D$31)</f>
        <v>4.4145545999999998</v>
      </c>
      <c r="P11">
        <f>VLOOKUP(E11,GDP_GROWTH!$B$10:$W$165,22,FALSE)</f>
        <v>0.75528355941661962</v>
      </c>
      <c r="Q11">
        <f t="shared" si="0"/>
        <v>-5.9598249538894592</v>
      </c>
      <c r="R11" s="55">
        <f t="shared" si="1"/>
        <v>-2.0735385027127293</v>
      </c>
      <c r="S11">
        <f t="shared" si="2"/>
        <v>3.7545100680017995</v>
      </c>
      <c r="T11">
        <f t="shared" si="3"/>
        <v>9.2844554680017986</v>
      </c>
      <c r="U11" cm="1">
        <f t="array" ref="U11">_xlfn.PERCENTRANK.EXC(_xlfn._xlws.FILTER(Q$3:Q$23, ISNUMBER(Q$3:Q$23)),Q11)*100</f>
        <v>13.600000000000001</v>
      </c>
      <c r="V11" cm="1">
        <f t="array" ref="V11">_xlfn.PERCENTRANK.EXC(_xlfn._xlws.FILTER(R$3:R$23, ISNUMBER(R$3:R$23)),R11)*100</f>
        <v>27.200000000000003</v>
      </c>
      <c r="W11" cm="1">
        <f t="array" ref="W11">_xlfn.PERCENTRANK.EXC(_xlfn._xlws.FILTER(S$3:S$23, ISNUMBER(S$3:S$23)),S11)*100</f>
        <v>13.600000000000001</v>
      </c>
      <c r="X11" cm="1">
        <f t="array" ref="X11">(1-_xlfn.PERCENTRANK.EXC(_xlfn._xlws.FILTER(G$3:G$23, ISNUMBER(G$3:G$23)),G11))*100</f>
        <v>54.6</v>
      </c>
      <c r="Y11" cm="1">
        <f t="array" ref="Y11">(1-_xlfn.PERCENTRANK.EXC(_xlfn._xlws.FILTER(H$3:H$23, ISNUMBER(H$3:H$23)),H11))*100</f>
        <v>41</v>
      </c>
      <c r="Z11" cm="1">
        <f t="array" ref="Z11">_xlfn.PERCENTRANK.EXC(_xlfn._xlws.FILTER(T$3:T$23, ISNUMBER(T$3:T$23)),T11)*100</f>
        <v>59</v>
      </c>
      <c r="AA11" cm="1">
        <f t="array" ref="AA11">_xlfn.PERCENTRANK.EXC(_xlfn._xlws.FILTER(P$3:P$23, ISNUMBER(P$3:P$23)),P11)*100</f>
        <v>4.5</v>
      </c>
      <c r="AB11">
        <f>U11*Assumption!$E$40 + V11*Assumption!$F$40 + X11*Assumption!$G$40 + Y11*Assumption!$H$40 + W11*Assumption!$I$40 +Z11* Assumption!$K$40 + AA11* Assumption!$J$40</f>
        <v>38.64</v>
      </c>
      <c r="AC11" cm="1">
        <f t="array" ref="AC11">_xlfn.PERCENTRANK.EXC(_xlfn._xlws.FILTER(AB$3:AB$23, ISNUMBER(AB$3:AB$23)),AB11)*100</f>
        <v>31.8</v>
      </c>
    </row>
    <row r="12" spans="1:29" x14ac:dyDescent="0.35">
      <c r="A12" t="s">
        <v>21</v>
      </c>
      <c r="B12" t="s">
        <v>210</v>
      </c>
      <c r="C12" t="s">
        <v>38</v>
      </c>
      <c r="D12" t="s">
        <v>21</v>
      </c>
      <c r="E12" t="s">
        <v>660</v>
      </c>
      <c r="F12" s="2" cm="1">
        <f t="array" ref="F12">_xll.FDS(D12,"JULIAN(FMA_DIV_YLD(NTMA,NOW,NOW,M,""PORTAGG"",""MEANR"").dates)")</f>
        <v>45379</v>
      </c>
      <c r="G12" s="4" cm="1">
        <f t="array" ref="G12">_xll.FDS(D12,"FMA_PE(LTM,0,,,""PORTAGG"",""MEANR"")")</f>
        <v>17.899566695347399</v>
      </c>
      <c r="H12" s="4" cm="1">
        <f t="array" ref="H12">_xll.FDS(D12,"FMA_PE(NTMA,0,,,""PORTAGG"",""MEANR"")")</f>
        <v>10.2084010963625</v>
      </c>
      <c r="I12" cm="1">
        <f t="array" ref="I12">_xll.FDS(D12,"FMA_DIV_YLD(NTMA,NOW,NOW,M,""PORTAGG"",""MEANR"")")</f>
        <v>2.1592743175168101</v>
      </c>
      <c r="J12" s="55" cm="1">
        <f t="array" ref="J12">IFERROR(_xll.FDS(D12,"FG_FCF_YIELD_NTM(0)"),(1/G12*100))</f>
        <v>5.0225287989589704</v>
      </c>
      <c r="K12" s="3" cm="1">
        <f t="array" ref="K12">_xll.FDS(D12,"FMA_EVAL_EBITDA(NTMA,0,,,""PORTAGG"",""MEANR"")")</f>
        <v>6.4652720351420303</v>
      </c>
      <c r="L12" cm="1">
        <f t="array" ref="L12">_xll.FDS(D12,"FMA_EVAL_EBIT(LTMA,NOW,NOW,M,""PORTAGG"",""MEANR"")")</f>
        <v>20.272353946478798</v>
      </c>
      <c r="M12">
        <f>HLOOKUP(D12,'Index ROE'!$A$1:$V$25,25,FALSE)</f>
        <v>8.9049963583202398</v>
      </c>
      <c r="N12">
        <f>VLOOKUP(A12,'LIQIDITY 2'!$A$3:$E$26,5,FALSE)</f>
        <v>3.5651000000000002</v>
      </c>
      <c r="O12" cm="1">
        <f t="array" ref="O12">IFERROR(IFERROR(_xll.FDS(B12,"IMF_IFS_RCPI_Q(0)"),_xll.FDS(B12,"IMF_IFS_RCPI_Q(-1AM)")),$D$31)</f>
        <v>3.404687</v>
      </c>
      <c r="P12">
        <f>VLOOKUP(E12,GDP_GROWTH!$B$10:$W$165,22,FALSE)</f>
        <v>2.41003689527024</v>
      </c>
      <c r="Q12">
        <f t="shared" si="0"/>
        <v>-1.4058256824831901</v>
      </c>
      <c r="R12" s="55">
        <f t="shared" si="1"/>
        <v>1.4574287989589703</v>
      </c>
      <c r="S12">
        <f t="shared" si="2"/>
        <v>5.3398963583202397</v>
      </c>
      <c r="T12">
        <f t="shared" si="3"/>
        <v>5.5003093583202398</v>
      </c>
      <c r="U12" cm="1">
        <f t="array" ref="U12">_xlfn.PERCENTRANK.EXC(_xlfn._xlws.FILTER(Q$3:Q$23, ISNUMBER(Q$3:Q$23)),Q12)*100</f>
        <v>45.4</v>
      </c>
      <c r="V12" cm="1">
        <f t="array" ref="V12">_xlfn.PERCENTRANK.EXC(_xlfn._xlws.FILTER(R$3:R$23, ISNUMBER(R$3:R$23)),R12)*100</f>
        <v>50</v>
      </c>
      <c r="W12" cm="1">
        <f t="array" ref="W12">_xlfn.PERCENTRANK.EXC(_xlfn._xlws.FILTER(S$3:S$23, ISNUMBER(S$3:S$23)),S12)*100</f>
        <v>22.7</v>
      </c>
      <c r="X12" cm="1">
        <f t="array" ref="X12">(1-_xlfn.PERCENTRANK.EXC(_xlfn._xlws.FILTER(G$3:G$23, ISNUMBER(G$3:G$23)),G12))*100</f>
        <v>27.3</v>
      </c>
      <c r="Y12" cm="1">
        <f t="array" ref="Y12">(1-_xlfn.PERCENTRANK.EXC(_xlfn._xlws.FILTER(H$3:H$23, ISNUMBER(H$3:H$23)),H12))*100</f>
        <v>50</v>
      </c>
      <c r="Z12" cm="1">
        <f t="array" ref="Z12">_xlfn.PERCENTRANK.EXC(_xlfn._xlws.FILTER(T$3:T$23, ISNUMBER(T$3:T$23)),T12)*100</f>
        <v>9</v>
      </c>
      <c r="AA12" cm="1">
        <f t="array" ref="AA12">_xlfn.PERCENTRANK.EXC(_xlfn._xlws.FILTER(P$3:P$23, ISNUMBER(P$3:P$23)),P12)*100</f>
        <v>40.9</v>
      </c>
      <c r="AB12">
        <f>U12*Assumption!$E$40 + V12*Assumption!$F$40 + X12*Assumption!$G$40 + Y12*Assumption!$H$40 + W12*Assumption!$I$40 +Z12* Assumption!$K$40 + AA12* Assumption!$J$40</f>
        <v>37.265000000000001</v>
      </c>
      <c r="AC12" cm="1">
        <f t="array" ref="AC12">_xlfn.PERCENTRANK.EXC(_xlfn._xlws.FILTER(AB$3:AB$23, ISNUMBER(AB$3:AB$23)),AB12)*100</f>
        <v>22.7</v>
      </c>
    </row>
    <row r="13" spans="1:29" x14ac:dyDescent="0.35">
      <c r="A13" t="s">
        <v>12</v>
      </c>
      <c r="B13" t="s">
        <v>291</v>
      </c>
      <c r="C13" t="s">
        <v>54</v>
      </c>
      <c r="D13" t="s">
        <v>12</v>
      </c>
      <c r="E13" t="s">
        <v>603</v>
      </c>
      <c r="F13" s="2" cm="1">
        <f t="array" ref="F13">_xll.FDS(D13,"JULIAN(FMA_DIV_YLD(NTMA,NOW,NOW,M,""PORTAGG"",""MEANR"").dates)")</f>
        <v>45379</v>
      </c>
      <c r="G13" s="4" cm="1">
        <f t="array" ref="G13">_xll.FDS(D13,"FMA_PE(LTM,0,,,""PORTAGG"",""MEANR"")")</f>
        <v>7.3451968137736197</v>
      </c>
      <c r="H13" s="4" cm="1">
        <f t="array" ref="H13">_xll.FDS(D13,"FMA_PE(NTMA,0,,,""PORTAGG"",""MEANR"")")</f>
        <v>7.5405884757194102</v>
      </c>
      <c r="I13" cm="1">
        <f t="array" ref="I13">_xll.FDS(D13,"FMA_DIV_YLD(NTMA,NOW,NOW,M,""PORTAGG"",""MEANR"")")</f>
        <v>6.1708366045708702</v>
      </c>
      <c r="J13" s="55" cm="1">
        <f t="array" ref="J13">IFERROR(_xll.FDS(D13,"FG_FCF_YIELD_NTM(0)"),(1/G13*100))</f>
        <v>9.4145336781371505</v>
      </c>
      <c r="K13" s="3" cm="1">
        <f t="array" ref="K13">_xll.FDS(D13,"FMA_EVAL_EBITDA(NTMA,0,,,""PORTAGG"",""MEANR"")")</f>
        <v>4.6871178017263899</v>
      </c>
      <c r="L13" cm="1">
        <f t="array" ref="L13">_xll.FDS(D13,"FMA_EVAL_EBIT(LTMA,NOW,NOW,M,""PORTAGG"",""MEANR"")")</f>
        <v>6.7750644589476297</v>
      </c>
      <c r="M13">
        <f>HLOOKUP(D13,'Index ROE'!$A$1:$V$25,25,FALSE)</f>
        <v>18.584863884422202</v>
      </c>
      <c r="N13">
        <f>VLOOKUP(A13,'LIQIDITY 2'!$A$3:$E$26,5,FALSE)</f>
        <v>11.734496999999999</v>
      </c>
      <c r="O13" cm="1">
        <f t="array" ref="O13">IFERROR(IFERROR(_xll.FDS(B13,"IMF_IFS_RCPI_Q(0)"),_xll.FDS(B13,"IMF_IFS_RCPI_Q(-1AM)")),$D$31)</f>
        <v>4.7076507000000003</v>
      </c>
      <c r="P13">
        <f>VLOOKUP(E13,GDP_GROWTH!$B$10:$W$165,22,FALSE)</f>
        <v>0.86151944639016875</v>
      </c>
      <c r="Q13">
        <f t="shared" si="0"/>
        <v>-5.563660395429129</v>
      </c>
      <c r="R13" s="55">
        <f t="shared" si="1"/>
        <v>-2.3199633218628488</v>
      </c>
      <c r="S13">
        <f t="shared" si="2"/>
        <v>6.8503668844222023</v>
      </c>
      <c r="T13">
        <f t="shared" si="3"/>
        <v>13.877213184422201</v>
      </c>
      <c r="U13" cm="1">
        <f t="array" ref="U13">_xlfn.PERCENTRANK.EXC(_xlfn._xlws.FILTER(Q$3:Q$23, ISNUMBER(Q$3:Q$23)),Q13)*100</f>
        <v>22.7</v>
      </c>
      <c r="V13" cm="1">
        <f t="array" ref="V13">_xlfn.PERCENTRANK.EXC(_xlfn._xlws.FILTER(R$3:R$23, ISNUMBER(R$3:R$23)),R13)*100</f>
        <v>22.7</v>
      </c>
      <c r="W13" cm="1">
        <f t="array" ref="W13">_xlfn.PERCENTRANK.EXC(_xlfn._xlws.FILTER(S$3:S$23, ISNUMBER(S$3:S$23)),S13)*100</f>
        <v>50</v>
      </c>
      <c r="X13" cm="1">
        <f t="array" ref="X13">(1-_xlfn.PERCENTRANK.EXC(_xlfn._xlws.FILTER(G$3:G$23, ISNUMBER(G$3:G$23)),G13))*100</f>
        <v>81.899999999999991</v>
      </c>
      <c r="Y13" cm="1">
        <f t="array" ref="Y13">(1-_xlfn.PERCENTRANK.EXC(_xlfn._xlws.FILTER(H$3:H$23, ISNUMBER(H$3:H$23)),H13))*100</f>
        <v>86.4</v>
      </c>
      <c r="Z13" cm="1">
        <f t="array" ref="Z13">_xlfn.PERCENTRANK.EXC(_xlfn._xlws.FILTER(T$3:T$23, ISNUMBER(T$3:T$23)),T13)*100</f>
        <v>95.399999999999991</v>
      </c>
      <c r="AA13" cm="1">
        <f t="array" ref="AA13">_xlfn.PERCENTRANK.EXC(_xlfn._xlws.FILTER(P$3:P$23, ISNUMBER(P$3:P$23)),P13)*100</f>
        <v>13.600000000000001</v>
      </c>
      <c r="AB13">
        <f>U13*Assumption!$E$40 + V13*Assumption!$F$40 + X13*Assumption!$G$40 + Y13*Assumption!$H$40 + W13*Assumption!$I$40 +Z13* Assumption!$K$40 + AA13* Assumption!$J$40</f>
        <v>63.424999999999997</v>
      </c>
      <c r="AC13" cm="1">
        <f t="array" ref="AC13">_xlfn.PERCENTRANK.EXC(_xlfn._xlws.FILTER(AB$3:AB$23, ISNUMBER(AB$3:AB$23)),AB13)*100</f>
        <v>72.7</v>
      </c>
    </row>
    <row r="14" spans="1:29" x14ac:dyDescent="0.35">
      <c r="A14" t="s">
        <v>22</v>
      </c>
      <c r="B14" t="s">
        <v>366</v>
      </c>
      <c r="C14" t="s">
        <v>442</v>
      </c>
      <c r="D14" t="s">
        <v>22</v>
      </c>
      <c r="E14" t="s">
        <v>713</v>
      </c>
      <c r="F14" s="2" cm="1">
        <f t="array" ref="F14">_xll.FDS(D14,"JULIAN(FMA_DIV_YLD(NTMA,NOW,NOW,M,""PORTAGG"",""MEANR"").dates)")</f>
        <v>45379</v>
      </c>
      <c r="G14" s="4" cm="1">
        <f t="array" ref="G14">_xll.FDS(D14,"FMA_PE(LTM,0,,,""PORTAGG"",""MEANR"")")</f>
        <v>10.7912225749682</v>
      </c>
      <c r="H14" s="4" cm="1">
        <f t="array" ref="H14">_xll.FDS(D14,"FMA_PE(NTMA,0,,,""PORTAGG"",""MEANR"")")</f>
        <v>9.3826865879243897</v>
      </c>
      <c r="I14" cm="1">
        <f t="array" ref="I14">_xll.FDS(D14,"FMA_DIV_YLD(NTMA,NOW,NOW,M,""PORTAGG"",""MEANR"")")</f>
        <v>4.1635134363549096</v>
      </c>
      <c r="J14" s="55" cm="1">
        <f t="array" ref="J14">IFERROR(_xll.FDS(D14,"FG_FCF_YIELD_NTM(0)"),(1/G14*100))</f>
        <v>5.6265556731553401</v>
      </c>
      <c r="K14" s="3" cm="1">
        <f t="array" ref="K14">_xll.FDS(D14,"FMA_EVAL_EBITDA(NTMA,0,,,""PORTAGG"",""MEANR"")")</f>
        <v>7.7412621300812399</v>
      </c>
      <c r="L14" cm="1">
        <f t="array" ref="L14">_xll.FDS(D14,"FMA_EVAL_EBIT(LTMA,NOW,NOW,M,""PORTAGG"",""MEANR"")")</f>
        <v>12.2855667963205</v>
      </c>
      <c r="M14">
        <f>HLOOKUP(D14,'Index ROE'!$A$1:$V$25,25,FALSE)</f>
        <v>14.5722752976358</v>
      </c>
      <c r="N14">
        <f>VLOOKUP(A14,'LIQIDITY 2'!$A$3:$E$26,5,FALSE)</f>
        <v>12.288451999999999</v>
      </c>
      <c r="O14" cm="1">
        <f t="array" ref="O14">IFERROR(IFERROR(_xll.FDS(B14,"IMF_IFS_RCPI_Q(0)"),_xll.FDS(B14,"IMF_IFS_RCPI_Q(-1AM)")),$D$31)</f>
        <v>5.6333609999999998</v>
      </c>
      <c r="P14">
        <f>VLOOKUP(E14,GDP_GROWTH!$B$10:$W$165,22,FALSE)</f>
        <v>2.0053433544621524</v>
      </c>
      <c r="Q14">
        <f t="shared" si="0"/>
        <v>-8.1249385636450899</v>
      </c>
      <c r="R14" s="55">
        <f t="shared" si="1"/>
        <v>-6.6618963268446594</v>
      </c>
      <c r="S14">
        <f t="shared" si="2"/>
        <v>2.2838232976358004</v>
      </c>
      <c r="T14">
        <f t="shared" si="3"/>
        <v>8.9389142976358009</v>
      </c>
      <c r="U14" cm="1">
        <f t="array" ref="U14">_xlfn.PERCENTRANK.EXC(_xlfn._xlws.FILTER(Q$3:Q$23, ISNUMBER(Q$3:Q$23)),Q14)*100</f>
        <v>9</v>
      </c>
      <c r="V14" cm="1">
        <f t="array" ref="V14">_xlfn.PERCENTRANK.EXC(_xlfn._xlws.FILTER(R$3:R$23, ISNUMBER(R$3:R$23)),R14)*100</f>
        <v>9</v>
      </c>
      <c r="W14" cm="1">
        <f t="array" ref="W14">_xlfn.PERCENTRANK.EXC(_xlfn._xlws.FILTER(S$3:S$23, ISNUMBER(S$3:S$23)),S14)*100</f>
        <v>9</v>
      </c>
      <c r="X14" cm="1">
        <f t="array" ref="X14">(1-_xlfn.PERCENTRANK.EXC(_xlfn._xlws.FILTER(G$3:G$23, ISNUMBER(G$3:G$23)),G14))*100</f>
        <v>63.7</v>
      </c>
      <c r="Y14" cm="1">
        <f t="array" ref="Y14">(1-_xlfn.PERCENTRANK.EXC(_xlfn._xlws.FILTER(H$3:H$23, ISNUMBER(H$3:H$23)),H14))*100</f>
        <v>63.7</v>
      </c>
      <c r="Z14" cm="1">
        <f t="array" ref="Z14">_xlfn.PERCENTRANK.EXC(_xlfn._xlws.FILTER(T$3:T$23, ISNUMBER(T$3:T$23)),T14)*100</f>
        <v>45.4</v>
      </c>
      <c r="AA14" cm="1">
        <f t="array" ref="AA14">_xlfn.PERCENTRANK.EXC(_xlfn._xlws.FILTER(P$3:P$23, ISNUMBER(P$3:P$23)),P14)*100</f>
        <v>27.200000000000003</v>
      </c>
      <c r="AB14">
        <f>U14*Assumption!$E$40 + V14*Assumption!$F$40 + X14*Assumption!$G$40 + Y14*Assumption!$H$40 + W14*Assumption!$I$40 +Z14* Assumption!$K$40 + AA14* Assumption!$J$40</f>
        <v>39.989999999999995</v>
      </c>
      <c r="AC14" cm="1">
        <f t="array" ref="AC14">_xlfn.PERCENTRANK.EXC(_xlfn._xlws.FILTER(AB$3:AB$23, ISNUMBER(AB$3:AB$23)),AB14)*100</f>
        <v>40.9</v>
      </c>
    </row>
    <row r="15" spans="1:29" x14ac:dyDescent="0.35">
      <c r="A15" t="s">
        <v>28</v>
      </c>
      <c r="B15" t="s">
        <v>498</v>
      </c>
      <c r="C15" t="s">
        <v>443</v>
      </c>
      <c r="D15" t="s">
        <v>28</v>
      </c>
      <c r="E15" t="s">
        <v>640</v>
      </c>
      <c r="F15" s="2" cm="1">
        <f t="array" ref="F15">_xll.FDS(D15,"JULIAN(FMA_DIV_YLD(NTMA,NOW,NOW,M,""PORTAGG"",""MEANR"").dates)")</f>
        <v>45379</v>
      </c>
      <c r="G15" s="4" cm="1">
        <f t="array" ref="G15">_xll.FDS(D15,"FMA_PE(LTM,0,,,""PORTAGG"",""MEANR"")")</f>
        <v>7.1739516997176702</v>
      </c>
      <c r="H15" s="4" cm="1">
        <f t="array" ref="H15">_xll.FDS(D15,"FMA_PE(NTMA,0,,,""PORTAGG"",""MEANR"")")</f>
        <v>6.76078642551676</v>
      </c>
      <c r="I15" cm="1">
        <f t="array" ref="I15">_xll.FDS(D15,"FMA_DIV_YLD(NTMA,NOW,NOW,M,""PORTAGG"",""MEANR"")")</f>
        <v>5.14851054366064</v>
      </c>
      <c r="J15" s="55" cm="1">
        <f t="array" ref="J15">IFERROR(_xll.FDS(D15,"FG_FCF_YIELD_NTM(0)"),(1/G15*100))</f>
        <v>13.939318828134217</v>
      </c>
      <c r="K15" s="3" cm="1">
        <f t="array" ref="K15">_xll.FDS(D15,"FMA_EVAL_EBITDA(NTMA,0,,,""PORTAGG"",""MEANR"")")</f>
        <v>5.14848810904037</v>
      </c>
      <c r="L15" cm="1">
        <f t="array" ref="L15">_xll.FDS(D15,"FMA_EVAL_EBIT(LTMA,NOW,NOW,M,""PORTAGG"",""MEANR"")")</f>
        <v>7.3812909349980202</v>
      </c>
      <c r="M15">
        <f>HLOOKUP(D15,'Index ROE'!$A$1:$V$25,25,FALSE)</f>
        <v>13.1253657894167</v>
      </c>
      <c r="N15">
        <f>VLOOKUP(A15,'LIQIDITY 2'!$A$3:$E$26,5,FALSE)</f>
        <v>3.5409999999999999</v>
      </c>
      <c r="O15" cm="1">
        <f t="array" ref="O15">IFERROR(IFERROR(_xll.FDS(B15,"IMF_IFS_RCPI_Q(0)"),_xll.FDS(B15,"IMF_IFS_RCPI_Q(-1AM)")),$D$31)</f>
        <v>3.3094649999999999</v>
      </c>
      <c r="P15">
        <f>VLOOKUP(E15,GDP_GROWTH!$B$10:$W$165,22,FALSE)</f>
        <v>0.85736345187500396</v>
      </c>
      <c r="Q15">
        <f t="shared" si="0"/>
        <v>1.6075105436606401</v>
      </c>
      <c r="R15" s="55">
        <f t="shared" si="1"/>
        <v>10.398318828134217</v>
      </c>
      <c r="S15">
        <f t="shared" si="2"/>
        <v>9.5843657894166991</v>
      </c>
      <c r="T15">
        <f t="shared" si="3"/>
        <v>9.8159007894167001</v>
      </c>
      <c r="U15" cm="1">
        <f t="array" ref="U15">_xlfn.PERCENTRANK.EXC(_xlfn._xlws.FILTER(Q$3:Q$23, ISNUMBER(Q$3:Q$23)),Q15)*100</f>
        <v>90.9</v>
      </c>
      <c r="V15" cm="1">
        <f t="array" ref="V15">_xlfn.PERCENTRANK.EXC(_xlfn._xlws.FILTER(R$3:R$23, ISNUMBER(R$3:R$23)),R15)*100</f>
        <v>95.399999999999991</v>
      </c>
      <c r="W15" cm="1">
        <f t="array" ref="W15">_xlfn.PERCENTRANK.EXC(_xlfn._xlws.FILTER(S$3:S$23, ISNUMBER(S$3:S$23)),S15)*100</f>
        <v>81.8</v>
      </c>
      <c r="X15" cm="1">
        <f t="array" ref="X15">(1-_xlfn.PERCENTRANK.EXC(_xlfn._xlws.FILTER(G$3:G$23, ISNUMBER(G$3:G$23)),G15))*100</f>
        <v>91</v>
      </c>
      <c r="Y15" cm="1">
        <f t="array" ref="Y15">(1-_xlfn.PERCENTRANK.EXC(_xlfn._xlws.FILTER(H$3:H$23, ISNUMBER(H$3:H$23)),H15))*100</f>
        <v>91</v>
      </c>
      <c r="Z15" cm="1">
        <f t="array" ref="Z15">_xlfn.PERCENTRANK.EXC(_xlfn._xlws.FILTER(T$3:T$23, ISNUMBER(T$3:T$23)),T15)*100</f>
        <v>63.6</v>
      </c>
      <c r="AA15" cm="1">
        <f t="array" ref="AA15">_xlfn.PERCENTRANK.EXC(_xlfn._xlws.FILTER(P$3:P$23, ISNUMBER(P$3:P$23)),P15)*100</f>
        <v>9</v>
      </c>
      <c r="AB15">
        <f>U15*Assumption!$E$40 + V15*Assumption!$F$40 + X15*Assumption!$G$40 + Y15*Assumption!$H$40 + W15*Assumption!$I$40 +Z15* Assumption!$K$40 + AA15* Assumption!$J$40</f>
        <v>88.434999999999988</v>
      </c>
      <c r="AC15" cm="1">
        <f t="array" ref="AC15">_xlfn.PERCENTRANK.EXC(_xlfn._xlws.FILTER(AB$3:AB$23, ISNUMBER(AB$3:AB$23)),AB15)*100</f>
        <v>95.399999999999991</v>
      </c>
    </row>
    <row r="16" spans="1:29" x14ac:dyDescent="0.35">
      <c r="A16" t="s">
        <v>32</v>
      </c>
      <c r="B16" t="s">
        <v>184</v>
      </c>
      <c r="C16" t="s">
        <v>52</v>
      </c>
      <c r="D16" t="s">
        <v>32</v>
      </c>
      <c r="E16" t="s">
        <v>650</v>
      </c>
      <c r="F16" s="2" cm="1">
        <f t="array" ref="F16">_xll.FDS(D16,"JULIAN(FMA_DIV_YLD(NTMA,NOW,NOW,M,""PORTAGG"",""MEANR"").dates)")</f>
        <v>45379</v>
      </c>
      <c r="G16" s="4" cm="1">
        <f t="array" ref="G16">_xll.FDS(D16,"FMA_PE(LTM,0,,,""PORTAGG"",""MEANR"")")</f>
        <v>25.189893755926601</v>
      </c>
      <c r="H16" s="4" cm="1">
        <f t="array" ref="H16">_xll.FDS(D16,"FMA_PE(NTMA,0,,,""PORTAGG"",""MEANR"")")</f>
        <v>22.331485252846502</v>
      </c>
      <c r="I16" cm="1">
        <f t="array" ref="I16">_xll.FDS(D16,"FMA_DIV_YLD(NTMA,NOW,NOW,M,""PORTAGG"",""MEANR"")")</f>
        <v>1.3441281527992599</v>
      </c>
      <c r="J16" s="55" cm="1">
        <f t="array" ref="J16">IFERROR(_xll.FDS(D16,"FG_FCF_YIELD_NTM(0)"),(1/G16*100))</f>
        <v>2.92785199134343</v>
      </c>
      <c r="K16" s="3" cm="1">
        <f t="array" ref="K16">_xll.FDS(D16,"FMA_EVAL_EBITDA(NTMA,0,,,""PORTAGG"",""MEANR"")")</f>
        <v>14.832947655146199</v>
      </c>
      <c r="L16" cm="1">
        <f t="array" ref="L16">_xll.FDS(D16,"FMA_EVAL_EBIT(LTMA,NOW,NOW,M,""PORTAGG"",""MEANR"")")</f>
        <v>22.898447607863002</v>
      </c>
      <c r="M16">
        <f>HLOOKUP(D16,'Index ROE'!$A$1:$V$25,25,FALSE)</f>
        <v>16.077047134790998</v>
      </c>
      <c r="N16">
        <f>VLOOKUP(A16,'LIQIDITY 2'!$A$3:$E$26,5,FALSE)</f>
        <v>7.1665000000000001</v>
      </c>
      <c r="O16" cm="1">
        <f t="array" ref="O16">IFERROR(IFERROR(_xll.FDS(B16,"IMF_IFS_RCPI_Q(0)"),_xll.FDS(B16,"IMF_IFS_RCPI_Q(-1AM)")),$D$31)</f>
        <v>5.3696327000000004</v>
      </c>
      <c r="P16">
        <f>VLOOKUP(E16,GDP_GROWTH!$B$10:$W$165,22,FALSE)</f>
        <v>4.5925545086595072</v>
      </c>
      <c r="Q16">
        <f t="shared" si="0"/>
        <v>-5.8223718472007402</v>
      </c>
      <c r="R16" s="55">
        <f t="shared" si="1"/>
        <v>-4.2386480086565701</v>
      </c>
      <c r="S16">
        <f t="shared" si="2"/>
        <v>8.910547134790999</v>
      </c>
      <c r="T16">
        <f t="shared" si="3"/>
        <v>10.707414434790998</v>
      </c>
      <c r="U16" cm="1">
        <f t="array" ref="U16">_xlfn.PERCENTRANK.EXC(_xlfn._xlws.FILTER(Q$3:Q$23, ISNUMBER(Q$3:Q$23)),Q16)*100</f>
        <v>18.099999999999998</v>
      </c>
      <c r="V16" cm="1">
        <f t="array" ref="V16">_xlfn.PERCENTRANK.EXC(_xlfn._xlws.FILTER(R$3:R$23, ISNUMBER(R$3:R$23)),R16)*100</f>
        <v>18.099999999999998</v>
      </c>
      <c r="W16" cm="1">
        <f t="array" ref="W16">_xlfn.PERCENTRANK.EXC(_xlfn._xlws.FILTER(S$3:S$23, ISNUMBER(S$3:S$23)),S16)*100</f>
        <v>72.7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77.2</v>
      </c>
      <c r="AA16" cm="1">
        <f t="array" ref="AA16">_xlfn.PERCENTRANK.EXC(_xlfn._xlws.FILTER(P$3:P$23, ISNUMBER(P$3:P$23)),P16)*100</f>
        <v>77.2</v>
      </c>
      <c r="AB16">
        <f>U16*Assumption!$E$40 + V16*Assumption!$F$40 + X16*Assumption!$G$40 + Y16*Assumption!$H$40 + W16*Assumption!$I$40 +Z16* Assumption!$K$40 + AA16* Assumption!$J$40</f>
        <v>22.720000000000006</v>
      </c>
      <c r="AC16" cm="1">
        <f t="array" ref="AC16">_xlfn.PERCENTRANK.EXC(_xlfn._xlws.FILTER(AB$3:AB$23, ISNUMBER(AB$3:AB$23)),AB16)*100</f>
        <v>4.5</v>
      </c>
    </row>
    <row r="17" spans="1:29" x14ac:dyDescent="0.35">
      <c r="A17" t="s">
        <v>26</v>
      </c>
      <c r="B17" t="s">
        <v>177</v>
      </c>
      <c r="C17" t="s">
        <v>41</v>
      </c>
      <c r="D17" t="s">
        <v>26</v>
      </c>
      <c r="E17" t="s">
        <v>615</v>
      </c>
      <c r="F17" s="2" cm="1">
        <f t="array" ref="F17">_xll.FDS(D17,"JULIAN(FMA_DIV_YLD(NTMA,NOW,NOW,M,""PORTAGG"",""MEANR"").dates)")</f>
        <v>45379</v>
      </c>
      <c r="G17" s="4" cm="1">
        <f t="array" ref="G17">_xll.FDS(D17,"FMA_PE(LTM,0,,,""PORTAGG"",""MEANR"")")</f>
        <v>12.7597852518373</v>
      </c>
      <c r="H17" s="4" cm="1">
        <f t="array" ref="H17">_xll.FDS(D17,"FMA_PE(NTMA,0,,,""PORTAGG"",""MEANR"")")</f>
        <v>9.3237341550997996</v>
      </c>
      <c r="I17" cm="1">
        <f t="array" ref="I17">_xll.FDS(D17,"FMA_DIV_YLD(NTMA,NOW,NOW,M,""PORTAGG"",""MEANR"")")</f>
        <v>3.03275425005162</v>
      </c>
      <c r="J17" s="55" cm="1">
        <f t="array" ref="J17">IFERROR(_xll.FDS(D17,"FG_FCF_YIELD_NTM(0)"),(1/G17*100))</f>
        <v>7.2005074032412502</v>
      </c>
      <c r="K17" s="3" cm="1">
        <f t="array" ref="K17">_xll.FDS(D17,"FMA_EVAL_EBITDA(NTMA,0,,,""PORTAGG"",""MEANR"")")</f>
        <v>8.2537880443423806</v>
      </c>
      <c r="L17" cm="1">
        <f t="array" ref="L17">_xll.FDS(D17,"FMA_EVAL_EBIT(LTMA,NOW,NOW,M,""PORTAGG"",""MEANR"")")</f>
        <v>13.526177189575</v>
      </c>
      <c r="M17">
        <f>HLOOKUP(D17,'Index ROE'!$A$1:$V$25,25,FALSE)</f>
        <v>11.5611924582116</v>
      </c>
      <c r="N17">
        <f>VLOOKUP(A17,'LIQIDITY 2'!$A$3:$E$26,5,FALSE)</f>
        <v>2.2660999999999998</v>
      </c>
      <c r="O17" cm="1">
        <f t="array" ref="O17">IFERROR(IFERROR(_xll.FDS(B17,"IMF_IFS_RCPI_Q(0)"),_xll.FDS(B17,"IMF_IFS_RCPI_Q(-1AM)")),$D$31)</f>
        <v>-0.32258100000000001</v>
      </c>
      <c r="P17">
        <f>VLOOKUP(E17,GDP_GROWTH!$B$10:$W$165,22,FALSE)</f>
        <v>5.6866931054303738</v>
      </c>
      <c r="Q17">
        <f t="shared" si="0"/>
        <v>0.76665425005162025</v>
      </c>
      <c r="R17" s="55">
        <f t="shared" si="1"/>
        <v>4.9344074032412504</v>
      </c>
      <c r="S17">
        <f t="shared" si="2"/>
        <v>9.2950924582116006</v>
      </c>
      <c r="T17">
        <f t="shared" si="3"/>
        <v>11.8837734582116</v>
      </c>
      <c r="U17" cm="1">
        <f t="array" ref="U17">_xlfn.PERCENTRANK.EXC(_xlfn._xlws.FILTER(Q$3:Q$23, ISNUMBER(Q$3:Q$23)),Q17)*100</f>
        <v>77.2</v>
      </c>
      <c r="V17" cm="1">
        <f t="array" ref="V17">_xlfn.PERCENTRANK.EXC(_xlfn._xlws.FILTER(R$3:R$23, ISNUMBER(R$3:R$23)),R17)*100</f>
        <v>77.2</v>
      </c>
      <c r="W17" cm="1">
        <f t="array" ref="W17">_xlfn.PERCENTRANK.EXC(_xlfn._xlws.FILTER(S$3:S$23, ISNUMBER(S$3:S$23)),S17)*100</f>
        <v>77.2</v>
      </c>
      <c r="X17" cm="1">
        <f t="array" ref="X17">(1-_xlfn.PERCENTRANK.EXC(_xlfn._xlws.FILTER(G$3:G$23, ISNUMBER(G$3:G$23)),G17))*100</f>
        <v>50</v>
      </c>
      <c r="Y17" cm="1">
        <f t="array" ref="Y17">(1-_xlfn.PERCENTRANK.EXC(_xlfn._xlws.FILTER(H$3:H$23, ISNUMBER(H$3:H$23)),H17))*100</f>
        <v>68.199999999999989</v>
      </c>
      <c r="Z17" cm="1">
        <f t="array" ref="Z17">_xlfn.PERCENTRANK.EXC(_xlfn._xlws.FILTER(T$3:T$23, ISNUMBER(T$3:T$23)),T17)*100</f>
        <v>86.3</v>
      </c>
      <c r="AA17" cm="1">
        <f t="array" ref="AA17">_xlfn.PERCENTRANK.EXC(_xlfn._xlws.FILTER(P$3:P$23, ISNUMBER(P$3:P$23)),P17)*100</f>
        <v>86.3</v>
      </c>
      <c r="AB17">
        <f>U17*Assumption!$E$40 + V17*Assumption!$F$40 + X17*Assumption!$G$40 + Y17*Assumption!$H$40 + W17*Assumption!$I$40 +Z17* Assumption!$K$40 + AA17* Assumption!$J$40</f>
        <v>69.059999999999988</v>
      </c>
      <c r="AC17" cm="1">
        <f t="array" ref="AC17">_xlfn.PERCENTRANK.EXC(_xlfn._xlws.FILTER(AB$3:AB$23, ISNUMBER(AB$3:AB$23)),AB17)*100</f>
        <v>77.2</v>
      </c>
    </row>
    <row r="18" spans="1:29" x14ac:dyDescent="0.35">
      <c r="A18" t="s">
        <v>1</v>
      </c>
      <c r="B18" t="s">
        <v>360</v>
      </c>
      <c r="C18" t="s">
        <v>444</v>
      </c>
      <c r="D18" t="s">
        <v>31</v>
      </c>
      <c r="E18" t="s">
        <v>702</v>
      </c>
      <c r="F18" s="2" cm="1">
        <f t="array" ref="F18">_xll.FDS(D18,"JULIAN(FMA_DIV_YLD(NTMA,NOW,NOW,M,""PORTAGG"",""MEANR"").dates)")</f>
        <v>45379</v>
      </c>
      <c r="G18" s="4" cm="1">
        <f t="array" ref="G18">_xll.FDS(D18,"FMA_PE(LTM,0,,,""PORTAGG"",""MEANR"")")</f>
        <v>11.5186972995318</v>
      </c>
      <c r="H18" s="4" cm="1">
        <f t="array" ref="H18">_xll.FDS(D18,"FMA_PE(NTMA,0,,,""PORTAGG"",""MEANR"")")</f>
        <v>10.168568583405101</v>
      </c>
      <c r="I18" cm="1">
        <f t="array" ref="I18">_xll.FDS(D18,"FMA_DIV_YLD(NTMA,NOW,NOW,M,""PORTAGG"",""MEANR"")")</f>
        <v>5.0328462296555196</v>
      </c>
      <c r="J18" s="55" cm="1">
        <f t="array" ref="J18">IFERROR(_xll.FDS(D18,"FG_FCF_YIELD_NTM(0)"),(1/G18*100))</f>
        <v>8.6815372780101363</v>
      </c>
      <c r="K18" s="3" cm="1">
        <f t="array" ref="K18">_xll.FDS(D18,"FMA_EVAL_EBITDA(NTMA,0,,,""PORTAGG"",""MEANR"")")</f>
        <v>9.1363240873547902</v>
      </c>
      <c r="L18" cm="1">
        <f t="array" ref="L18">_xll.FDS(D18,"FMA_EVAL_EBIT(LTMA,NOW,NOW,M,""PORTAGG"",""MEANR"")")</f>
        <v>15.6127770285343</v>
      </c>
      <c r="M18">
        <f>HLOOKUP(D18,'Index ROE'!$A$1:$V$25,25,FALSE)</f>
        <v>12.1192289718939</v>
      </c>
      <c r="N18">
        <f>VLOOKUP(A18,'LIQIDITY 2'!$A$3:$E$26,5,FALSE)</f>
        <v>4.6346999999999996</v>
      </c>
      <c r="O18" cm="1">
        <f t="array" ref="O18">IFERROR(IFERROR(_xll.FDS(B18,"IMF_IFS_RCPI_Q(0)"),_xll.FDS(B18,"IMF_IFS_RCPI_Q(-1AM)")),$D$31)</f>
        <v>3.2433991</v>
      </c>
      <c r="P18">
        <f>VLOOKUP(E18,GDP_GROWTH!$B$10:$W$165,22,FALSE)</f>
        <v>1.453731693851934</v>
      </c>
      <c r="Q18">
        <f t="shared" si="0"/>
        <v>0.39814622965552005</v>
      </c>
      <c r="R18" s="55">
        <f t="shared" si="1"/>
        <v>4.0468372780101367</v>
      </c>
      <c r="S18">
        <f t="shared" si="2"/>
        <v>7.4845289718939005</v>
      </c>
      <c r="T18">
        <f t="shared" si="3"/>
        <v>8.8758298718939006</v>
      </c>
      <c r="U18" cm="1">
        <f t="array" ref="U18">_xlfn.PERCENTRANK.EXC(_xlfn._xlws.FILTER(Q$3:Q$23, ISNUMBER(Q$3:Q$23)),Q18)*100</f>
        <v>63.6</v>
      </c>
      <c r="V18" cm="1">
        <f t="array" ref="V18">_xlfn.PERCENTRANK.EXC(_xlfn._xlws.FILTER(R$3:R$23, ISNUMBER(R$3:R$23)),R18)*100</f>
        <v>72.7</v>
      </c>
      <c r="W18" cm="1">
        <f t="array" ref="W18">_xlfn.PERCENTRANK.EXC(_xlfn._xlws.FILTER(S$3:S$23, ISNUMBER(S$3:S$23)),S18)*100</f>
        <v>59</v>
      </c>
      <c r="X18" cm="1">
        <f t="array" ref="X18">(1-_xlfn.PERCENTRANK.EXC(_xlfn._xlws.FILTER(G$3:G$23, ISNUMBER(G$3:G$23)),G18))*100</f>
        <v>59.099999999999994</v>
      </c>
      <c r="Y18" cm="1">
        <f t="array" ref="Y18">(1-_xlfn.PERCENTRANK.EXC(_xlfn._xlws.FILTER(H$3:H$23, ISNUMBER(H$3:H$23)),H18))*100</f>
        <v>54.6</v>
      </c>
      <c r="Z18" cm="1">
        <f t="array" ref="Z18">_xlfn.PERCENTRANK.EXC(_xlfn._xlws.FILTER(T$3:T$23, ISNUMBER(T$3:T$23)),T18)*100</f>
        <v>40.9</v>
      </c>
      <c r="AA18" cm="1">
        <f t="array" ref="AA18">_xlfn.PERCENTRANK.EXC(_xlfn._xlws.FILTER(P$3:P$23, ISNUMBER(P$3:P$23)),P18)*100</f>
        <v>22.7</v>
      </c>
      <c r="AB18">
        <f>U18*Assumption!$E$40 + V18*Assumption!$F$40 + X18*Assumption!$G$40 + Y18*Assumption!$H$40 + W18*Assumption!$I$40 +Z18* Assumption!$K$40 + AA18* Assumption!$J$40</f>
        <v>59.769999999999996</v>
      </c>
      <c r="AC18" cm="1">
        <f t="array" ref="AC18">_xlfn.PERCENTRANK.EXC(_xlfn._xlws.FILTER(AB$3:AB$23, ISNUMBER(AB$3:AB$23)),AB18)*100</f>
        <v>63.6</v>
      </c>
    </row>
    <row r="19" spans="1:29" x14ac:dyDescent="0.35">
      <c r="A19" t="s">
        <v>757</v>
      </c>
      <c r="B19" t="s">
        <v>221</v>
      </c>
      <c r="C19" t="s">
        <v>758</v>
      </c>
      <c r="D19" t="s">
        <v>757</v>
      </c>
      <c r="E19" t="s">
        <v>723</v>
      </c>
      <c r="F19" s="2" cm="1">
        <f t="array" ref="F19">_xll.FDS(D19,"JULIAN(FMA_DIV_YLD(NTMA,NOW,NOW,M,""PORTAGG"",""MEANR"").dates)")</f>
        <v>45380</v>
      </c>
      <c r="G19" s="4" cm="1">
        <f t="array" ref="G19">_xll.FDS(D19,"FMA_PE(LTM,0,,,""PORTAGG"",""MEANR"")")</f>
        <v>16.8581921950177</v>
      </c>
      <c r="H19" s="4" cm="1">
        <f t="array" ref="H19">_xll.FDS(D19,"FMA_PE(NTMA,0,,,""PORTAGG"",""MEANR"")")</f>
        <v>14.141229344070799</v>
      </c>
      <c r="I19" cm="1">
        <f t="array" ref="I19">_xll.FDS(D19,"FMA_DIV_YLD(NTMA,NOW,NOW,M,""PORTAGG"",""MEANR"")")</f>
        <v>3.5105706700482799</v>
      </c>
      <c r="J19" s="55" cm="1">
        <f t="array" ref="J19">IFERROR(_xll.FDS(D19,"FG_FCF_YIELD_NTM(0)"),(1/G19*100))</f>
        <v>5.0614629034873104</v>
      </c>
      <c r="K19" s="3" cm="1">
        <f t="array" ref="K19">_xll.FDS(D19,"FMA_EVAL_EBITDA(NTMA,0,,,""PORTAGG"",""MEANR"")")</f>
        <v>9.5288133744401105</v>
      </c>
      <c r="L19" cm="1">
        <f t="array" ref="L19">_xll.FDS(D19,"FMA_EVAL_EBIT(LTMA,NOW,NOW,M,""PORTAGG"",""MEANR"")")</f>
        <v>19.019005820771302</v>
      </c>
      <c r="M19">
        <f>HLOOKUP(D19,'Index ROE'!$A$1:$V$25,25,FALSE)</f>
        <v>9.3487636742898204</v>
      </c>
      <c r="N19">
        <f>VLOOKUP(A19,'LIQIDITY 2'!$A$3:$E$26,5,FALSE)</f>
        <v>2.7060149999999998</v>
      </c>
      <c r="O19" cm="1">
        <f t="array" ref="O19">IFERROR(IFERROR(_xll.FDS(B19,"IMF_IFS_RCPI_Q(0)"),_xll.FDS(B19,"IMF_IFS_RCPI_Q(-1AM)")),$D$31)</f>
        <v>3.2433991</v>
      </c>
      <c r="P19">
        <f>VLOOKUP(E19,GDP_GROWTH!$B$10:$W$165,22,FALSE)</f>
        <v>1.3158022817511328</v>
      </c>
      <c r="Q19">
        <f t="shared" si="0"/>
        <v>0.8045556700482801</v>
      </c>
      <c r="R19" s="55">
        <f t="shared" si="1"/>
        <v>2.3554479034873106</v>
      </c>
      <c r="S19">
        <f t="shared" si="2"/>
        <v>6.6427486742898205</v>
      </c>
      <c r="T19">
        <f t="shared" si="3"/>
        <v>6.1053645742898208</v>
      </c>
      <c r="U19" cm="1">
        <f t="array" ref="U19">_xlfn.PERCENTRANK.EXC(_xlfn._xlws.FILTER(Q$3:Q$23, ISNUMBER(Q$3:Q$23)),Q19)*100</f>
        <v>81.8</v>
      </c>
      <c r="V19" cm="1">
        <f t="array" ref="V19">_xlfn.PERCENTRANK.EXC(_xlfn._xlws.FILTER(R$3:R$23, ISNUMBER(R$3:R$23)),R19)*100</f>
        <v>63.6</v>
      </c>
      <c r="W19" cm="1">
        <f t="array" ref="W19">_xlfn.PERCENTRANK.EXC(_xlfn._xlws.FILTER(S$3:S$23, ISNUMBER(S$3:S$23)),S19)*100</f>
        <v>40.9</v>
      </c>
      <c r="X19" cm="1">
        <f t="array" ref="X19">(1-_xlfn.PERCENTRANK.EXC(_xlfn._xlws.FILTER(G$3:G$23, ISNUMBER(G$3:G$23)),G19))*100</f>
        <v>36.4</v>
      </c>
      <c r="Y19" cm="1">
        <f t="array" ref="Y19">(1-_xlfn.PERCENTRANK.EXC(_xlfn._xlws.FILTER(H$3:H$23, ISNUMBER(H$3:H$23)),H19))*100</f>
        <v>22.799999999999997</v>
      </c>
      <c r="Z19" cm="1">
        <f t="array" ref="Z19">_xlfn.PERCENTRANK.EXC(_xlfn._xlws.FILTER(T$3:T$23, ISNUMBER(T$3:T$23)),T19)*100</f>
        <v>13.600000000000001</v>
      </c>
      <c r="AA19" cm="1">
        <f t="array" ref="AA19">_xlfn.PERCENTRANK.EXC(_xlfn._xlws.FILTER(P$3:P$23, ISNUMBER(P$3:P$23)),P19)*100</f>
        <v>18.099999999999998</v>
      </c>
      <c r="AB19">
        <f>U19*Assumption!$E$40 + V19*Assumption!$F$40 + X19*Assumption!$G$40 + Y19*Assumption!$H$40 + W19*Assumption!$I$40 +Z19* Assumption!$K$40 + AA19* Assumption!$J$40</f>
        <v>40.240000000000009</v>
      </c>
      <c r="AC19" cm="1">
        <f t="array" ref="AC19">_xlfn.PERCENTRANK.EXC(_xlfn._xlws.FILTER(AB$3:AB$23, ISNUMBER(AB$3:AB$23)),AB19)*100</f>
        <v>45.4</v>
      </c>
    </row>
    <row r="20" spans="1:29" x14ac:dyDescent="0.35">
      <c r="A20" t="s">
        <v>25</v>
      </c>
      <c r="B20" t="s">
        <v>279</v>
      </c>
      <c r="C20" t="s">
        <v>446</v>
      </c>
      <c r="D20" t="s">
        <v>25</v>
      </c>
      <c r="E20" t="s">
        <v>727</v>
      </c>
      <c r="F20" s="2" cm="1">
        <f t="array" ref="F20">_xll.FDS(D20,"JULIAN(FMA_DIV_YLD(NTMA,NOW,NOW,M,""PORTAGG"",""MEANR"").dates)")</f>
        <v>45379</v>
      </c>
      <c r="G20" s="4" cm="1">
        <f t="array" ref="G20">_xll.FDS(D20,"FMA_PE(LTM,0,,,""PORTAGG"",""MEANR"")")</f>
        <v>7.1283419686378604</v>
      </c>
      <c r="H20" s="4" cm="1">
        <f t="array" ref="H20">_xll.FDS(D20,"FMA_PE(NTMA,0,,,""PORTAGG"",""MEANR"")")</f>
        <v>5.3949236640788998</v>
      </c>
      <c r="I20" cm="1">
        <f t="array" ref="I20">_xll.FDS(D20,"FMA_DIV_YLD(NTMA,NOW,NOW,M,""PORTAGG"",""MEANR"")")</f>
        <v>4.2645274709891297</v>
      </c>
      <c r="J20" s="55" cm="1">
        <f t="array" ref="J20">IFERROR(_xll.FDS(D20,"FG_FCF_YIELD_NTM(0)"),(1/G20*100))</f>
        <v>11.8261605254055</v>
      </c>
      <c r="K20" s="3" cm="1">
        <f t="array" ref="K20">_xll.FDS(D20,"FMA_EVAL_EBITDA(NTMA,0,,,""PORTAGG"",""MEANR"")")</f>
        <v>4.6337501295023902</v>
      </c>
      <c r="L20" cm="1">
        <f t="array" ref="L20">_xll.FDS(D20,"FMA_EVAL_EBIT(LTMA,NOW,NOW,M,""PORTAGG"",""MEANR"")")</f>
        <v>7.3514078682177999</v>
      </c>
      <c r="M20">
        <f>HLOOKUP(D20,'Index ROE'!$A$1:$V$25,25,FALSE)</f>
        <v>25.846009422427699</v>
      </c>
      <c r="N20">
        <f>VLOOKUP(A20,'LIQIDITY 2'!$A$3:$E$26,5,FALSE)</f>
        <v>24.072645000000001</v>
      </c>
      <c r="O20" cm="1">
        <f t="array" ref="O20">IFERROR(IFERROR(_xll.FDS(B20,"IMF_IFS_RCPI_Q(0)"),_xll.FDS(B20,"IMF_IFS_RCPI_Q(-1AM)")),$D$31)</f>
        <v>62.724220000000003</v>
      </c>
      <c r="P20">
        <f>VLOOKUP(E20,GDP_GROWTH!$B$10:$W$165,22,FALSE)</f>
        <v>4.8494927539907469</v>
      </c>
      <c r="Q20">
        <f t="shared" si="0"/>
        <v>-19.808117529010872</v>
      </c>
      <c r="R20" s="55">
        <f t="shared" si="1"/>
        <v>-12.246484474594501</v>
      </c>
      <c r="S20">
        <f t="shared" si="2"/>
        <v>1.7733644224276972</v>
      </c>
      <c r="T20">
        <f t="shared" si="3"/>
        <v>-36.878210577572304</v>
      </c>
      <c r="U20" cm="1">
        <f t="array" ref="U20">_xlfn.PERCENTRANK.EXC(_xlfn._xlws.FILTER(Q$3:Q$23, ISNUMBER(Q$3:Q$23)),Q20)*100</f>
        <v>4.5</v>
      </c>
      <c r="V20" cm="1">
        <f t="array" ref="V20">_xlfn.PERCENTRANK.EXC(_xlfn._xlws.FILTER(R$3:R$23, ISNUMBER(R$3:R$23)),R20)*100</f>
        <v>4.5</v>
      </c>
      <c r="W20" cm="1">
        <f t="array" ref="W20">_xlfn.PERCENTRANK.EXC(_xlfn._xlws.FILTER(S$3:S$23, ISNUMBER(S$3:S$23)),S20)*100</f>
        <v>4.5</v>
      </c>
      <c r="X20" cm="1">
        <f t="array" ref="X20">(1-_xlfn.PERCENTRANK.EXC(_xlfn._xlws.FILTER(G$3:G$23, ISNUMBER(G$3:G$23)),G20))*100</f>
        <v>95.5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U20*Assumption!$E$40 + V20*Assumption!$F$40 + X20*Assumption!$G$40 + Y20*Assumption!$H$40 + W20*Assumption!$I$40 +Z20* Assumption!$K$40 + AA20* Assumption!$J$40</f>
        <v>50.000000000000007</v>
      </c>
      <c r="AC20" cm="1">
        <f t="array" ref="AC20">_xlfn.PERCENTRANK.EXC(_xlfn._xlws.FILTER(AB$3:AB$23, ISNUMBER(AB$3:AB$23)),AB20)*100</f>
        <v>54.500000000000007</v>
      </c>
    </row>
    <row r="21" spans="1:29" x14ac:dyDescent="0.35">
      <c r="A21" t="s">
        <v>34</v>
      </c>
      <c r="B21" t="s">
        <v>373</v>
      </c>
      <c r="C21" t="s">
        <v>447</v>
      </c>
      <c r="D21" t="s">
        <v>34</v>
      </c>
      <c r="E21" t="s">
        <v>731</v>
      </c>
      <c r="F21" s="2" cm="1">
        <f t="array" ref="F21">_xll.FDS(D21,"JULIAN(FMA_DIV_YLD(NTMA,NOW,NOW,M,""PORTAGG"",""MEANR"").dates)")</f>
        <v>45379</v>
      </c>
      <c r="G21" s="4" cm="1">
        <f t="array" ref="G21">_xll.FDS(D21,"FMA_PE(LTM,0,,,""PORTAGG"",""MEANR"")")</f>
        <v>10.671130103237999</v>
      </c>
      <c r="H21" s="4" cm="1">
        <f t="array" ref="H21">_xll.FDS(D21,"FMA_PE(NTMA,0,,,""PORTAGG"",""MEANR"")")</f>
        <v>9.4392245991906503</v>
      </c>
      <c r="I21" cm="1">
        <f t="array" ref="I21">_xll.FDS(D21,"FMA_DIV_YLD(NTMA,NOW,NOW,M,""PORTAGG"",""MEANR"")")</f>
        <v>5.2622772121650101</v>
      </c>
      <c r="J21" s="55" cm="1">
        <f t="array" ref="J21">IFERROR(_xll.FDS(D21,"FG_FCF_YIELD_NTM(0)"),(1/G21*100))</f>
        <v>10.156491343941999</v>
      </c>
      <c r="K21" s="3" cm="1">
        <f t="array" ref="K21">_xll.FDS(D21,"FMA_EVAL_EBITDA(NTMA,0,,,""PORTAGG"",""MEANR"")")</f>
        <v>6.6996788233614</v>
      </c>
      <c r="L21" cm="1">
        <f t="array" ref="L21">_xll.FDS(D21,"FMA_EVAL_EBIT(LTMA,NOW,NOW,M,""PORTAGG"",""MEANR"")")</f>
        <v>10.271933234349101</v>
      </c>
      <c r="M21">
        <f>HLOOKUP(D21,'Index ROE'!$A$1:$V$25,25,FALSE)</f>
        <v>13.225118228357401</v>
      </c>
      <c r="N21">
        <f>VLOOKUP(A21,'LIQIDITY 2'!$A$3:$E$26,5,FALSE)</f>
        <v>4.6346999999999996</v>
      </c>
      <c r="O21" cm="1">
        <f t="array" ref="O21">IFERROR(IFERROR(_xll.FDS(B21,"IMF_IFS_RCPI_Q(0)"),_xll.FDS(B21,"IMF_IFS_RCPI_Q(-1AM)")),$D$31)</f>
        <v>3.2433991</v>
      </c>
      <c r="P21">
        <f>VLOOKUP(E21,GDP_GROWTH!$B$10:$W$165,22,FALSE)</f>
        <v>2.4407957064008778</v>
      </c>
      <c r="Q21">
        <f t="shared" si="0"/>
        <v>0.6275772121650105</v>
      </c>
      <c r="R21" s="55">
        <f t="shared" si="1"/>
        <v>5.5217913439419997</v>
      </c>
      <c r="S21">
        <f t="shared" si="2"/>
        <v>8.5904182283574002</v>
      </c>
      <c r="T21">
        <f t="shared" si="3"/>
        <v>9.9817191283574012</v>
      </c>
      <c r="U21" cm="1">
        <f t="array" ref="U21">_xlfn.PERCENTRANK.EXC(_xlfn._xlws.FILTER(Q$3:Q$23, ISNUMBER(Q$3:Q$23)),Q21)*100</f>
        <v>72.7</v>
      </c>
      <c r="V21" cm="1">
        <f t="array" ref="V21">_xlfn.PERCENTRANK.EXC(_xlfn._xlws.FILTER(R$3:R$23, ISNUMBER(R$3:R$23)),R21)*100</f>
        <v>81.8</v>
      </c>
      <c r="W21" cm="1">
        <f t="array" ref="W21">_xlfn.PERCENTRANK.EXC(_xlfn._xlws.FILTER(S$3:S$23, ISNUMBER(S$3:S$23)),S21)*100</f>
        <v>68.100000000000009</v>
      </c>
      <c r="X21" cm="1">
        <f t="array" ref="X21">(1-_xlfn.PERCENTRANK.EXC(_xlfn._xlws.FILTER(G$3:G$23, ISNUMBER(G$3:G$23)),G21))*100</f>
        <v>68.199999999999989</v>
      </c>
      <c r="Y21" cm="1">
        <f t="array" ref="Y21">(1-_xlfn.PERCENTRANK.EXC(_xlfn._xlws.FILTER(H$3:H$23, ISNUMBER(H$3:H$23)),H21))*100</f>
        <v>59.099999999999994</v>
      </c>
      <c r="Z21" cm="1">
        <f t="array" ref="Z21">_xlfn.PERCENTRANK.EXC(_xlfn._xlws.FILTER(T$3:T$23, ISNUMBER(T$3:T$23)),T21)*100</f>
        <v>68.100000000000009</v>
      </c>
      <c r="AA21" cm="1">
        <f t="array" ref="AA21">_xlfn.PERCENTRANK.EXC(_xlfn._xlws.FILTER(P$3:P$23, ISNUMBER(P$3:P$23)),P21)*100</f>
        <v>45.4</v>
      </c>
      <c r="AB21">
        <f>U21*Assumption!$E$40 + V21*Assumption!$F$40 + X21*Assumption!$G$40 + Y21*Assumption!$H$40 + W21*Assumption!$I$40 +Z21* Assumption!$K$40 + AA21* Assumption!$J$40</f>
        <v>69.53</v>
      </c>
      <c r="AC21" cm="1">
        <f t="array" ref="AC21">_xlfn.PERCENTRANK.EXC(_xlfn._xlws.FILTER(AB$3:AB$23, ISNUMBER(AB$3:AB$23)),AB21)*100</f>
        <v>81.8</v>
      </c>
    </row>
    <row r="22" spans="1:29" x14ac:dyDescent="0.35">
      <c r="A22" t="s">
        <v>37</v>
      </c>
      <c r="B22" t="s">
        <v>224</v>
      </c>
      <c r="C22" t="s">
        <v>448</v>
      </c>
      <c r="D22" t="s">
        <v>37</v>
      </c>
      <c r="E22" t="s">
        <v>736</v>
      </c>
      <c r="F22" s="2" cm="1">
        <f t="array" ref="F22">_xll.FDS(D22,"JULIAN(FMA_DIV_YLD(NTMA,NOW,NOW,M,""PORTAGG"",""MEANR"").dates)")</f>
        <v>45379</v>
      </c>
      <c r="G22" s="4" cm="1">
        <f t="array" ref="G22">_xll.FDS(D22,"FMA_PE(LTM,0,,,""PORTAGG"",""MEANR"")")</f>
        <v>18.047303130478099</v>
      </c>
      <c r="H22" s="4" cm="1">
        <f t="array" ref="H22">_xll.FDS(D22,"FMA_PE(NTMA,0,,,""PORTAGG"",""MEANR"")")</f>
        <v>15.406591134017701</v>
      </c>
      <c r="I22" cm="1">
        <f t="array" ref="I22">_xll.FDS(D22,"FMA_DIV_YLD(NTMA,NOW,NOW,M,""PORTAGG"",""MEANR"")")</f>
        <v>2.1793378086009301</v>
      </c>
      <c r="J22" s="55" cm="1">
        <f t="array" ref="J22">IFERROR(_xll.FDS(D22,"FG_FCF_YIELD_NTM(0)"),(1/G22*100))</f>
        <v>-2.7846319775517299</v>
      </c>
      <c r="K22" s="3" cm="1">
        <f t="array" ref="K22">_xll.FDS(D22,"FMA_EVAL_EBITDA(NTMA,0,,,""PORTAGG"",""MEANR"")")</f>
        <v>9.4847076466876494</v>
      </c>
      <c r="L22" cm="1">
        <f t="array" ref="L22">_xll.FDS(D22,"FMA_EVAL_EBIT(LTMA,NOW,NOW,M,""PORTAGG"",""MEANR"")")</f>
        <v>19.4738951746845</v>
      </c>
      <c r="M22">
        <f>HLOOKUP(D22,'Index ROE'!$A$1:$V$25,25,FALSE)</f>
        <v>10.732551346519401</v>
      </c>
      <c r="N22">
        <f>VLOOKUP(A22,'LIQIDITY 2'!$A$3:$E$26,5,FALSE)</f>
        <v>2.7856638</v>
      </c>
      <c r="O22" cm="1">
        <f t="array" ref="O22">IFERROR(IFERROR(_xll.FDS(B22,"IMF_IFS_RCPI_Q(0)"),_xll.FDS(B22,"IMF_IFS_RCPI_Q(-1AM)")),$D$31)</f>
        <v>3.5401577999999998</v>
      </c>
      <c r="P22">
        <f>VLOOKUP(E22,GDP_GROWTH!$B$10:$W$165,22,FALSE)</f>
        <v>8.3599457036252378</v>
      </c>
      <c r="Q22">
        <f t="shared" si="0"/>
        <v>-0.60632599139906995</v>
      </c>
      <c r="R22" s="55">
        <f t="shared" si="1"/>
        <v>-5.5702957775517294</v>
      </c>
      <c r="S22">
        <f t="shared" si="2"/>
        <v>7.9468875465194007</v>
      </c>
      <c r="T22">
        <f t="shared" si="3"/>
        <v>7.1923935465194013</v>
      </c>
      <c r="U22" cm="1">
        <f t="array" ref="U22">_xlfn.PERCENTRANK.EXC(_xlfn._xlws.FILTER(Q$3:Q$23, ISNUMBER(Q$3:Q$23)),Q22)*100</f>
        <v>54.500000000000007</v>
      </c>
      <c r="V22" cm="1">
        <f t="array" ref="V22">_xlfn.PERCENTRANK.EXC(_xlfn._xlws.FILTER(R$3:R$23, ISNUMBER(R$3:R$23)),R22)*100</f>
        <v>13.600000000000001</v>
      </c>
      <c r="W22" cm="1">
        <f t="array" ref="W22">_xlfn.PERCENTRANK.EXC(_xlfn._xlws.FILTER(S$3:S$23, ISNUMBER(S$3:S$23)),S22)*100</f>
        <v>63.6</v>
      </c>
      <c r="X22" cm="1">
        <f t="array" ref="X22">(1-_xlfn.PERCENTRANK.EXC(_xlfn._xlws.FILTER(G$3:G$23, ISNUMBER(G$3:G$23)),G22))*100</f>
        <v>22.799999999999997</v>
      </c>
      <c r="Y22" cm="1">
        <f t="array" ref="Y22">(1-_xlfn.PERCENTRANK.EXC(_xlfn._xlws.FILTER(H$3:H$23, ISNUMBER(H$3:H$23)),H22))*100</f>
        <v>18.200000000000006</v>
      </c>
      <c r="Z22" cm="1">
        <f t="array" ref="Z22">_xlfn.PERCENTRANK.EXC(_xlfn._xlws.FILTER(T$3:T$23, ISNUMBER(T$3:T$23)),T22)*100</f>
        <v>22.7</v>
      </c>
      <c r="AA22" cm="1">
        <f t="array" ref="AA22">_xlfn.PERCENTRANK.EXC(_xlfn._xlws.FILTER(P$3:P$23, ISNUMBER(P$3:P$23)),P22)*100</f>
        <v>95.399999999999991</v>
      </c>
      <c r="AB22">
        <f>U22*Assumption!$E$40 + V22*Assumption!$F$40 + X22*Assumption!$G$40 + Y22*Assumption!$H$40 + W22*Assumption!$I$40 +Z22* Assumption!$K$40 + AA22* Assumption!$J$40</f>
        <v>25.004999999999999</v>
      </c>
      <c r="AC22" cm="1">
        <f t="array" ref="AC22">_xlfn.PERCENTRANK.EXC(_xlfn._xlws.FILTER(AB$3:AB$23, ISNUMBER(AB$3:AB$23)),AB22)*100</f>
        <v>9</v>
      </c>
    </row>
    <row r="23" spans="1:29" x14ac:dyDescent="0.35">
      <c r="A23" t="s">
        <v>36</v>
      </c>
      <c r="B23" t="s">
        <v>363</v>
      </c>
      <c r="C23" t="s">
        <v>449</v>
      </c>
      <c r="D23" t="s">
        <v>36</v>
      </c>
      <c r="E23" t="s">
        <v>706</v>
      </c>
      <c r="F23" s="2" cm="1">
        <f t="array" ref="F23">_xll.FDS(D23,"JULIAN(FMA_DIV_YLD(NTMA,NOW,NOW,M,""PORTAGG"",""MEANR"").dates)")</f>
        <v>45379</v>
      </c>
      <c r="G23" s="4" cm="1">
        <f t="array" ref="G23">_xll.FDS(D23,"FMA_PE(LTM,0,,,""PORTAGG"",""MEANR"")")</f>
        <v>22.911064165410401</v>
      </c>
      <c r="H23" s="4" cm="1">
        <f t="array" ref="H23">_xll.FDS(D23,"FMA_PE(NTMA,0,,,""PORTAGG"",""MEANR"")")</f>
        <v>18.165364667242699</v>
      </c>
      <c r="I23" cm="1">
        <f t="array" ref="I23">_xll.FDS(D23,"FMA_DIV_YLD(NTMA,NOW,NOW,M,""PORTAGG"",""MEANR"")")</f>
        <v>3.37585210609164</v>
      </c>
      <c r="J23" s="55" cm="1">
        <f t="array" ref="J23">IFERROR(_xll.FDS(D23,"FG_FCF_YIELD_NTM(0)"),(1/G23*100))</f>
        <v>4.3647034148231896</v>
      </c>
      <c r="K23" s="3" cm="1">
        <f t="array" ref="K23">_xll.FDS(D23,"FMA_EVAL_EBITDA(NTMA,0,,,""PORTAGG"",""MEANR"")")</f>
        <v>11.6294733779515</v>
      </c>
      <c r="L23" cm="1">
        <f t="array" ref="L23">_xll.FDS(D23,"FMA_EVAL_EBIT(LTMA,NOW,NOW,M,""PORTAGG"",""MEANR"")")</f>
        <v>22.605084355621401</v>
      </c>
      <c r="M23">
        <f>HLOOKUP(D23,'Index ROE'!$A$1:$V$25,25,FALSE)</f>
        <v>11.7570018859186</v>
      </c>
      <c r="N23">
        <f>VLOOKUP(A23,'LIQIDITY 2'!$A$3:$E$26,5,FALSE)</f>
        <v>5.5183163000000004</v>
      </c>
      <c r="O23" cm="1">
        <f t="array" ref="O23">IFERROR(IFERROR(_xll.FDS(B23,"IMF_IFS_RCPI_Q(0)"),_xll.FDS(B23,"IMF_IFS_RCPI_Q(-1AM)")),$D$31)</f>
        <v>1.5943921000000001</v>
      </c>
      <c r="P23">
        <f>VLOOKUP(E23,GDP_GROWTH!$B$10:$W$165,22,FALSE)</f>
        <v>2.105673262075014</v>
      </c>
      <c r="Q23">
        <f t="shared" si="0"/>
        <v>-2.1424641939083604</v>
      </c>
      <c r="R23" s="55">
        <f t="shared" si="1"/>
        <v>-1.1536128851768108</v>
      </c>
      <c r="S23">
        <f t="shared" si="2"/>
        <v>6.2386855859185992</v>
      </c>
      <c r="T23">
        <f t="shared" si="3"/>
        <v>10.162609785918599</v>
      </c>
      <c r="U23" cm="1">
        <f t="array" ref="U23">_xlfn.PERCENTRANK.EXC(_xlfn._xlws.FILTER(Q$3:Q$23, ISNUMBER(Q$3:Q$23)),Q23)*100</f>
        <v>40.9</v>
      </c>
      <c r="V23" cm="1">
        <f t="array" ref="V23">_xlfn.PERCENTRANK.EXC(_xlfn._xlws.FILTER(R$3:R$23, ISNUMBER(R$3:R$23)),R23)*100</f>
        <v>31.8</v>
      </c>
      <c r="W23" cm="1">
        <f t="array" ref="W23">_xlfn.PERCENTRANK.EXC(_xlfn._xlws.FILTER(S$3:S$23, ISNUMBER(S$3:S$23)),S23)*100</f>
        <v>36.299999999999997</v>
      </c>
      <c r="X23" cm="1">
        <f t="array" ref="X23">(1-_xlfn.PERCENTRANK.EXC(_xlfn._xlws.FILTER(G$3:G$23, ISNUMBER(G$3:G$23)),G23))*100</f>
        <v>9.0999999999999979</v>
      </c>
      <c r="Y23" cm="1">
        <f t="array" ref="Y23">(1-_xlfn.PERCENTRANK.EXC(_xlfn._xlws.FILTER(H$3:H$23, ISNUMBER(H$3:H$23)),H23))*100</f>
        <v>9.0999999999999979</v>
      </c>
      <c r="Z23" cm="1">
        <f t="array" ref="Z23">_xlfn.PERCENTRANK.EXC(_xlfn._xlws.FILTER(T$3:T$23, ISNUMBER(T$3:T$23)),T23)*100</f>
        <v>72.7</v>
      </c>
      <c r="AA23" cm="1">
        <f t="array" ref="AA23">_xlfn.PERCENTRANK.EXC(_xlfn._xlws.FILTER(P$3:P$23, ISNUMBER(P$3:P$23)),P23)*100</f>
        <v>31.8</v>
      </c>
      <c r="AB23">
        <f>U23*Assumption!$E$40 + V23*Assumption!$F$40 + X23*Assumption!$G$40 + Y23*Assumption!$H$40 + W23*Assumption!$I$40 +Z23* Assumption!$K$40 + AA23* Assumption!$J$40</f>
        <v>25.444999999999997</v>
      </c>
      <c r="AC23" cm="1">
        <f t="array" ref="AC23">_xlfn.PERCENTRANK.EXC(_xlfn._xlws.FILTER(AB$3:AB$23, ISNUMBER(AB$3:AB$23)),AB23)*100</f>
        <v>13.600000000000001</v>
      </c>
    </row>
    <row r="24" spans="1:29" x14ac:dyDescent="0.35">
      <c r="F24" s="2"/>
      <c r="G24" s="4"/>
      <c r="H24" s="4"/>
      <c r="J24" s="55"/>
      <c r="K24" s="3"/>
    </row>
    <row r="25" spans="1:29" x14ac:dyDescent="0.35">
      <c r="F25" s="2"/>
      <c r="G25" s="4"/>
      <c r="H25" s="4"/>
      <c r="J25" s="55"/>
      <c r="K25" s="3"/>
    </row>
    <row r="26" spans="1:29" x14ac:dyDescent="0.35">
      <c r="A26" t="s">
        <v>546</v>
      </c>
      <c r="F26" s="2"/>
      <c r="G26" s="4"/>
      <c r="H26" s="4"/>
      <c r="J26" s="55"/>
      <c r="K26" s="3"/>
    </row>
    <row r="27" spans="1:29" x14ac:dyDescent="0.35">
      <c r="A27" t="s">
        <v>547</v>
      </c>
      <c r="B27" t="s">
        <v>161</v>
      </c>
      <c r="C27" t="s">
        <v>548</v>
      </c>
      <c r="D27" t="str">
        <f>A27</f>
        <v>VGK</v>
      </c>
      <c r="F27" s="2" cm="1">
        <f t="array" ref="F27">_xll.FDS(D27,"JULIAN(FMA_DIV_YLD(NTMA,NOW,NOW,M,""PORTAGG"",""MEANR"").dates)")</f>
        <v>45351</v>
      </c>
      <c r="G27" s="4" cm="1">
        <f t="array" ref="G27">_xll.FDS(D27,"FG_PE(0)")</f>
        <v>12.735421330771301</v>
      </c>
      <c r="H27" s="4" cm="1">
        <f t="array" ref="H27">_xll.FDS(D27,"FG_PE_NTM(0,,,90,0)")</f>
        <v>13.9986057326763</v>
      </c>
      <c r="I27" cm="1">
        <f t="array" ref="I27">_xll.FDS(D27,"FMA_DIV_YLD(NTMA,NOW,NOW,M,""PORTAGG"",""MEANR"")")</f>
        <v>3.5864650122230399</v>
      </c>
      <c r="J27" s="55" cm="1">
        <f t="array" ref="J27">_xll.FDS(D27,"FG_FCF_YIELD_NTM(0)")</f>
        <v>5.0247389769109203</v>
      </c>
      <c r="K27" s="3" cm="1">
        <f t="array" ref="K27">_xll.FDS(D27,"FMA_EVAL_EBITDA(NTMA,0,,,""PORTAGG"",""MEANR"")")</f>
        <v>9.0817498813493405</v>
      </c>
      <c r="L27" cm="1">
        <f t="array" ref="L27">_xll.FDS(D27,"FMA_EVAL_EBIT(LTMA,NOW,NOW,M,""PORTAGG"",""MEANR"")")</f>
        <v>13.19799269758</v>
      </c>
    </row>
    <row r="28" spans="1:29" x14ac:dyDescent="0.35">
      <c r="A28" t="s">
        <v>6</v>
      </c>
      <c r="C28" t="s">
        <v>549</v>
      </c>
      <c r="D28" t="str">
        <f>A28</f>
        <v>VWO</v>
      </c>
      <c r="F28" s="2" cm="1">
        <f t="array" ref="F28">_xll.FDS(D28,"JULIAN(FMA_DIV_YLD(NTMA,NOW,NOW,M,""PORTAGG"",""MEANR"").dates)")</f>
        <v>45351</v>
      </c>
      <c r="G28" s="4" cm="1">
        <f t="array" ref="G28">_xll.FDS(D28,"FG_PE(0)")</f>
        <v>13.8523150839886</v>
      </c>
      <c r="H28" s="4" cm="1">
        <f t="array" ref="H28">_xll.FDS(D28,"FG_PE_NTM(0,,,90,0)")</f>
        <v>14.234551661131199</v>
      </c>
      <c r="I28" cm="1">
        <f t="array" ref="I28">_xll.FDS(D28,"FMA_DIV_YLD(NTMA,NOW,NOW,M,""PORTAGG"",""MEANR"")")</f>
        <v>3.0627682456432002</v>
      </c>
      <c r="J28" s="55" cm="1">
        <f t="array" ref="J28">_xll.FDS(D28,"FG_FCF_YIELD_NTM(0)")</f>
        <v>4.9064207652181704</v>
      </c>
      <c r="K28" s="3" cm="1">
        <f t="array" ref="K28">_xll.FDS(D28,"FMA_EVAL_EBITDA(NTMA,0,,,""PORTAGG"",""MEANR"")")</f>
        <v>9.6156729002874304</v>
      </c>
      <c r="L28" cm="1">
        <f t="array" ref="L28">_xll.FDS(D28,"FMA_EVAL_EBIT(LTMA,NOW,NOW,M,""PORTAGG"",""MEANR"")")</f>
        <v>14.3869386780299</v>
      </c>
    </row>
    <row r="29" spans="1:29" x14ac:dyDescent="0.35">
      <c r="F29" s="2"/>
      <c r="G29" s="4"/>
      <c r="H29" s="4"/>
      <c r="J29" s="55"/>
      <c r="K29" s="3"/>
    </row>
    <row r="30" spans="1:29" x14ac:dyDescent="0.35">
      <c r="B30" t="s">
        <v>800</v>
      </c>
      <c r="C30" t="s">
        <v>555</v>
      </c>
      <c r="D30" t="s">
        <v>801</v>
      </c>
      <c r="F30" s="2"/>
      <c r="G30" s="4"/>
      <c r="H30" s="4"/>
      <c r="J30" s="55"/>
      <c r="K30" s="3"/>
    </row>
    <row r="31" spans="1:29" x14ac:dyDescent="0.35">
      <c r="B31" t="s">
        <v>170</v>
      </c>
      <c r="C31" t="s">
        <v>733</v>
      </c>
      <c r="D31" cm="1">
        <f t="array" ref="D31">IFERROR(_xll.FDS(B31,"IMF_IFS_RCPI_Q(0)"),_xll.FDS(B31,"IMF_IFS_RCPI_Q(-1AM)"))</f>
        <v>3.2433991</v>
      </c>
      <c r="E31" s="2"/>
    </row>
    <row r="41" spans="4:5" x14ac:dyDescent="0.35">
      <c r="D41" s="1"/>
      <c r="E41" s="1"/>
    </row>
    <row r="48" spans="4:5" x14ac:dyDescent="0.35">
      <c r="D48" s="1"/>
      <c r="E48" s="1"/>
    </row>
    <row r="53" spans="4:5" x14ac:dyDescent="0.35">
      <c r="D53" s="1"/>
      <c r="E53" s="1"/>
    </row>
    <row r="58" spans="4:5" x14ac:dyDescent="0.35">
      <c r="D58" s="1"/>
      <c r="E58" s="1"/>
    </row>
    <row r="59" spans="4:5" x14ac:dyDescent="0.3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536</v>
      </c>
      <c r="G2" s="25" t="s">
        <v>913</v>
      </c>
      <c r="H2" s="25" t="s">
        <v>381</v>
      </c>
      <c r="I2" s="25" t="s">
        <v>501</v>
      </c>
      <c r="L2" s="25" t="s">
        <v>537</v>
      </c>
      <c r="S2" s="5" t="s">
        <v>463</v>
      </c>
      <c r="T2" s="5" t="s">
        <v>462</v>
      </c>
      <c r="U2" t="s">
        <v>382</v>
      </c>
      <c r="V2" s="46"/>
      <c r="X2" t="s">
        <v>563</v>
      </c>
    </row>
    <row r="3" spans="1:24" x14ac:dyDescent="0.35">
      <c r="A3" t="s">
        <v>432</v>
      </c>
      <c r="B3" t="s">
        <v>104</v>
      </c>
      <c r="C3" t="s">
        <v>17</v>
      </c>
      <c r="D3" s="26" t="str" cm="1">
        <f t="array" ref="D3">_xll.FDSB(C3,"FG_YIELD_NAME")</f>
        <v>Treasury - China Benchmark Bond 10Y</v>
      </c>
      <c r="E3" s="26" cm="1">
        <f t="array" ref="E3">IFERROR(_xll.FDS(C3,"FG_YIELD(0,,,,""YTM"")"),$E$26)</f>
        <v>2.2660999999999998</v>
      </c>
      <c r="G3" s="26" cm="1">
        <f t="array" ref="G3">_xll.FDSB(C3,"PCTCHG(FG_YIELD(0,,,,""YTM""),FG_YIELD(-1AM,,,,""YTM""))")</f>
        <v>-3.0213562999999999</v>
      </c>
      <c r="H3" s="26" cm="1">
        <f t="array" ref="H3">_xll.FDSB(C3,"PCTCHG(FG_YIELD(0,,,,""YTM""),FG_YIELD(-3AM,,,,""YTM""))")</f>
        <v>-10.196567</v>
      </c>
      <c r="I3" s="26"/>
      <c r="J3" s="26" t="str">
        <f>VLOOKUP(B3,mnemonics!$A$4:$D$73, 4, FALSE)</f>
        <v>REFCNRMB-FDS</v>
      </c>
      <c r="K3" s="26" t="str" cm="1">
        <f t="array" ref="K3">_xll.FDSB(J3,"PROPER_NAME(0,,,""SECURITY"",""NAME"")")</f>
        <v>China Loan Prime Rate (LPR) - 1 Year</v>
      </c>
      <c r="L3" s="26" cm="1">
        <f t="array" ref="L3">_xll.FDSB(J3,"FG_YIELD(NOW,,,0)")</f>
        <v>3.45</v>
      </c>
      <c r="M3" s="36" cm="1">
        <f t="array" ref="M3">_xll.FDSB(J3,"(SUBARRAY(NOT_NA(NO_REPEAT_F(FG_YIELD(now,-10AY,D))),0,1)-SUBARRAY(NOT_NA(NO_REPEAT_F(FG_YIELD(now,-10AY,D))),1,1))*100")</f>
        <v>-9.9999999999999591</v>
      </c>
      <c r="N3" s="38">
        <f t="shared" ref="N3:N23" si="0">M3*-1</f>
        <v>9.9999999999999591</v>
      </c>
      <c r="S3">
        <f t="shared" ref="S3" si="1">IF(M3&gt; 0, 0, 1)</f>
        <v>1</v>
      </c>
      <c r="T3">
        <f>IF(G3&lt;0, 1, 0)</f>
        <v>1</v>
      </c>
      <c r="U3">
        <f>IF(H3&lt;0, 1, 0)</f>
        <v>1</v>
      </c>
      <c r="V3" s="47">
        <f>SUMPRODUCT($S$1:$U$1,S3:U3)</f>
        <v>1</v>
      </c>
      <c r="X3">
        <f t="shared" ref="X3:X23" si="2">_xlfn.PERCENTRANK.EXC($V$3:$V$23,V3)*100</f>
        <v>86.3</v>
      </c>
    </row>
    <row r="4" spans="1:24" x14ac:dyDescent="0.35">
      <c r="A4" t="s">
        <v>27</v>
      </c>
      <c r="B4" t="s">
        <v>107</v>
      </c>
      <c r="C4" t="s">
        <v>108</v>
      </c>
      <c r="D4" s="26" t="str" cm="1">
        <f t="array" ref="D4">_xll.FDSB(C4,"FG_YIELD_NAME")</f>
        <v>Treasury - Chile Inflation-Indexed (TIPS) Bond 10Y</v>
      </c>
      <c r="E4" s="26" cm="1">
        <f t="array" ref="E4">IFERROR(_xll.FDS(C4,"FG_YIELD(0,,,,""YTM"")"),$E$26)</f>
        <v>2.8044319999999998</v>
      </c>
      <c r="G4" s="26" cm="1">
        <f t="array" ref="G4">_xll.FDSB(C4,"PCTCHG(FG_YIELD(0,,,,""YTM""),FG_YIELD(-1AM,,,,""YTM""))")</f>
        <v>-47.408783</v>
      </c>
      <c r="H4" s="26" cm="1">
        <f t="array" ref="H4">_xll.FDSB(C4,"PCTCHG(FG_YIELD(0,,,,""YTM""),FG_YIELD(-3AM,,,,""YTM""))")</f>
        <v>-47.263404999999999</v>
      </c>
      <c r="I4" s="26"/>
      <c r="J4" s="26" t="str">
        <f>VLOOKUP(B4,mnemonics!$A$4:$D$73, 4, FALSE)</f>
        <v>REFCLMPR-FDS</v>
      </c>
      <c r="K4" s="26" t="str" cm="1">
        <f t="array" ref="K4">_xll.FDSB(J4,"PROPER_NAME(0,,,""SECURITY"",""NAME"")")</f>
        <v>Chile Monetary Policy Rate</v>
      </c>
      <c r="L4" s="26" cm="1">
        <f t="array" ref="L4">_xll.FDSB(J4,"FG_YIELD(NOW,,,0)")</f>
        <v>6.5</v>
      </c>
      <c r="M4" s="36" cm="1">
        <f t="array" ref="M4">_xll.FDSB(J4,"(SUBARRAY(NOT_NA(NO_REPEAT_F(FG_YIELD(now,-10AY,D))),0,1)-SUBARRAY(NOT_NA(NO_REPEAT_F(FG_YIELD(now,-10AY,D))),1,1))*100")</f>
        <v>-75</v>
      </c>
      <c r="N4" s="38">
        <f t="shared" si="0"/>
        <v>75</v>
      </c>
      <c r="S4">
        <f t="shared" ref="S4:S23" si="3">IF(M4&gt; 0, 0, 1)</f>
        <v>1</v>
      </c>
      <c r="T4">
        <f t="shared" ref="T4:T23" si="4">IF(G4&lt;0, 1, 0)</f>
        <v>1</v>
      </c>
      <c r="U4">
        <f t="shared" ref="U4:U23" si="5">IF(H4&lt;0, 1, 0)</f>
        <v>1</v>
      </c>
      <c r="V4" s="47">
        <f t="shared" ref="V4:V23" si="6">SUMPRODUCT($S$1:$U$1,S4:U4)</f>
        <v>1</v>
      </c>
      <c r="X4">
        <f t="shared" si="2"/>
        <v>86.3</v>
      </c>
    </row>
    <row r="5" spans="1:24" x14ac:dyDescent="0.35">
      <c r="A5" t="s">
        <v>35</v>
      </c>
      <c r="B5" t="s">
        <v>124</v>
      </c>
      <c r="C5" t="s">
        <v>147</v>
      </c>
      <c r="D5" s="26" t="str" cm="1">
        <f t="array" ref="D5">_xll.FDSB(C5,"FG_YIELD_NAME")</f>
        <v>Treasury - Indonesia Benchmark Bond 10Y</v>
      </c>
      <c r="E5" s="26" cm="1">
        <f t="array" ref="E5">IFERROR(_xll.FDS(C5,"FG_YIELD(0,,,,""YTM"")"),$E$26)</f>
        <v>6.9292300000000004</v>
      </c>
      <c r="G5" s="26" cm="1">
        <f t="array" ref="G5">_xll.FDSB(C5,"PCTCHG(FG_YIELD(0,,,,""YTM""),FG_YIELD(-1AM,,,,""YTM""))")</f>
        <v>3.3612861999999999</v>
      </c>
      <c r="H5" s="26" cm="1">
        <f t="array" ref="H5">_xll.FDSB(C5,"PCTCHG(FG_YIELD(0,,,,""YTM""),FG_YIELD(-3AM,,,,""YTM""))")</f>
        <v>4.7219179999999996</v>
      </c>
      <c r="I5" s="26"/>
      <c r="J5" s="26" t="str">
        <f>VLOOKUP(B5,mnemonics!$A$4:$D$73, 4, FALSE)</f>
        <v>REFIDRREPO-FDS</v>
      </c>
      <c r="K5" s="26" t="str" cm="1">
        <f t="array" ref="K5">_xll.FDSB(J5,"PROPER_NAME(0,,,""SECURITY"",""NAME"")")</f>
        <v>Indonesia BI (Reverse) Repo Rate - 7 Day</v>
      </c>
      <c r="L5" s="26" cm="1">
        <f t="array" ref="L5">_xll.FDSB(J5,"FG_YIELD(NOW,,,0)")</f>
        <v>6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S5">
        <f t="shared" si="3"/>
        <v>0</v>
      </c>
      <c r="T5">
        <f t="shared" si="4"/>
        <v>0</v>
      </c>
      <c r="U5">
        <f t="shared" si="5"/>
        <v>0</v>
      </c>
      <c r="V5" s="47">
        <f t="shared" si="6"/>
        <v>0</v>
      </c>
      <c r="X5">
        <f t="shared" si="2"/>
        <v>4.5</v>
      </c>
    </row>
    <row r="6" spans="1:24" x14ac:dyDescent="0.35">
      <c r="A6" t="s">
        <v>30</v>
      </c>
      <c r="B6" t="s">
        <v>117</v>
      </c>
      <c r="C6" t="s">
        <v>143</v>
      </c>
      <c r="D6" s="26" t="str" cm="1">
        <f t="array" ref="D6">_xll.FDSB(C6,"FG_YIELD_NAME")</f>
        <v>Philippines Benchmark Bond - 10 Year</v>
      </c>
      <c r="E6" s="26" cm="1">
        <f t="array" ref="E6">IFERROR(_xll.FDS(C6,"FG_YIELD(0,,,,""YTM"")"),$E$26)</f>
        <v>6.8026439999999999</v>
      </c>
      <c r="G6" s="26" cm="1">
        <f t="array" ref="G6">_xll.FDSB(C6,"PCTCHG(FG_YIELD(0,,,,""YTM""),FG_YIELD(-1AM,,,,""YTM""))")</f>
        <v>9.2885690000000007</v>
      </c>
      <c r="H6" s="26" cm="1">
        <f t="array" ref="H6">_xll.FDSB(C6,"PCTCHG(FG_YIELD(0,,,,""YTM""),FG_YIELD(-3AM,,,,""YTM""))")</f>
        <v>9.4935120000000008</v>
      </c>
      <c r="I6" s="26"/>
      <c r="J6" s="26" t="str">
        <f>VLOOKUP(B6,mnemonics!$A$4:$D$73, 4, FALSE)</f>
        <v>REFPHRREPO-FDS</v>
      </c>
      <c r="K6" s="26" t="str" cm="1">
        <f t="array" ref="K6">_xll.FDSB(J6,"PROPER_NAME(0,,,""SECURITY"",""NAME"")")</f>
        <v>Philippines Reverse Repo Rate - Overnight</v>
      </c>
      <c r="L6" s="26" cm="1">
        <f t="array" ref="L6">_xll.FDSB(J6,"FG_YIELD(NOW,,,0)")</f>
        <v>6.5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S6">
        <f t="shared" si="3"/>
        <v>0</v>
      </c>
      <c r="T6">
        <f t="shared" si="4"/>
        <v>0</v>
      </c>
      <c r="U6">
        <f t="shared" si="5"/>
        <v>0</v>
      </c>
      <c r="V6" s="47">
        <f t="shared" si="6"/>
        <v>0</v>
      </c>
      <c r="X6">
        <f t="shared" si="2"/>
        <v>4.5</v>
      </c>
    </row>
    <row r="7" spans="1:24" x14ac:dyDescent="0.35">
      <c r="A7" t="s">
        <v>23</v>
      </c>
      <c r="B7" t="s">
        <v>100</v>
      </c>
      <c r="C7" t="s">
        <v>129</v>
      </c>
      <c r="D7" s="26" t="str" cm="1">
        <f t="array" ref="D7">_xll.FDSB(C7,"FG_YIELD_NAME")</f>
        <v>Treasury - Poland Benchmark Bond 10Y</v>
      </c>
      <c r="E7" s="26" cm="1">
        <f t="array" ref="E7">IFERROR(_xll.FDS(C7,"FG_YIELD(0,,,,""YTM"")"),$E$26)</f>
        <v>5.7252000000000001</v>
      </c>
      <c r="G7" s="26" cm="1">
        <f t="array" ref="G7">_xll.FDSB(C7,"PCTCHG(FG_YIELD(0,,,,""YTM""),FG_YIELD(-1AM,,,,""YTM""))")</f>
        <v>3.3075302</v>
      </c>
      <c r="H7" s="26" cm="1">
        <f t="array" ref="H7">_xll.FDSB(C7,"PCTCHG(FG_YIELD(0,,,,""YTM""),FG_YIELD(-3AM,,,,""YTM""))")</f>
        <v>9.5124259999999996</v>
      </c>
      <c r="I7" s="26"/>
      <c r="J7" s="26" t="str">
        <f>VLOOKUP(B7,mnemonics!$A$4:$D$73, 4, FALSE)</f>
        <v>REFPL7D-FDS</v>
      </c>
      <c r="K7" s="26" t="str" cm="1">
        <f t="array" ref="K7">_xll.FDSB(J7,"PROPER_NAME(0,,,""SECURITY"",""NAME"")")</f>
        <v>Poland Reference Rate - 7 Day</v>
      </c>
      <c r="L7" s="26" cm="1">
        <f t="array" ref="L7">_xll.FDSB(J7,"FG_YIELD(NOW,,,0)")</f>
        <v>5.75</v>
      </c>
      <c r="M7" s="36" cm="1">
        <f t="array" ref="M7">_xll.FDSB(J7,"(SUBARRAY(NOT_NA(NO_REPEAT_F(FG_YIELD(now,-10AY,D))),0,1)-SUBARRAY(NOT_NA(NO_REPEAT_F(FG_YIELD(now,-10AY,D))),1,1))*100")</f>
        <v>-25</v>
      </c>
      <c r="N7" s="38">
        <f t="shared" si="0"/>
        <v>25</v>
      </c>
      <c r="S7">
        <f t="shared" si="3"/>
        <v>1</v>
      </c>
      <c r="T7">
        <f t="shared" si="4"/>
        <v>0</v>
      </c>
      <c r="U7">
        <f t="shared" si="5"/>
        <v>0</v>
      </c>
      <c r="V7" s="47">
        <f t="shared" si="6"/>
        <v>0.5</v>
      </c>
      <c r="X7">
        <f t="shared" si="2"/>
        <v>63.6</v>
      </c>
    </row>
    <row r="8" spans="1:24" x14ac:dyDescent="0.35">
      <c r="A8" t="s">
        <v>29</v>
      </c>
      <c r="B8" t="s">
        <v>112</v>
      </c>
      <c r="C8" t="s">
        <v>137</v>
      </c>
      <c r="D8" s="26" t="str" cm="1">
        <f t="array" ref="D8">_xll.FDSB(C8,"FG_YIELD_NAME")</f>
        <v>Treasury - Peru Benchmark Bond 10Y</v>
      </c>
      <c r="E8" s="26" cm="1">
        <f t="array" ref="E8">IFERROR(_xll.FDS(C8,"FG_YIELD(0,,,,""YTM"")"),$E$26)</f>
        <v>7.5620690000000002</v>
      </c>
      <c r="G8" s="26" cm="1">
        <f t="array" ref="G8">_xll.FDSB(C8,"PCTCHG(FG_YIELD(0,,,,""YTM""),FG_YIELD(-1AM,,,,""YTM""))")</f>
        <v>8.5485389999999999</v>
      </c>
      <c r="H8" s="26" cm="1">
        <f t="array" ref="H8">_xll.FDSB(C8,"PCTCHG(FG_YIELD(0,,,,""YTM""),FG_YIELD(-3AM,,,,""YTM""))")</f>
        <v>15.118396000000001</v>
      </c>
      <c r="I8" s="26"/>
      <c r="J8" s="26" t="str">
        <f>VLOOKUP(B8,mnemonics!$A$4:$D$73, 4, FALSE)</f>
        <v>REFPEMPR-FDS</v>
      </c>
      <c r="K8" s="26" t="str" cm="1">
        <f t="array" ref="K8">_xll.FDSB(J8,"PROPER_NAME(0,,,""SECURITY"",""NAME"")")</f>
        <v>Peru Policy Rate</v>
      </c>
      <c r="L8" s="26" cm="1">
        <f t="array" ref="L8">_xll.FDSB(J8,"FG_YIELD(NOW,,,0)")</f>
        <v>6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S8">
        <f t="shared" si="3"/>
        <v>1</v>
      </c>
      <c r="T8">
        <f t="shared" si="4"/>
        <v>0</v>
      </c>
      <c r="U8">
        <f t="shared" si="5"/>
        <v>0</v>
      </c>
      <c r="V8" s="47">
        <f t="shared" si="6"/>
        <v>0.5</v>
      </c>
      <c r="X8">
        <f t="shared" si="2"/>
        <v>63.6</v>
      </c>
    </row>
    <row r="9" spans="1:24" x14ac:dyDescent="0.35">
      <c r="A9" t="s">
        <v>33</v>
      </c>
      <c r="B9" t="s">
        <v>122</v>
      </c>
      <c r="C9" t="s">
        <v>145</v>
      </c>
      <c r="D9" s="26" t="str" cm="1">
        <f t="array" ref="D9">_xll.FDSB(C9,"FG_YIELD_NAME")</f>
        <v>Treasury - Malaysia Benchmark Bond 10Y</v>
      </c>
      <c r="E9" s="26" cm="1">
        <f t="array" ref="E9">IFERROR(_xll.FDS(C9,"FG_YIELD(0,,,,""YTM"")"),$E$26)</f>
        <v>3.9609320000000001</v>
      </c>
      <c r="G9" s="26" cm="1">
        <f t="array" ref="G9">_xll.FDSB(C9,"PCTCHG(FG_YIELD(0,,,,""YTM""),FG_YIELD(-1AM,,,,""YTM""))")</f>
        <v>1.9221423</v>
      </c>
      <c r="H9" s="26" cm="1">
        <f t="array" ref="H9">_xll.FDSB(C9,"PCTCHG(FG_YIELD(0,,,,""YTM""),FG_YIELD(-3AM,,,,""YTM""))")</f>
        <v>3.7605385999999998</v>
      </c>
      <c r="I9" s="26"/>
      <c r="J9" s="26" t="str">
        <f>VLOOKUP(B9,mnemonics!$A$4:$D$73, 4, FALSE)</f>
        <v>REFMYON-FDS</v>
      </c>
      <c r="K9" s="26" t="str" cm="1">
        <f t="array" ref="K9">_xll.FDSB(J9,"PROPER_NAME(0,,,""SECURITY"",""NAME"")")</f>
        <v>Malaysia Policy Rate - Overnight</v>
      </c>
      <c r="L9" s="26" cm="1">
        <f t="array" ref="L9">_xll.FDSB(J9,"FG_YIELD(NOW,,,0)")</f>
        <v>3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S9">
        <f t="shared" si="3"/>
        <v>0</v>
      </c>
      <c r="T9">
        <f t="shared" si="4"/>
        <v>0</v>
      </c>
      <c r="U9">
        <f t="shared" si="5"/>
        <v>0</v>
      </c>
      <c r="V9" s="47">
        <f t="shared" si="6"/>
        <v>0</v>
      </c>
      <c r="X9">
        <f t="shared" si="2"/>
        <v>4.5</v>
      </c>
    </row>
    <row r="10" spans="1:24" x14ac:dyDescent="0.35">
      <c r="A10" t="s">
        <v>24</v>
      </c>
      <c r="B10" t="s">
        <v>103</v>
      </c>
      <c r="C10" t="s">
        <v>131</v>
      </c>
      <c r="D10" s="26" t="str" cm="1">
        <f t="array" ref="D10">_xll.FDSB(C10,"FG_YIELD_NAME")</f>
        <v>Taiwan China Benchmark Bond - 10 Year</v>
      </c>
      <c r="E10" s="26" cm="1">
        <f t="array" ref="E10">IFERROR(_xll.FDS(C10,"FG_YIELD(0,,,,""YTM"")"),$E$26)</f>
        <v>1.7124999999999999</v>
      </c>
      <c r="G10" s="26" cm="1">
        <f t="array" ref="G10">_xll.FDSB(C10,"PCTCHG(FG_YIELD(0,,,,""YTM""),FG_YIELD(-1AM,,,,""YTM""))")</f>
        <v>41.704585999999999</v>
      </c>
      <c r="H10" s="26" cm="1">
        <f t="array" ref="H10">_xll.FDSB(C10,"PCTCHG(FG_YIELD(0,,,,""YTM""),FG_YIELD(-3AM,,,,""YTM""))")</f>
        <v>39.795914000000003</v>
      </c>
      <c r="I10" s="26"/>
      <c r="J10" s="26" t="str">
        <f>VLOOKUP(B10,mnemonics!$A$4:$D$73, 4, FALSE)</f>
        <v>REFTWDISC-FDS</v>
      </c>
      <c r="K10" s="26" t="str" cm="1">
        <f t="array" ref="K10">_xll.FDSB(J10,"PROPER_NAME(0,,,""SECURITY"",""NAME"")")</f>
        <v>Taiwan China Discount Rate</v>
      </c>
      <c r="L10" s="26" cm="1">
        <f t="array" ref="L10">_xll.FDSB(J10,"FG_YIELD(NOW,,,0)")</f>
        <v>2</v>
      </c>
      <c r="M10" s="36" cm="1">
        <f t="array" ref="M10">_xll.FDSB(J10,"(SUBARRAY(NOT_NA(NO_REPEAT_F(FG_YIELD(now,-10AY,D))),0,1)-SUBARRAY(NOT_NA(NO_REPEAT_F(FG_YIELD(now,-10AY,D))),1,1))*100")</f>
        <v>12.5</v>
      </c>
      <c r="N10" s="38">
        <f t="shared" si="0"/>
        <v>-12.5</v>
      </c>
      <c r="S10">
        <f t="shared" si="3"/>
        <v>0</v>
      </c>
      <c r="T10">
        <f t="shared" si="4"/>
        <v>0</v>
      </c>
      <c r="U10">
        <f t="shared" si="5"/>
        <v>0</v>
      </c>
      <c r="V10" s="47">
        <f t="shared" si="6"/>
        <v>0</v>
      </c>
      <c r="X10">
        <f t="shared" si="2"/>
        <v>4.5</v>
      </c>
    </row>
    <row r="11" spans="1:24" x14ac:dyDescent="0.35">
      <c r="A11" t="s">
        <v>7</v>
      </c>
      <c r="B11" t="s">
        <v>121</v>
      </c>
      <c r="C11" t="s">
        <v>15</v>
      </c>
      <c r="D11" s="26" t="str" cm="1">
        <f t="array" ref="D11">_xll.FDSB(C11,"FG_YIELD_NAME")</f>
        <v>Treasury - Mexico Benchmark Bond 10Y</v>
      </c>
      <c r="E11" s="26" cm="1">
        <f t="array" ref="E11">IFERROR(_xll.FDS(C11,"FG_YIELD(0,,,,""YTM"")"),$E$26)</f>
        <v>9.9444999999999997</v>
      </c>
      <c r="G11" s="26" cm="1">
        <f t="array" ref="G11">_xll.FDSB(C11,"PCTCHG(FG_YIELD(0,,,,""YTM""),FG_YIELD(-1AM,,,,""YTM""))")</f>
        <v>6.7029290000000001</v>
      </c>
      <c r="H11" s="26" cm="1">
        <f t="array" ref="H11">_xll.FDSB(C11,"PCTCHG(FG_YIELD(0,,,,""YTM""),FG_YIELD(-3AM,,,,""YTM""))")</f>
        <v>7.310886</v>
      </c>
      <c r="I11" s="26"/>
      <c r="J11" s="26" t="str">
        <f>VLOOKUP(B11,mnemonics!$A$4:$D$73, 4, FALSE)</f>
        <v>REFMXTON-FDS</v>
      </c>
      <c r="K11" s="26" t="str" cm="1">
        <f t="array" ref="K11">_xll.FDSB(J11,"PROPER_NAME(0,,,""SECURITY"",""NAME"")")</f>
        <v>Mexico Target Rate - Overnight</v>
      </c>
      <c r="L11" s="26" cm="1">
        <f t="array" ref="L11">_xll.FDSB(J11,"FG_YIELD(NOW,,,0)")</f>
        <v>11</v>
      </c>
      <c r="M11" s="36" cm="1">
        <f t="array" ref="M11">_xll.FDSB(J11,"(SUBARRAY(NOT_NA(NO_REPEAT_F(FG_YIELD(now,-10AY,D))),0,1)-SUBARRAY(NOT_NA(NO_REPEAT_F(FG_YIELD(now,-10AY,D))),1,1))*100")</f>
        <v>-25</v>
      </c>
      <c r="N11" s="38">
        <f t="shared" si="0"/>
        <v>25</v>
      </c>
      <c r="S11">
        <f t="shared" si="3"/>
        <v>1</v>
      </c>
      <c r="T11">
        <f t="shared" si="4"/>
        <v>0</v>
      </c>
      <c r="U11">
        <f t="shared" si="5"/>
        <v>0</v>
      </c>
      <c r="V11" s="47">
        <f t="shared" si="6"/>
        <v>0.5</v>
      </c>
      <c r="X11">
        <f t="shared" si="2"/>
        <v>63.6</v>
      </c>
    </row>
    <row r="12" spans="1:24" x14ac:dyDescent="0.35">
      <c r="A12" t="s">
        <v>21</v>
      </c>
      <c r="B12" t="s">
        <v>101</v>
      </c>
      <c r="C12" t="s">
        <v>130</v>
      </c>
      <c r="D12" s="26" t="str" cm="1">
        <f t="array" ref="D12">_xll.FDSB(C12,"FG_YIELD_NAME")</f>
        <v>South Korea Benchmark Bond - 10 Year</v>
      </c>
      <c r="E12" s="26" cm="1">
        <f t="array" ref="E12">IFERROR(_xll.FDS(C12,"FG_YIELD(0,,,,""YTM"")"),$E$26)</f>
        <v>3.5651000000000002</v>
      </c>
      <c r="G12" s="26" cm="1">
        <f t="array" ref="G12">_xll.FDSB(C12,"PCTCHG(FG_YIELD(0,,,,""YTM""),FG_YIELD(-1AM,,,,""YTM""))")</f>
        <v>3.8751755000000001</v>
      </c>
      <c r="H12" s="26" cm="1">
        <f t="array" ref="H12">_xll.FDSB(C12,"PCTCHG(FG_YIELD(0,,,,""YTM""),FG_YIELD(-3AM,,,,""YTM""))")</f>
        <v>5.7202992000000004</v>
      </c>
      <c r="I12" s="26"/>
      <c r="J12" s="26" t="str">
        <f>VLOOKUP(B12,mnemonics!$A$4:$D$73, 4, FALSE)</f>
        <v>REFKRBASE-FDS</v>
      </c>
      <c r="K12" s="26" t="str" cm="1">
        <f t="array" ref="K12">_xll.FDSB(J12,"PROPER_NAME(0,,,""SECURITY"",""NAME"")")</f>
        <v>South Korea Base Rate</v>
      </c>
      <c r="L12" s="26" cm="1">
        <f t="array" ref="L12">_xll.FDSB(J12,"FG_YIELD(NOW,,,0)")</f>
        <v>3.5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S12">
        <f t="shared" si="3"/>
        <v>0</v>
      </c>
      <c r="T12">
        <f t="shared" si="4"/>
        <v>0</v>
      </c>
      <c r="U12">
        <f t="shared" si="5"/>
        <v>0</v>
      </c>
      <c r="V12" s="47">
        <f t="shared" si="6"/>
        <v>0</v>
      </c>
      <c r="X12">
        <f t="shared" si="2"/>
        <v>4.5</v>
      </c>
    </row>
    <row r="13" spans="1:24" x14ac:dyDescent="0.35">
      <c r="A13" t="s">
        <v>12</v>
      </c>
      <c r="B13" t="s">
        <v>127</v>
      </c>
      <c r="C13" t="s">
        <v>20</v>
      </c>
      <c r="D13" s="26" t="str" cm="1">
        <f t="array" ref="D13">_xll.FDSB(C13,"FG_YIELD_NAME")</f>
        <v>Treasury - Brazil Benchmark Bond 10Y</v>
      </c>
      <c r="E13" s="26" cm="1">
        <f t="array" ref="E13">IFERROR(_xll.FDS(C13,"FG_YIELD(0,,,,""YTM"")"),$E$26)</f>
        <v>11.734496999999999</v>
      </c>
      <c r="G13" s="26" cm="1">
        <f t="array" ref="G13">_xll.FDSB(C13,"PCTCHG(FG_YIELD(0,,,,""YTM""),FG_YIELD(-1AM,,,,""YTM""))")</f>
        <v>4.5970105999999999</v>
      </c>
      <c r="H13" s="26" cm="1">
        <f t="array" ref="H13">_xll.FDSB(C13,"PCTCHG(FG_YIELD(0,,,,""YTM""),FG_YIELD(-3AM,,,,""YTM""))")</f>
        <v>8.1747969999999999</v>
      </c>
      <c r="I13" s="26"/>
      <c r="J13" s="26" t="str">
        <f>VLOOKUP(B13,mnemonics!$A$4:$D$73, 4, FALSE)</f>
        <v>REFBRSELIC-FDS</v>
      </c>
      <c r="K13" s="26" t="str" cm="1">
        <f t="array" ref="K13">_xll.FDSB(J13,"PROPER_NAME(0,,,""SECURITY"",""NAME"")")</f>
        <v>Brazil Target Selic Rate</v>
      </c>
      <c r="L13" s="26" cm="1">
        <f t="array" ref="L13">_xll.FDSB(J13,"FG_YIELD(NOW,,,0)")</f>
        <v>10.75</v>
      </c>
      <c r="M13" s="36" cm="1">
        <f t="array" ref="M13">_xll.FDSB(J13,"(SUBARRAY(NOT_NA(NO_REPEAT_F(FG_YIELD(now,-10AY,D))),0,1)-SUBARRAY(NOT_NA(NO_REPEAT_F(FG_YIELD(now,-10AY,D))),1,1))*100")</f>
        <v>-50</v>
      </c>
      <c r="N13" s="38">
        <f t="shared" si="0"/>
        <v>50</v>
      </c>
      <c r="S13">
        <f t="shared" si="3"/>
        <v>1</v>
      </c>
      <c r="T13">
        <f t="shared" si="4"/>
        <v>0</v>
      </c>
      <c r="U13">
        <f t="shared" si="5"/>
        <v>0</v>
      </c>
      <c r="V13" s="47">
        <f t="shared" si="6"/>
        <v>0.5</v>
      </c>
      <c r="X13">
        <f t="shared" si="2"/>
        <v>63.6</v>
      </c>
    </row>
    <row r="14" spans="1:24" x14ac:dyDescent="0.35">
      <c r="A14" t="s">
        <v>22</v>
      </c>
      <c r="B14" t="s">
        <v>99</v>
      </c>
      <c r="C14" t="s">
        <v>128</v>
      </c>
      <c r="D14" s="26" t="str" cm="1">
        <f t="array" ref="D14">_xll.FDSB(C14,"FG_YIELD_NAME")</f>
        <v>South Africa Benchmark Bond - 10 Year</v>
      </c>
      <c r="E14" s="26" cm="1">
        <f t="array" ref="E14">IFERROR(_xll.FDS(C14,"FG_YIELD(0,,,,""YTM"")"),$E$26)</f>
        <v>12.288451999999999</v>
      </c>
      <c r="G14" s="26" cm="1">
        <f t="array" ref="G14">_xll.FDSB(C14,"PCTCHG(FG_YIELD(0,,,,""YTM""),FG_YIELD(-1AM,,,,""YTM""))")</f>
        <v>1.3765566</v>
      </c>
      <c r="H14" s="26" cm="1">
        <f t="array" ref="H14">_xll.FDSB(C14,"PCTCHG(FG_YIELD(0,,,,""YTM""),FG_YIELD(-3AM,,,,""YTM""))")</f>
        <v>7.6718082000000001</v>
      </c>
      <c r="I14" s="26"/>
      <c r="J14" s="26" t="str">
        <f>VLOOKUP(B14,mnemonics!$A$4:$D$73, 4, FALSE)</f>
        <v>REFZAREPO-FDS</v>
      </c>
      <c r="K14" s="26" t="str" cm="1">
        <f t="array" ref="K14">_xll.FDSB(J14,"PROPER_NAME(0,,,""SECURITY"",""NAME"")")</f>
        <v>South Africa Repo Rate</v>
      </c>
      <c r="L14" s="26" cm="1">
        <f t="array" ref="L14">_xll.FDSB(J14,"FG_YIELD(NOW,,,0)")</f>
        <v>8.25</v>
      </c>
      <c r="M14" s="36" cm="1">
        <f t="array" ref="M14">_xll.FDSB(J14,"(SUBARRAY(NOT_NA(NO_REPEAT_F(FG_YIELD(now,-10AY,D))),0,1)-SUBARRAY(NOT_NA(NO_REPEAT_F(FG_YIELD(now,-10AY,D))),1,1))*100")</f>
        <v>50</v>
      </c>
      <c r="N14" s="38">
        <f t="shared" si="0"/>
        <v>-50</v>
      </c>
      <c r="S14">
        <f t="shared" si="3"/>
        <v>0</v>
      </c>
      <c r="T14">
        <f t="shared" si="4"/>
        <v>0</v>
      </c>
      <c r="U14">
        <f t="shared" si="5"/>
        <v>0</v>
      </c>
      <c r="V14" s="47">
        <f t="shared" si="6"/>
        <v>0</v>
      </c>
      <c r="X14">
        <f t="shared" si="2"/>
        <v>4.5</v>
      </c>
    </row>
    <row r="15" spans="1:24" x14ac:dyDescent="0.35">
      <c r="A15" t="s">
        <v>28</v>
      </c>
      <c r="B15" t="s">
        <v>111</v>
      </c>
      <c r="C15" t="s">
        <v>136</v>
      </c>
      <c r="D15" s="26" t="str" cm="1">
        <f t="array" ref="D15">_xll.FDSB(C15,"FG_YIELD_NAME")</f>
        <v>Greece Benchmark Bond - 10 Year</v>
      </c>
      <c r="E15" s="26" cm="1">
        <f t="array" ref="E15">IFERROR(_xll.FDS(C15,"FG_YIELD(0,,,,""YTM"")"),$E$26)</f>
        <v>3.5409999999999999</v>
      </c>
      <c r="G15" s="26" cm="1">
        <f t="array" ref="G15">_xll.FDSB(C15,"PCTCHG(FG_YIELD(0,,,,""YTM""),FG_YIELD(-1AM,,,,""YTM""))")</f>
        <v>3.5985930000000002</v>
      </c>
      <c r="H15" s="26" cm="1">
        <f t="array" ref="H15">_xll.FDSB(C15,"PCTCHG(FG_YIELD(0,,,,""YTM""),FG_YIELD(-3AM,,,,""YTM""))")</f>
        <v>5.0118593999999996</v>
      </c>
      <c r="I15" s="26"/>
      <c r="J15" s="26" t="str">
        <f>VLOOKUP(B15,mnemonics!$A$4:$D$73,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4.5</v>
      </c>
      <c r="M15" s="36" cm="1">
        <f t="array" ref="M15">_xll.FDSB(J15,"(SUBARRAY(NOT_NA(NO_REPEAT_F(FG_YIELD(now,-10AY,D))),0,1)-SUBARRAY(NOT_NA(NO_REPEAT_F(FG_YIELD(now,-10AY,D))),1,1))*100")</f>
        <v>25</v>
      </c>
      <c r="N15" s="38">
        <f t="shared" si="0"/>
        <v>-25</v>
      </c>
      <c r="T15">
        <f t="shared" si="4"/>
        <v>0</v>
      </c>
      <c r="U15">
        <f t="shared" si="5"/>
        <v>0</v>
      </c>
      <c r="V15" s="47">
        <f t="shared" si="6"/>
        <v>0</v>
      </c>
      <c r="X15">
        <f t="shared" si="2"/>
        <v>4.5</v>
      </c>
    </row>
    <row r="16" spans="1:24" x14ac:dyDescent="0.35">
      <c r="A16" t="s">
        <v>32</v>
      </c>
      <c r="B16" t="s">
        <v>118</v>
      </c>
      <c r="C16" t="s">
        <v>18</v>
      </c>
      <c r="D16" s="26" t="str" cm="1">
        <f t="array" ref="D16">_xll.FDSB(C16,"FG_YIELD_NAME")</f>
        <v>India Benchmark Bond - 10 Year</v>
      </c>
      <c r="E16" s="26" cm="1">
        <f t="array" ref="E16">IFERROR(_xll.FDS(C16,"FG_YIELD(0,,,,""YTM"")"),$E$26)</f>
        <v>7.1665000000000001</v>
      </c>
      <c r="G16" s="26" cm="1">
        <f t="array" ref="G16">_xll.FDSB(C16,"PCTCHG(FG_YIELD(0,,,,""YTM""),FG_YIELD(-1AM,,,,""YTM""))")</f>
        <v>1.2146030999999999</v>
      </c>
      <c r="H16" s="26" cm="1">
        <f t="array" ref="H16">_xll.FDSB(C16,"PCTCHG(FG_YIELD(0,,,,""YTM""),FG_YIELD(-3AM,,,,""YTM""))")</f>
        <v>-4.8814293000000002E-2</v>
      </c>
      <c r="I16" s="26"/>
      <c r="J16" s="26" t="str">
        <f>VLOOKUP(B16,mnemonics!$A$4:$D$73, 4, FALSE)</f>
        <v>REFINREPO-FDS</v>
      </c>
      <c r="K16" s="26" t="str" cm="1">
        <f t="array" ref="K16">_xll.FDSB(J16,"PROPER_NAME(0,,,""SECURITY"",""NAME"")")</f>
        <v>India Repo Rate</v>
      </c>
      <c r="L16" s="26" cm="1">
        <f t="array" ref="L16">_xll.FDSB(J16,"FG_YIELD(NOW,,,0)")</f>
        <v>6.5</v>
      </c>
      <c r="M16" s="36" cm="1">
        <f t="array" ref="M16">_xll.FDSB(J16,"(SUBARRAY(NOT_NA(NO_REPEAT_F(FG_YIELD(now,-10AY,D))),0,1)-SUBARRAY(NOT_NA(NO_REPEAT_F(FG_YIELD(now,-10AY,D))),1,1))*100")</f>
        <v>25</v>
      </c>
      <c r="N16" s="38">
        <f t="shared" si="0"/>
        <v>-25</v>
      </c>
      <c r="S16">
        <f t="shared" si="3"/>
        <v>0</v>
      </c>
      <c r="T16">
        <f t="shared" si="4"/>
        <v>0</v>
      </c>
      <c r="U16">
        <f t="shared" si="5"/>
        <v>1</v>
      </c>
      <c r="V16" s="47">
        <f t="shared" si="6"/>
        <v>0.25</v>
      </c>
      <c r="X16">
        <f t="shared" si="2"/>
        <v>50</v>
      </c>
    </row>
    <row r="17" spans="1:24" x14ac:dyDescent="0.35">
      <c r="A17" t="s">
        <v>26</v>
      </c>
      <c r="B17" t="s">
        <v>104</v>
      </c>
      <c r="C17" t="s">
        <v>17</v>
      </c>
      <c r="D17" s="26" t="str" cm="1">
        <f t="array" ref="D17">_xll.FDSB(C17,"FG_YIELD_NAME")</f>
        <v>Treasury - China Benchmark Bond 10Y</v>
      </c>
      <c r="E17" s="26" cm="1">
        <f t="array" ref="E17">IFERROR(_xll.FDS(C17,"FG_YIELD(0,,,,""YTM"")"),$E$26)</f>
        <v>2.2660999999999998</v>
      </c>
      <c r="G17" s="26" cm="1">
        <f t="array" ref="G17">_xll.FDSB(C17,"PCTCHG(FG_YIELD(0,,,,""YTM""),FG_YIELD(-1AM,,,,""YTM""))")</f>
        <v>-3.0213562999999999</v>
      </c>
      <c r="H17" s="26" cm="1">
        <f t="array" ref="H17">_xll.FDSB(C17,"PCTCHG(FG_YIELD(0,,,,""YTM""),FG_YIELD(-3AM,,,,""YTM""))")</f>
        <v>-10.196567</v>
      </c>
      <c r="I17" s="26"/>
      <c r="J17" s="26" t="str">
        <f>VLOOKUP(B17,mnemonics!$A$4:$D$73, 4, FALSE)</f>
        <v>REFCNRMB-FDS</v>
      </c>
      <c r="K17" s="26" t="str" cm="1">
        <f t="array" ref="K17">_xll.FDSB(J17,"PROPER_NAME(0,,,""SECURITY"",""NAME"")")</f>
        <v>China Loan Prime Rate (LPR) - 1 Year</v>
      </c>
      <c r="L17" s="26" cm="1">
        <f t="array" ref="L17">_xll.FDSB(J17,"FG_YIELD(NOW,,,0)")</f>
        <v>3.45</v>
      </c>
      <c r="M17" s="36" cm="1">
        <f t="array" ref="M17">_xll.FDSB(J17,"(SUBARRAY(NOT_NA(NO_REPEAT_F(FG_YIELD(now,-10AY,D))),0,1)-SUBARRAY(NOT_NA(NO_REPEAT_F(FG_YIELD(now,-10AY,D))),1,1))*100")</f>
        <v>-9.9999999999999591</v>
      </c>
      <c r="N17" s="38">
        <f t="shared" si="0"/>
        <v>9.9999999999999591</v>
      </c>
      <c r="S17">
        <f t="shared" si="3"/>
        <v>1</v>
      </c>
      <c r="T17">
        <f t="shared" si="4"/>
        <v>1</v>
      </c>
      <c r="U17">
        <f t="shared" si="5"/>
        <v>1</v>
      </c>
      <c r="V17" s="47">
        <f t="shared" si="6"/>
        <v>1</v>
      </c>
      <c r="X17">
        <f t="shared" si="2"/>
        <v>86.3</v>
      </c>
    </row>
    <row r="18" spans="1:24" x14ac:dyDescent="0.35">
      <c r="A18" t="s">
        <v>31</v>
      </c>
      <c r="B18" t="s">
        <v>120</v>
      </c>
      <c r="C18" t="s">
        <v>144</v>
      </c>
      <c r="D18" s="26" t="str" cm="1">
        <f t="array" ref="D18">_xll.FDSB(C18,"FG_YIELD_NAME")</f>
        <v>Treasury - Qatar Benchmark Bond 10Y</v>
      </c>
      <c r="E18" s="26" cm="1">
        <f t="array" ref="E18">IFERROR(_xll.FDS(C18,"FG_YIELD(0,,,,""YTM"")"),$E$26)</f>
        <v>4.6346999999999996</v>
      </c>
      <c r="G18" s="26" t="str" cm="1">
        <f t="array" ref="G18">_xll.FDSB(C18,"PCTCHG(FG_YIELD(0,,,,""YTM""),FG_YIELD(-1AM,,,,""YTM""))")</f>
        <v/>
      </c>
      <c r="H18" s="26" t="str" cm="1">
        <f t="array" ref="H18">_xll.FDSB(C18,"PCTCHG(FG_YIELD(0,,,,""YTM""),FG_YIELD(-3AM,,,,""YTM""))")</f>
        <v/>
      </c>
      <c r="I18" s="26"/>
      <c r="J18" s="26" t="str">
        <f>VLOOKUP(B18,mnemonics!$A$4:$D$73, 4, FALSE)</f>
        <v>REFQALEND-FDS</v>
      </c>
      <c r="K18" s="26" t="str" cm="1">
        <f t="array" ref="K18">_xll.FDSB(J18,"PROPER_NAME(0,,,""SECURITY"",""NAME"")")</f>
        <v>Qatar Lending Rate - Overnight</v>
      </c>
      <c r="L18" s="26" cm="1">
        <f t="array" ref="L18">_xll.FDSB(J18,"FG_YIELD(NOW,,,0)")</f>
        <v>6.25</v>
      </c>
      <c r="M18" s="36" cm="1">
        <f t="array" ref="M18">_xll.FDSB(J18,"(SUBARRAY(NOT_NA(NO_REPEAT_F(FG_YIELD(now,-10AY,D))),0,1)-SUBARRAY(NOT_NA(NO_REPEAT_F(FG_YIELD(now,-10AY,D))),1,1))*100")</f>
        <v>25</v>
      </c>
      <c r="N18" s="38">
        <f t="shared" si="0"/>
        <v>-25</v>
      </c>
      <c r="S18">
        <f t="shared" si="3"/>
        <v>0</v>
      </c>
      <c r="T18">
        <f t="shared" si="4"/>
        <v>0</v>
      </c>
      <c r="U18">
        <f t="shared" si="5"/>
        <v>0</v>
      </c>
      <c r="V18" s="47">
        <f t="shared" si="6"/>
        <v>0</v>
      </c>
      <c r="X18">
        <f t="shared" si="2"/>
        <v>4.5</v>
      </c>
    </row>
    <row r="19" spans="1:24" x14ac:dyDescent="0.35">
      <c r="A19" t="s">
        <v>757</v>
      </c>
      <c r="B19" t="s">
        <v>220</v>
      </c>
      <c r="C19" t="s">
        <v>453</v>
      </c>
      <c r="D19" s="26" t="str" cm="1">
        <f t="array" ref="D19">_xll.FDSB(C19,"FG_YIELD_NAME")</f>
        <v>Thailand Benchmark Bond - 10 Year</v>
      </c>
      <c r="E19" s="26" cm="1">
        <f t="array" ref="E19">IFERROR(_xll.FDS(C19,"FG_YIELD(0,,,,""YTM"")"),$E$26)</f>
        <v>2.7060149999999998</v>
      </c>
      <c r="G19" s="26" cm="1">
        <f t="array" ref="G19">_xll.FDSB(C19,"PCTCHG(FG_YIELD(0,,,,""YTM""),FG_YIELD(-1AM,,,,""YTM""))")</f>
        <v>6.8356313999999996</v>
      </c>
      <c r="H19" s="26" cm="1">
        <f t="array" ref="H19">_xll.FDSB(C19,"PCTCHG(FG_YIELD(0,,,,""YTM""),FG_YIELD(-3AM,,,,""YTM""))")</f>
        <v>-2.1554956000000001</v>
      </c>
      <c r="I19" s="26"/>
      <c r="J19" s="26" t="str">
        <f>VLOOKUP(B19,mnemonics!$A$4:$D$73, 4, FALSE)</f>
        <v>REFTHREPO-FDS</v>
      </c>
      <c r="K19" s="26" t="str" cm="1">
        <f t="array" ref="K19">_xll.FDSB(J19,"PROPER_NAME(0,,,""SECURITY"",""NAME"")")</f>
        <v>Thailand Repo Rate - 1 Day</v>
      </c>
      <c r="L19" s="26" cm="1">
        <f t="array" ref="L19">_xll.FDSB(J19,"FG_YIELD(NOW,,,0)")</f>
        <v>2.5</v>
      </c>
      <c r="M19" s="36" cm="1">
        <f t="array" ref="M19">_xll.FDSB(J19,"(SUBARRAY(NOT_NA(NO_REPEAT_F(FG_YIELD(now,-10AY,D))),0,1)-SUBARRAY(NOT_NA(NO_REPEAT_F(FG_YIELD(now,-10AY,D))),1,1))*100")</f>
        <v>25</v>
      </c>
      <c r="N19" s="38">
        <f t="shared" si="0"/>
        <v>-25</v>
      </c>
      <c r="S19">
        <f t="shared" si="3"/>
        <v>0</v>
      </c>
      <c r="T19">
        <f t="shared" si="4"/>
        <v>0</v>
      </c>
      <c r="U19">
        <f t="shared" si="5"/>
        <v>1</v>
      </c>
      <c r="V19" s="47">
        <f t="shared" si="6"/>
        <v>0.25</v>
      </c>
      <c r="X19">
        <f t="shared" si="2"/>
        <v>50</v>
      </c>
    </row>
    <row r="20" spans="1:24" x14ac:dyDescent="0.35">
      <c r="A20" t="s">
        <v>25</v>
      </c>
      <c r="B20" t="s">
        <v>105</v>
      </c>
      <c r="C20" t="s">
        <v>132</v>
      </c>
      <c r="D20" s="26" t="str" cm="1">
        <f t="array" ref="D20">_xll.FDSB(C20,"FG_YIELD_NAME")</f>
        <v>Treasury - Turkey Benchmark Bond 7Y</v>
      </c>
      <c r="E20" s="26" cm="1">
        <f t="array" ref="E20">IFERROR(_xll.FDS(C20,"FG_YIELD(0,,,,""YTM"")"),$E$26)</f>
        <v>24.072645000000001</v>
      </c>
      <c r="G20" s="26" cm="1">
        <f t="array" ref="G20">_xll.FDSB(C20,"PCTCHG(FG_YIELD(0,,,,""YTM""),FG_YIELD(-1AM,,,,""YTM""))")</f>
        <v>-0.55921169999999998</v>
      </c>
      <c r="H20" s="26" cm="1">
        <f t="array" ref="H20">_xll.FDSB(C20,"PCTCHG(FG_YIELD(0,,,,""YTM""),FG_YIELD(-3AM,,,,""YTM""))")</f>
        <v>6.3033840000000003</v>
      </c>
      <c r="I20" s="26"/>
      <c r="J20" s="26" t="str">
        <f>VLOOKUP(B20,mnemonics!$A$4:$D$73, 4, FALSE)</f>
        <v>REFTR1WREPO-FDS</v>
      </c>
      <c r="K20" s="26" t="str" cm="1">
        <f t="array" ref="K20">_xll.FDSB(J20,"PROPER_NAME(0,,,""SECURITY"",""NAME"")")</f>
        <v>Turkey Repo Rate - 1 Week</v>
      </c>
      <c r="L20" s="26" cm="1">
        <f t="array" ref="L20">_xll.FDSB(J20,"FG_YIELD(NOW,,,0)")</f>
        <v>50</v>
      </c>
      <c r="M20" s="36" cm="1">
        <f t="array" ref="M20">_xll.FDSB(J20,"(SUBARRAY(NOT_NA(NO_REPEAT_F(FG_YIELD(now,-10AY,D))),0,1)-SUBARRAY(NOT_NA(NO_REPEAT_F(FG_YIELD(now,-10AY,D))),1,1))*100")</f>
        <v>500</v>
      </c>
      <c r="N20" s="38">
        <f t="shared" si="0"/>
        <v>-500</v>
      </c>
      <c r="S20">
        <f t="shared" si="3"/>
        <v>0</v>
      </c>
      <c r="T20">
        <f t="shared" si="4"/>
        <v>1</v>
      </c>
      <c r="U20">
        <f t="shared" si="5"/>
        <v>0</v>
      </c>
      <c r="V20" s="47">
        <f t="shared" si="6"/>
        <v>0.25</v>
      </c>
      <c r="X20">
        <f t="shared" si="2"/>
        <v>50</v>
      </c>
    </row>
    <row r="21" spans="1:24" x14ac:dyDescent="0.35">
      <c r="A21" t="s">
        <v>34</v>
      </c>
      <c r="B21" t="s">
        <v>123</v>
      </c>
      <c r="C21" t="s">
        <v>146</v>
      </c>
      <c r="D21" s="26" t="str" cm="1">
        <f t="array" ref="D21">_xll.FDSB(C21,"FG_YIELD_NAME")</f>
        <v>Treasury - United Arab Emirates USD Benchmark Bond 10Y</v>
      </c>
      <c r="E21" s="26" cm="1">
        <f t="array" ref="E21">IFERROR(_xll.FDS(C21,"FG_YIELD(0,,,,""YTM"")"),$E$26)</f>
        <v>4.6346999999999996</v>
      </c>
      <c r="G21" s="26" t="str" cm="1">
        <f t="array" ref="G21">_xll.FDSB(C21,"PCTCHG(FG_YIELD(0,,,,""YTM""),FG_YIELD(-1AM,,,,""YTM""))")</f>
        <v/>
      </c>
      <c r="H21" s="26" t="str" cm="1">
        <f t="array" ref="H21">_xll.FDSB(C21,"PCTCHG(FG_YIELD(0,,,,""YTM""),FG_YIELD(-3AM,,,,""YTM""))")</f>
        <v/>
      </c>
      <c r="I21" s="26"/>
      <c r="J21" s="26" t="str">
        <f>VLOOKUP(B21,mnemonics!$A$4:$D$73, 4, FALSE)</f>
        <v>REFAEREPO-FDS</v>
      </c>
      <c r="K21" s="26" t="str" cm="1">
        <f t="array" ref="K21">_xll.FDSB(J21,"PROPER_NAME(0,,,""SECURITY"",""NAME"")")</f>
        <v>United Arab Emirates Repo Rate</v>
      </c>
      <c r="L21" s="26" cm="1">
        <f t="array" ref="L21">_xll.FDSB(J21,"FG_YIELD(NOW,,,0)")</f>
        <v>5.4</v>
      </c>
      <c r="M21" s="36" cm="1">
        <f t="array" ref="M21">_xll.FDSB(J21,"(SUBARRAY(NOT_NA(NO_REPEAT_F(FG_YIELD(now,-10AY,D))),0,1)-SUBARRAY(NOT_NA(NO_REPEAT_F(FG_YIELD(now,-10AY,D))),1,1))*100")</f>
        <v>25</v>
      </c>
      <c r="N21" s="38">
        <f t="shared" si="0"/>
        <v>-25</v>
      </c>
      <c r="S21">
        <f t="shared" si="3"/>
        <v>0</v>
      </c>
      <c r="T21">
        <f t="shared" si="4"/>
        <v>0</v>
      </c>
      <c r="U21">
        <f t="shared" si="5"/>
        <v>0</v>
      </c>
      <c r="V21" s="47">
        <f t="shared" si="6"/>
        <v>0</v>
      </c>
      <c r="X21">
        <f t="shared" si="2"/>
        <v>4.5</v>
      </c>
    </row>
    <row r="22" spans="1:24" x14ac:dyDescent="0.35">
      <c r="A22" t="s">
        <v>37</v>
      </c>
      <c r="B22" t="s">
        <v>126</v>
      </c>
      <c r="C22" t="s">
        <v>149</v>
      </c>
      <c r="D22" s="26" t="str" cm="1">
        <f t="array" ref="D22">_xll.FDSB(C22,"FG_YIELD_NAME")</f>
        <v>Treasury - Vietnam Benchmark Bond 10Y</v>
      </c>
      <c r="E22" s="26" cm="1">
        <f t="array" ref="E22">IFERROR(_xll.FDS(C22,"FG_YIELD(0,,,,""YTM"")"),$E$26)</f>
        <v>2.7856638</v>
      </c>
      <c r="G22" s="26" cm="1">
        <f t="array" ref="G22">_xll.FDSB(C22,"PCTCHG(FG_YIELD(0,,,,""YTM""),FG_YIELD(-1AM,,,,""YTM""))")</f>
        <v>11.156363000000001</v>
      </c>
      <c r="H22" s="26" cm="1">
        <f t="array" ref="H22">_xll.FDSB(C22,"PCTCHG(FG_YIELD(0,,,,""YTM""),FG_YIELD(-3AM,,,,""YTM""))")</f>
        <v>13.867952000000001</v>
      </c>
      <c r="I22" s="26"/>
      <c r="J22" s="26" t="str">
        <f>VLOOKUP(B22,mnemonics!$A$4:$D$73, 4, FALSE)</f>
        <v>REFVNDISC-FDS</v>
      </c>
      <c r="K22" s="26" t="str" cm="1">
        <f t="array" ref="K22">_xll.FDSB(J22,"PROPER_NAME(0,,,""SECURITY"",""NAME"")")</f>
        <v>Vietnam Discount Rate</v>
      </c>
      <c r="L22" s="26" cm="1">
        <f t="array" ref="L22">_xll.FDSB(J22,"FG_YIELD(NOW,,,0)")</f>
        <v>3</v>
      </c>
      <c r="M22" s="36" cm="1">
        <f t="array" ref="M22">_xll.FDSB(J22,"(SUBARRAY(NOT_NA(NO_REPEAT_F(FG_YIELD(now,-10AY,D))),0,1)-SUBARRAY(NOT_NA(NO_REPEAT_F(FG_YIELD(now,-10AY,D))),1,1))*100")</f>
        <v>-50</v>
      </c>
      <c r="N22" s="38">
        <f t="shared" si="0"/>
        <v>50</v>
      </c>
      <c r="S22">
        <f t="shared" si="3"/>
        <v>1</v>
      </c>
      <c r="T22">
        <f t="shared" si="4"/>
        <v>0</v>
      </c>
      <c r="U22">
        <f t="shared" si="5"/>
        <v>0</v>
      </c>
      <c r="V22" s="47">
        <f t="shared" si="6"/>
        <v>0.5</v>
      </c>
      <c r="X22">
        <f t="shared" si="2"/>
        <v>63.6</v>
      </c>
    </row>
    <row r="23" spans="1:24" x14ac:dyDescent="0.35">
      <c r="A23" t="s">
        <v>36</v>
      </c>
      <c r="B23" t="s">
        <v>125</v>
      </c>
      <c r="C23" t="s">
        <v>148</v>
      </c>
      <c r="D23" s="26" t="str" cm="1">
        <f t="array" ref="D23">_xll.FDSB(C23,"FG_YIELD_NAME")</f>
        <v>Treasury - SAUDI ARABIA Benchmark Bond 10Y</v>
      </c>
      <c r="E23" s="26" cm="1">
        <f t="array" ref="E23">IFERROR(_xll.FDS(C23,"FG_YIELD(0,,,,""YTM"")"),$E$26)</f>
        <v>5.5183163000000004</v>
      </c>
      <c r="G23" s="26" cm="1">
        <f t="array" ref="G23">_xll.FDSB(C23,"PCTCHG(FG_YIELD(0,,,,""YTM""),FG_YIELD(-1AM,,,,""YTM""))")</f>
        <v>6.1889320000000003</v>
      </c>
      <c r="H23" s="26" cm="1">
        <f t="array" ref="H23">_xll.FDSB(C23,"PCTCHG(FG_YIELD(0,,,,""YTM""),FG_YIELD(-3AM,,,,""YTM""))")</f>
        <v>6.6299896</v>
      </c>
      <c r="I23" s="26"/>
      <c r="J23" s="26" t="str">
        <f>VLOOKUP(B23,mnemonics!$A$4:$D$73, 4, FALSE)</f>
        <v>REFSAREPO-FDS</v>
      </c>
      <c r="K23" s="26" t="str" cm="1">
        <f t="array" ref="K23">_xll.FDSB(J23,"PROPER_NAME(0,,,""SECURITY"",""NAME"")")</f>
        <v>Saudi Arabia Repo Rate</v>
      </c>
      <c r="L23" s="26" cm="1">
        <f t="array" ref="L23">_xll.FDSB(J23,"FG_YIELD(NOW,,,0)")</f>
        <v>6</v>
      </c>
      <c r="M23" s="36" cm="1">
        <f t="array" ref="M23">_xll.FDSB(J23,"(SUBARRAY(NOT_NA(NO_REPEAT_F(FG_YIELD(now,-10AY,D))),0,1)-SUBARRAY(NOT_NA(NO_REPEAT_F(FG_YIELD(now,-10AY,D))),1,1))*100")</f>
        <v>25</v>
      </c>
      <c r="N23" s="38">
        <f t="shared" si="0"/>
        <v>-25</v>
      </c>
      <c r="S23">
        <f t="shared" si="3"/>
        <v>0</v>
      </c>
      <c r="T23">
        <f t="shared" si="4"/>
        <v>0</v>
      </c>
      <c r="U23">
        <f t="shared" si="5"/>
        <v>0</v>
      </c>
      <c r="V23" s="47">
        <f t="shared" si="6"/>
        <v>0</v>
      </c>
      <c r="X23">
        <f t="shared" si="2"/>
        <v>4.5</v>
      </c>
    </row>
    <row r="24" spans="1:24" x14ac:dyDescent="0.35">
      <c r="D24" s="26"/>
      <c r="E24" s="26"/>
      <c r="G24" s="26"/>
      <c r="H24" s="26"/>
      <c r="J24" s="26"/>
      <c r="K24" s="26"/>
      <c r="L24" s="26"/>
      <c r="M24" s="36"/>
      <c r="N24" s="38"/>
      <c r="V24" s="52"/>
    </row>
    <row r="25" spans="1:24" x14ac:dyDescent="0.35">
      <c r="D25" s="26"/>
      <c r="E25" s="26"/>
      <c r="G25" s="26"/>
      <c r="H25" s="26"/>
      <c r="J25" s="26"/>
      <c r="K25" s="26"/>
      <c r="L25" s="26"/>
      <c r="M25" s="36"/>
      <c r="N25" s="38"/>
      <c r="V25" s="52"/>
    </row>
    <row r="26" spans="1:24" x14ac:dyDescent="0.35">
      <c r="A26" t="s">
        <v>1</v>
      </c>
      <c r="B26" t="s">
        <v>119</v>
      </c>
      <c r="C26" t="s">
        <v>14</v>
      </c>
      <c r="D26" s="26" t="str" cm="1">
        <f t="array" ref="D26">_xll.FDSB(C26,"FG_YIELD_NAME")</f>
        <v>US Benchmark Bond - 10 Year</v>
      </c>
      <c r="E26" s="26" cm="1">
        <f t="array" ref="E26">IFERROR(_xll.FDS(C26,"FG_YIELD(0,,,,""YTM"")"),E55)</f>
        <v>4.6346999999999996</v>
      </c>
      <c r="G26" s="26"/>
      <c r="H26" s="26"/>
      <c r="J26" s="26"/>
      <c r="K26" s="26"/>
      <c r="L26" s="26"/>
      <c r="M26" s="36"/>
      <c r="N26" s="38"/>
      <c r="V26" s="52"/>
    </row>
    <row r="27" spans="1:24" x14ac:dyDescent="0.35">
      <c r="D27" s="26"/>
      <c r="E27" s="26"/>
      <c r="G27" s="26"/>
      <c r="H27" s="26"/>
      <c r="J27" s="26"/>
      <c r="K27" s="26"/>
      <c r="L27" s="26"/>
      <c r="M27" s="36"/>
      <c r="N27" s="38"/>
      <c r="V27" s="52"/>
    </row>
    <row r="28" spans="1:24" x14ac:dyDescent="0.35">
      <c r="D28" s="26"/>
      <c r="E28" s="26"/>
      <c r="G28" s="26"/>
      <c r="H28" s="26"/>
      <c r="J28" s="26"/>
      <c r="K28" s="26"/>
      <c r="L28" s="26"/>
      <c r="M28" s="36"/>
      <c r="N28" s="38"/>
      <c r="V28" s="52"/>
    </row>
    <row r="29" spans="1:24" x14ac:dyDescent="0.35">
      <c r="D29" s="26"/>
      <c r="E29" s="26"/>
      <c r="G29" s="26"/>
      <c r="H29" s="26"/>
      <c r="J29" s="26"/>
      <c r="K29" s="26"/>
      <c r="L29" s="26"/>
      <c r="M29" s="36"/>
      <c r="N29" s="38"/>
      <c r="V29" s="52"/>
    </row>
    <row r="30" spans="1:24" x14ac:dyDescent="0.35">
      <c r="D30" s="26"/>
      <c r="E30" s="26"/>
      <c r="G30" s="26"/>
      <c r="H30" s="26"/>
      <c r="J30" s="26"/>
      <c r="K30" s="26"/>
      <c r="L30" s="26"/>
      <c r="M30" s="36"/>
      <c r="N30" s="38"/>
      <c r="V30" s="52"/>
    </row>
    <row r="35" spans="1:8" ht="18.5" x14ac:dyDescent="0.45">
      <c r="A35" s="34"/>
      <c r="B35" s="35"/>
      <c r="C35" s="35"/>
      <c r="D35" s="35"/>
      <c r="E35" s="35"/>
      <c r="F35" s="35"/>
      <c r="G35" s="35"/>
      <c r="H35" s="35"/>
    </row>
    <row r="42" spans="1:8" x14ac:dyDescent="0.35">
      <c r="C42" s="1"/>
      <c r="D42" s="1"/>
      <c r="E42" s="1"/>
      <c r="F42" s="1"/>
    </row>
    <row r="43" spans="1:8" x14ac:dyDescent="0.35">
      <c r="C43" s="1"/>
      <c r="D43" s="1"/>
      <c r="E43" s="1"/>
      <c r="F43" s="1"/>
    </row>
    <row r="44" spans="1:8" x14ac:dyDescent="0.35">
      <c r="C44" s="1"/>
      <c r="D44" s="1"/>
      <c r="E44" s="1"/>
      <c r="F44" s="1"/>
    </row>
    <row r="63" spans="3:6" x14ac:dyDescent="0.35">
      <c r="C63" s="1"/>
      <c r="D63" s="1"/>
      <c r="E63" s="1"/>
      <c r="F63" s="1"/>
    </row>
    <row r="79" spans="4:6" x14ac:dyDescent="0.3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K7" sqref="K7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2.1796875" bestFit="1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7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4" t="s">
        <v>542</v>
      </c>
      <c r="B1" s="74" t="s">
        <v>529</v>
      </c>
      <c r="C1" s="74" t="s">
        <v>530</v>
      </c>
      <c r="D1" s="74" t="s">
        <v>96</v>
      </c>
      <c r="E1" s="74" t="s">
        <v>97</v>
      </c>
      <c r="F1" s="74" t="s">
        <v>98</v>
      </c>
      <c r="G1" s="78" t="s">
        <v>380</v>
      </c>
      <c r="H1" s="78" t="s">
        <v>410</v>
      </c>
      <c r="I1" s="78" t="s">
        <v>540</v>
      </c>
      <c r="J1" s="78" t="s">
        <v>543</v>
      </c>
      <c r="K1" s="79" t="s">
        <v>748</v>
      </c>
      <c r="L1" s="78" t="s">
        <v>539</v>
      </c>
      <c r="M1" s="78" t="s">
        <v>551</v>
      </c>
      <c r="N1" s="74" t="s">
        <v>746</v>
      </c>
      <c r="O1" s="74" t="s">
        <v>747</v>
      </c>
      <c r="P1" s="74" t="s">
        <v>749</v>
      </c>
      <c r="Q1" s="74" t="s">
        <v>544</v>
      </c>
      <c r="R1" s="74" t="s">
        <v>545</v>
      </c>
      <c r="S1" s="74" t="s">
        <v>553</v>
      </c>
    </row>
    <row r="2" spans="1:19" x14ac:dyDescent="0.35">
      <c r="A2" t="s">
        <v>432</v>
      </c>
      <c r="B2" t="s">
        <v>432</v>
      </c>
      <c r="C2" t="s">
        <v>435</v>
      </c>
      <c r="D2" t="s">
        <v>104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2.2660999999999998</v>
      </c>
      <c r="H2" cm="1">
        <f t="array" ref="H2">_xll.FDS(B2,"FG_ROE(0)")</f>
        <v>9.4907668187535599</v>
      </c>
      <c r="I2">
        <f>HLOOKUP(B2,'Index ROE'!$B$1:$V$25,24,FALSE)</f>
        <v>13.110180178133749</v>
      </c>
      <c r="J2" cm="1">
        <f t="array" ref="J2">_xll.FDS(B2, "FMA_RBICS_REV_CURRENT(30, LOC, ""PORTAGG"")")</f>
        <v>20.588223136932601</v>
      </c>
      <c r="K2" s="77">
        <f>HLOOKUP(B2,'Index earnings'!$A$1:$V$26,26,FALSE)</f>
        <v>7.2171886711234645E-2</v>
      </c>
      <c r="L2">
        <f>HLOOKUP(B2,'Yearly returns'!$B$1:$V$128,126,FALSE)</f>
        <v>-27.94342</v>
      </c>
      <c r="M2">
        <f>I2-G2</f>
        <v>10.844080178133749</v>
      </c>
      <c r="N2" cm="1">
        <f t="array" ref="N2">_xlfn.PERCENTRANK.EXC(_xlfn._xlws.FILTER(M$2:M$22, ISNUMBER(M$2:M$22)),M2)*100</f>
        <v>90.9</v>
      </c>
      <c r="O2" cm="1">
        <f t="array" ref="O2">(1-_xlfn.PERCENTRANK.EXC(_xlfn._xlws.FILTER(J$2:J$22, ISNUMBER(J$2:J$22)),J2))*100</f>
        <v>86.4</v>
      </c>
      <c r="P2" cm="1">
        <f t="array" ref="P2">_xlfn.PERCENTRANK.EXC(_xlfn._xlws.FILTER(K$2:K$22, ISNUMBER(K$2:K$22)),K2)*100</f>
        <v>86.3</v>
      </c>
      <c r="Q2" cm="1">
        <f t="array" ref="Q2">_xlfn.PERCENTRANK.EXC(_xlfn._xlws.FILTER(L$2:L$22, ISNUMBER(L$2:L$22)),L2)*100</f>
        <v>90.9</v>
      </c>
      <c r="R2">
        <f>N2*Assumption!$F$64 + O2*Assumption!$F$61 + P2*Assumption!$F$62 + Q2*Assumption!$F$63</f>
        <v>88.625</v>
      </c>
      <c r="S2" cm="1">
        <f t="array" ref="S2">_xlfn.PERCENTRANK.EXC(_xlfn._xlws.FILTER(R$2:R$22, ISNUMBER(R$2:R$22)),R2)*100</f>
        <v>95.399999999999991</v>
      </c>
    </row>
    <row r="3" spans="1:19" x14ac:dyDescent="0.35">
      <c r="A3" t="s">
        <v>27</v>
      </c>
      <c r="B3" t="s">
        <v>27</v>
      </c>
      <c r="C3" t="s">
        <v>436</v>
      </c>
      <c r="D3" t="s">
        <v>107</v>
      </c>
      <c r="E3" t="s">
        <v>108</v>
      </c>
      <c r="F3" t="str" cm="1">
        <f t="array" ref="F3">_xll.FDS(E3,"FG_YIELD_NAME")</f>
        <v>Treasury - Chile Inflation-Indexed (TIPS) Bond 10Y</v>
      </c>
      <c r="G3">
        <f>VLOOKUP(A3,'LIQIDITY 2'!$A$3:$E$26,5,FALSE)</f>
        <v>2.8044319999999998</v>
      </c>
      <c r="H3" cm="1">
        <f t="array" ref="H3">_xll.FDS(B3,"FG_ROE(0)")</f>
        <v>10.9698358870268</v>
      </c>
      <c r="I3">
        <f>HLOOKUP(B3,'Index ROE'!$B$1:$V$25,24,FALSE)</f>
        <v>11.2778516938703</v>
      </c>
      <c r="J3" cm="1">
        <f t="array" ref="J3">_xll.FDS(B3, "FMA_RBICS_REV_CURRENT(30, LOC, ""PORTAGG"")")</f>
        <v>31.8032529247924</v>
      </c>
      <c r="K3" s="77">
        <f>HLOOKUP(B3,'Index earnings'!$A$1:$V$26,26,FALSE)</f>
        <v>3.8701923493088319E-2</v>
      </c>
      <c r="L3">
        <f>HLOOKUP(B3,'Yearly returns'!$B$1:$V$128,126,FALSE)</f>
        <v>-59.507649999999998</v>
      </c>
      <c r="M3">
        <f t="shared" ref="M3:M22" si="0">I3-G3</f>
        <v>8.4734196938702997</v>
      </c>
      <c r="N3" cm="1">
        <f t="array" ref="N3">_xlfn.PERCENTRANK.EXC(_xlfn._xlws.FILTER(M$2:M$22, ISNUMBER(M$2:M$22)),M3)*100</f>
        <v>68.100000000000009</v>
      </c>
      <c r="O3" cm="1">
        <f t="array" ref="O3">(1-_xlfn.PERCENTRANK.EXC(_xlfn._xlws.FILTER(J$2:J$22, ISNUMBER(J$2:J$22)),J3))*100</f>
        <v>54.6</v>
      </c>
      <c r="P3" cm="1">
        <f t="array" ref="P3">_xlfn.PERCENTRANK.EXC(_xlfn._xlws.FILTER(K$2:K$22, ISNUMBER(K$2:K$22)),K3)*100</f>
        <v>63.6</v>
      </c>
      <c r="Q3" cm="1">
        <f t="array" ref="Q3">_xlfn.PERCENTRANK.EXC(_xlfn._xlws.FILTER(L$2:L$22, ISNUMBER(L$2:L$22)),L3)*100</f>
        <v>4.5</v>
      </c>
      <c r="R3">
        <f>N3*Assumption!$F$64 + O3*Assumption!$F$61 + P3*Assumption!$F$62 + Q3*Assumption!$F$63</f>
        <v>47.7</v>
      </c>
      <c r="S3" cm="1">
        <f t="array" ref="S3">_xlfn.PERCENTRANK.EXC(_xlfn._xlws.FILTER(R$2:R$22, ISNUMBER(R$2:R$22)),R3)*100</f>
        <v>50</v>
      </c>
    </row>
    <row r="4" spans="1:19" x14ac:dyDescent="0.35">
      <c r="A4" t="s">
        <v>35</v>
      </c>
      <c r="B4" t="s">
        <v>35</v>
      </c>
      <c r="C4" t="s">
        <v>437</v>
      </c>
      <c r="D4" t="s">
        <v>124</v>
      </c>
      <c r="E4" t="s">
        <v>147</v>
      </c>
      <c r="F4" t="str" cm="1">
        <f t="array" ref="F4">_xll.FDS(E4,"FG_YIELD_NAME")</f>
        <v>Treasury - Indonesia Benchmark Bond 10Y</v>
      </c>
      <c r="G4">
        <f>VLOOKUP(A4,'LIQIDITY 2'!$A$3:$E$26,5,FALSE)</f>
        <v>6.9292300000000004</v>
      </c>
      <c r="H4" cm="1">
        <f t="array" ref="H4">_xll.FDS(B4,"FG_ROE(0)")</f>
        <v>11.9277721101005</v>
      </c>
      <c r="I4">
        <f>HLOOKUP(B4,'Index ROE'!$B$1:$V$25,24,FALSE)</f>
        <v>15.657517519582651</v>
      </c>
      <c r="J4" cm="1">
        <f t="array" ref="J4">_xll.FDS(B4, "FMA_RBICS_REV_CURRENT(30, LOC, ""PORTAGG"")")</f>
        <v>58.420543425148203</v>
      </c>
      <c r="K4" s="77">
        <f>HLOOKUP(B4,'Index earnings'!$A$1:$V$26,26,FALSE)</f>
        <v>4.2935776314919183E-2</v>
      </c>
      <c r="L4">
        <f>HLOOKUP(B4,'Yearly returns'!$B$1:$V$128,126,FALSE)</f>
        <v>-43.961506</v>
      </c>
      <c r="M4">
        <f t="shared" si="0"/>
        <v>8.7282875195826506</v>
      </c>
      <c r="N4" cm="1">
        <f t="array" ref="N4">_xlfn.PERCENTRANK.EXC(_xlfn._xlws.FILTER(M$2:M$22, ISNUMBER(M$2:M$22)),M4)*100</f>
        <v>72.7</v>
      </c>
      <c r="O4" cm="1">
        <f t="array" ref="O4">(1-_xlfn.PERCENTRANK.EXC(_xlfn._xlws.FILTER(J$2:J$22, ISNUMBER(J$2:J$22)),J4))*100</f>
        <v>13.700000000000001</v>
      </c>
      <c r="P4" cm="1">
        <f t="array" ref="P4">_xlfn.PERCENTRANK.EXC(_xlfn._xlws.FILTER(K$2:K$22, ISNUMBER(K$2:K$22)),K4)*100</f>
        <v>68.100000000000009</v>
      </c>
      <c r="Q4" cm="1">
        <f t="array" ref="Q4">_xlfn.PERCENTRANK.EXC(_xlfn._xlws.FILTER(L$2:L$22, ISNUMBER(L$2:L$22)),L4)*100</f>
        <v>36.299999999999997</v>
      </c>
      <c r="R4">
        <f>N4*Assumption!$F$64 + O4*Assumption!$F$61 + P4*Assumption!$F$62 + Q4*Assumption!$F$63</f>
        <v>47.7</v>
      </c>
      <c r="S4" cm="1">
        <f t="array" ref="S4">_xlfn.PERCENTRANK.EXC(_xlfn._xlws.FILTER(R$2:R$22, ISNUMBER(R$2:R$22)),R4)*100</f>
        <v>50</v>
      </c>
    </row>
    <row r="5" spans="1:19" x14ac:dyDescent="0.35">
      <c r="A5" t="s">
        <v>30</v>
      </c>
      <c r="B5" t="s">
        <v>30</v>
      </c>
      <c r="C5" t="s">
        <v>438</v>
      </c>
      <c r="D5" t="s">
        <v>117</v>
      </c>
      <c r="E5" t="s">
        <v>143</v>
      </c>
      <c r="F5" t="str" cm="1">
        <f t="array" ref="F5">_xll.FDS(E5,"FG_YIELD_NAME")</f>
        <v>Philippines Benchmark Bond - 10 Year</v>
      </c>
      <c r="G5">
        <f>VLOOKUP(A5,'LIQIDITY 2'!$A$3:$E$26,5,FALSE)</f>
        <v>6.8026439999999999</v>
      </c>
      <c r="H5" cm="1">
        <f t="array" ref="H5">_xll.FDS(B5,"FG_ROE(0)")</f>
        <v>12.37237537183</v>
      </c>
      <c r="I5">
        <f>HLOOKUP(B5,'Index ROE'!$B$1:$V$25,24,FALSE)</f>
        <v>12.530824852807651</v>
      </c>
      <c r="J5" cm="1">
        <f t="array" ref="J5">_xll.FDS(B5, "FMA_RBICS_REV_CURRENT(30, LOC, ""PORTAGG"")")</f>
        <v>47.200409865303001</v>
      </c>
      <c r="K5" s="77">
        <f>HLOOKUP(B5,'Index earnings'!$A$1:$V$26,26,FALSE)</f>
        <v>6.5968962402024767E-2</v>
      </c>
      <c r="L5">
        <f>HLOOKUP(B5,'Yearly returns'!$B$1:$V$128,126,FALSE)</f>
        <v>-43.419646999999998</v>
      </c>
      <c r="M5">
        <f t="shared" si="0"/>
        <v>5.7281808528076512</v>
      </c>
      <c r="N5" cm="1">
        <f t="array" ref="N5">_xlfn.PERCENTRANK.EXC(_xlfn._xlws.FILTER(M$2:M$22, ISNUMBER(M$2:M$22)),M5)*100</f>
        <v>36.299999999999997</v>
      </c>
      <c r="O5" cm="1">
        <f t="array" ref="O5">(1-_xlfn.PERCENTRANK.EXC(_xlfn._xlws.FILTER(J$2:J$22, ISNUMBER(J$2:J$22)),J5))*100</f>
        <v>27.3</v>
      </c>
      <c r="P5" cm="1">
        <f t="array" ref="P5">_xlfn.PERCENTRANK.EXC(_xlfn._xlws.FILTER(K$2:K$22, ISNUMBER(K$2:K$22)),K5)*100</f>
        <v>81.8</v>
      </c>
      <c r="Q5" cm="1">
        <f t="array" ref="Q5">_xlfn.PERCENTRANK.EXC(_xlfn._xlws.FILTER(L$2:L$22, ISNUMBER(L$2:L$22)),L5)*100</f>
        <v>45.4</v>
      </c>
      <c r="R5">
        <f>N5*Assumption!$F$64 + O5*Assumption!$F$61 + P5*Assumption!$F$62 + Q5*Assumption!$F$63</f>
        <v>47.699999999999996</v>
      </c>
      <c r="S5" cm="1">
        <f t="array" ref="S5">_xlfn.PERCENTRANK.EXC(_xlfn._xlws.FILTER(R$2:R$22, ISNUMBER(R$2:R$22)),R5)*100</f>
        <v>45.4</v>
      </c>
    </row>
    <row r="6" spans="1:19" x14ac:dyDescent="0.35">
      <c r="A6" t="s">
        <v>23</v>
      </c>
      <c r="B6" t="s">
        <v>23</v>
      </c>
      <c r="C6" t="s">
        <v>439</v>
      </c>
      <c r="D6" t="s">
        <v>100</v>
      </c>
      <c r="E6" t="s">
        <v>129</v>
      </c>
      <c r="F6" t="str" cm="1">
        <f t="array" ref="F6">_xll.FDS(E6,"FG_YIELD_NAME")</f>
        <v>Treasury - Poland Benchmark Bond 10Y</v>
      </c>
      <c r="G6">
        <f>VLOOKUP(A6,'LIQIDITY 2'!$A$3:$E$26,5,FALSE)</f>
        <v>5.7252000000000001</v>
      </c>
      <c r="H6" cm="1">
        <f t="array" ref="H6">_xll.FDS(B6,"FG_ROE(0)")</f>
        <v>14.656311391948099</v>
      </c>
      <c r="I6">
        <f>HLOOKUP(B6,'Index ROE'!$B$1:$V$25,24,FALSE)</f>
        <v>10.013481596831115</v>
      </c>
      <c r="J6" cm="1">
        <f t="array" ref="J6">_xll.FDS(B6, "FMA_RBICS_REV_CURRENT(30, LOC, ""PORTAGG"")")</f>
        <v>48.900793152445203</v>
      </c>
      <c r="K6" s="77">
        <f>HLOOKUP(B6,'Index earnings'!$A$1:$V$26,26,FALSE)</f>
        <v>3.6620331475524681E-2</v>
      </c>
      <c r="L6">
        <f>HLOOKUP(B6,'Yearly returns'!$B$1:$V$128,126,FALSE)</f>
        <v>-51.066895000000002</v>
      </c>
      <c r="M6">
        <f t="shared" si="0"/>
        <v>4.2882815968311148</v>
      </c>
      <c r="N6" cm="1">
        <f t="array" ref="N6">_xlfn.PERCENTRANK.EXC(_xlfn._xlws.FILTER(M$2:M$22, ISNUMBER(M$2:M$22)),M6)*100</f>
        <v>22.7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54.500000000000007</v>
      </c>
      <c r="Q6" cm="1">
        <f t="array" ref="Q6">_xlfn.PERCENTRANK.EXC(_xlfn._xlws.FILTER(L$2:L$22, ISNUMBER(L$2:L$22)),L6)*100</f>
        <v>18.099999999999998</v>
      </c>
      <c r="R6">
        <f>N6*Assumption!$F$64 + O6*Assumption!$F$61 + P6*Assumption!$F$62 + Q6*Assumption!$F$63</f>
        <v>29.524999999999999</v>
      </c>
      <c r="S6" cm="1">
        <f t="array" ref="S6">_xlfn.PERCENTRANK.EXC(_xlfn._xlws.FILTER(R$2:R$22, ISNUMBER(R$2:R$22)),R6)*100</f>
        <v>9</v>
      </c>
    </row>
    <row r="7" spans="1:19" x14ac:dyDescent="0.35">
      <c r="A7" t="s">
        <v>29</v>
      </c>
      <c r="B7" t="s">
        <v>29</v>
      </c>
      <c r="C7" t="s">
        <v>440</v>
      </c>
      <c r="D7" t="s">
        <v>112</v>
      </c>
      <c r="E7" t="s">
        <v>137</v>
      </c>
      <c r="F7" t="str" cm="1">
        <f t="array" ref="F7">_xll.FDS(E7,"FG_YIELD_NAME")</f>
        <v>Treasury - Peru Benchmark Bond 10Y</v>
      </c>
      <c r="G7">
        <f>VLOOKUP(A7,'LIQIDITY 2'!$A$3:$E$26,5,FALSE)</f>
        <v>7.5620690000000002</v>
      </c>
      <c r="H7" cm="1">
        <f t="array" ref="H7">_xll.FDS(B7,"FG_ROE(0)")</f>
        <v>9.7987636277285102</v>
      </c>
      <c r="I7">
        <f>HLOOKUP(B7,'Index ROE'!$B$1:$V$25,24,FALSE)</f>
        <v>12.932447367368299</v>
      </c>
      <c r="J7" cm="1">
        <f t="array" ref="J7">_xll.FDS(B7, "FMA_RBICS_REV_CURRENT(30, LOC, ""PORTAGG"")")</f>
        <v>32.482547010070398</v>
      </c>
      <c r="K7" s="77">
        <f>HLOOKUP(B7,'Index earnings'!$A$1:$V$26,26,FALSE)</f>
        <v>1.6222353544926627E-2</v>
      </c>
      <c r="L7">
        <f>HLOOKUP(B7,'Yearly returns'!$B$1:$V$128,126,FALSE)</f>
        <v>-43.894480000000001</v>
      </c>
      <c r="M7">
        <f t="shared" si="0"/>
        <v>5.370378367368299</v>
      </c>
      <c r="N7" cm="1">
        <f t="array" ref="N7">_xlfn.PERCENTRANK.EXC(_xlfn._xlws.FILTER(M$2:M$22, ISNUMBER(M$2:M$22)),M7)*100</f>
        <v>31.8</v>
      </c>
      <c r="O7" cm="1">
        <f t="array" ref="O7">(1-_xlfn.PERCENTRANK.EXC(_xlfn._xlws.FILTER(J$2:J$22, ISNUMBER(J$2:J$22)),J7))*100</f>
        <v>50</v>
      </c>
      <c r="P7" cm="1">
        <f t="array" ref="P7">_xlfn.PERCENTRANK.EXC(_xlfn._xlws.FILTER(K$2:K$22, ISNUMBER(K$2:K$22)),K7)*100</f>
        <v>31.8</v>
      </c>
      <c r="Q7" cm="1">
        <f t="array" ref="Q7">_xlfn.PERCENTRANK.EXC(_xlfn._xlws.FILTER(L$2:L$22, ISNUMBER(L$2:L$22)),L7)*100</f>
        <v>40.9</v>
      </c>
      <c r="R7">
        <f>N7*Assumption!$F$64 + O7*Assumption!$F$61 + P7*Assumption!$F$62 + Q7*Assumption!$F$63</f>
        <v>38.625</v>
      </c>
      <c r="S7" cm="1">
        <f t="array" ref="S7">_xlfn.PERCENTRANK.EXC(_xlfn._xlws.FILTER(R$2:R$22, ISNUMBER(R$2:R$22)),R7)*100</f>
        <v>31.8</v>
      </c>
    </row>
    <row r="8" spans="1:19" x14ac:dyDescent="0.35">
      <c r="A8" t="s">
        <v>33</v>
      </c>
      <c r="B8" t="s">
        <v>33</v>
      </c>
      <c r="C8" t="s">
        <v>441</v>
      </c>
      <c r="D8" t="s">
        <v>122</v>
      </c>
      <c r="E8" t="s">
        <v>145</v>
      </c>
      <c r="F8" t="str" cm="1">
        <f t="array" ref="F8">_xll.FDS(E8,"FG_YIELD_NAME")</f>
        <v>Treasury - Malaysia Benchmark Bond 10Y</v>
      </c>
      <c r="G8">
        <f>VLOOKUP(A8,'LIQIDITY 2'!$A$3:$E$26,5,FALSE)</f>
        <v>3.9609320000000001</v>
      </c>
      <c r="H8" cm="1">
        <f t="array" ref="H8">_xll.FDS(B8,"FG_ROE(0)")</f>
        <v>7.9247329700433999</v>
      </c>
      <c r="I8">
        <f>HLOOKUP(B8,'Index ROE'!$B$1:$V$25,24,FALSE)</f>
        <v>11.93920849991995</v>
      </c>
      <c r="J8" cm="1">
        <f t="array" ref="J8">_xll.FDS(B8, "FMA_RBICS_REV_CURRENT(30, LOC, ""PORTAGG"")")</f>
        <v>41.739834751552898</v>
      </c>
      <c r="K8" s="77">
        <f>HLOOKUP(B8,'Index earnings'!$A$1:$V$26,26,FALSE)</f>
        <v>2.538209198042507E-2</v>
      </c>
      <c r="L8">
        <f>HLOOKUP(B8,'Yearly returns'!$B$1:$V$128,126,FALSE)</f>
        <v>-34.768383</v>
      </c>
      <c r="M8">
        <f t="shared" si="0"/>
        <v>7.97827649991995</v>
      </c>
      <c r="N8" cm="1">
        <f t="array" ref="N8">_xlfn.PERCENTRANK.EXC(_xlfn._xlws.FILTER(M$2:M$22, ISNUMBER(M$2:M$22)),M8)*100</f>
        <v>59</v>
      </c>
      <c r="O8" cm="1">
        <f t="array" ref="O8">(1-_xlfn.PERCENTRANK.EXC(_xlfn._xlws.FILTER(J$2:J$22, ISNUMBER(J$2:J$22)),J8))*100</f>
        <v>45.499999999999993</v>
      </c>
      <c r="P8" cm="1">
        <f t="array" ref="P8">_xlfn.PERCENTRANK.EXC(_xlfn._xlws.FILTER(K$2:K$22, ISNUMBER(K$2:K$22)),K8)*100</f>
        <v>50</v>
      </c>
      <c r="Q8" cm="1">
        <f t="array" ref="Q8">_xlfn.PERCENTRANK.EXC(_xlfn._xlws.FILTER(L$2:L$22, ISNUMBER(L$2:L$22)),L8)*100</f>
        <v>72.7</v>
      </c>
      <c r="R8">
        <f>N8*Assumption!$F$64 + O8*Assumption!$F$61 + P8*Assumption!$F$62 + Q8*Assumption!$F$63</f>
        <v>56.8</v>
      </c>
      <c r="S8" cm="1">
        <f t="array" ref="S8">_xlfn.PERCENTRANK.EXC(_xlfn._xlws.FILTER(R$2:R$22, ISNUMBER(R$2:R$22)),R8)*100</f>
        <v>68.100000000000009</v>
      </c>
    </row>
    <row r="9" spans="1:19" x14ac:dyDescent="0.35">
      <c r="A9" t="s">
        <v>24</v>
      </c>
      <c r="B9" t="s">
        <v>24</v>
      </c>
      <c r="C9" t="s">
        <v>40</v>
      </c>
      <c r="D9" t="s">
        <v>103</v>
      </c>
      <c r="E9" t="s">
        <v>131</v>
      </c>
      <c r="F9" t="str" cm="1">
        <f t="array" ref="F9">_xll.FDS(E9,"FG_YIELD_NAME")</f>
        <v>Taiwan China Benchmark Bond - 10 Year</v>
      </c>
      <c r="G9">
        <f>VLOOKUP(A9,'LIQIDITY 2'!$A$3:$E$26,5,FALSE)</f>
        <v>1.7124999999999999</v>
      </c>
      <c r="H9" cm="1">
        <f t="array" ref="H9">_xll.FDS(B9,"FG_ROE(0)")</f>
        <v>9.8602700766488205</v>
      </c>
      <c r="I9">
        <f>HLOOKUP(B9,'Index ROE'!$B$1:$V$25,24,FALSE)</f>
        <v>12.1490203436593</v>
      </c>
      <c r="J9" cm="1">
        <f t="array" ref="J9">_xll.FDS(B9, "FMA_RBICS_REV_CURRENT(30, LOC, ""PORTAGG"")")</f>
        <v>17.806674187340199</v>
      </c>
      <c r="K9" s="77">
        <f>HLOOKUP(B9,'Index earnings'!$A$1:$V$26,26,FALSE)</f>
        <v>3.7640823203299423E-2</v>
      </c>
      <c r="L9">
        <f>HLOOKUP(B9,'Yearly returns'!$B$1:$V$128,126,FALSE)</f>
        <v>-29.776024</v>
      </c>
      <c r="M9">
        <f t="shared" si="0"/>
        <v>10.4365203436593</v>
      </c>
      <c r="N9" cm="1">
        <f t="array" ref="N9">_xlfn.PERCENTRANK.EXC(_xlfn._xlws.FILTER(M$2:M$22, ISNUMBER(M$2:M$22)),M9)*100</f>
        <v>81.8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59</v>
      </c>
      <c r="Q9" cm="1">
        <f t="array" ref="Q9">_xlfn.PERCENTRANK.EXC(_xlfn._xlws.FILTER(L$2:L$22, ISNUMBER(L$2:L$22)),L9)*100</f>
        <v>86.3</v>
      </c>
      <c r="R9">
        <f>N9*Assumption!$F$64 + O9*Assumption!$F$61 + P9*Assumption!$F$62 + Q9*Assumption!$F$63</f>
        <v>79.525000000000006</v>
      </c>
      <c r="S9" cm="1">
        <f t="array" ref="S9">_xlfn.PERCENTRANK.EXC(_xlfn._xlws.FILTER(R$2:R$22, ISNUMBER(R$2:R$22)),R9)*100</f>
        <v>90.9</v>
      </c>
    </row>
    <row r="10" spans="1:19" x14ac:dyDescent="0.35">
      <c r="A10" t="s">
        <v>7</v>
      </c>
      <c r="B10" t="s">
        <v>7</v>
      </c>
      <c r="C10" t="s">
        <v>53</v>
      </c>
      <c r="D10" t="s">
        <v>121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9.9444999999999997</v>
      </c>
      <c r="H10" cm="1">
        <f t="array" ref="H10">_xll.FDS(B10,"FG_ROE(0)")</f>
        <v>13.716774437918099</v>
      </c>
      <c r="I10">
        <f>HLOOKUP(B10,'Index ROE'!$B$1:$V$25,24,FALSE)</f>
        <v>12.78064669069385</v>
      </c>
      <c r="J10" cm="1">
        <f t="array" ref="J10">_xll.FDS(B10, "FMA_RBICS_REV_CURRENT(30, LOC, ""PORTAGG"")")</f>
        <v>29.596557345691298</v>
      </c>
      <c r="K10" s="77">
        <f>HLOOKUP(B10,'Index earnings'!$A$1:$V$26,26,FALSE)</f>
        <v>5.7936521380949291E-2</v>
      </c>
      <c r="L10">
        <f>HLOOKUP(B10,'Yearly returns'!$B$1:$V$128,126,FALSE)</f>
        <v>-38.409424000000001</v>
      </c>
      <c r="M10">
        <f t="shared" si="0"/>
        <v>2.8361466906938499</v>
      </c>
      <c r="N10" cm="1">
        <f t="array" ref="N10">_xlfn.PERCENTRANK.EXC(_xlfn._xlws.FILTER(M$2:M$22, ISNUMBER(M$2:M$22)),M10)*100</f>
        <v>13.600000000000001</v>
      </c>
      <c r="O10" cm="1">
        <f t="array" ref="O10">(1-_xlfn.PERCENTRANK.EXC(_xlfn._xlws.FILTER(J$2:J$22, ISNUMBER(J$2:J$22)),J10))*100</f>
        <v>59.099999999999994</v>
      </c>
      <c r="P10" cm="1">
        <f t="array" ref="P10">_xlfn.PERCENTRANK.EXC(_xlfn._xlws.FILTER(K$2:K$22, ISNUMBER(K$2:K$22)),K10)*100</f>
        <v>72.7</v>
      </c>
      <c r="Q10" cm="1">
        <f t="array" ref="Q10">_xlfn.PERCENTRANK.EXC(_xlfn._xlws.FILTER(L$2:L$22, ISNUMBER(L$2:L$22)),L10)*100</f>
        <v>59</v>
      </c>
      <c r="R10">
        <f>N10*Assumption!$F$64 + O10*Assumption!$F$61 + P10*Assumption!$F$62 + Q10*Assumption!$F$63</f>
        <v>51.099999999999994</v>
      </c>
      <c r="S10" cm="1">
        <f t="array" ref="S10">_xlfn.PERCENTRANK.EXC(_xlfn._xlws.FILTER(R$2:R$22, ISNUMBER(R$2:R$22)),R10)*100</f>
        <v>59</v>
      </c>
    </row>
    <row r="11" spans="1:19" x14ac:dyDescent="0.35">
      <c r="A11" t="s">
        <v>21</v>
      </c>
      <c r="B11" t="s">
        <v>21</v>
      </c>
      <c r="C11" t="s">
        <v>38</v>
      </c>
      <c r="D11" t="s">
        <v>101</v>
      </c>
      <c r="E11" t="s">
        <v>130</v>
      </c>
      <c r="F11" t="str" cm="1">
        <f t="array" ref="F11">_xll.FDS(E11,"FG_YIELD_NAME")</f>
        <v>South Korea Benchmark Bond - 10 Year</v>
      </c>
      <c r="G11">
        <f>VLOOKUP(A11,'LIQIDITY 2'!$A$3:$E$26,5,FALSE)</f>
        <v>3.5651000000000002</v>
      </c>
      <c r="H11" cm="1">
        <f t="array" ref="H11">_xll.FDS(B11,"FG_ROE(0)")</f>
        <v>5.6610671455106196</v>
      </c>
      <c r="I11">
        <f>HLOOKUP(B11,'Index ROE'!$B$1:$V$25,24,FALSE)</f>
        <v>10.67142731585205</v>
      </c>
      <c r="J11" cm="1">
        <f t="array" ref="J11">_xll.FDS(B11, "FMA_RBICS_REV_CURRENT(30, LOC, ""PORTAGG"")")</f>
        <v>14.950795428413</v>
      </c>
      <c r="K11" s="77">
        <f>HLOOKUP(B11,'Index earnings'!$A$1:$V$26,26,FALSE)</f>
        <v>2.4574898578836768E-2</v>
      </c>
      <c r="L11">
        <f>HLOOKUP(B11,'Yearly returns'!$B$1:$V$128,126,FALSE)</f>
        <v>-35.610419999999998</v>
      </c>
      <c r="M11">
        <f t="shared" si="0"/>
        <v>7.1063273158520497</v>
      </c>
      <c r="N11" cm="1">
        <f t="array" ref="N11">_xlfn.PERCENTRANK.EXC(_xlfn._xlws.FILTER(M$2:M$22, ISNUMBER(M$2:M$22)),M11)*100</f>
        <v>50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45.4</v>
      </c>
      <c r="Q11" cm="1">
        <f t="array" ref="Q11">_xlfn.PERCENTRANK.EXC(_xlfn._xlws.FILTER(L$2:L$22, ISNUMBER(L$2:L$22)),L11)*100</f>
        <v>63.6</v>
      </c>
      <c r="R11">
        <f>N11*Assumption!$F$64 + O11*Assumption!$F$61 + P11*Assumption!$F$62 + Q11*Assumption!$F$63</f>
        <v>63.625</v>
      </c>
      <c r="S11" cm="1">
        <f t="array" ref="S11">_xlfn.PERCENTRANK.EXC(_xlfn._xlws.FILTER(R$2:R$22, ISNUMBER(R$2:R$22)),R11)*100</f>
        <v>77.2</v>
      </c>
    </row>
    <row r="12" spans="1:19" x14ac:dyDescent="0.35">
      <c r="A12" t="s">
        <v>12</v>
      </c>
      <c r="B12" t="s">
        <v>12</v>
      </c>
      <c r="C12" t="s">
        <v>54</v>
      </c>
      <c r="D12" t="s">
        <v>127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11.734496999999999</v>
      </c>
      <c r="H12" cm="1">
        <f t="array" ref="H12">_xll.FDS(B12,"FG_ROE(0)")</f>
        <v>19.785574611254301</v>
      </c>
      <c r="I12">
        <f>HLOOKUP(B12,'Index ROE'!$B$1:$V$25,24,FALSE)</f>
        <v>14.78925912646825</v>
      </c>
      <c r="J12" cm="1">
        <f t="array" ref="J12">_xll.FDS(B12, "FMA_RBICS_REV_CURRENT(30, LOC, ""PORTAGG"")")</f>
        <v>26.781739272811699</v>
      </c>
      <c r="K12" s="77">
        <f>HLOOKUP(B12,'Index earnings'!$A$1:$V$26,26,FALSE)</f>
        <v>2.072298429354813E-2</v>
      </c>
      <c r="L12">
        <f>HLOOKUP(B12,'Yearly returns'!$B$1:$V$128,126,FALSE)</f>
        <v>-51.555329999999998</v>
      </c>
      <c r="M12">
        <f t="shared" si="0"/>
        <v>3.0547621264682512</v>
      </c>
      <c r="N12" cm="1">
        <f t="array" ref="N12">_xlfn.PERCENTRANK.EXC(_xlfn._xlws.FILTER(M$2:M$22, ISNUMBER(M$2:M$22)),M12)*100</f>
        <v>18.099999999999998</v>
      </c>
      <c r="O12" cm="1">
        <f t="array" ref="O12">(1-_xlfn.PERCENTRANK.EXC(_xlfn._xlws.FILTER(J$2:J$22, ISNUMBER(J$2:J$22)),J12))*100</f>
        <v>68.199999999999989</v>
      </c>
      <c r="P12" cm="1">
        <f t="array" ref="P12">_xlfn.PERCENTRANK.EXC(_xlfn._xlws.FILTER(K$2:K$22, ISNUMBER(K$2:K$22)),K12)*100</f>
        <v>36.299999999999997</v>
      </c>
      <c r="Q12" cm="1">
        <f t="array" ref="Q12">_xlfn.PERCENTRANK.EXC(_xlfn._xlws.FILTER(L$2:L$22, ISNUMBER(L$2:L$22)),L12)*100</f>
        <v>13.600000000000001</v>
      </c>
      <c r="R12">
        <f>N12*Assumption!$F$64 + O12*Assumption!$F$61 + P12*Assumption!$F$62 + Q12*Assumption!$F$63</f>
        <v>34.049999999999997</v>
      </c>
      <c r="S12" cm="1">
        <f t="array" ref="S12">_xlfn.PERCENTRANK.EXC(_xlfn._xlws.FILTER(R$2:R$22, ISNUMBER(R$2:R$22)),R12)*100</f>
        <v>18.099999999999998</v>
      </c>
    </row>
    <row r="13" spans="1:19" x14ac:dyDescent="0.35">
      <c r="A13" t="s">
        <v>22</v>
      </c>
      <c r="B13" t="s">
        <v>22</v>
      </c>
      <c r="C13" t="s">
        <v>442</v>
      </c>
      <c r="D13" t="s">
        <v>99</v>
      </c>
      <c r="E13" t="s">
        <v>128</v>
      </c>
      <c r="F13" t="str" cm="1">
        <f t="array" ref="F13">_xll.FDS(E13,"FG_YIELD_NAME")</f>
        <v>South Africa Benchmark Bond - 10 Year</v>
      </c>
      <c r="G13">
        <f>VLOOKUP(A13,'LIQIDITY 2'!$A$3:$E$26,5,FALSE)</f>
        <v>12.288451999999999</v>
      </c>
      <c r="H13" cm="1">
        <f t="array" ref="H13">_xll.FDS(B13,"FG_ROE(0)")</f>
        <v>15.002232142075099</v>
      </c>
      <c r="I13">
        <f>HLOOKUP(B13,'Index ROE'!$B$1:$V$25,24,FALSE)</f>
        <v>16.7616860731518</v>
      </c>
      <c r="J13" cm="1">
        <f t="array" ref="J13">_xll.FDS(B13, "FMA_RBICS_REV_CURRENT(30, LOC, ""PORTAGG"")")</f>
        <v>43.9097961797831</v>
      </c>
      <c r="K13" s="77">
        <f>HLOOKUP(B13,'Index earnings'!$A$1:$V$26,26,FALSE)</f>
        <v>2.3768265976742642E-2</v>
      </c>
      <c r="L13">
        <f>HLOOKUP(B13,'Yearly returns'!$B$1:$V$128,126,FALSE)</f>
        <v>-44.121720000000003</v>
      </c>
      <c r="M13">
        <f t="shared" si="0"/>
        <v>4.4732340731518008</v>
      </c>
      <c r="N13" cm="1">
        <f t="array" ref="N13">_xlfn.PERCENTRANK.EXC(_xlfn._xlws.FILTER(M$2:M$22, ISNUMBER(M$2:M$22)),M13)*100</f>
        <v>27.200000000000003</v>
      </c>
      <c r="O13" cm="1">
        <f t="array" ref="O13">(1-_xlfn.PERCENTRANK.EXC(_xlfn._xlws.FILTER(J$2:J$22, ISNUMBER(J$2:J$22)),J13))*100</f>
        <v>41</v>
      </c>
      <c r="P13" cm="1">
        <f t="array" ref="P13">_xlfn.PERCENTRANK.EXC(_xlfn._xlws.FILTER(K$2:K$22, ISNUMBER(K$2:K$22)),K13)*100</f>
        <v>40.9</v>
      </c>
      <c r="Q13" cm="1">
        <f t="array" ref="Q13">_xlfn.PERCENTRANK.EXC(_xlfn._xlws.FILTER(L$2:L$22, ISNUMBER(L$2:L$22)),L13)*100</f>
        <v>31.8</v>
      </c>
      <c r="R13">
        <f>N13*Assumption!$F$64 + O13*Assumption!$F$61 + P13*Assumption!$F$62 + Q13*Assumption!$F$63</f>
        <v>35.225000000000001</v>
      </c>
      <c r="S13" cm="1">
        <f t="array" ref="S13">_xlfn.PERCENTRANK.EXC(_xlfn._xlws.FILTER(R$2:R$22, ISNUMBER(R$2:R$22)),R13)*100</f>
        <v>22.7</v>
      </c>
    </row>
    <row r="14" spans="1:19" x14ac:dyDescent="0.35">
      <c r="A14" t="s">
        <v>28</v>
      </c>
      <c r="B14" t="s">
        <v>28</v>
      </c>
      <c r="C14" t="s">
        <v>443</v>
      </c>
      <c r="D14" t="s">
        <v>111</v>
      </c>
      <c r="E14" t="s">
        <v>136</v>
      </c>
      <c r="F14" t="str" cm="1">
        <f t="array" ref="F14">_xll.FDS(E14,"FG_YIELD_NAME")</f>
        <v>Greece Benchmark Bond - 10 Year</v>
      </c>
      <c r="G14">
        <f>VLOOKUP(A14,'LIQIDITY 2'!$A$3:$E$26,5,FALSE)</f>
        <v>3.5409999999999999</v>
      </c>
      <c r="H14" cm="1">
        <f t="array" ref="H14">_xll.FDS(B14,"FG_ROE(0)")</f>
        <v>14.1767038825316</v>
      </c>
      <c r="I14">
        <f>HLOOKUP(B14,'Index ROE'!$B$1:$V$25,24,FALSE)</f>
        <v>5.4192242708958744</v>
      </c>
      <c r="J14" cm="1">
        <f t="array" ref="J14">_xll.FDS(B14, "FMA_RBICS_REV_CURRENT(30, LOC, ""PORTAGG"")")</f>
        <v>44.6988114809499</v>
      </c>
      <c r="K14" s="77">
        <f>HLOOKUP(B14,'Index earnings'!$A$1:$V$26,26,FALSE)</f>
        <v>-9.9977006807554725E-2</v>
      </c>
      <c r="L14">
        <f>HLOOKUP(B14,'Yearly returns'!$B$1:$V$128,126,FALSE)</f>
        <v>-58.529803999999999</v>
      </c>
      <c r="M14">
        <f t="shared" si="0"/>
        <v>1.8782242708958745</v>
      </c>
      <c r="N14" cm="1">
        <f t="array" ref="N14">_xlfn.PERCENTRANK.EXC(_xlfn._xlws.FILTER(M$2:M$22, ISNUMBER(M$2:M$22)),M14)*100</f>
        <v>9</v>
      </c>
      <c r="O14" cm="1">
        <f t="array" ref="O14">(1-_xlfn.PERCENTRANK.EXC(_xlfn._xlws.FILTER(J$2:J$22, ISNUMBER(J$2:J$22)),J14))*100</f>
        <v>31.899999999999995</v>
      </c>
      <c r="P14" cm="1">
        <f t="array" ref="P14">_xlfn.PERCENTRANK.EXC(_xlfn._xlws.FILTER(K$2:K$22, ISNUMBER(K$2:K$22)),K14)*100</f>
        <v>4.5</v>
      </c>
      <c r="Q14" cm="1">
        <f t="array" ref="Q14">_xlfn.PERCENTRANK.EXC(_xlfn._xlws.FILTER(L$2:L$22, ISNUMBER(L$2:L$22)),L14)*100</f>
        <v>9</v>
      </c>
      <c r="R14">
        <f>N14*Assumption!$F$64 + O14*Assumption!$F$61 + P14*Assumption!$F$62 + Q14*Assumption!$F$63</f>
        <v>13.599999999999998</v>
      </c>
      <c r="S14" cm="1">
        <f t="array" ref="S14">_xlfn.PERCENTRANK.EXC(_xlfn._xlws.FILTER(R$2:R$22, ISNUMBER(R$2:R$22)),R14)*100</f>
        <v>4.5</v>
      </c>
    </row>
    <row r="15" spans="1:19" x14ac:dyDescent="0.35">
      <c r="A15" t="s">
        <v>32</v>
      </c>
      <c r="B15" t="s">
        <v>32</v>
      </c>
      <c r="C15" t="s">
        <v>52</v>
      </c>
      <c r="D15" t="s">
        <v>118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7.1665000000000001</v>
      </c>
      <c r="H15" cm="1">
        <f t="array" ref="H15">_xll.FDS(B15,"FG_ROE(0)")</f>
        <v>16.036650368790099</v>
      </c>
      <c r="I15">
        <f>HLOOKUP(B15,'Index ROE'!$B$1:$V$25,24,FALSE)</f>
        <v>15.463136340534799</v>
      </c>
      <c r="J15" cm="1">
        <f t="array" ref="J15">_xll.FDS(B15, "FMA_RBICS_REV_CURRENT(30, LOC, ""PORTAGG"")")</f>
        <v>29.408504554072699</v>
      </c>
      <c r="K15" s="77">
        <f>HLOOKUP(B15,'Index earnings'!$A$1:$V$26,26,FALSE)</f>
        <v>6.0151494419149687E-2</v>
      </c>
      <c r="L15">
        <f>HLOOKUP(B15,'Yearly returns'!$B$1:$V$128,126,FALSE)</f>
        <v>-33.468640000000001</v>
      </c>
      <c r="M15">
        <f t="shared" si="0"/>
        <v>8.2966363405347998</v>
      </c>
      <c r="N15" cm="1">
        <f t="array" ref="N15">_xlfn.PERCENTRANK.EXC(_xlfn._xlws.FILTER(M$2:M$22, ISNUMBER(M$2:M$22)),M15)*100</f>
        <v>63.6</v>
      </c>
      <c r="O15" cm="1">
        <f t="array" ref="O15">(1-_xlfn.PERCENTRANK.EXC(_xlfn._xlws.FILTER(J$2:J$22, ISNUMBER(J$2:J$22)),J15))*100</f>
        <v>63.7</v>
      </c>
      <c r="P15" cm="1">
        <f t="array" ref="P15">_xlfn.PERCENTRANK.EXC(_xlfn._xlws.FILTER(K$2:K$22, ISNUMBER(K$2:K$22)),K15)*100</f>
        <v>77.2</v>
      </c>
      <c r="Q15" cm="1">
        <f t="array" ref="Q15">_xlfn.PERCENTRANK.EXC(_xlfn._xlws.FILTER(L$2:L$22, ISNUMBER(L$2:L$22)),L15)*100</f>
        <v>77.2</v>
      </c>
      <c r="R15">
        <f>N15*Assumption!$F$64 + O15*Assumption!$F$61 + P15*Assumption!$F$62 + Q15*Assumption!$F$63</f>
        <v>70.424999999999997</v>
      </c>
      <c r="S15" cm="1">
        <f t="array" ref="S15">_xlfn.PERCENTRANK.EXC(_xlfn._xlws.FILTER(R$2:R$22, ISNUMBER(R$2:R$22)),R15)*100</f>
        <v>81.8</v>
      </c>
    </row>
    <row r="16" spans="1:19" x14ac:dyDescent="0.35">
      <c r="A16" t="s">
        <v>26</v>
      </c>
      <c r="B16" t="s">
        <v>26</v>
      </c>
      <c r="C16" t="s">
        <v>41</v>
      </c>
      <c r="D16" t="s">
        <v>104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2.2660999999999998</v>
      </c>
      <c r="H16" cm="1">
        <f t="array" ref="H16">_xll.FDS(B16,"FG_ROE(0)")</f>
        <v>9.9935345800448605</v>
      </c>
      <c r="I16">
        <f>HLOOKUP(B16,'Index ROE'!$B$1:$V$25,24,FALSE)</f>
        <v>12.8854614778539</v>
      </c>
      <c r="J16" cm="1">
        <f t="array" ref="J16">_xll.FDS(B16, "FMA_RBICS_REV_CURRENT(30, LOC, ""PORTAGG"")")</f>
        <v>23.3465581141153</v>
      </c>
      <c r="K16" s="77">
        <f>HLOOKUP(B16,'Index earnings'!$A$1:$V$26,26,FALSE)</f>
        <v>7.2171886711234645E-2</v>
      </c>
      <c r="L16">
        <f>HLOOKUP(B16,'Yearly returns'!$B$1:$V$128,126,FALSE)</f>
        <v>-41.298217999999999</v>
      </c>
      <c r="M16">
        <f t="shared" si="0"/>
        <v>10.6193614778539</v>
      </c>
      <c r="N16" cm="1">
        <f t="array" ref="N16">_xlfn.PERCENTRANK.EXC(_xlfn._xlws.FILTER(M$2:M$22, ISNUMBER(M$2:M$22)),M16)*100</f>
        <v>86.3</v>
      </c>
      <c r="O16" cm="1">
        <f t="array" ref="O16">(1-_xlfn.PERCENTRANK.EXC(_xlfn._xlws.FILTER(J$2:J$22, ISNUMBER(J$2:J$22)),J16))*100</f>
        <v>77.3</v>
      </c>
      <c r="P16" cm="1">
        <f t="array" ref="P16">_xlfn.PERCENTRANK.EXC(_xlfn._xlws.FILTER(K$2:K$22, ISNUMBER(K$2:K$22)),K16)*100</f>
        <v>86.3</v>
      </c>
      <c r="Q16" cm="1">
        <f t="array" ref="Q16">_xlfn.PERCENTRANK.EXC(_xlfn._xlws.FILTER(L$2:L$22, ISNUMBER(L$2:L$22)),L16)*100</f>
        <v>50</v>
      </c>
      <c r="R16">
        <f>N16*Assumption!$F$64 + O16*Assumption!$F$61 + P16*Assumption!$F$62 + Q16*Assumption!$F$63</f>
        <v>74.974999999999994</v>
      </c>
      <c r="S16" cm="1">
        <f t="array" ref="S16">_xlfn.PERCENTRANK.EXC(_xlfn._xlws.FILTER(R$2:R$22, ISNUMBER(R$2:R$22)),R16)*100</f>
        <v>86.3</v>
      </c>
    </row>
    <row r="17" spans="1:19" x14ac:dyDescent="0.35">
      <c r="A17" t="s">
        <v>1</v>
      </c>
      <c r="B17" t="s">
        <v>31</v>
      </c>
      <c r="C17" t="s">
        <v>444</v>
      </c>
      <c r="D17" t="s">
        <v>120</v>
      </c>
      <c r="E17" t="s">
        <v>144</v>
      </c>
      <c r="F17" t="str" cm="1">
        <f t="array" ref="F17">_xll.FDS(E17,"FG_YIELD_NAME")</f>
        <v>Treasury - Qatar Benchmark Bond 10Y</v>
      </c>
      <c r="G17">
        <f>VLOOKUP(A17,'LIQIDITY 2'!$A$3:$E$26,5,FALSE)</f>
        <v>4.6346999999999996</v>
      </c>
      <c r="H17" cm="1">
        <f t="array" ref="H17">_xll.FDS(B17,"FG_ROE(0)")</f>
        <v>10.389688172686199</v>
      </c>
      <c r="I17">
        <f>HLOOKUP(B17,'Index ROE'!$B$1:$V$25,24,FALSE)</f>
        <v>12.269166041116101</v>
      </c>
      <c r="J17" cm="1">
        <f t="array" ref="J17">_xll.FDS(B17, "FMA_RBICS_REV_CURRENT(30, LOC, ""PORTAGG"")")</f>
        <v>59.463029389193302</v>
      </c>
      <c r="K17" s="77">
        <f>HLOOKUP(B17,'Index earnings'!$A$1:$V$26,26,FALSE)</f>
        <v>8.8740466700483189E-3</v>
      </c>
      <c r="L17">
        <f>HLOOKUP(B17,'Yearly returns'!$B$1:$V$128,126,FALSE)</f>
        <v>-24.24034</v>
      </c>
      <c r="M17">
        <f t="shared" si="0"/>
        <v>7.6344660411161014</v>
      </c>
      <c r="N17" cm="1">
        <f t="array" ref="N17">_xlfn.PERCENTRANK.EXC(_xlfn._xlws.FILTER(M$2:M$22, ISNUMBER(M$2:M$22)),M17)*100</f>
        <v>54.500000000000007</v>
      </c>
      <c r="O17" cm="1">
        <f t="array" ref="O17">(1-_xlfn.PERCENTRANK.EXC(_xlfn._xlws.FILTER(J$2:J$22, ISNUMBER(J$2:J$22)),J17))*100</f>
        <v>9.0999999999999979</v>
      </c>
      <c r="P17" cm="1">
        <f t="array" ref="P17">_xlfn.PERCENTRANK.EXC(_xlfn._xlws.FILTER(K$2:K$22, ISNUMBER(K$2:K$22)),K17)*100</f>
        <v>22.7</v>
      </c>
      <c r="Q17" cm="1">
        <f t="array" ref="Q17">_xlfn.PERCENTRANK.EXC(_xlfn._xlws.FILTER(L$2:L$22, ISNUMBER(L$2:L$22)),L17)*100</f>
        <v>95.399999999999991</v>
      </c>
      <c r="R17">
        <f>N17*Assumption!$F$64 + O17*Assumption!$F$61 + P17*Assumption!$F$62 + Q17*Assumption!$F$63</f>
        <v>45.424999999999997</v>
      </c>
      <c r="S17" cm="1">
        <f t="array" ref="S17">_xlfn.PERCENTRANK.EXC(_xlfn._xlws.FILTER(R$2:R$22, ISNUMBER(R$2:R$22)),R17)*100</f>
        <v>40.9</v>
      </c>
    </row>
    <row r="18" spans="1:19" x14ac:dyDescent="0.35">
      <c r="A18" t="s">
        <v>757</v>
      </c>
      <c r="B18" t="s">
        <v>757</v>
      </c>
      <c r="C18" t="s">
        <v>758</v>
      </c>
      <c r="D18" t="s">
        <v>220</v>
      </c>
      <c r="E18" t="s">
        <v>453</v>
      </c>
      <c r="F18" t="str" cm="1">
        <f t="array" ref="F18">_xll.FDS(E18,"FG_YIELD_NAME")</f>
        <v>Thailand Benchmark Bond - 10 Year</v>
      </c>
      <c r="G18">
        <f>VLOOKUP(A18,'LIQIDITY 2'!$A$3:$E$26,5,FALSE)</f>
        <v>2.7060149999999998</v>
      </c>
      <c r="H18" cm="1">
        <f t="array" ref="H18">_xll.FDS(B18,"FG_ROE(0)")</f>
        <v>7.8939325888394896</v>
      </c>
      <c r="I18">
        <f>HLOOKUP(B18,'Index ROE'!$B$1:$V$25,24,FALSE)</f>
        <v>13.0025654489041</v>
      </c>
      <c r="J18" cm="1">
        <f t="array" ref="J18">_xll.FDS(B18, "FMA_RBICS_REV_CURRENT(30, LOC, ""PORTAGG"")")</f>
        <v>24.049336172420801</v>
      </c>
      <c r="K18" s="77">
        <f>HLOOKUP(B18,'Index earnings'!$A$1:$V$26,26,FALSE)</f>
        <v>1.2617017471639347E-2</v>
      </c>
      <c r="L18">
        <f>HLOOKUP(B18,'Yearly returns'!$B$1:$V$128,126,FALSE)</f>
        <v>-35.202182999999998</v>
      </c>
      <c r="M18">
        <f t="shared" si="0"/>
        <v>10.2965504489041</v>
      </c>
      <c r="N18" cm="1">
        <f t="array" ref="N18">_xlfn.PERCENTRANK.EXC(_xlfn._xlws.FILTER(M$2:M$22, ISNUMBER(M$2:M$22)),M18)*100</f>
        <v>77.2</v>
      </c>
      <c r="O18" cm="1">
        <f t="array" ref="O18">(1-_xlfn.PERCENTRANK.EXC(_xlfn._xlws.FILTER(J$2:J$22, ISNUMBER(J$2:J$22)),J18))*100</f>
        <v>72.8</v>
      </c>
      <c r="P18" cm="1">
        <f t="array" ref="P18">_xlfn.PERCENTRANK.EXC(_xlfn._xlws.FILTER(K$2:K$22, ISNUMBER(K$2:K$22)),K18)*100</f>
        <v>27.200000000000003</v>
      </c>
      <c r="Q18" cm="1">
        <f t="array" ref="Q18">_xlfn.PERCENTRANK.EXC(_xlfn._xlws.FILTER(L$2:L$22, ISNUMBER(L$2:L$22)),L18)*100</f>
        <v>68.100000000000009</v>
      </c>
      <c r="R18">
        <f>N18*Assumption!$F$64 + O18*Assumption!$F$61 + P18*Assumption!$F$62 + Q18*Assumption!$F$63</f>
        <v>61.325000000000003</v>
      </c>
      <c r="S18" cm="1">
        <f t="array" ref="S18">_xlfn.PERCENTRANK.EXC(_xlfn._xlws.FILTER(R$2:R$22, ISNUMBER(R$2:R$22)),R18)*100</f>
        <v>72.7</v>
      </c>
    </row>
    <row r="19" spans="1:19" x14ac:dyDescent="0.35">
      <c r="A19" t="s">
        <v>25</v>
      </c>
      <c r="B19" t="s">
        <v>25</v>
      </c>
      <c r="C19" t="s">
        <v>446</v>
      </c>
      <c r="D19" t="s">
        <v>105</v>
      </c>
      <c r="E19" t="s">
        <v>132</v>
      </c>
      <c r="F19" t="str" cm="1">
        <f t="array" ref="F19">_xll.FDS(E19,"FG_YIELD_NAME")</f>
        <v>Treasury - Turkey Benchmark Bond 7Y</v>
      </c>
      <c r="G19">
        <f>VLOOKUP(A19,'LIQIDITY 2'!$A$3:$E$26,5,FALSE)</f>
        <v>24.072645000000001</v>
      </c>
      <c r="H19" cm="1">
        <f t="array" ref="H19">_xll.FDS(B19,"FG_ROE(0)")</f>
        <v>23.5966641274848</v>
      </c>
      <c r="I19">
        <f>HLOOKUP(B19,'Index ROE'!$B$1:$V$25,24,FALSE)</f>
        <v>14.7741197510913</v>
      </c>
      <c r="J19" cm="1">
        <f t="array" ref="J19">_xll.FDS(B19, "FMA_RBICS_REV_CURRENT(30, LOC, ""PORTAGG"")")</f>
        <v>20.600431473411501</v>
      </c>
      <c r="K19" s="77">
        <f>HLOOKUP(B19,'Index earnings'!$A$1:$V$26,26,FALSE)</f>
        <v>8.2005714106922367E-2</v>
      </c>
      <c r="L19">
        <f>HLOOKUP(B19,'Yearly returns'!$B$1:$V$128,126,FALSE)</f>
        <v>-49.681843000000001</v>
      </c>
      <c r="M19">
        <f t="shared" si="0"/>
        <v>-9.2985252489087014</v>
      </c>
      <c r="N19" cm="1">
        <f t="array" ref="N19">_xlfn.PERCENTRANK.EXC(_xlfn._xlws.FILTER(M$2:M$22, ISNUMBER(M$2:M$22)),M19)*100</f>
        <v>4.5</v>
      </c>
      <c r="O19" cm="1">
        <f t="array" ref="O19">(1-_xlfn.PERCENTRANK.EXC(_xlfn._xlws.FILTER(J$2:J$22, ISNUMBER(J$2:J$22)),J19))*100</f>
        <v>81.899999999999991</v>
      </c>
      <c r="P19" cm="1">
        <f t="array" ref="P19">_xlfn.PERCENTRANK.EXC(_xlfn._xlws.FILTER(K$2:K$22, ISNUMBER(K$2:K$22)),K19)*100</f>
        <v>95.399999999999991</v>
      </c>
      <c r="Q19" cm="1">
        <f t="array" ref="Q19">_xlfn.PERCENTRANK.EXC(_xlfn._xlws.FILTER(L$2:L$22, ISNUMBER(L$2:L$22)),L19)*100</f>
        <v>22.7</v>
      </c>
      <c r="R19">
        <f>N19*Assumption!$F$64 + O19*Assumption!$F$61 + P19*Assumption!$F$62 + Q19*Assumption!$F$63</f>
        <v>51.124999999999993</v>
      </c>
      <c r="S19" cm="1">
        <f t="array" ref="S19">_xlfn.PERCENTRANK.EXC(_xlfn._xlws.FILTER(R$2:R$22, ISNUMBER(R$2:R$22)),R19)*100</f>
        <v>63.6</v>
      </c>
    </row>
    <row r="20" spans="1:19" x14ac:dyDescent="0.35">
      <c r="A20" t="s">
        <v>34</v>
      </c>
      <c r="B20" t="s">
        <v>34</v>
      </c>
      <c r="C20" t="s">
        <v>447</v>
      </c>
      <c r="D20" t="s">
        <v>123</v>
      </c>
      <c r="E20" t="s">
        <v>146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4.6346999999999996</v>
      </c>
      <c r="H20" cm="1">
        <f t="array" ref="H20">_xll.FDS(B20,"FG_ROE(0)")</f>
        <v>12.728197894289901</v>
      </c>
      <c r="I20">
        <f>HLOOKUP(B20,'Index ROE'!$B$1:$V$25,24,FALSE)</f>
        <v>11.15637049467375</v>
      </c>
      <c r="J20" cm="1">
        <f t="array" ref="J20">_xll.FDS(B20, "FMA_RBICS_REV_CURRENT(30, LOC, ""PORTAGG"")")</f>
        <v>59.591528020160801</v>
      </c>
      <c r="K20" s="77">
        <f>HLOOKUP(B20,'Index earnings'!$A$1:$V$26,26,FALSE)</f>
        <v>8.3481706038399661E-3</v>
      </c>
      <c r="L20">
        <f>HLOOKUP(B20,'Yearly returns'!$B$1:$V$128,126,FALSE)</f>
        <v>-40.543640000000003</v>
      </c>
      <c r="M20">
        <f t="shared" si="0"/>
        <v>6.5216704946737503</v>
      </c>
      <c r="N20" cm="1">
        <f t="array" ref="N20">_xlfn.PERCENTRANK.EXC(_xlfn._xlws.FILTER(M$2:M$22, ISNUMBER(M$2:M$22)),M20)*100</f>
        <v>45.4</v>
      </c>
      <c r="O20" cm="1">
        <f t="array" ref="O20">(1-_xlfn.PERCENTRANK.EXC(_xlfn._xlws.FILTER(J$2:J$22, ISNUMBER(J$2:J$22)),J20))*100</f>
        <v>4.6000000000000041</v>
      </c>
      <c r="P20" cm="1">
        <f t="array" ref="P20">_xlfn.PERCENTRANK.EXC(_xlfn._xlws.FILTER(K$2:K$22, ISNUMBER(K$2:K$22)),K20)*100</f>
        <v>18.099999999999998</v>
      </c>
      <c r="Q20" cm="1">
        <f t="array" ref="Q20">_xlfn.PERCENTRANK.EXC(_xlfn._xlws.FILTER(L$2:L$22, ISNUMBER(L$2:L$22)),L20)*100</f>
        <v>54.500000000000007</v>
      </c>
      <c r="R20">
        <f>N20*Assumption!$F$64 + O20*Assumption!$F$61 + P20*Assumption!$F$62 + Q20*Assumption!$F$63</f>
        <v>30.65</v>
      </c>
      <c r="S20" cm="1">
        <f t="array" ref="S20">_xlfn.PERCENTRANK.EXC(_xlfn._xlws.FILTER(R$2:R$22, ISNUMBER(R$2:R$22)),R20)*100</f>
        <v>13.600000000000001</v>
      </c>
    </row>
    <row r="21" spans="1:19" x14ac:dyDescent="0.35">
      <c r="A21" t="s">
        <v>37</v>
      </c>
      <c r="B21" t="s">
        <v>37</v>
      </c>
      <c r="C21" t="s">
        <v>448</v>
      </c>
      <c r="D21" t="s">
        <v>126</v>
      </c>
      <c r="E21" t="s">
        <v>149</v>
      </c>
      <c r="F21" t="str" cm="1">
        <f t="array" ref="F21">_xll.FDS(E21,"FG_YIELD_NAME")</f>
        <v>Treasury - Vietnam Benchmark Bond 10Y</v>
      </c>
      <c r="G21">
        <f>VLOOKUP(A21,'LIQIDITY 2'!$A$3:$E$26,5,FALSE)</f>
        <v>2.7856638</v>
      </c>
      <c r="H21" cm="1">
        <f t="array" ref="H21">_xll.FDS(B21,"FG_ROE(0)")</f>
        <v>9.1603696187722097</v>
      </c>
      <c r="I21">
        <f>HLOOKUP(B21,'Index ROE'!$B$1:$V$25,24,FALSE)</f>
        <v>15.109726785561501</v>
      </c>
      <c r="J21" cm="1">
        <f t="array" ref="J21">_xll.FDS(B21, "FMA_RBICS_REV_CURRENT(30, LOC, ""PORTAGG"")")</f>
        <v>55.231368279198001</v>
      </c>
      <c r="K21" s="77">
        <f>HLOOKUP(B21,'Index earnings'!$A$1:$V$26,26,FALSE)</f>
        <v>-4.4922819308067519E-2</v>
      </c>
      <c r="L21">
        <f>HLOOKUP(B21,'Yearly returns'!$B$1:$V$128,126,FALSE)</f>
        <v>-45.146500000000003</v>
      </c>
      <c r="M21">
        <f t="shared" si="0"/>
        <v>12.3240629855615</v>
      </c>
      <c r="N21" cm="1">
        <f t="array" ref="N21">_xlfn.PERCENTRANK.EXC(_xlfn._xlws.FILTER(M$2:M$22, ISNUMBER(M$2:M$22)),M21)*100</f>
        <v>95.399999999999991</v>
      </c>
      <c r="O21" cm="1">
        <f t="array" ref="O21">(1-_xlfn.PERCENTRANK.EXC(_xlfn._xlws.FILTER(J$2:J$22, ISNUMBER(J$2:J$22)),J21))*100</f>
        <v>18.200000000000006</v>
      </c>
      <c r="P21" cm="1">
        <f t="array" ref="P21">_xlfn.PERCENTRANK.EXC(_xlfn._xlws.FILTER(K$2:K$22, ISNUMBER(K$2:K$22)),K21)*100</f>
        <v>9</v>
      </c>
      <c r="Q21" cm="1">
        <f t="array" ref="Q21">_xlfn.PERCENTRANK.EXC(_xlfn._xlws.FILTER(L$2:L$22, ISNUMBER(L$2:L$22)),L21)*100</f>
        <v>27.200000000000003</v>
      </c>
      <c r="R21">
        <f>N21*Assumption!$F$64 + O21*Assumption!$F$61 + P21*Assumption!$F$62 + Q21*Assumption!$F$63</f>
        <v>37.450000000000003</v>
      </c>
      <c r="S21" cm="1">
        <f t="array" ref="S21">_xlfn.PERCENTRANK.EXC(_xlfn._xlws.FILTER(R$2:R$22, ISNUMBER(R$2:R$22)),R21)*100</f>
        <v>27.200000000000003</v>
      </c>
    </row>
    <row r="22" spans="1:19" x14ac:dyDescent="0.35">
      <c r="A22" t="s">
        <v>36</v>
      </c>
      <c r="B22" t="s">
        <v>36</v>
      </c>
      <c r="C22" t="s">
        <v>449</v>
      </c>
      <c r="D22" t="s">
        <v>125</v>
      </c>
      <c r="E22" t="s">
        <v>148</v>
      </c>
      <c r="F22" t="str" cm="1">
        <f t="array" ref="F22">_xll.FDS(E22,"FG_YIELD_NAME")</f>
        <v>Treasury - SAUDI ARABIA Benchmark Bond 10Y</v>
      </c>
      <c r="G22">
        <f>VLOOKUP(A22,'LIQIDITY 2'!$A$3:$E$26,5,FALSE)</f>
        <v>5.5183163000000004</v>
      </c>
      <c r="H22" cm="1">
        <f t="array" ref="H22">_xll.FDS(B22,"FG_ROE(0)")</f>
        <v>10.655439570278499</v>
      </c>
      <c r="I22">
        <f>HLOOKUP(B22,'Index ROE'!$B$1:$V$25,24,FALSE)</f>
        <v>11.9967853551854</v>
      </c>
      <c r="J22" cm="1">
        <f t="array" ref="J22">_xll.FDS(B22, "FMA_RBICS_REV_CURRENT(30, LOC, ""PORTAGG"")")</f>
        <v>44.542936755423298</v>
      </c>
      <c r="K22" s="77">
        <f>HLOOKUP(B22,'Index earnings'!$A$1:$V$26,26,FALSE)</f>
        <v>-1.6027932468093198E-2</v>
      </c>
      <c r="L22">
        <f>HLOOKUP(B22,'Yearly returns'!$B$1:$V$128,126,FALSE)</f>
        <v>-31.2971</v>
      </c>
      <c r="M22">
        <f t="shared" si="0"/>
        <v>6.4784690551853998</v>
      </c>
      <c r="N22" cm="1">
        <f t="array" ref="N22">_xlfn.PERCENTRANK.EXC(_xlfn._xlws.FILTER(M$2:M$22, ISNUMBER(M$2:M$22)),M22)*100</f>
        <v>40.9</v>
      </c>
      <c r="O22" cm="1">
        <f t="array" ref="O22">(1-_xlfn.PERCENTRANK.EXC(_xlfn._xlws.FILTER(J$2:J$22, ISNUMBER(J$2:J$22)),J22))*100</f>
        <v>36.4</v>
      </c>
      <c r="P22" cm="1">
        <f t="array" ref="P22">_xlfn.PERCENTRANK.EXC(_xlfn._xlws.FILTER(K$2:K$22, ISNUMBER(K$2:K$22)),K22)*100</f>
        <v>13.600000000000001</v>
      </c>
      <c r="Q22" cm="1">
        <f t="array" ref="Q22">_xlfn.PERCENTRANK.EXC(_xlfn._xlws.FILTER(L$2:L$22, ISNUMBER(L$2:L$22)),L22)*100</f>
        <v>81.8</v>
      </c>
      <c r="R22">
        <f>N22*Assumption!$F$64 + O22*Assumption!$F$61 + P22*Assumption!$F$62 + Q22*Assumption!$F$63</f>
        <v>43.174999999999997</v>
      </c>
      <c r="S22" cm="1">
        <f t="array" ref="S22">_xlfn.PERCENTRANK.EXC(_xlfn._xlws.FILTER(R$2:R$22, ISNUMBER(R$2:R$22)),R22)*100</f>
        <v>36.299999999999997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69"/>
  <sheetViews>
    <sheetView topLeftCell="A13" zoomScaleNormal="100" workbookViewId="0">
      <pane xSplit="1" topLeftCell="B1" activePane="topRight" state="frozen"/>
      <selection pane="topRight" activeCell="D42" sqref="D4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34.1796875" bestFit="1" customWidth="1"/>
    <col min="12" max="12" width="17.453125" customWidth="1"/>
    <col min="13" max="13" width="20.1796875" customWidth="1"/>
    <col min="14" max="14" width="13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4.54296875" bestFit="1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51" t="s">
        <v>905</v>
      </c>
      <c r="E1" s="74" t="s">
        <v>906</v>
      </c>
      <c r="F1" s="74" t="s">
        <v>16</v>
      </c>
      <c r="G1" s="74" t="s">
        <v>66</v>
      </c>
      <c r="H1" s="74" t="s">
        <v>62</v>
      </c>
      <c r="I1" s="74" t="s">
        <v>69</v>
      </c>
      <c r="J1" s="74" t="s">
        <v>77</v>
      </c>
      <c r="K1" t="s">
        <v>68</v>
      </c>
      <c r="L1" t="s">
        <v>392</v>
      </c>
      <c r="M1" t="s">
        <v>393</v>
      </c>
      <c r="N1" t="s">
        <v>915</v>
      </c>
      <c r="O1" t="s">
        <v>4</v>
      </c>
      <c r="P1" t="s">
        <v>5</v>
      </c>
      <c r="Q1" t="s">
        <v>9</v>
      </c>
      <c r="R1" t="s">
        <v>512</v>
      </c>
      <c r="S1" t="s">
        <v>72</v>
      </c>
      <c r="T1" t="s">
        <v>517</v>
      </c>
      <c r="U1" t="s">
        <v>518</v>
      </c>
      <c r="V1" t="s">
        <v>513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394</v>
      </c>
      <c r="AD1" t="s">
        <v>395</v>
      </c>
      <c r="AE1" s="74" t="s">
        <v>907</v>
      </c>
      <c r="AF1" s="10" t="s">
        <v>780</v>
      </c>
      <c r="AG1" s="11" t="s">
        <v>916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3">
        <f>Assumption!F24</f>
        <v>0</v>
      </c>
      <c r="Z2" s="23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432</v>
      </c>
      <c r="B3" t="s">
        <v>435</v>
      </c>
      <c r="C3" t="s">
        <v>432</v>
      </c>
      <c r="D3" s="153">
        <f>VLOOKUP(C3,'Market Capitalisation'!$C$2:$G$31,5,FALSE)</f>
        <v>7490056</v>
      </c>
      <c r="E3" cm="1">
        <f t="array" ref="E3">_xll.FDS(C3,"FMA_COS_UP(""EPS"",""1M"",+1,NOW,,,""PORTAGG"",""MEANR"")")</f>
        <v>99</v>
      </c>
      <c r="F3" cm="1">
        <f t="array" ref="F3">_xll.FDS(C3,"FMA_COS_DOWN(""EPS"",""1M"",+1,NOW,,,""PORTAGG"",""MEANR"")")</f>
        <v>320</v>
      </c>
      <c r="G3" cm="1">
        <f t="array" ref="G3">_xll.FDS(A3,"SIZE(FG_CONSTITUENTS)")</f>
        <v>519</v>
      </c>
      <c r="H3" s="9">
        <f t="shared" ref="H3:H23" si="0">E3/$G3</f>
        <v>0.19075144508670519</v>
      </c>
      <c r="I3" s="9">
        <f t="shared" ref="I3:I23" si="1">F3/$G3</f>
        <v>0.61657032755298646</v>
      </c>
      <c r="J3" s="9">
        <f t="shared" ref="J3:J23" si="2">H3-I3</f>
        <v>-0.4258188824662813</v>
      </c>
      <c r="K3" s="5" cm="1">
        <f t="array" ref="K3">_xll.FDS(A3,"FMA_PCT_ABOVE_MAVG(200,0,,,,""PORTAGG"")")/100</f>
        <v>0.41811175337186901</v>
      </c>
      <c r="L3" s="41" cm="1">
        <f t="array" ref="L3">_xll.FDSB(A3,"PERCENT_CHANGE(FMA_EPS(+1,0,,,,""PORTAGG"",""MEAN""),FMA_EPS(+1,-1AM,,,,""PORTAGG"",""MEAN""))")</f>
        <v>-5.6710003749808502</v>
      </c>
      <c r="M3" s="41" cm="1">
        <f t="array" ref="M3">_xll.FDSB(A3,"PERCENT_CHANGE(FMA_EPS(+1,0,,,,""PORTAGG"",""MEAN""),FMA_EPS(+1,-3AM,,,,""PORTAGG"",""MEAN""))")</f>
        <v>-7.2789733656659301</v>
      </c>
      <c r="N3" s="3" cm="1">
        <f t="array" ref="N3">_xll.FDS(C3,"FG_TOTAL_RETURNC(0,-1AM)")</f>
        <v>-1.8256307000000001</v>
      </c>
      <c r="O3" s="3" cm="1">
        <f t="array" ref="O3">_xll.FDS(C3,"FG_TOTAL_RETURNC(0,-3AM)")</f>
        <v>9.1097354999999993</v>
      </c>
      <c r="P3" s="3" cm="1">
        <f t="array" ref="P3">_xll.FDS(C3,"FG_TOTAL_RETURNC(0,-6AM)")</f>
        <v>1.3967276</v>
      </c>
      <c r="Q3" s="9" cm="1">
        <f t="array" ref="Q3">_xll.FDS(C3,"P_PRICE(0)/P_PRICE_HIGH_PR(0,,,,,,""PRICE"",""INTRA"",""52W"")")</f>
        <v>0.7943926</v>
      </c>
      <c r="R3" s="9" cm="1">
        <f t="array" ref="R3">_xll.FDS(C3,"P_PRICE(0)/P_PRICE_low_PR(0,,,,,,""PRICE"",""INTRA"",""52W"")-1")</f>
        <v>0.1441598</v>
      </c>
      <c r="S3" s="3" cm="1">
        <f t="array" ref="S3">_xll.FDS(C3,"FG_TOTAL_RETURNC(0,-12AM)")</f>
        <v>-17.625242</v>
      </c>
      <c r="T3" s="4" cm="1">
        <f t="array" ref="T3">_xlfn.PERCENTRANK.EXC(_xlfn._xlws.FILTER($R$3:$R$23, ISNUMBER($R$3:$R$23)),R3)*100</f>
        <v>63.6</v>
      </c>
      <c r="U3" s="4">
        <f t="shared" ref="U3:U23" si="3">100-T3</f>
        <v>36.4</v>
      </c>
      <c r="V3" s="4" cm="1">
        <f t="array" ref="V3">_xlfn.PERCENTRANK.EXC(_xlfn._xlws.FILTER($Q$3:$Q$23, ISNUMBER($Q$3:$Q$23)),Q3)*100</f>
        <v>13.600000000000001</v>
      </c>
      <c r="W3" s="4" cm="1">
        <f t="array" ref="W3">_xlfn.PERCENTRANK.EXC(_xlfn._xlws.FILTER($O$3:$O$23, ISNUMBER($O$3:$O$23)),O3)*100</f>
        <v>81.8</v>
      </c>
      <c r="X3" s="4" cm="1">
        <f t="array" ref="X3">_xlfn.PERCENTRANK.EXC(_xlfn._xlws.FILTER($P$3:$P$23, ISNUMBER($P$3:$P$23)),P3)*100</f>
        <v>22.7</v>
      </c>
      <c r="Y3" s="200" cm="1">
        <f t="array" ref="Y3">_xlfn.PERCENTRANK.EXC(_xlfn._xlws.FILTER($S$3:$S$23, ISNUMBER($S$3:$S$23)),S3)*100</f>
        <v>9</v>
      </c>
      <c r="Z3" s="4" cm="1">
        <f t="array" ref="Z3">_xlfn.PERCENTRANK.EXC(_xlfn._xlws.FILTER($K$3:$K$23, ISNUMBER($K$3:$K$23)),K3)*100</f>
        <v>31.8</v>
      </c>
      <c r="AA3" s="4" cm="1">
        <f t="array" ref="AA3">_xlfn.PERCENTRANK.EXC(_xlfn._xlws.FILTER($H$3:$H$23, ISNUMBER($H$3:$H$23)),H3)*100</f>
        <v>18.099999999999998</v>
      </c>
      <c r="AB3" s="4" cm="1">
        <f t="array" ref="AB3">_xlfn.PERCENTRANK.EXC(_xlfn._xlws.FILTER($J$3:$J$23, ISNUMBER($J$3:$J$23)),J3)*100</f>
        <v>9</v>
      </c>
      <c r="AC3" s="4">
        <f t="shared" ref="AC3:AC23" si="4">_xlfn.PERCENTRANK.EXC($L$3:$L$23,L3)*100</f>
        <v>4.5</v>
      </c>
      <c r="AD3" s="4">
        <f t="shared" ref="AD3:AD23" si="5">_xlfn.PERCENTRANK.EXC($M$3:$M$23,M3)*100</f>
        <v>9</v>
      </c>
      <c r="AE3" s="4">
        <f t="shared" ref="AE3:AE23" si="6">_xlfn.PERCENTRANK.EXC($D$3:$D$23,D3)*100</f>
        <v>90.9</v>
      </c>
      <c r="AF3" s="4">
        <f>'Economic Momentum'!Q4</f>
        <v>40.9</v>
      </c>
      <c r="AG3" s="4">
        <f ca="1">'Economic Momentum'!R4</f>
        <v>22.7</v>
      </c>
      <c r="AH3" s="4">
        <f t="shared" ref="AH3:AH23" ca="1" si="7">SUMPRODUCT($U$2:$AG$2,U3:AG3)</f>
        <v>36.79</v>
      </c>
      <c r="AJ3" s="3" cm="1">
        <f t="array" aca="1" ref="AJ3" ca="1">_xlfn.PERCENTRANK.EXC(_xlfn._xlws.FILTER($AH$3:$AH$23, ISNUMBER($AH$3:$AH$23)),AH3)*100</f>
        <v>40.9</v>
      </c>
      <c r="AK3">
        <f t="shared" ref="AK3:AK23" si="8">COUNTIF(V3:AB3,"&gt;70")</f>
        <v>1</v>
      </c>
      <c r="AM3" s="4"/>
    </row>
    <row r="4" spans="1:39" x14ac:dyDescent="0.35">
      <c r="A4" t="s">
        <v>27</v>
      </c>
      <c r="B4" t="s">
        <v>436</v>
      </c>
      <c r="C4" t="s">
        <v>27</v>
      </c>
      <c r="D4" s="153">
        <f>VLOOKUP(C4,'Market Capitalisation'!$C$2:$G$31,5,FALSE)</f>
        <v>140955</v>
      </c>
      <c r="E4" cm="1">
        <f t="array" ref="E4">_xll.FDS(C4,"FMA_COS_UP(""EPS"",""1M"",+1,NOW,,,""PORTAGG"",""MEANR"")")</f>
        <v>8</v>
      </c>
      <c r="F4" cm="1">
        <f t="array" ref="F4">_xll.FDS(C4,"FMA_COS_DOWN(""EPS"",""1M"",+1,NOW,,,""PORTAGG"",""MEANR"")")</f>
        <v>10</v>
      </c>
      <c r="G4" cm="1">
        <f t="array" ref="G4">_xll.FDS(A4,"SIZE(FG_CONSTITUENTS)")</f>
        <v>29</v>
      </c>
      <c r="H4" s="9">
        <f t="shared" si="0"/>
        <v>0.27586206896551724</v>
      </c>
      <c r="I4" s="9">
        <f t="shared" si="1"/>
        <v>0.34482758620689657</v>
      </c>
      <c r="J4" s="9">
        <f t="shared" si="2"/>
        <v>-6.8965517241379337E-2</v>
      </c>
      <c r="K4" s="5" cm="1">
        <f t="array" ref="K4">_xll.FDS(A4,"FMA_PCT_ABOVE_MAVG(200,0,,,,""PORTAGG"")")/100</f>
        <v>0.72413793103448298</v>
      </c>
      <c r="L4" s="41" cm="1">
        <f t="array" ref="L4">_xll.FDSB(A4,"PERCENT_CHANGE(FMA_EPS(+1,0,,,,""PORTAGG"",""MEAN""),FMA_EPS(+1,-1AM,,,,""PORTAGG"",""MEAN""))")</f>
        <v>-2.61058854880558</v>
      </c>
      <c r="M4" s="41" cm="1">
        <f t="array" ref="M4">_xll.FDSB(A4,"PERCENT_CHANGE(FMA_EPS(+1,0,,,,""PORTAGG"",""MEAN""),FMA_EPS(+1,-3AM,,,,""PORTAGG"",""MEAN""))")</f>
        <v>-2.79982092806774</v>
      </c>
      <c r="N4" s="3" cm="1">
        <f t="array" ref="N4">_xll.FDS(C4,"FG_TOTAL_RETURNC(0,-1AM)")</f>
        <v>-2.3056865000000002</v>
      </c>
      <c r="O4" s="3" cm="1">
        <f t="array" ref="O4">_xll.FDS(C4,"FG_TOTAL_RETURNC(0,-3AM)")</f>
        <v>3.7519813000000002</v>
      </c>
      <c r="P4" s="3" cm="1">
        <f t="array" ref="P4">_xll.FDS(C4,"FG_TOTAL_RETURNC(0,-6AM)")</f>
        <v>6.2661049999999996</v>
      </c>
      <c r="Q4" s="9" cm="1">
        <f t="array" ref="Q4">_xll.FDS(C4,"P_PRICE(0)/P_PRICE_HIGH_PR(0,,,,,,""PRICE"",""INTRA"",""52W"")")</f>
        <v>0.81940109999999999</v>
      </c>
      <c r="R4" s="9" cm="1">
        <f t="array" ref="R4">_xll.FDS(C4,"P_PRICE(0)/P_PRICE_low_PR(0,,,,,,""PRICE"",""INTRA"",""52W"")-1")</f>
        <v>0.10984373</v>
      </c>
      <c r="S4" s="3" cm="1">
        <f t="array" ref="S4">_xll.FDS(C4,"FG_TOTAL_RETURNC(0,-12AM)")</f>
        <v>-7.2434845000000001</v>
      </c>
      <c r="T4" s="4" cm="1">
        <f t="array" ref="T4">_xlfn.PERCENTRANK.EXC(_xlfn._xlws.FILTER($R$3:$R$23, ISNUMBER($R$3:$R$23)),R4)*100</f>
        <v>50</v>
      </c>
      <c r="U4" s="4">
        <f t="shared" si="3"/>
        <v>50</v>
      </c>
      <c r="V4" s="4" cm="1">
        <f t="array" ref="V4">_xlfn.PERCENTRANK.EXC(_xlfn._xlws.FILTER($Q$3:$Q$23, ISNUMBER($Q$3:$Q$23)),Q4)*100</f>
        <v>18.099999999999998</v>
      </c>
      <c r="W4" s="4" cm="1">
        <f t="array" ref="W4">_xlfn.PERCENTRANK.EXC(_xlfn._xlws.FILTER($O$3:$O$23, ISNUMBER($O$3:$O$23)),O4)*100</f>
        <v>59</v>
      </c>
      <c r="X4" s="4" cm="1">
        <f t="array" ref="X4">_xlfn.PERCENTRANK.EXC(_xlfn._xlws.FILTER($P$3:$P$23, ISNUMBER($P$3:$P$23)),P4)*100</f>
        <v>54.500000000000007</v>
      </c>
      <c r="Y4" s="200" cm="1">
        <f t="array" ref="Y4">_xlfn.PERCENTRANK.EXC(_xlfn._xlws.FILTER($S$3:$S$23, ISNUMBER($S$3:$S$23)),S4)*100</f>
        <v>27.200000000000003</v>
      </c>
      <c r="Z4" s="4" cm="1">
        <f t="array" ref="Z4">_xlfn.PERCENTRANK.EXC(_xlfn._xlws.FILTER($K$3:$K$23, ISNUMBER($K$3:$K$23)),K4)*100</f>
        <v>90.9</v>
      </c>
      <c r="AA4" s="4" cm="1">
        <f t="array" ref="AA4">_xlfn.PERCENTRANK.EXC(_xlfn._xlws.FILTER($H$3:$H$23, ISNUMBER($H$3:$H$23)),H4)*100</f>
        <v>54.500000000000007</v>
      </c>
      <c r="AB4" s="4" cm="1">
        <f t="array" ref="AB4">_xlfn.PERCENTRANK.EXC(_xlfn._xlws.FILTER($J$3:$J$23, ISNUMBER($J$3:$J$23)),J4)*100</f>
        <v>45.4</v>
      </c>
      <c r="AC4" s="4">
        <f t="shared" si="4"/>
        <v>18.099999999999998</v>
      </c>
      <c r="AD4" s="4">
        <f t="shared" si="5"/>
        <v>45.4</v>
      </c>
      <c r="AE4" s="4">
        <f t="shared" si="6"/>
        <v>18.099999999999998</v>
      </c>
      <c r="AF4" s="4">
        <f>'Economic Momentum'!Q5</f>
        <v>50</v>
      </c>
      <c r="AG4" s="4">
        <f ca="1">'Economic Momentum'!R5</f>
        <v>40.9</v>
      </c>
      <c r="AH4" s="4">
        <f t="shared" ca="1" si="7"/>
        <v>41.29</v>
      </c>
      <c r="AJ4" s="3" cm="1">
        <f t="array" aca="1" ref="AJ4" ca="1">_xlfn.PERCENTRANK.EXC(_xlfn._xlws.FILTER($AH$3:$AH$23, ISNUMBER($AH$3:$AH$23)),AH4)*100</f>
        <v>45.4</v>
      </c>
      <c r="AK4">
        <f t="shared" si="8"/>
        <v>1</v>
      </c>
      <c r="AM4" s="4"/>
    </row>
    <row r="5" spans="1:39" x14ac:dyDescent="0.35">
      <c r="A5" t="s">
        <v>35</v>
      </c>
      <c r="B5" t="s">
        <v>437</v>
      </c>
      <c r="C5" t="s">
        <v>35</v>
      </c>
      <c r="D5" s="153">
        <f>VLOOKUP(C5,'Market Capitalisation'!$C$2:$G$31,5,FALSE)</f>
        <v>637538.80000000005</v>
      </c>
      <c r="E5" cm="1">
        <f t="array" ref="E5">_xll.FDS(C5,"FMA_COS_UP(""EPS"",""1M"",+1,NOW,,,""PORTAGG"",""MEANR"")")</f>
        <v>21</v>
      </c>
      <c r="F5" cm="1">
        <f t="array" ref="F5">_xll.FDS(C5,"FMA_COS_DOWN(""EPS"",""1M"",+1,NOW,,,""PORTAGG"",""MEANR"")")</f>
        <v>25</v>
      </c>
      <c r="G5" cm="1">
        <f t="array" ref="G5">_xll.FDS(A5,"SIZE(FG_CONSTITUENTS)")</f>
        <v>77</v>
      </c>
      <c r="H5" s="9">
        <f t="shared" si="0"/>
        <v>0.27272727272727271</v>
      </c>
      <c r="I5" s="9">
        <f t="shared" si="1"/>
        <v>0.32467532467532467</v>
      </c>
      <c r="J5" s="9">
        <f t="shared" si="2"/>
        <v>-5.1948051948051965E-2</v>
      </c>
      <c r="K5" s="5" cm="1">
        <f t="array" ref="K5">_xll.FDS(A5,"FMA_PCT_ABOVE_MAVG(200,0,,,,""PORTAGG"")")/100</f>
        <v>0.394736842105263</v>
      </c>
      <c r="L5" s="41" cm="1">
        <f t="array" ref="L5">_xll.FDSB(A5,"PERCENT_CHANGE(FMA_EPS(+1,0,,,,""PORTAGG"",""MEAN""),FMA_EPS(+1,-1AM,,,,""PORTAGG"",""MEAN""))")</f>
        <v>-2.0111357104806502</v>
      </c>
      <c r="M5" s="41" cm="1">
        <f t="array" ref="M5">_xll.FDSB(A5,"PERCENT_CHANGE(FMA_EPS(+1,0,,,,""PORTAGG"",""MEAN""),FMA_EPS(+1,-3AM,,,,""PORTAGG"",""MEAN""))")</f>
        <v>-2.8538143461822898</v>
      </c>
      <c r="N5" s="3" cm="1">
        <f t="array" ref="N5">_xll.FDS(C5,"FG_TOTAL_RETURNC(0,-1AM)")</f>
        <v>-7.9330150000000001</v>
      </c>
      <c r="O5" s="3" cm="1">
        <f t="array" ref="O5">_xll.FDS(C5,"FG_TOTAL_RETURNC(0,-3AM)")</f>
        <v>-5.8584985999999999</v>
      </c>
      <c r="P5" s="3" cm="1">
        <f t="array" ref="P5">_xll.FDS(C5,"FG_TOTAL_RETURNC(0,-6AM)")</f>
        <v>-1.2247622</v>
      </c>
      <c r="Q5" s="9" cm="1">
        <f t="array" ref="Q5">_xll.FDS(C5,"P_PRICE(0)/P_PRICE_HIGH_PR(0,,,,,,""PRICE"",""INTRA"",""52W"")")</f>
        <v>0.84301853000000004</v>
      </c>
      <c r="R5" s="9" cm="1">
        <f t="array" ref="R5">_xll.FDS(C5,"P_PRICE(0)/P_PRICE_low_PR(0,,,,,,""PRICE"",""INTRA"",""52W"")-1")</f>
        <v>4.7380329999999998E-2</v>
      </c>
      <c r="S5" s="3" cm="1">
        <f t="array" ref="S5">_xll.FDS(C5,"FG_TOTAL_RETURNC(0,-12AM)")</f>
        <v>-10.360694000000001</v>
      </c>
      <c r="T5" s="4" cm="1">
        <f t="array" ref="T5">_xlfn.PERCENTRANK.EXC(_xlfn._xlws.FILTER($R$3:$R$23, ISNUMBER($R$3:$R$23)),R5)*100</f>
        <v>9</v>
      </c>
      <c r="U5" s="4">
        <f t="shared" si="3"/>
        <v>91</v>
      </c>
      <c r="V5" s="4" cm="1">
        <f t="array" ref="V5">_xlfn.PERCENTRANK.EXC(_xlfn._xlws.FILTER($Q$3:$Q$23, ISNUMBER($Q$3:$Q$23)),Q5)*100</f>
        <v>27.200000000000003</v>
      </c>
      <c r="W5" s="4" cm="1">
        <f t="array" ref="W5">_xlfn.PERCENTRANK.EXC(_xlfn._xlws.FILTER($O$3:$O$23, ISNUMBER($O$3:$O$23)),O5)*100</f>
        <v>13.600000000000001</v>
      </c>
      <c r="X5" s="4" cm="1">
        <f t="array" ref="X5">_xlfn.PERCENTRANK.EXC(_xlfn._xlws.FILTER($P$3:$P$23, ISNUMBER($P$3:$P$23)),P5)*100</f>
        <v>13.600000000000001</v>
      </c>
      <c r="Y5" s="200" cm="1">
        <f t="array" ref="Y5">_xlfn.PERCENTRANK.EXC(_xlfn._xlws.FILTER($S$3:$S$23, ISNUMBER($S$3:$S$23)),S5)*100</f>
        <v>18.099999999999998</v>
      </c>
      <c r="Z5" s="4" cm="1">
        <f t="array" ref="Z5">_xlfn.PERCENTRANK.EXC(_xlfn._xlws.FILTER($K$3:$K$23, ISNUMBER($K$3:$K$23)),K5)*100</f>
        <v>22.7</v>
      </c>
      <c r="AA5" s="4" cm="1">
        <f t="array" ref="AA5">_xlfn.PERCENTRANK.EXC(_xlfn._xlws.FILTER($H$3:$H$23, ISNUMBER($H$3:$H$23)),H5)*100</f>
        <v>50</v>
      </c>
      <c r="AB5" s="4" cm="1">
        <f t="array" ref="AB5">_xlfn.PERCENTRANK.EXC(_xlfn._xlws.FILTER($J$3:$J$23, ISNUMBER($J$3:$J$23)),J5)*100</f>
        <v>54.500000000000007</v>
      </c>
      <c r="AC5" s="4">
        <f t="shared" si="4"/>
        <v>27.200000000000003</v>
      </c>
      <c r="AD5" s="4">
        <f t="shared" si="5"/>
        <v>40.9</v>
      </c>
      <c r="AE5" s="4">
        <f t="shared" si="6"/>
        <v>59</v>
      </c>
      <c r="AF5" s="4">
        <f>'Economic Momentum'!Q6</f>
        <v>81.8</v>
      </c>
      <c r="AG5" s="4">
        <f ca="1">'Economic Momentum'!R6</f>
        <v>68.100000000000009</v>
      </c>
      <c r="AH5" s="4">
        <f t="shared" ca="1" si="7"/>
        <v>19.040000000000003</v>
      </c>
      <c r="AJ5" s="3" cm="1">
        <f t="array" aca="1" ref="AJ5" ca="1">_xlfn.PERCENTRANK.EXC(_xlfn._xlws.FILTER($AH$3:$AH$23, ISNUMBER($AH$3:$AH$23)),AH5)*100</f>
        <v>9</v>
      </c>
      <c r="AK5">
        <f t="shared" si="8"/>
        <v>0</v>
      </c>
      <c r="AM5" s="4"/>
    </row>
    <row r="6" spans="1:39" x14ac:dyDescent="0.35">
      <c r="A6" t="s">
        <v>30</v>
      </c>
      <c r="B6" t="s">
        <v>438</v>
      </c>
      <c r="C6" t="s">
        <v>30</v>
      </c>
      <c r="D6" s="153">
        <f>VLOOKUP(C6,'Market Capitalisation'!$C$2:$G$31,5,FALSE)</f>
        <v>204580.81</v>
      </c>
      <c r="E6" cm="1">
        <f t="array" ref="E6">_xll.FDS(C6,"FMA_COS_UP(""EPS"",""1M"",+1,NOW,,,""PORTAGG"",""MEANR"")")</f>
        <v>11</v>
      </c>
      <c r="F6" cm="1">
        <f t="array" ref="F6">_xll.FDS(C6,"FMA_COS_DOWN(""EPS"",""1M"",+1,NOW,,,""PORTAGG"",""MEANR"")")</f>
        <v>13</v>
      </c>
      <c r="G6" cm="1">
        <f t="array" ref="G6">_xll.FDS(A6,"SIZE(FG_CONSTITUENTS)")</f>
        <v>35</v>
      </c>
      <c r="H6" s="9">
        <f t="shared" si="0"/>
        <v>0.31428571428571428</v>
      </c>
      <c r="I6" s="9">
        <f t="shared" si="1"/>
        <v>0.37142857142857144</v>
      </c>
      <c r="J6" s="9">
        <f t="shared" si="2"/>
        <v>-5.7142857142857162E-2</v>
      </c>
      <c r="K6" s="5" cm="1">
        <f t="array" ref="K6">_xll.FDS(A6,"FMA_PCT_ABOVE_MAVG(200,0,,,,""PORTAGG"")")/100</f>
        <v>0.37142857142857105</v>
      </c>
      <c r="L6" s="41" cm="1">
        <f t="array" ref="L6">_xll.FDSB(A6,"PERCENT_CHANGE(FMA_EPS(+1,0,,,,""PORTAGG"",""MEAN""),FMA_EPS(+1,-1AM,,,,""PORTAGG"",""MEAN""))")</f>
        <v>1.5856192864144201</v>
      </c>
      <c r="M6" s="41" cm="1">
        <f t="array" ref="M6">_xll.FDSB(A6,"PERCENT_CHANGE(FMA_EPS(+1,0,,,,""PORTAGG"",""MEAN""),FMA_EPS(+1,-3AM,,,,""PORTAGG"",""MEAN""))")</f>
        <v>-2.6636166132108601</v>
      </c>
      <c r="N6" s="3" cm="1">
        <f t="array" ref="N6">_xll.FDS(C6,"FG_TOTAL_RETURNC(0,-1AM)")</f>
        <v>-9.1337440000000001</v>
      </c>
      <c r="O6" s="3" cm="1">
        <f t="array" ref="O6">_xll.FDS(C6,"FG_TOTAL_RETURNC(0,-3AM)")</f>
        <v>-3.8726984999999998</v>
      </c>
      <c r="P6" s="3" cm="1">
        <f t="array" ref="P6">_xll.FDS(C6,"FG_TOTAL_RETURNC(0,-6AM)")</f>
        <v>2.99865</v>
      </c>
      <c r="Q6" s="9" cm="1">
        <f t="array" ref="Q6">_xll.FDS(C6,"P_PRICE(0)/P_PRICE_HIGH_PR(0,,,,,,""PRICE"",""INTRA"",""52W"")")</f>
        <v>0.89312433999999996</v>
      </c>
      <c r="R6" s="9" cm="1">
        <f t="array" ref="R6">_xll.FDS(C6,"P_PRICE(0)/P_PRICE_low_PR(0,,,,,,""PRICE"",""INTRA"",""52W"")-1")</f>
        <v>8.2937360000000002E-2</v>
      </c>
      <c r="S6" s="3" cm="1">
        <f t="array" ref="S6">_xll.FDS(C6,"FG_TOTAL_RETURNC(0,-12AM)")</f>
        <v>-0.92384219999999995</v>
      </c>
      <c r="T6" s="4" cm="1">
        <f t="array" ref="T6">_xlfn.PERCENTRANK.EXC(_xlfn._xlws.FILTER($R$3:$R$23, ISNUMBER($R$3:$R$23)),R6)*100</f>
        <v>22.7</v>
      </c>
      <c r="U6" s="4">
        <f t="shared" si="3"/>
        <v>77.3</v>
      </c>
      <c r="V6" s="4" cm="1">
        <f t="array" ref="V6">_xlfn.PERCENTRANK.EXC(_xlfn._xlws.FILTER($Q$3:$Q$23, ISNUMBER($Q$3:$Q$23)),Q6)*100</f>
        <v>45.4</v>
      </c>
      <c r="W6" s="4" cm="1">
        <f t="array" ref="W6">_xlfn.PERCENTRANK.EXC(_xlfn._xlws.FILTER($O$3:$O$23, ISNUMBER($O$3:$O$23)),O6)*100</f>
        <v>18.099999999999998</v>
      </c>
      <c r="X6" s="4" cm="1">
        <f t="array" ref="X6">_xlfn.PERCENTRANK.EXC(_xlfn._xlws.FILTER($P$3:$P$23, ISNUMBER($P$3:$P$23)),P6)*100</f>
        <v>31.8</v>
      </c>
      <c r="Y6" s="200" cm="1">
        <f t="array" ref="Y6">_xlfn.PERCENTRANK.EXC(_xlfn._xlws.FILTER($S$3:$S$23, ISNUMBER($S$3:$S$23)),S6)*100</f>
        <v>31.8</v>
      </c>
      <c r="Z6" s="4" cm="1">
        <f t="array" ref="Z6">_xlfn.PERCENTRANK.EXC(_xlfn._xlws.FILTER($K$3:$K$23, ISNUMBER($K$3:$K$23)),K6)*100</f>
        <v>18.099999999999998</v>
      </c>
      <c r="AA6" s="4" cm="1">
        <f t="array" ref="AA6">_xlfn.PERCENTRANK.EXC(_xlfn._xlws.FILTER($H$3:$H$23, ISNUMBER($H$3:$H$23)),H6)*100</f>
        <v>68.100000000000009</v>
      </c>
      <c r="AB6" s="4" cm="1">
        <f t="array" ref="AB6">_xlfn.PERCENTRANK.EXC(_xlfn._xlws.FILTER($J$3:$J$23, ISNUMBER($J$3:$J$23)),J6)*100</f>
        <v>50</v>
      </c>
      <c r="AC6" s="4">
        <f t="shared" si="4"/>
        <v>86.3</v>
      </c>
      <c r="AD6" s="4">
        <f t="shared" si="5"/>
        <v>50</v>
      </c>
      <c r="AE6" s="4">
        <f t="shared" si="6"/>
        <v>31.8</v>
      </c>
      <c r="AF6" s="4">
        <f>'Economic Momentum'!Q7</f>
        <v>50</v>
      </c>
      <c r="AG6" s="4">
        <f ca="1">'Economic Momentum'!R7</f>
        <v>40.9</v>
      </c>
      <c r="AH6" s="4">
        <f t="shared" ca="1" si="7"/>
        <v>33.129999999999995</v>
      </c>
      <c r="AJ6" s="3" cm="1">
        <f t="array" aca="1" ref="AJ6" ca="1">_xlfn.PERCENTRANK.EXC(_xlfn._xlws.FILTER($AH$3:$AH$23, ISNUMBER($AH$3:$AH$23)),AH6)*100</f>
        <v>27.200000000000003</v>
      </c>
      <c r="AK6">
        <f t="shared" si="8"/>
        <v>0</v>
      </c>
      <c r="AM6" s="4"/>
    </row>
    <row r="7" spans="1:39" x14ac:dyDescent="0.35">
      <c r="A7" t="s">
        <v>23</v>
      </c>
      <c r="B7" t="s">
        <v>439</v>
      </c>
      <c r="C7" t="s">
        <v>23</v>
      </c>
      <c r="D7" s="153">
        <f>VLOOKUP(C7,'Market Capitalisation'!$C$2:$G$31,5,FALSE)</f>
        <v>200453.1</v>
      </c>
      <c r="E7" cm="1">
        <f t="array" ref="E7">_xll.FDS(C7,"FMA_COS_UP(""EPS"",""1M"",+1,NOW,,,""PORTAGG"",""MEANR"")")</f>
        <v>13</v>
      </c>
      <c r="F7" cm="1">
        <f t="array" ref="F7">_xll.FDS(C7,"FMA_COS_DOWN(""EPS"",""1M"",+1,NOW,,,""PORTAGG"",""MEANR"")")</f>
        <v>9</v>
      </c>
      <c r="G7" cm="1">
        <f t="array" ref="G7">_xll.FDS(A7,"SIZE(FG_CONSTITUENTS)")</f>
        <v>33</v>
      </c>
      <c r="H7" s="9">
        <f t="shared" si="0"/>
        <v>0.39393939393939392</v>
      </c>
      <c r="I7" s="9">
        <f t="shared" si="1"/>
        <v>0.27272727272727271</v>
      </c>
      <c r="J7" s="9">
        <f t="shared" si="2"/>
        <v>0.12121212121212122</v>
      </c>
      <c r="K7" s="5" cm="1">
        <f t="array" ref="K7">_xll.FDS(A7,"FMA_PCT_ABOVE_MAVG(200,0,,,,""PORTAGG"")")/100</f>
        <v>0.51515151515151503</v>
      </c>
      <c r="L7" s="41" cm="1">
        <f t="array" ref="L7">_xll.FDSB(A7,"PERCENT_CHANGE(FMA_EPS(+1,0,,,,""PORTAGG"",""MEAN""),FMA_EPS(+1,-1AM,,,,""PORTAGG"",""MEAN""))")</f>
        <v>5.3250624532620403</v>
      </c>
      <c r="M7" s="41" cm="1">
        <f t="array" ref="M7">_xll.FDSB(A7,"PERCENT_CHANGE(FMA_EPS(+1,0,,,,""PORTAGG"",""MEAN""),FMA_EPS(+1,-3AM,,,,""PORTAGG"",""MEAN""))")</f>
        <v>-0.64292787665895301</v>
      </c>
      <c r="N7" s="3" cm="1">
        <f t="array" ref="N7">_xll.FDS(C7,"FG_TOTAL_RETURNC(0,-1AM)")</f>
        <v>1.3111949000000001</v>
      </c>
      <c r="O7" s="3" cm="1">
        <f t="array" ref="O7">_xll.FDS(C7,"FG_TOTAL_RETURNC(0,-3AM)")</f>
        <v>11.442316</v>
      </c>
      <c r="P7" s="3" cm="1">
        <f t="array" ref="P7">_xll.FDS(C7,"FG_TOTAL_RETURNC(0,-6AM)")</f>
        <v>23.422623000000002</v>
      </c>
      <c r="Q7" s="9" cm="1">
        <f t="array" ref="Q7">_xll.FDS(C7,"P_PRICE(0)/P_PRICE_HIGH_PR(0,,,,,,""PRICE"",""INTRA"",""52W"")")</f>
        <v>0.93242157000000003</v>
      </c>
      <c r="R7" s="9" cm="1">
        <f t="array" ref="R7">_xll.FDS(C7,"P_PRICE(0)/P_PRICE_low_PR(0,,,,,,""PRICE"",""INTRA"",""52W"")-1")</f>
        <v>0.41169309999999998</v>
      </c>
      <c r="S7" s="3" cm="1">
        <f t="array" ref="S7">_xll.FDS(C7,"FG_TOTAL_RETURNC(0,-12AM)")</f>
        <v>39.681457999999999</v>
      </c>
      <c r="T7" s="4" cm="1">
        <f t="array" ref="T7">_xlfn.PERCENTRANK.EXC(_xlfn._xlws.FILTER($R$3:$R$23, ISNUMBER($R$3:$R$23)),R7)*100</f>
        <v>95.399999999999991</v>
      </c>
      <c r="U7" s="4">
        <f t="shared" si="3"/>
        <v>4.6000000000000085</v>
      </c>
      <c r="V7" s="4" cm="1">
        <f t="array" ref="V7">_xlfn.PERCENTRANK.EXC(_xlfn._xlws.FILTER($Q$3:$Q$23, ISNUMBER($Q$3:$Q$23)),Q7)*100</f>
        <v>68.100000000000009</v>
      </c>
      <c r="W7" s="4" cm="1">
        <f t="array" ref="W7">_xlfn.PERCENTRANK.EXC(_xlfn._xlws.FILTER($O$3:$O$23, ISNUMBER($O$3:$O$23)),O7)*100</f>
        <v>86.3</v>
      </c>
      <c r="X7" s="4" cm="1">
        <f t="array" ref="X7">_xlfn.PERCENTRANK.EXC(_xlfn._xlws.FILTER($P$3:$P$23, ISNUMBER($P$3:$P$23)),P7)*100</f>
        <v>90.9</v>
      </c>
      <c r="Y7" s="200" cm="1">
        <f t="array" ref="Y7">_xlfn.PERCENTRANK.EXC(_xlfn._xlws.FILTER($S$3:$S$23, ISNUMBER($S$3:$S$23)),S7)*100</f>
        <v>95.399999999999991</v>
      </c>
      <c r="Z7" s="4" cm="1">
        <f t="array" ref="Z7">_xlfn.PERCENTRANK.EXC(_xlfn._xlws.FILTER($K$3:$K$23, ISNUMBER($K$3:$K$23)),K7)*100</f>
        <v>54.500000000000007</v>
      </c>
      <c r="AA7" s="4" cm="1">
        <f t="array" ref="AA7">_xlfn.PERCENTRANK.EXC(_xlfn._xlws.FILTER($H$3:$H$23, ISNUMBER($H$3:$H$23)),H7)*100</f>
        <v>86.3</v>
      </c>
      <c r="AB7" s="4" cm="1">
        <f t="array" ref="AB7">_xlfn.PERCENTRANK.EXC(_xlfn._xlws.FILTER($J$3:$J$23, ISNUMBER($J$3:$J$23)),J7)*100</f>
        <v>90.9</v>
      </c>
      <c r="AC7" s="4">
        <f t="shared" si="4"/>
        <v>95.399999999999991</v>
      </c>
      <c r="AD7" s="4">
        <f t="shared" si="5"/>
        <v>72.7</v>
      </c>
      <c r="AE7" s="4">
        <f t="shared" si="6"/>
        <v>27.200000000000003</v>
      </c>
      <c r="AF7" s="4">
        <f>'Economic Momentum'!Q8</f>
        <v>4.5</v>
      </c>
      <c r="AG7" s="4">
        <f ca="1">'Economic Momentum'!R8</f>
        <v>36.299999999999997</v>
      </c>
      <c r="AH7" s="4">
        <f t="shared" ca="1" si="7"/>
        <v>80.400000000000006</v>
      </c>
      <c r="AJ7" s="3" cm="1">
        <f t="array" aca="1" ref="AJ7" ca="1">_xlfn.PERCENTRANK.EXC(_xlfn._xlws.FILTER($AH$3:$AH$23, ISNUMBER($AH$3:$AH$23)),AH7)*100</f>
        <v>90.9</v>
      </c>
      <c r="AK7">
        <f t="shared" si="8"/>
        <v>5</v>
      </c>
      <c r="AM7" s="4"/>
    </row>
    <row r="8" spans="1:39" x14ac:dyDescent="0.35">
      <c r="A8" t="s">
        <v>29</v>
      </c>
      <c r="B8" t="s">
        <v>440</v>
      </c>
      <c r="C8" t="s">
        <v>29</v>
      </c>
      <c r="D8" s="153">
        <f>VLOOKUP(C8,'Market Capitalisation'!$C$2:$G$31,5,FALSE)</f>
        <v>34614.86</v>
      </c>
      <c r="E8" cm="1">
        <f t="array" ref="E8">_xll.FDS(C8,"FMA_COS_UP(""EPS"",""1M"",+1,NOW,,,""PORTAGG"",""MEANR"")")</f>
        <v>6</v>
      </c>
      <c r="F8" cm="1">
        <f t="array" ref="F8">_xll.FDS(C8,"FMA_COS_DOWN(""EPS"",""1M"",+1,NOW,,,""PORTAGG"",""MEANR"")")</f>
        <v>2</v>
      </c>
      <c r="G8" cm="1">
        <f t="array" ref="G8">_xll.FDS(A8,"SIZE(FG_CONSTITUENTS)")</f>
        <v>26</v>
      </c>
      <c r="H8" s="9">
        <f t="shared" si="0"/>
        <v>0.23076923076923078</v>
      </c>
      <c r="I8" s="9">
        <f t="shared" si="1"/>
        <v>7.6923076923076927E-2</v>
      </c>
      <c r="J8" s="9">
        <f t="shared" si="2"/>
        <v>0.15384615384615385</v>
      </c>
      <c r="K8" s="5" cm="1">
        <f t="array" ref="K8">_xll.FDS(A8,"FMA_PCT_ABOVE_MAVG(200,0,,,,""PORTAGG"")")/100</f>
        <v>0.69230769230769196</v>
      </c>
      <c r="L8" s="41" cm="1">
        <f t="array" ref="L8">_xll.FDSB(A8,"PERCENT_CHANGE(FMA_EPS(+1,0,,,,""PORTAGG"",""MEAN""),FMA_EPS(+1,-1AM,,,,""PORTAGG"",""MEAN""))")</f>
        <v>1.06736832672121</v>
      </c>
      <c r="M8" s="41" cm="1">
        <f t="array" ref="M8">_xll.FDSB(A8,"PERCENT_CHANGE(FMA_EPS(+1,0,,,,""PORTAGG"",""MEAN""),FMA_EPS(+1,-3AM,,,,""PORTAGG"",""MEAN""))")</f>
        <v>0.46291827784046902</v>
      </c>
      <c r="N8" s="3" cm="1">
        <f t="array" ref="N8">_xll.FDS(C8,"FG_TOTAL_RETURNC(0,-1AM)")</f>
        <v>2.4139762</v>
      </c>
      <c r="O8" s="3" cm="1">
        <f t="array" ref="O8">_xll.FDS(C8,"FG_TOTAL_RETURNC(0,-3AM)")</f>
        <v>20.740200000000002</v>
      </c>
      <c r="P8" s="3" cm="1">
        <f t="array" ref="P8">_xll.FDS(C8,"FG_TOTAL_RETURNC(0,-6AM)")</f>
        <v>40.164270000000002</v>
      </c>
      <c r="Q8" s="9" cm="1">
        <f t="array" ref="Q8">_xll.FDS(C8,"P_PRICE(0)/P_PRICE_HIGH_PR(0,,,,,,""PRICE"",""INTRA"",""52W"")")</f>
        <v>0.96772634999999996</v>
      </c>
      <c r="R8" s="9" cm="1">
        <f t="array" ref="R8">_xll.FDS(C8,"P_PRICE(0)/P_PRICE_low_PR(0,,,,,,""PRICE"",""INTRA"",""52W"")-1")</f>
        <v>0.39684772000000001</v>
      </c>
      <c r="S8" s="3" cm="1">
        <f t="array" ref="S8">_xll.FDS(C8,"FG_TOTAL_RETURNC(0,-12AM)")</f>
        <v>31.710982999999999</v>
      </c>
      <c r="T8" s="4" cm="1">
        <f t="array" ref="T8">_xlfn.PERCENTRANK.EXC(_xlfn._xlws.FILTER($R$3:$R$23, ISNUMBER($R$3:$R$23)),R8)*100</f>
        <v>90.9</v>
      </c>
      <c r="U8" s="4">
        <f t="shared" si="3"/>
        <v>9.0999999999999943</v>
      </c>
      <c r="V8" s="4" cm="1">
        <f t="array" ref="V8">_xlfn.PERCENTRANK.EXC(_xlfn._xlws.FILTER($Q$3:$Q$23, ISNUMBER($Q$3:$Q$23)),Q8)*100</f>
        <v>86.3</v>
      </c>
      <c r="W8" s="4" cm="1">
        <f t="array" ref="W8">_xlfn.PERCENTRANK.EXC(_xlfn._xlws.FILTER($O$3:$O$23, ISNUMBER($O$3:$O$23)),O8)*100</f>
        <v>95.399999999999991</v>
      </c>
      <c r="X8" s="4" cm="1">
        <f t="array" ref="X8">_xlfn.PERCENTRANK.EXC(_xlfn._xlws.FILTER($P$3:$P$23, ISNUMBER($P$3:$P$23)),P8)*100</f>
        <v>95.399999999999991</v>
      </c>
      <c r="Y8" s="200" cm="1">
        <f t="array" ref="Y8">_xlfn.PERCENTRANK.EXC(_xlfn._xlws.FILTER($S$3:$S$23, ISNUMBER($S$3:$S$23)),S8)*100</f>
        <v>90.9</v>
      </c>
      <c r="Z8" s="4" cm="1">
        <f t="array" ref="Z8">_xlfn.PERCENTRANK.EXC(_xlfn._xlws.FILTER($K$3:$K$23, ISNUMBER($K$3:$K$23)),K8)*100</f>
        <v>81.8</v>
      </c>
      <c r="AA8" s="4" cm="1">
        <f t="array" ref="AA8">_xlfn.PERCENTRANK.EXC(_xlfn._xlws.FILTER($H$3:$H$23, ISNUMBER($H$3:$H$23)),H8)*100</f>
        <v>31.8</v>
      </c>
      <c r="AB8" s="4" cm="1">
        <f t="array" ref="AB8">_xlfn.PERCENTRANK.EXC(_xlfn._xlws.FILTER($J$3:$J$23, ISNUMBER($J$3:$J$23)),J8)*100</f>
        <v>95.399999999999991</v>
      </c>
      <c r="AC8" s="4">
        <f t="shared" si="4"/>
        <v>77.2</v>
      </c>
      <c r="AD8" s="4">
        <f t="shared" si="5"/>
        <v>81.8</v>
      </c>
      <c r="AE8" s="4">
        <f t="shared" si="6"/>
        <v>9</v>
      </c>
      <c r="AF8" s="4">
        <f>'Economic Momentum'!Q9</f>
        <v>50</v>
      </c>
      <c r="AG8" s="4">
        <f ca="1">'Economic Momentum'!R9</f>
        <v>40.9</v>
      </c>
      <c r="AH8" s="4">
        <f t="shared" ca="1" si="7"/>
        <v>91.759999999999991</v>
      </c>
      <c r="AJ8" s="3" cm="1">
        <f t="array" aca="1" ref="AJ8" ca="1">_xlfn.PERCENTRANK.EXC(_xlfn._xlws.FILTER($AH$3:$AH$23, ISNUMBER($AH$3:$AH$23)),AH8)*100</f>
        <v>95.399999999999991</v>
      </c>
      <c r="AK8">
        <f t="shared" si="8"/>
        <v>6</v>
      </c>
      <c r="AM8" s="4"/>
    </row>
    <row r="9" spans="1:39" x14ac:dyDescent="0.35">
      <c r="A9" t="s">
        <v>33</v>
      </c>
      <c r="B9" t="s">
        <v>441</v>
      </c>
      <c r="C9" t="s">
        <v>33</v>
      </c>
      <c r="D9" s="153">
        <f>VLOOKUP(C9,'Market Capitalisation'!$C$2:$G$31,5,FALSE)</f>
        <v>366440.2</v>
      </c>
      <c r="E9" cm="1">
        <f t="array" ref="E9">_xll.FDS(C9,"FMA_COS_UP(""EPS"",""1M"",+1,NOW,,,""PORTAGG"",""MEANR"")")</f>
        <v>8</v>
      </c>
      <c r="F9" cm="1">
        <f t="array" ref="F9">_xll.FDS(C9,"FMA_COS_DOWN(""EPS"",""1M"",+1,NOW,,,""PORTAGG"",""MEANR"")")</f>
        <v>14</v>
      </c>
      <c r="G9" cm="1">
        <f t="array" ref="G9">_xll.FDS(A9,"SIZE(FG_CONSTITUENTS)")</f>
        <v>34</v>
      </c>
      <c r="H9" s="9">
        <f t="shared" si="0"/>
        <v>0.23529411764705882</v>
      </c>
      <c r="I9" s="9">
        <f t="shared" si="1"/>
        <v>0.41176470588235292</v>
      </c>
      <c r="J9" s="9">
        <f t="shared" si="2"/>
        <v>-0.1764705882352941</v>
      </c>
      <c r="K9" s="5" cm="1">
        <f t="array" ref="K9">_xll.FDS(A9,"FMA_PCT_ABOVE_MAVG(200,0,,,,""PORTAGG"")")/100</f>
        <v>0.63636363636363602</v>
      </c>
      <c r="L9" s="41" cm="1">
        <f t="array" ref="L9">_xll.FDSB(A9,"PERCENT_CHANGE(FMA_EPS(+1,0,,,,""PORTAGG"",""MEAN""),FMA_EPS(+1,-1AM,,,,""PORTAGG"",""MEAN""))")</f>
        <v>-1.7753927882286</v>
      </c>
      <c r="M9" s="41" cm="1">
        <f t="array" ref="M9">_xll.FDSB(A9,"PERCENT_CHANGE(FMA_EPS(+1,0,,,,""PORTAGG"",""MEAN""),FMA_EPS(+1,-3AM,,,,""PORTAGG"",""MEAN""))")</f>
        <v>-0.80130355827460897</v>
      </c>
      <c r="N9" s="3" cm="1">
        <f t="array" ref="N9">_xll.FDS(C9,"FG_TOTAL_RETURNC(0,-1AM)")</f>
        <v>-1.9483447</v>
      </c>
      <c r="O9" s="3" cm="1">
        <f t="array" ref="O9">_xll.FDS(C9,"FG_TOTAL_RETURNC(0,-3AM)")</f>
        <v>3.3922553</v>
      </c>
      <c r="P9" s="3" cm="1">
        <f t="array" ref="P9">_xll.FDS(C9,"FG_TOTAL_RETURNC(0,-6AM)")</f>
        <v>6.4402460000000001</v>
      </c>
      <c r="Q9" s="9" cm="1">
        <f t="array" ref="Q9">_xll.FDS(C9,"P_PRICE(0)/P_PRICE_HIGH_PR(0,,,,,,""PRICE"",""INTRA"",""52W"")")</f>
        <v>0.97389740000000002</v>
      </c>
      <c r="R9" s="9" cm="1">
        <f t="array" ref="R9">_xll.FDS(C9,"P_PRICE(0)/P_PRICE_low_PR(0,,,,,,""PRICE"",""INTRA"",""52W"")-1")</f>
        <v>9.0725780000000006E-2</v>
      </c>
      <c r="S9" s="3" cm="1">
        <f t="array" ref="S9">_xll.FDS(C9,"FG_TOTAL_RETURNC(0,-12AM)")</f>
        <v>1.0404229</v>
      </c>
      <c r="T9" s="4" cm="1">
        <f t="array" ref="T9">_xlfn.PERCENTRANK.EXC(_xlfn._xlws.FILTER($R$3:$R$23, ISNUMBER($R$3:$R$23)),R9)*100</f>
        <v>27.200000000000003</v>
      </c>
      <c r="U9" s="4">
        <f t="shared" si="3"/>
        <v>72.8</v>
      </c>
      <c r="V9" s="4" cm="1">
        <f t="array" ref="V9">_xlfn.PERCENTRANK.EXC(_xlfn._xlws.FILTER($Q$3:$Q$23, ISNUMBER($Q$3:$Q$23)),Q9)*100</f>
        <v>95.399999999999991</v>
      </c>
      <c r="W9" s="4" cm="1">
        <f t="array" ref="W9">_xlfn.PERCENTRANK.EXC(_xlfn._xlws.FILTER($O$3:$O$23, ISNUMBER($O$3:$O$23)),O9)*100</f>
        <v>54.500000000000007</v>
      </c>
      <c r="X9" s="4" cm="1">
        <f t="array" ref="X9">_xlfn.PERCENTRANK.EXC(_xlfn._xlws.FILTER($P$3:$P$23, ISNUMBER($P$3:$P$23)),P9)*100</f>
        <v>59</v>
      </c>
      <c r="Y9" s="200" cm="1">
        <f t="array" ref="Y9">_xlfn.PERCENTRANK.EXC(_xlfn._xlws.FILTER($S$3:$S$23, ISNUMBER($S$3:$S$23)),S9)*100</f>
        <v>45.4</v>
      </c>
      <c r="Z9" s="4" cm="1">
        <f t="array" ref="Z9">_xlfn.PERCENTRANK.EXC(_xlfn._xlws.FILTER($K$3:$K$23, ISNUMBER($K$3:$K$23)),K9)*100</f>
        <v>68.100000000000009</v>
      </c>
      <c r="AA9" s="4" cm="1">
        <f t="array" ref="AA9">_xlfn.PERCENTRANK.EXC(_xlfn._xlws.FILTER($H$3:$H$23, ISNUMBER($H$3:$H$23)),H9)*100</f>
        <v>36.299999999999997</v>
      </c>
      <c r="AB9" s="4" cm="1">
        <f t="array" ref="AB9">_xlfn.PERCENTRANK.EXC(_xlfn._xlws.FILTER($J$3:$J$23, ISNUMBER($J$3:$J$23)),J9)*100</f>
        <v>22.7</v>
      </c>
      <c r="AC9" s="4">
        <f t="shared" si="4"/>
        <v>31.8</v>
      </c>
      <c r="AD9" s="4">
        <f t="shared" si="5"/>
        <v>68.100000000000009</v>
      </c>
      <c r="AE9" s="4">
        <f t="shared" si="6"/>
        <v>40.9</v>
      </c>
      <c r="AF9" s="4">
        <f>'Economic Momentum'!Q10</f>
        <v>13.600000000000001</v>
      </c>
      <c r="AG9" s="4">
        <f ca="1">'Economic Momentum'!R10</f>
        <v>72.7</v>
      </c>
      <c r="AH9" s="4">
        <f t="shared" ca="1" si="7"/>
        <v>72.209999999999994</v>
      </c>
      <c r="AJ9" s="3" cm="1">
        <f t="array" aca="1" ref="AJ9" ca="1">_xlfn.PERCENTRANK.EXC(_xlfn._xlws.FILTER($AH$3:$AH$23, ISNUMBER($AH$3:$AH$23)),AH9)*100</f>
        <v>77.2</v>
      </c>
      <c r="AK9">
        <f t="shared" si="8"/>
        <v>1</v>
      </c>
      <c r="AM9" s="4"/>
    </row>
    <row r="10" spans="1:39" x14ac:dyDescent="0.35">
      <c r="A10" t="s">
        <v>24</v>
      </c>
      <c r="B10" t="s">
        <v>40</v>
      </c>
      <c r="C10" t="s">
        <v>24</v>
      </c>
      <c r="D10" s="153">
        <f>VLOOKUP(C10,'Market Capitalisation'!$C$2:$G$31,5,FALSE)</f>
        <v>2173821.7999999998</v>
      </c>
      <c r="E10" cm="1">
        <f t="array" ref="E10">_xll.FDS(C10,"FMA_COS_UP(""EPS"",""1M"",+1,NOW,,,""PORTAGG"",""MEANR"")")</f>
        <v>30</v>
      </c>
      <c r="F10" cm="1">
        <f t="array" ref="F10">_xll.FDS(C10,"FMA_COS_DOWN(""EPS"",""1M"",+1,NOW,,,""PORTAGG"",""MEANR"")")</f>
        <v>37</v>
      </c>
      <c r="G10" cm="1">
        <f t="array" ref="G10">_xll.FDS(A10,"SIZE(FG_CONSTITUENTS)")</f>
        <v>91</v>
      </c>
      <c r="H10" s="9">
        <f t="shared" si="0"/>
        <v>0.32967032967032966</v>
      </c>
      <c r="I10" s="9">
        <f t="shared" si="1"/>
        <v>0.40659340659340659</v>
      </c>
      <c r="J10" s="9">
        <f t="shared" si="2"/>
        <v>-7.6923076923076927E-2</v>
      </c>
      <c r="K10" s="5" cm="1">
        <f t="array" ref="K10">_xll.FDS(A10,"FMA_PCT_ABOVE_MAVG(200,0,,,,""PORTAGG"")")/100</f>
        <v>0.655555555555556</v>
      </c>
      <c r="L10" s="41" cm="1">
        <f t="array" ref="L10">_xll.FDSB(A10,"PERCENT_CHANGE(FMA_EPS(+1,0,,,,""PORTAGG"",""MEAN""),FMA_EPS(+1,-1AM,,,,""PORTAGG"",""MEAN""))")</f>
        <v>-2.68707042276717</v>
      </c>
      <c r="M10" s="41" cm="1">
        <f t="array" ref="M10">_xll.FDSB(A10,"PERCENT_CHANGE(FMA_EPS(+1,0,,,,""PORTAGG"",""MEAN""),FMA_EPS(+1,-3AM,,,,""PORTAGG"",""MEAN""))")</f>
        <v>-5.5553071021783103</v>
      </c>
      <c r="N10" s="3" cm="1">
        <f t="array" ref="N10">_xll.FDS(C10,"FG_TOTAL_RETURNC(0,-1AM)")</f>
        <v>-3.4931839</v>
      </c>
      <c r="O10" s="3" cm="1">
        <f t="array" ref="O10">_xll.FDS(C10,"FG_TOTAL_RETURNC(0,-3AM)")</f>
        <v>8.2541100000000007</v>
      </c>
      <c r="P10" s="3" cm="1">
        <f t="array" ref="P10">_xll.FDS(C10,"FG_TOTAL_RETURNC(0,-6AM)")</f>
        <v>18.647061999999998</v>
      </c>
      <c r="Q10" s="9" cm="1">
        <f t="array" ref="Q10">_xll.FDS(C10,"P_PRICE(0)/P_PRICE_HIGH_PR(0,,,,,,""PRICE"",""INTRA"",""52W"")")</f>
        <v>0.93026500000000001</v>
      </c>
      <c r="R10" s="9" cm="1">
        <f t="array" ref="R10">_xll.FDS(C10,"P_PRICE(0)/P_PRICE_low_PR(0,,,,,,""PRICE"",""INTRA"",""52W"")-1")</f>
        <v>0.10836792000000001</v>
      </c>
      <c r="S10" s="3" cm="1">
        <f t="array" ref="S10">_xll.FDS(C10,"FG_TOTAL_RETURNC(0,-12AM)")</f>
        <v>17.194033000000001</v>
      </c>
      <c r="T10" s="4" cm="1">
        <f t="array" ref="T10">_xlfn.PERCENTRANK.EXC(_xlfn._xlws.FILTER($R$3:$R$23, ISNUMBER($R$3:$R$23)),R10)*100</f>
        <v>45.4</v>
      </c>
      <c r="U10" s="4">
        <f t="shared" si="3"/>
        <v>54.6</v>
      </c>
      <c r="V10" s="4" cm="1">
        <f t="array" ref="V10">_xlfn.PERCENTRANK.EXC(_xlfn._xlws.FILTER($Q$3:$Q$23, ISNUMBER($Q$3:$Q$23)),Q10)*100</f>
        <v>63.6</v>
      </c>
      <c r="W10" s="4" cm="1">
        <f t="array" ref="W10">_xlfn.PERCENTRANK.EXC(_xlfn._xlws.FILTER($O$3:$O$23, ISNUMBER($O$3:$O$23)),O10)*100</f>
        <v>77.2</v>
      </c>
      <c r="X10" s="4" cm="1">
        <f t="array" ref="X10">_xlfn.PERCENTRANK.EXC(_xlfn._xlws.FILTER($P$3:$P$23, ISNUMBER($P$3:$P$23)),P10)*100</f>
        <v>77.2</v>
      </c>
      <c r="Y10" s="200" cm="1">
        <f t="array" ref="Y10">_xlfn.PERCENTRANK.EXC(_xlfn._xlws.FILTER($S$3:$S$23, ISNUMBER($S$3:$S$23)),S10)*100</f>
        <v>77.2</v>
      </c>
      <c r="Z10" s="4" cm="1">
        <f t="array" ref="Z10">_xlfn.PERCENTRANK.EXC(_xlfn._xlws.FILTER($K$3:$K$23, ISNUMBER($K$3:$K$23)),K10)*100</f>
        <v>77.2</v>
      </c>
      <c r="AA10" s="4" cm="1">
        <f t="array" ref="AA10">_xlfn.PERCENTRANK.EXC(_xlfn._xlws.FILTER($H$3:$H$23, ISNUMBER($H$3:$H$23)),H10)*100</f>
        <v>77.2</v>
      </c>
      <c r="AB10" s="4" cm="1">
        <f t="array" ref="AB10">_xlfn.PERCENTRANK.EXC(_xlfn._xlws.FILTER($J$3:$J$23, ISNUMBER($J$3:$J$23)),J10)*100</f>
        <v>40.9</v>
      </c>
      <c r="AC10" s="4">
        <f t="shared" si="4"/>
        <v>13.600000000000001</v>
      </c>
      <c r="AD10" s="4">
        <f t="shared" si="5"/>
        <v>22.7</v>
      </c>
      <c r="AE10" s="4">
        <f t="shared" si="6"/>
        <v>77.2</v>
      </c>
      <c r="AF10" s="4">
        <f>'Economic Momentum'!Q11</f>
        <v>18.099999999999998</v>
      </c>
      <c r="AG10" s="4">
        <f ca="1">'Economic Momentum'!R11</f>
        <v>63.6</v>
      </c>
      <c r="AH10" s="4">
        <f t="shared" ca="1" si="7"/>
        <v>71.760000000000005</v>
      </c>
      <c r="AJ10" s="3" cm="1">
        <f t="array" aca="1" ref="AJ10" ca="1">_xlfn.PERCENTRANK.EXC(_xlfn._xlws.FILTER($AH$3:$AH$23, ISNUMBER($AH$3:$AH$23)),AH10)*100</f>
        <v>72.7</v>
      </c>
      <c r="AK10">
        <f t="shared" si="8"/>
        <v>5</v>
      </c>
      <c r="AM10" s="4"/>
    </row>
    <row r="11" spans="1:39" x14ac:dyDescent="0.35">
      <c r="A11" t="s">
        <v>7</v>
      </c>
      <c r="B11" t="s">
        <v>53</v>
      </c>
      <c r="C11" t="s">
        <v>7</v>
      </c>
      <c r="D11" s="153">
        <f>VLOOKUP(C11,'Market Capitalisation'!$C$2:$G$31,5,FALSE)</f>
        <v>513856.34</v>
      </c>
      <c r="E11" cm="1">
        <f t="array" ref="E11">_xll.FDS(C11,"FMA_COS_UP(""EPS"",""1M"",+1,NOW,,,""PORTAGG"",""MEANR"")")</f>
        <v>14</v>
      </c>
      <c r="F11" cm="1">
        <f t="array" ref="F11">_xll.FDS(C11,"FMA_COS_DOWN(""EPS"",""1M"",+1,NOW,,,""PORTAGG"",""MEANR"")")</f>
        <v>18</v>
      </c>
      <c r="G11" cm="1">
        <f t="array" ref="G11">_xll.FDS(A11,"SIZE(FG_CONSTITUENTS)")</f>
        <v>44</v>
      </c>
      <c r="H11" s="9">
        <f t="shared" si="0"/>
        <v>0.31818181818181818</v>
      </c>
      <c r="I11" s="9">
        <f t="shared" si="1"/>
        <v>0.40909090909090912</v>
      </c>
      <c r="J11" s="9">
        <f t="shared" si="2"/>
        <v>-9.0909090909090939E-2</v>
      </c>
      <c r="K11" s="5" cm="1">
        <f t="array" ref="K11">_xll.FDS(A11,"FMA_PCT_ABOVE_MAVG(200,0,,,,""PORTAGG"")")/100</f>
        <v>0.52272727272727304</v>
      </c>
      <c r="L11" s="41" cm="1">
        <f t="array" ref="L11">_xll.FDSB(A11,"PERCENT_CHANGE(FMA_EPS(+1,0,,,,""PORTAGG"",""MEAN""),FMA_EPS(+1,-1AM,,,,""PORTAGG"",""MEAN""))")</f>
        <v>-0.97062837524874701</v>
      </c>
      <c r="M11" s="41" cm="1">
        <f t="array" ref="M11">_xll.FDSB(A11,"PERCENT_CHANGE(FMA_EPS(+1,0,,,,""PORTAGG"",""MEAN""),FMA_EPS(+1,-3AM,,,,""PORTAGG"",""MEAN""))")</f>
        <v>-0.329574250061059</v>
      </c>
      <c r="N11" s="3" cm="1">
        <f t="array" ref="N11">_xll.FDS(C11,"FG_TOTAL_RETURNC(0,-1AM)")</f>
        <v>-3.0321121</v>
      </c>
      <c r="O11" s="3" cm="1">
        <f t="array" ref="O11">_xll.FDS(C11,"FG_TOTAL_RETURNC(0,-3AM)")</f>
        <v>1.5326858000000001</v>
      </c>
      <c r="P11" s="3" cm="1">
        <f t="array" ref="P11">_xll.FDS(C11,"FG_TOTAL_RETURNC(0,-6AM)")</f>
        <v>21.582329000000001</v>
      </c>
      <c r="Q11" s="9" cm="1">
        <f t="array" ref="Q11">_xll.FDS(C11,"P_PRICE(0)/P_PRICE_HIGH_PR(0,,,,,,""PRICE"",""INTRA"",""52W"")")</f>
        <v>0.9128233</v>
      </c>
      <c r="R11" s="9" cm="1">
        <f t="array" ref="R11">_xll.FDS(C11,"P_PRICE(0)/P_PRICE_low_PR(0,,,,,,""PRICE"",""INTRA"",""52W"")-1")</f>
        <v>0.23821521000000001</v>
      </c>
      <c r="S11" s="3" cm="1">
        <f t="array" ref="S11">_xll.FDS(C11,"FG_TOTAL_RETURNC(0,-12AM)")</f>
        <v>11.220717</v>
      </c>
      <c r="T11" s="4" cm="1">
        <f t="array" ref="T11">_xlfn.PERCENTRANK.EXC(_xlfn._xlws.FILTER($R$3:$R$23, ISNUMBER($R$3:$R$23)),R11)*100</f>
        <v>72.7</v>
      </c>
      <c r="U11" s="4">
        <f t="shared" si="3"/>
        <v>27.299999999999997</v>
      </c>
      <c r="V11" s="4" cm="1">
        <f t="array" ref="V11">_xlfn.PERCENTRANK.EXC(_xlfn._xlws.FILTER($Q$3:$Q$23, ISNUMBER($Q$3:$Q$23)),Q11)*100</f>
        <v>54.500000000000007</v>
      </c>
      <c r="W11" s="4" cm="1">
        <f t="array" ref="W11">_xlfn.PERCENTRANK.EXC(_xlfn._xlws.FILTER($O$3:$O$23, ISNUMBER($O$3:$O$23)),O11)*100</f>
        <v>45.4</v>
      </c>
      <c r="X11" s="4" cm="1">
        <f t="array" ref="X11">_xlfn.PERCENTRANK.EXC(_xlfn._xlws.FILTER($P$3:$P$23, ISNUMBER($P$3:$P$23)),P11)*100</f>
        <v>86.3</v>
      </c>
      <c r="Y11" s="200" cm="1">
        <f t="array" ref="Y11">_xlfn.PERCENTRANK.EXC(_xlfn._xlws.FILTER($S$3:$S$23, ISNUMBER($S$3:$S$23)),S11)*100</f>
        <v>68.100000000000009</v>
      </c>
      <c r="Z11" s="4" cm="1">
        <f t="array" ref="Z11">_xlfn.PERCENTRANK.EXC(_xlfn._xlws.FILTER($K$3:$K$23, ISNUMBER($K$3:$K$23)),K11)*100</f>
        <v>59</v>
      </c>
      <c r="AA11" s="4" cm="1">
        <f t="array" ref="AA11">_xlfn.PERCENTRANK.EXC(_xlfn._xlws.FILTER($H$3:$H$23, ISNUMBER($H$3:$H$23)),H11)*100</f>
        <v>72.7</v>
      </c>
      <c r="AB11" s="4" cm="1">
        <f t="array" ref="AB11">_xlfn.PERCENTRANK.EXC(_xlfn._xlws.FILTER($J$3:$J$23, ISNUMBER($J$3:$J$23)),J11)*100</f>
        <v>36.299999999999997</v>
      </c>
      <c r="AC11" s="4">
        <f t="shared" si="4"/>
        <v>54.500000000000007</v>
      </c>
      <c r="AD11" s="4">
        <f t="shared" si="5"/>
        <v>77.2</v>
      </c>
      <c r="AE11" s="4">
        <f t="shared" si="6"/>
        <v>54.500000000000007</v>
      </c>
      <c r="AF11" s="4">
        <f>'Economic Momentum'!Q12</f>
        <v>72.7</v>
      </c>
      <c r="AG11" s="4">
        <f ca="1">'Economic Momentum'!R12</f>
        <v>9</v>
      </c>
      <c r="AH11" s="4">
        <f t="shared" ca="1" si="7"/>
        <v>61.31</v>
      </c>
      <c r="AJ11" s="3" cm="1">
        <f t="array" aca="1" ref="AJ11" ca="1">_xlfn.PERCENTRANK.EXC(_xlfn._xlws.FILTER($AH$3:$AH$23, ISNUMBER($AH$3:$AH$23)),AH11)*100</f>
        <v>59</v>
      </c>
      <c r="AK11">
        <f t="shared" si="8"/>
        <v>2</v>
      </c>
      <c r="AM11" s="4"/>
    </row>
    <row r="12" spans="1:39" x14ac:dyDescent="0.35">
      <c r="A12" t="s">
        <v>21</v>
      </c>
      <c r="B12" t="s">
        <v>38</v>
      </c>
      <c r="C12" t="s">
        <v>21</v>
      </c>
      <c r="D12" s="153">
        <f>VLOOKUP(C12,'Market Capitalisation'!$C$2:$G$31,5,FALSE)</f>
        <v>1825360.8</v>
      </c>
      <c r="E12" cm="1">
        <f t="array" ref="E12">_xll.FDS(C12,"FMA_COS_UP(""EPS"",""1M"",+1,NOW,,,""PORTAGG"",""MEANR"")")</f>
        <v>29</v>
      </c>
      <c r="F12" cm="1">
        <f t="array" ref="F12">_xll.FDS(C12,"FMA_COS_DOWN(""EPS"",""1M"",+1,NOW,,,""PORTAGG"",""MEANR"")")</f>
        <v>48</v>
      </c>
      <c r="G12" cm="1">
        <f t="array" ref="G12">_xll.FDS(A12,"SIZE(FG_CONSTITUENTS)")</f>
        <v>101</v>
      </c>
      <c r="H12" s="9">
        <f t="shared" si="0"/>
        <v>0.28712871287128711</v>
      </c>
      <c r="I12" s="9">
        <f t="shared" si="1"/>
        <v>0.47524752475247523</v>
      </c>
      <c r="J12" s="9">
        <f t="shared" si="2"/>
        <v>-0.18811881188118812</v>
      </c>
      <c r="K12" s="5" cm="1">
        <f t="array" ref="K12">_xll.FDS(A12,"FMA_PCT_ABOVE_MAVG(200,0,,,,""PORTAGG"")")/100</f>
        <v>0.51</v>
      </c>
      <c r="L12" s="41" cm="1">
        <f t="array" ref="L12">_xll.FDSB(A12,"PERCENT_CHANGE(FMA_EPS(+1,0,,,,""PORTAGG"",""MEAN""),FMA_EPS(+1,-1AM,,,,""PORTAGG"",""MEAN""))")</f>
        <v>-3.9192050363753101</v>
      </c>
      <c r="M12" s="41" cm="1">
        <f t="array" ref="M12">_xll.FDSB(A12,"PERCENT_CHANGE(FMA_EPS(+1,0,,,,""PORTAGG"",""MEAN""),FMA_EPS(+1,-3AM,,,,""PORTAGG"",""MEAN""))")</f>
        <v>-6.2432594804950803</v>
      </c>
      <c r="N12" s="3" cm="1">
        <f t="array" ref="N12">_xll.FDS(C12,"FG_TOTAL_RETURNC(0,-1AM)")</f>
        <v>-6.0219050000000003</v>
      </c>
      <c r="O12" s="3" cm="1">
        <f t="array" ref="O12">_xll.FDS(C12,"FG_TOTAL_RETURNC(0,-3AM)")</f>
        <v>5.5868745000000004</v>
      </c>
      <c r="P12" s="3" cm="1">
        <f t="array" ref="P12">_xll.FDS(C12,"FG_TOTAL_RETURNC(0,-6AM)")</f>
        <v>8.4598899999999997</v>
      </c>
      <c r="Q12" s="9" cm="1">
        <f t="array" ref="Q12">_xll.FDS(C12,"P_PRICE(0)/P_PRICE_HIGH_PR(0,,,,,,""PRICE"",""INTRA"",""52W"")")</f>
        <v>0.90615840000000003</v>
      </c>
      <c r="R12" s="9" cm="1">
        <f t="array" ref="R12">_xll.FDS(C12,"P_PRICE(0)/P_PRICE_low_PR(0,,,,,,""PRICE"",""INTRA"",""52W"")-1")</f>
        <v>0.13415300999999999</v>
      </c>
      <c r="S12" s="3" cm="1">
        <f t="array" ref="S12">_xll.FDS(C12,"FG_TOTAL_RETURNC(0,-12AM)")</f>
        <v>0.70905684999999996</v>
      </c>
      <c r="T12" s="4" cm="1">
        <f t="array" ref="T12">_xlfn.PERCENTRANK.EXC(_xlfn._xlws.FILTER($R$3:$R$23, ISNUMBER($R$3:$R$23)),R12)*100</f>
        <v>59</v>
      </c>
      <c r="U12" s="4">
        <f t="shared" si="3"/>
        <v>41</v>
      </c>
      <c r="V12" s="4" cm="1">
        <f t="array" ref="V12">_xlfn.PERCENTRANK.EXC(_xlfn._xlws.FILTER($Q$3:$Q$23, ISNUMBER($Q$3:$Q$23)),Q12)*100</f>
        <v>50</v>
      </c>
      <c r="W12" s="4" cm="1">
        <f t="array" ref="W12">_xlfn.PERCENTRANK.EXC(_xlfn._xlws.FILTER($O$3:$O$23, ISNUMBER($O$3:$O$23)),O12)*100</f>
        <v>68.100000000000009</v>
      </c>
      <c r="X12" s="4" cm="1">
        <f t="array" ref="X12">_xlfn.PERCENTRANK.EXC(_xlfn._xlws.FILTER($P$3:$P$23, ISNUMBER($P$3:$P$23)),P12)*100</f>
        <v>63.6</v>
      </c>
      <c r="Y12" s="200" cm="1">
        <f t="array" ref="Y12">_xlfn.PERCENTRANK.EXC(_xlfn._xlws.FILTER($S$3:$S$23, ISNUMBER($S$3:$S$23)),S12)*100</f>
        <v>40.9</v>
      </c>
      <c r="Z12" s="4" cm="1">
        <f t="array" ref="Z12">_xlfn.PERCENTRANK.EXC(_xlfn._xlws.FILTER($K$3:$K$23, ISNUMBER($K$3:$K$23)),K12)*100</f>
        <v>50</v>
      </c>
      <c r="AA12" s="4" cm="1">
        <f t="array" ref="AA12">_xlfn.PERCENTRANK.EXC(_xlfn._xlws.FILTER($H$3:$H$23, ISNUMBER($H$3:$H$23)),H12)*100</f>
        <v>59</v>
      </c>
      <c r="AB12" s="4" cm="1">
        <f t="array" ref="AB12">_xlfn.PERCENTRANK.EXC(_xlfn._xlws.FILTER($J$3:$J$23, ISNUMBER($J$3:$J$23)),J12)*100</f>
        <v>18.099999999999998</v>
      </c>
      <c r="AC12" s="4">
        <f t="shared" si="4"/>
        <v>9</v>
      </c>
      <c r="AD12" s="4">
        <f t="shared" si="5"/>
        <v>18.099999999999998</v>
      </c>
      <c r="AE12" s="4">
        <f t="shared" si="6"/>
        <v>72.7</v>
      </c>
      <c r="AF12" s="4">
        <f>'Economic Momentum'!Q13</f>
        <v>22.7</v>
      </c>
      <c r="AG12" s="4">
        <f ca="1">'Economic Momentum'!R13</f>
        <v>31.8</v>
      </c>
      <c r="AH12" s="4">
        <f t="shared" ca="1" si="7"/>
        <v>59.510000000000005</v>
      </c>
      <c r="AJ12" s="3" cm="1">
        <f t="array" aca="1" ref="AJ12" ca="1">_xlfn.PERCENTRANK.EXC(_xlfn._xlws.FILTER($AH$3:$AH$23, ISNUMBER($AH$3:$AH$23)),AH12)*100</f>
        <v>54.500000000000007</v>
      </c>
      <c r="AK12">
        <f t="shared" si="8"/>
        <v>0</v>
      </c>
      <c r="AM12" s="4"/>
    </row>
    <row r="13" spans="1:39" x14ac:dyDescent="0.35">
      <c r="A13" t="s">
        <v>12</v>
      </c>
      <c r="B13" t="s">
        <v>54</v>
      </c>
      <c r="C13" t="s">
        <v>12</v>
      </c>
      <c r="D13" s="153">
        <f>VLOOKUP(C13,'Market Capitalisation'!$C$2:$G$31,5,FALSE)</f>
        <v>712846.5</v>
      </c>
      <c r="E13" cm="1">
        <f t="array" ref="E13">_xll.FDS(C13,"FMA_COS_UP(""EPS"",""1M"",+1,NOW,,,""PORTAGG"",""MEANR"")")</f>
        <v>21</v>
      </c>
      <c r="F13" cm="1">
        <f t="array" ref="F13">_xll.FDS(C13,"FMA_COS_DOWN(""EPS"",""1M"",+1,NOW,,,""PORTAGG"",""MEANR"")")</f>
        <v>22</v>
      </c>
      <c r="G13" cm="1">
        <f t="array" ref="G13">_xll.FDS(A13,"SIZE(FG_CONSTITUENTS)")</f>
        <v>50</v>
      </c>
      <c r="H13" s="9">
        <f t="shared" si="0"/>
        <v>0.42</v>
      </c>
      <c r="I13" s="9">
        <f t="shared" si="1"/>
        <v>0.44</v>
      </c>
      <c r="J13" s="9">
        <f t="shared" si="2"/>
        <v>-2.0000000000000018E-2</v>
      </c>
      <c r="K13" s="5" cm="1">
        <f t="array" ref="K13">_xll.FDS(A13,"FMA_PCT_ABOVE_MAVG(200,0,,,,""PORTAGG"")")/100</f>
        <v>0.44</v>
      </c>
      <c r="L13" s="41" cm="1">
        <f t="array" ref="L13">_xll.FDSB(A13,"PERCENT_CHANGE(FMA_EPS(+1,0,,,,""PORTAGG"",""MEAN""),FMA_EPS(+1,-1AM,,,,""PORTAGG"",""MEAN""))")</f>
        <v>1.1943553405868099</v>
      </c>
      <c r="M13" s="41" cm="1">
        <f t="array" ref="M13">_xll.FDSB(A13,"PERCENT_CHANGE(FMA_EPS(+1,0,,,,""PORTAGG"",""MEAN""),FMA_EPS(+1,-3AM,,,,""PORTAGG"",""MEAN""))")</f>
        <v>-5.3272015550433904</v>
      </c>
      <c r="N13" s="3" cm="1">
        <f t="array" ref="N13">_xll.FDS(C13,"FG_TOTAL_RETURNC(0,-1AM)")</f>
        <v>-5.8768330000000004</v>
      </c>
      <c r="O13" s="3" cm="1">
        <f t="array" ref="O13">_xll.FDS(C13,"FG_TOTAL_RETURNC(0,-3AM)")</f>
        <v>-8.508051</v>
      </c>
      <c r="P13" s="3" cm="1">
        <f t="array" ref="P13">_xll.FDS(C13,"FG_TOTAL_RETURNC(0,-6AM)")</f>
        <v>3.6144733000000002</v>
      </c>
      <c r="Q13" s="9" cm="1">
        <f t="array" ref="Q13">_xll.FDS(C13,"P_PRICE(0)/P_PRICE_HIGH_PR(0,,,,,,""PRICE"",""INTRA"",""52W"")")</f>
        <v>0.84247340000000004</v>
      </c>
      <c r="R13" s="9" cm="1">
        <f t="array" ref="R13">_xll.FDS(C13,"P_PRICE(0)/P_PRICE_low_PR(0,,,,,,""PRICE"",""INTRA"",""52W"")-1")</f>
        <v>0.10698533</v>
      </c>
      <c r="S13" s="3" cm="1">
        <f t="array" ref="S13">_xll.FDS(C13,"FG_TOTAL_RETURNC(0,-12AM)")</f>
        <v>10.182952999999999</v>
      </c>
      <c r="T13" s="4" cm="1">
        <f t="array" ref="T13">_xlfn.PERCENTRANK.EXC(_xlfn._xlws.FILTER($R$3:$R$23, ISNUMBER($R$3:$R$23)),R13)*100</f>
        <v>40.9</v>
      </c>
      <c r="U13" s="4">
        <f t="shared" si="3"/>
        <v>59.1</v>
      </c>
      <c r="V13" s="4" cm="1">
        <f t="array" ref="V13">_xlfn.PERCENTRANK.EXC(_xlfn._xlws.FILTER($Q$3:$Q$23, ISNUMBER($Q$3:$Q$23)),Q13)*100</f>
        <v>22.7</v>
      </c>
      <c r="W13" s="4" cm="1">
        <f t="array" ref="W13">_xlfn.PERCENTRANK.EXC(_xlfn._xlws.FILTER($O$3:$O$23, ISNUMBER($O$3:$O$23)),O13)*100</f>
        <v>4.5</v>
      </c>
      <c r="X13" s="4" cm="1">
        <f t="array" ref="X13">_xlfn.PERCENTRANK.EXC(_xlfn._xlws.FILTER($P$3:$P$23, ISNUMBER($P$3:$P$23)),P13)*100</f>
        <v>45.4</v>
      </c>
      <c r="Y13" s="200" cm="1">
        <f t="array" ref="Y13">_xlfn.PERCENTRANK.EXC(_xlfn._xlws.FILTER($S$3:$S$23, ISNUMBER($S$3:$S$23)),S13)*100</f>
        <v>63.6</v>
      </c>
      <c r="Z13" s="4" cm="1">
        <f t="array" ref="Z13">_xlfn.PERCENTRANK.EXC(_xlfn._xlws.FILTER($K$3:$K$23, ISNUMBER($K$3:$K$23)),K13)*100</f>
        <v>40.9</v>
      </c>
      <c r="AA13" s="4" cm="1">
        <f t="array" ref="AA13">_xlfn.PERCENTRANK.EXC(_xlfn._xlws.FILTER($H$3:$H$23, ISNUMBER($H$3:$H$23)),H13)*100</f>
        <v>90.9</v>
      </c>
      <c r="AB13" s="4" cm="1">
        <f t="array" ref="AB13">_xlfn.PERCENTRANK.EXC(_xlfn._xlws.FILTER($J$3:$J$23, ISNUMBER($J$3:$J$23)),J13)*100</f>
        <v>59</v>
      </c>
      <c r="AC13" s="4">
        <f t="shared" si="4"/>
        <v>81.8</v>
      </c>
      <c r="AD13" s="4">
        <f t="shared" si="5"/>
        <v>27.200000000000003</v>
      </c>
      <c r="AE13" s="4">
        <f t="shared" si="6"/>
        <v>63.6</v>
      </c>
      <c r="AF13" s="4">
        <f>'Economic Momentum'!Q14</f>
        <v>77.2</v>
      </c>
      <c r="AG13" s="4">
        <f ca="1">'Economic Momentum'!R14</f>
        <v>90.9</v>
      </c>
      <c r="AH13" s="4">
        <f t="shared" ca="1" si="7"/>
        <v>24.049999999999997</v>
      </c>
      <c r="AJ13" s="3" cm="1">
        <f t="array" aca="1" ref="AJ13" ca="1">_xlfn.PERCENTRANK.EXC(_xlfn._xlws.FILTER($AH$3:$AH$23, ISNUMBER($AH$3:$AH$23)),AH13)*100</f>
        <v>13.600000000000001</v>
      </c>
      <c r="AK13">
        <f t="shared" si="8"/>
        <v>1</v>
      </c>
      <c r="AM13" s="4"/>
    </row>
    <row r="14" spans="1:39" x14ac:dyDescent="0.35">
      <c r="A14" t="s">
        <v>22</v>
      </c>
      <c r="B14" t="s">
        <v>442</v>
      </c>
      <c r="C14" t="s">
        <v>22</v>
      </c>
      <c r="D14" s="153">
        <f>VLOOKUP(C14,'Market Capitalisation'!$C$2:$G$31,5,FALSE)</f>
        <v>286270.5</v>
      </c>
      <c r="E14" cm="1">
        <f t="array" ref="E14">_xll.FDS(C14,"FMA_COS_UP(""EPS"",""1M"",+1,NOW,,,""PORTAGG"",""MEANR"")")</f>
        <v>10</v>
      </c>
      <c r="F14" cm="1">
        <f t="array" ref="F14">_xll.FDS(C14,"FMA_COS_DOWN(""EPS"",""1M"",+1,NOW,,,""PORTAGG"",""MEANR"")")</f>
        <v>14</v>
      </c>
      <c r="G14" cm="1">
        <f t="array" ref="G14">_xll.FDS(A14,"SIZE(FG_CONSTITUENTS)")</f>
        <v>34</v>
      </c>
      <c r="H14" s="9">
        <f t="shared" si="0"/>
        <v>0.29411764705882354</v>
      </c>
      <c r="I14" s="9">
        <f t="shared" si="1"/>
        <v>0.41176470588235292</v>
      </c>
      <c r="J14" s="9">
        <f t="shared" si="2"/>
        <v>-0.11764705882352938</v>
      </c>
      <c r="K14" s="5" cm="1">
        <f t="array" ref="K14">_xll.FDS(A14,"FMA_PCT_ABOVE_MAVG(200,0,,,,""PORTAGG"")")/100</f>
        <v>0.45454545454545503</v>
      </c>
      <c r="L14" s="41" cm="1">
        <f t="array" ref="L14">_xll.FDSB(A14,"PERCENT_CHANGE(FMA_EPS(+1,0,,,,""PORTAGG"",""MEAN""),FMA_EPS(+1,-1AM,,,,""PORTAGG"",""MEAN""))")</f>
        <v>0.109988214362036</v>
      </c>
      <c r="M14" s="41" cm="1">
        <f t="array" ref="M14">_xll.FDSB(A14,"PERCENT_CHANGE(FMA_EPS(+1,0,,,,""PORTAGG"",""MEAN""),FMA_EPS(+1,-3AM,,,,""PORTAGG"",""MEAN""))")</f>
        <v>-2.20696281485447</v>
      </c>
      <c r="N14" s="3" cm="1">
        <f t="array" ref="N14">_xll.FDS(C14,"FG_TOTAL_RETURNC(0,-1AM)")</f>
        <v>1.9179463000000001</v>
      </c>
      <c r="O14" s="3" cm="1">
        <f t="array" ref="O14">_xll.FDS(C14,"FG_TOTAL_RETURNC(0,-3AM)")</f>
        <v>1.0298370999999999</v>
      </c>
      <c r="P14" s="3" cm="1">
        <f t="array" ref="P14">_xll.FDS(C14,"FG_TOTAL_RETURNC(0,-6AM)")</f>
        <v>1.9408584</v>
      </c>
      <c r="Q14" s="9" cm="1">
        <f t="array" ref="Q14">_xll.FDS(C14,"P_PRICE(0)/P_PRICE_HIGH_PR(0,,,,,,""PRICE"",""INTRA"",""52W"")")</f>
        <v>0.84975009999999995</v>
      </c>
      <c r="R14" s="9" cm="1">
        <f t="array" ref="R14">_xll.FDS(C14,"P_PRICE(0)/P_PRICE_low_PR(0,,,,,,""PRICE"",""INTRA"",""52W"")-1")</f>
        <v>6.9910529999999999E-2</v>
      </c>
      <c r="S14" s="3" cm="1">
        <f t="array" ref="S14">_xll.FDS(C14,"FG_TOTAL_RETURNC(0,-12AM)")</f>
        <v>-9.0684950000000004</v>
      </c>
      <c r="T14" s="4" cm="1">
        <f t="array" ref="T14">_xlfn.PERCENTRANK.EXC(_xlfn._xlws.FILTER($R$3:$R$23, ISNUMBER($R$3:$R$23)),R14)*100</f>
        <v>18.099999999999998</v>
      </c>
      <c r="U14" s="4">
        <f t="shared" si="3"/>
        <v>81.900000000000006</v>
      </c>
      <c r="V14" s="4" cm="1">
        <f t="array" ref="V14">_xlfn.PERCENTRANK.EXC(_xlfn._xlws.FILTER($Q$3:$Q$23, ISNUMBER($Q$3:$Q$23)),Q14)*100</f>
        <v>31.8</v>
      </c>
      <c r="W14" s="4" cm="1">
        <f t="array" ref="W14">_xlfn.PERCENTRANK.EXC(_xlfn._xlws.FILTER($O$3:$O$23, ISNUMBER($O$3:$O$23)),O14)*100</f>
        <v>40.9</v>
      </c>
      <c r="X14" s="4" cm="1">
        <f t="array" ref="X14">_xlfn.PERCENTRANK.EXC(_xlfn._xlws.FILTER($P$3:$P$23, ISNUMBER($P$3:$P$23)),P14)*100</f>
        <v>27.200000000000003</v>
      </c>
      <c r="Y14" s="200" cm="1">
        <f t="array" ref="Y14">_xlfn.PERCENTRANK.EXC(_xlfn._xlws.FILTER($S$3:$S$23, ISNUMBER($S$3:$S$23)),S14)*100</f>
        <v>22.7</v>
      </c>
      <c r="Z14" s="4" cm="1">
        <f t="array" ref="Z14">_xlfn.PERCENTRANK.EXC(_xlfn._xlws.FILTER($K$3:$K$23, ISNUMBER($K$3:$K$23)),K14)*100</f>
        <v>45.4</v>
      </c>
      <c r="AA14" s="4" cm="1">
        <f t="array" ref="AA14">_xlfn.PERCENTRANK.EXC(_xlfn._xlws.FILTER($H$3:$H$23, ISNUMBER($H$3:$H$23)),H14)*100</f>
        <v>63.6</v>
      </c>
      <c r="AB14" s="4" cm="1">
        <f t="array" ref="AB14">_xlfn.PERCENTRANK.EXC(_xlfn._xlws.FILTER($J$3:$J$23, ISNUMBER($J$3:$J$23)),J14)*100</f>
        <v>27.200000000000003</v>
      </c>
      <c r="AC14" s="4">
        <f t="shared" si="4"/>
        <v>72.7</v>
      </c>
      <c r="AD14" s="4">
        <f t="shared" si="5"/>
        <v>54.500000000000007</v>
      </c>
      <c r="AE14" s="4">
        <f t="shared" si="6"/>
        <v>36.299999999999997</v>
      </c>
      <c r="AF14" s="4">
        <f>'Economic Momentum'!Q15</f>
        <v>9</v>
      </c>
      <c r="AG14" s="4">
        <f ca="1">'Economic Momentum'!R15</f>
        <v>18.099999999999998</v>
      </c>
      <c r="AH14" s="4">
        <f t="shared" ca="1" si="7"/>
        <v>33.150000000000006</v>
      </c>
      <c r="AJ14" s="3" cm="1">
        <f t="array" aca="1" ref="AJ14" ca="1">_xlfn.PERCENTRANK.EXC(_xlfn._xlws.FILTER($AH$3:$AH$23, ISNUMBER($AH$3:$AH$23)),AH14)*100</f>
        <v>31.8</v>
      </c>
      <c r="AK14">
        <f t="shared" si="8"/>
        <v>0</v>
      </c>
      <c r="AM14" s="4"/>
    </row>
    <row r="15" spans="1:39" x14ac:dyDescent="0.35">
      <c r="A15" t="s">
        <v>28</v>
      </c>
      <c r="B15" t="s">
        <v>443</v>
      </c>
      <c r="C15" t="s">
        <v>28</v>
      </c>
      <c r="D15" s="153">
        <f>VLOOKUP(C15,'Market Capitalisation'!$C$2:$G$31,5,FALSE)</f>
        <v>78912.94</v>
      </c>
      <c r="E15" cm="1">
        <f t="array" ref="E15">_xll.FDS(C15,"FMA_COS_UP(""EPS"",""1M"",+1,NOW,,,""PORTAGG"",""MEANR"")")</f>
        <v>6</v>
      </c>
      <c r="F15" cm="1">
        <f t="array" ref="F15">_xll.FDS(C15,"FMA_COS_DOWN(""EPS"",""1M"",+1,NOW,,,""PORTAGG"",""MEANR"")")</f>
        <v>6</v>
      </c>
      <c r="G15" cm="1">
        <f t="array" ref="G15">_xll.FDS(A15,"SIZE(FG_CONSTITUENTS)")</f>
        <v>30</v>
      </c>
      <c r="H15" s="9">
        <f t="shared" si="0"/>
        <v>0.2</v>
      </c>
      <c r="I15" s="9">
        <f t="shared" si="1"/>
        <v>0.2</v>
      </c>
      <c r="J15" s="9">
        <f t="shared" si="2"/>
        <v>0</v>
      </c>
      <c r="K15" s="5" cm="1">
        <f t="array" ref="K15">_xll.FDS(A15,"FMA_PCT_ABOVE_MAVG(200,0,,,,""PORTAGG"")")/100</f>
        <v>0.65517241379310309</v>
      </c>
      <c r="L15" s="41" cm="1">
        <f t="array" ref="L15">_xll.FDSB(A15,"PERCENT_CHANGE(FMA_EPS(+1,0,,,,""PORTAGG"",""MEAN""),FMA_EPS(+1,-1AM,,,,""PORTAGG"",""MEAN""))")</f>
        <v>-0.45313228472086498</v>
      </c>
      <c r="M15" s="41" cm="1">
        <f t="array" ref="M15">_xll.FDSB(A15,"PERCENT_CHANGE(FMA_EPS(+1,0,,,,""PORTAGG"",""MEAN""),FMA_EPS(+1,-3AM,,,,""PORTAGG"",""MEAN""))")</f>
        <v>-0.83006919328500295</v>
      </c>
      <c r="N15" s="3" cm="1">
        <f t="array" ref="N15">_xll.FDS(C15,"FG_TOTAL_RETURNC(0,-1AM)")</f>
        <v>-4.1106043000000003</v>
      </c>
      <c r="O15" s="3" cm="1">
        <f t="array" ref="O15">_xll.FDS(C15,"FG_TOTAL_RETURNC(0,-3AM)")</f>
        <v>7.8010560000000007E-2</v>
      </c>
      <c r="P15" s="3" cm="1">
        <f t="array" ref="P15">_xll.FDS(C15,"FG_TOTAL_RETURNC(0,-6AM)")</f>
        <v>19.434034</v>
      </c>
      <c r="Q15" s="9" cm="1">
        <f t="array" ref="Q15">_xll.FDS(C15,"P_PRICE(0)/P_PRICE_HIGH_PR(0,,,,,,""PRICE"",""INTRA"",""52W"")")</f>
        <v>0.93513124999999997</v>
      </c>
      <c r="R15" s="9" cm="1">
        <f t="array" ref="R15">_xll.FDS(C15,"P_PRICE(0)/P_PRICE_low_PR(0,,,,,,""PRICE"",""INTRA"",""52W"")-1")</f>
        <v>0.25496829999999998</v>
      </c>
      <c r="S15" s="3" cm="1">
        <f t="array" ref="S15">_xll.FDS(C15,"FG_TOTAL_RETURNC(0,-12AM)")</f>
        <v>22.330593</v>
      </c>
      <c r="T15" s="4" cm="1">
        <f t="array" ref="T15">_xlfn.PERCENTRANK.EXC(_xlfn._xlws.FILTER($R$3:$R$23, ISNUMBER($R$3:$R$23)),R15)*100</f>
        <v>77.2</v>
      </c>
      <c r="U15" s="4">
        <f t="shared" si="3"/>
        <v>22.799999999999997</v>
      </c>
      <c r="V15" s="4" cm="1">
        <f t="array" ref="V15">_xlfn.PERCENTRANK.EXC(_xlfn._xlws.FILTER($Q$3:$Q$23, ISNUMBER($Q$3:$Q$23)),Q15)*100</f>
        <v>72.7</v>
      </c>
      <c r="W15" s="4" cm="1">
        <f t="array" ref="W15">_xlfn.PERCENTRANK.EXC(_xlfn._xlws.FILTER($O$3:$O$23, ISNUMBER($O$3:$O$23)),O15)*100</f>
        <v>36.299999999999997</v>
      </c>
      <c r="X15" s="4" cm="1">
        <f t="array" ref="X15">_xlfn.PERCENTRANK.EXC(_xlfn._xlws.FILTER($P$3:$P$23, ISNUMBER($P$3:$P$23)),P15)*100</f>
        <v>81.8</v>
      </c>
      <c r="Y15" s="200" cm="1">
        <f t="array" ref="Y15">_xlfn.PERCENTRANK.EXC(_xlfn._xlws.FILTER($S$3:$S$23, ISNUMBER($S$3:$S$23)),S15)*100</f>
        <v>81.8</v>
      </c>
      <c r="Z15" s="4" cm="1">
        <f t="array" ref="Z15">_xlfn.PERCENTRANK.EXC(_xlfn._xlws.FILTER($K$3:$K$23, ISNUMBER($K$3:$K$23)),K15)*100</f>
        <v>72.7</v>
      </c>
      <c r="AA15" s="4" cm="1">
        <f t="array" ref="AA15">_xlfn.PERCENTRANK.EXC(_xlfn._xlws.FILTER($H$3:$H$23, ISNUMBER($H$3:$H$23)),H15)*100</f>
        <v>22.7</v>
      </c>
      <c r="AB15" s="4" cm="1">
        <f t="array" ref="AB15">_xlfn.PERCENTRANK.EXC(_xlfn._xlws.FILTER($J$3:$J$23, ISNUMBER($J$3:$J$23)),J15)*100</f>
        <v>68.100000000000009</v>
      </c>
      <c r="AC15" s="4">
        <f t="shared" si="4"/>
        <v>68.100000000000009</v>
      </c>
      <c r="AD15" s="4">
        <f t="shared" si="5"/>
        <v>63.6</v>
      </c>
      <c r="AE15" s="4">
        <f t="shared" si="6"/>
        <v>13.600000000000001</v>
      </c>
      <c r="AF15" s="4">
        <f>'Economic Momentum'!Q16</f>
        <v>86.3</v>
      </c>
      <c r="AG15" s="4">
        <f ca="1">'Economic Momentum'!R16</f>
        <v>95.399999999999991</v>
      </c>
      <c r="AH15" s="4">
        <f t="shared" ca="1" si="7"/>
        <v>64.509999999999991</v>
      </c>
      <c r="AJ15" s="3" cm="1">
        <f t="array" aca="1" ref="AJ15" ca="1">_xlfn.PERCENTRANK.EXC(_xlfn._xlws.FILTER($AH$3:$AH$23, ISNUMBER($AH$3:$AH$23)),AH15)*100</f>
        <v>63.6</v>
      </c>
      <c r="AK15">
        <f t="shared" si="8"/>
        <v>4</v>
      </c>
      <c r="AM15" s="4"/>
    </row>
    <row r="16" spans="1:39" x14ac:dyDescent="0.35">
      <c r="A16" t="s">
        <v>32</v>
      </c>
      <c r="B16" t="s">
        <v>52</v>
      </c>
      <c r="C16" t="s">
        <v>32</v>
      </c>
      <c r="D16" s="153">
        <f>VLOOKUP(C16,'Market Capitalisation'!$C$2:$G$31,5,FALSE)</f>
        <v>4632098</v>
      </c>
      <c r="E16" cm="1">
        <f t="array" ref="E16">_xll.FDS(C16,"FMA_COS_UP(""EPS"",""1M"",+1,NOW,,,""PORTAGG"",""MEANR"")")</f>
        <v>53</v>
      </c>
      <c r="F16" cm="1">
        <f t="array" ref="F16">_xll.FDS(C16,"FMA_COS_DOWN(""EPS"",""1M"",+1,NOW,,,""PORTAGG"",""MEANR"")")</f>
        <v>66</v>
      </c>
      <c r="G16" cm="1">
        <f t="array" ref="G16">_xll.FDS(A16,"SIZE(FG_CONSTITUENTS)")</f>
        <v>137</v>
      </c>
      <c r="H16" s="9">
        <f t="shared" si="0"/>
        <v>0.38686131386861317</v>
      </c>
      <c r="I16" s="9">
        <f t="shared" si="1"/>
        <v>0.48175182481751827</v>
      </c>
      <c r="J16" s="9">
        <f t="shared" si="2"/>
        <v>-9.4890510948905105E-2</v>
      </c>
      <c r="K16" s="5" cm="1">
        <f t="array" ref="K16">_xll.FDS(A16,"FMA_PCT_ABOVE_MAVG(200,0,,,,""PORTAGG"")")/100</f>
        <v>0.78676470588235303</v>
      </c>
      <c r="L16" s="41" cm="1">
        <f t="array" ref="L16">_xll.FDSB(A16,"PERCENT_CHANGE(FMA_EPS(+1,0,,,,""PORTAGG"",""MEAN""),FMA_EPS(+1,-1AM,,,,""PORTAGG"",""MEAN""))")</f>
        <v>-1.1624594084594999</v>
      </c>
      <c r="M16" s="41" cm="1">
        <f t="array" ref="M16">_xll.FDSB(A16,"PERCENT_CHANGE(FMA_EPS(+1,0,,,,""PORTAGG"",""MEAN""),FMA_EPS(+1,-3AM,,,,""PORTAGG"",""MEAN""))")</f>
        <v>-0.95831313604961399</v>
      </c>
      <c r="N16" s="3" cm="1">
        <f t="array" ref="N16">_xll.FDS(C16,"FG_TOTAL_RETURNC(0,-1AM)")</f>
        <v>0.72977539999999996</v>
      </c>
      <c r="O16" s="3" cm="1">
        <f t="array" ref="O16">_xll.FDS(C16,"FG_TOTAL_RETURNC(0,-3AM)")</f>
        <v>4.0546059999999997</v>
      </c>
      <c r="P16" s="3" cm="1">
        <f t="array" ref="P16">_xll.FDS(C16,"FG_TOTAL_RETURNC(0,-6AM)")</f>
        <v>15.490722999999999</v>
      </c>
      <c r="Q16" s="9" cm="1">
        <f t="array" ref="Q16">_xll.FDS(C16,"P_PRICE(0)/P_PRICE_HIGH_PR(0,,,,,,""PRICE"",""INTRA"",""52W"")")</f>
        <v>0.97368920000000003</v>
      </c>
      <c r="R16" s="9" cm="1">
        <f t="array" ref="R16">_xll.FDS(C16,"P_PRICE(0)/P_PRICE_low_PR(0,,,,,,""PRICE"",""INTRA"",""52W"")-1")</f>
        <v>0.28802012999999999</v>
      </c>
      <c r="S16" s="3" cm="1">
        <f t="array" ref="S16">_xll.FDS(C16,"FG_TOTAL_RETURNC(0,-12AM)")</f>
        <v>28.10867</v>
      </c>
      <c r="T16" s="4" cm="1">
        <f t="array" ref="T16">_xlfn.PERCENTRANK.EXC(_xlfn._xlws.FILTER($R$3:$R$23, ISNUMBER($R$3:$R$23)),R16)*100</f>
        <v>81.8</v>
      </c>
      <c r="U16" s="4">
        <f t="shared" si="3"/>
        <v>18.200000000000003</v>
      </c>
      <c r="V16" s="4" cm="1">
        <f t="array" ref="V16">_xlfn.PERCENTRANK.EXC(_xlfn._xlws.FILTER($Q$3:$Q$23, ISNUMBER($Q$3:$Q$23)),Q16)*100</f>
        <v>90.9</v>
      </c>
      <c r="W16" s="4" cm="1">
        <f t="array" ref="W16">_xlfn.PERCENTRANK.EXC(_xlfn._xlws.FILTER($O$3:$O$23, ISNUMBER($O$3:$O$23)),O16)*100</f>
        <v>63.6</v>
      </c>
      <c r="X16" s="4" cm="1">
        <f t="array" ref="X16">_xlfn.PERCENTRANK.EXC(_xlfn._xlws.FILTER($P$3:$P$23, ISNUMBER($P$3:$P$23)),P16)*100</f>
        <v>68.100000000000009</v>
      </c>
      <c r="Y16" s="200" cm="1">
        <f t="array" ref="Y16">_xlfn.PERCENTRANK.EXC(_xlfn._xlws.FILTER($S$3:$S$23, ISNUMBER($S$3:$S$23)),S16)*100</f>
        <v>86.3</v>
      </c>
      <c r="Z16" s="4" cm="1">
        <f t="array" ref="Z16">_xlfn.PERCENTRANK.EXC(_xlfn._xlws.FILTER($K$3:$K$23, ISNUMBER($K$3:$K$23)),K16)*100</f>
        <v>95.399999999999991</v>
      </c>
      <c r="AA16" s="4" cm="1">
        <f t="array" ref="AA16">_xlfn.PERCENTRANK.EXC(_xlfn._xlws.FILTER($H$3:$H$23, ISNUMBER($H$3:$H$23)),H16)*100</f>
        <v>81.8</v>
      </c>
      <c r="AB16" s="4" cm="1">
        <f t="array" ref="AB16">_xlfn.PERCENTRANK.EXC(_xlfn._xlws.FILTER($J$3:$J$23, ISNUMBER($J$3:$J$23)),J16)*100</f>
        <v>31.8</v>
      </c>
      <c r="AC16" s="4">
        <f t="shared" si="4"/>
        <v>45.4</v>
      </c>
      <c r="AD16" s="4">
        <f t="shared" si="5"/>
        <v>59</v>
      </c>
      <c r="AE16" s="4">
        <f t="shared" si="6"/>
        <v>86.3</v>
      </c>
      <c r="AF16" s="4">
        <f>'Economic Momentum'!Q17</f>
        <v>95.399999999999991</v>
      </c>
      <c r="AG16" s="4">
        <f ca="1">'Economic Momentum'!R17</f>
        <v>81.8</v>
      </c>
      <c r="AH16" s="4">
        <f t="shared" ca="1" si="7"/>
        <v>75.87</v>
      </c>
      <c r="AJ16" s="3" cm="1">
        <f t="array" aca="1" ref="AJ16" ca="1">_xlfn.PERCENTRANK.EXC(_xlfn._xlws.FILTER($AH$3:$AH$23, ISNUMBER($AH$3:$AH$23)),AH16)*100</f>
        <v>86.3</v>
      </c>
      <c r="AK16">
        <f t="shared" si="8"/>
        <v>4</v>
      </c>
      <c r="AM16" s="4"/>
    </row>
    <row r="17" spans="1:39" x14ac:dyDescent="0.35">
      <c r="A17" t="s">
        <v>26</v>
      </c>
      <c r="B17" t="s">
        <v>41</v>
      </c>
      <c r="C17" t="s">
        <v>26</v>
      </c>
      <c r="D17" s="153">
        <f>VLOOKUP(C17,'Market Capitalisation'!$C$2:$G$31,5,FALSE)</f>
        <v>7490056</v>
      </c>
      <c r="E17" cm="1">
        <f t="array" ref="E17">_xll.FDS(C17,"FMA_COS_UP(""EPS"",""1M"",+1,NOW,,,""PORTAGG"",""MEANR"")")</f>
        <v>152</v>
      </c>
      <c r="F17" cm="1">
        <f t="array" ref="F17">_xll.FDS(C17,"FMA_COS_DOWN(""EPS"",""1M"",+1,NOW,,,""PORTAGG"",""MEANR"")")</f>
        <v>407</v>
      </c>
      <c r="G17" cm="1">
        <f t="array" ref="G17">_xll.FDS(A17,"SIZE(FG_CONSTITUENTS)")</f>
        <v>661</v>
      </c>
      <c r="H17" s="9">
        <f t="shared" si="0"/>
        <v>0.22995461422087746</v>
      </c>
      <c r="I17" s="9">
        <f t="shared" si="1"/>
        <v>0.61573373676248111</v>
      </c>
      <c r="J17" s="9">
        <f t="shared" si="2"/>
        <v>-0.38577912254160363</v>
      </c>
      <c r="K17" s="5" cm="1">
        <f t="array" ref="K17">_xll.FDS(A17,"FMA_PCT_ABOVE_MAVG(200,0,,,,""PORTAGG"")")/100</f>
        <v>0.40667678300455201</v>
      </c>
      <c r="L17" s="41" cm="1">
        <f t="array" ref="L17">_xll.FDSB(A17,"PERCENT_CHANGE(FMA_EPS(+1,0,,,,""PORTAGG"",""MEAN""),FMA_EPS(+1,-1AM,,,,""PORTAGG"",""MEAN""))")</f>
        <v>-2.3908892851741101</v>
      </c>
      <c r="M17" s="41" cm="1">
        <f t="array" ref="M17">_xll.FDSB(A17,"PERCENT_CHANGE(FMA_EPS(+1,0,,,,""PORTAGG"",""MEAN""),FMA_EPS(+1,-3AM,,,,""PORTAGG"",""MEAN""))")</f>
        <v>-4.2048312653630502</v>
      </c>
      <c r="N17" s="3" cm="1">
        <f t="array" ref="N17">_xll.FDS(C17,"FG_TOTAL_RETURNC(0,-1AM)")</f>
        <v>-1.8858492</v>
      </c>
      <c r="O17" s="3" cm="1">
        <f t="array" ref="O17">_xll.FDS(C17,"FG_TOTAL_RETURNC(0,-3AM)")</f>
        <v>7.0674299999999999</v>
      </c>
      <c r="P17" s="3" cm="1">
        <f t="array" ref="P17">_xll.FDS(C17,"FG_TOTAL_RETURNC(0,-6AM)")</f>
        <v>-4.0229379999999999</v>
      </c>
      <c r="Q17" s="9" cm="1">
        <f t="array" ref="Q17">_xll.FDS(C17,"P_PRICE(0)/P_PRICE_HIGH_PR(0,,,,,,""PRICE"",""INTRA"",""52W"")")</f>
        <v>0.79175013000000005</v>
      </c>
      <c r="R17" s="9" cm="1">
        <f t="array" ref="R17">_xll.FDS(C17,"P_PRICE(0)/P_PRICE_low_PR(0,,,,,,""PRICE"",""INTRA"",""52W"")-1")</f>
        <v>0.11129844</v>
      </c>
      <c r="S17" s="3" cm="1">
        <f t="array" ref="S17">_xll.FDS(C17,"FG_TOTAL_RETURNC(0,-12AM)")</f>
        <v>-17.651509999999998</v>
      </c>
      <c r="T17" s="4" cm="1">
        <f t="array" ref="T17">_xlfn.PERCENTRANK.EXC(_xlfn._xlws.FILTER($R$3:$R$23, ISNUMBER($R$3:$R$23)),R17)*100</f>
        <v>54.500000000000007</v>
      </c>
      <c r="U17" s="4">
        <f t="shared" si="3"/>
        <v>45.499999999999993</v>
      </c>
      <c r="V17" s="4" cm="1">
        <f t="array" ref="V17">_xlfn.PERCENTRANK.EXC(_xlfn._xlws.FILTER($Q$3:$Q$23, ISNUMBER($Q$3:$Q$23)),Q17)*100</f>
        <v>9</v>
      </c>
      <c r="W17" s="4" cm="1">
        <f t="array" ref="W17">_xlfn.PERCENTRANK.EXC(_xlfn._xlws.FILTER($O$3:$O$23, ISNUMBER($O$3:$O$23)),O17)*100</f>
        <v>72.7</v>
      </c>
      <c r="X17" s="4" cm="1">
        <f t="array" ref="X17">_xlfn.PERCENTRANK.EXC(_xlfn._xlws.FILTER($P$3:$P$23, ISNUMBER($P$3:$P$23)),P17)*100</f>
        <v>9</v>
      </c>
      <c r="Y17" s="200" cm="1">
        <f t="array" ref="Y17">_xlfn.PERCENTRANK.EXC(_xlfn._xlws.FILTER($S$3:$S$23, ISNUMBER($S$3:$S$23)),S17)*100</f>
        <v>4.5</v>
      </c>
      <c r="Z17" s="4" cm="1">
        <f t="array" ref="Z17">_xlfn.PERCENTRANK.EXC(_xlfn._xlws.FILTER($K$3:$K$23, ISNUMBER($K$3:$K$23)),K17)*100</f>
        <v>27.200000000000003</v>
      </c>
      <c r="AA17" s="4" cm="1">
        <f t="array" ref="AA17">_xlfn.PERCENTRANK.EXC(_xlfn._xlws.FILTER($H$3:$H$23, ISNUMBER($H$3:$H$23)),H17)*100</f>
        <v>27.200000000000003</v>
      </c>
      <c r="AB17" s="4" cm="1">
        <f t="array" ref="AB17">_xlfn.PERCENTRANK.EXC(_xlfn._xlws.FILTER($J$3:$J$23, ISNUMBER($J$3:$J$23)),J17)*100</f>
        <v>13.600000000000001</v>
      </c>
      <c r="AC17" s="4">
        <f t="shared" si="4"/>
        <v>22.7</v>
      </c>
      <c r="AD17" s="4">
        <f t="shared" si="5"/>
        <v>31.8</v>
      </c>
      <c r="AE17" s="4">
        <f t="shared" si="6"/>
        <v>90.9</v>
      </c>
      <c r="AF17" s="4">
        <f>'Economic Momentum'!Q18</f>
        <v>40.9</v>
      </c>
      <c r="AG17" s="4">
        <f ca="1">'Economic Momentum'!R18</f>
        <v>22.7</v>
      </c>
      <c r="AH17" s="4">
        <f t="shared" ca="1" si="7"/>
        <v>28.11</v>
      </c>
      <c r="AJ17" s="3" cm="1">
        <f t="array" aca="1" ref="AJ17" ca="1">_xlfn.PERCENTRANK.EXC(_xlfn._xlws.FILTER($AH$3:$AH$23, ISNUMBER($AH$3:$AH$23)),AH17)*100</f>
        <v>22.7</v>
      </c>
      <c r="AK17">
        <f t="shared" si="8"/>
        <v>1</v>
      </c>
      <c r="AM17" s="4"/>
    </row>
    <row r="18" spans="1:39" x14ac:dyDescent="0.35">
      <c r="A18" t="s">
        <v>31</v>
      </c>
      <c r="B18" t="s">
        <v>444</v>
      </c>
      <c r="C18" t="s">
        <v>31</v>
      </c>
      <c r="D18" s="153">
        <f>VLOOKUP(C18,'Market Capitalisation'!$C$2:$G$31,5,FALSE)</f>
        <v>156094.84</v>
      </c>
      <c r="E18" cm="1">
        <f t="array" ref="E18">_xll.FDS(C18,"FMA_COS_UP(""EPS"",""1M"",+1,NOW,,,""PORTAGG"",""MEANR"")")</f>
        <v>6</v>
      </c>
      <c r="F18" cm="1">
        <f t="array" ref="F18">_xll.FDS(C18,"FMA_COS_DOWN(""EPS"",""1M"",+1,NOW,,,""PORTAGG"",""MEANR"")")</f>
        <v>5</v>
      </c>
      <c r="G18" cm="1">
        <f t="array" ref="G18">_xll.FDS(A18,"SIZE(FG_CONSTITUENTS)")</f>
        <v>34</v>
      </c>
      <c r="H18" s="9">
        <f t="shared" si="0"/>
        <v>0.17647058823529413</v>
      </c>
      <c r="I18" s="9">
        <f t="shared" si="1"/>
        <v>0.14705882352941177</v>
      </c>
      <c r="J18" s="9">
        <f t="shared" si="2"/>
        <v>2.9411764705882359E-2</v>
      </c>
      <c r="K18" s="5" cm="1">
        <f t="array" ref="K18">_xll.FDS(A18,"FMA_PCT_ABOVE_MAVG(200,0,,,,""PORTAGG"")")/100</f>
        <v>0.32352941176470601</v>
      </c>
      <c r="L18" s="41" cm="1">
        <f t="array" ref="L18">_xll.FDSB(A18,"PERCENT_CHANGE(FMA_EPS(+1,0,,,,""PORTAGG"",""MEAN""),FMA_EPS(+1,-1AM,,,,""PORTAGG"",""MEAN""))")</f>
        <v>-0.89055470349188104</v>
      </c>
      <c r="M18" s="41" cm="1">
        <f t="array" ref="M18">_xll.FDSB(A18,"PERCENT_CHANGE(FMA_EPS(+1,0,,,,""PORTAGG"",""MEAN""),FMA_EPS(+1,-3AM,,,,""PORTAGG"",""MEAN""))")</f>
        <v>3.6006397208674001</v>
      </c>
      <c r="N18" s="3" cm="1">
        <f t="array" ref="N18">_xll.FDS(C18,"FG_TOTAL_RETURNC(0,-1AM)")</f>
        <v>-4.3646455</v>
      </c>
      <c r="O18" s="3" cm="1">
        <f t="array" ref="O18">_xll.FDS(C18,"FG_TOTAL_RETURNC(0,-3AM)")</f>
        <v>-1.3112961999999999</v>
      </c>
      <c r="P18" s="3" cm="1">
        <f t="array" ref="P18">_xll.FDS(C18,"FG_TOTAL_RETURNC(0,-6AM)")</f>
        <v>3.2200335999999998</v>
      </c>
      <c r="Q18" s="9" cm="1">
        <f t="array" ref="Q18">_xll.FDS(C18,"P_PRICE(0)/P_PRICE_HIGH_PR(0,,,,,,""PRICE"",""INTRA"",""52W"")")</f>
        <v>0.88496929999999996</v>
      </c>
      <c r="R18" s="9" cm="1">
        <f t="array" ref="R18">_xll.FDS(C18,"P_PRICE(0)/P_PRICE_low_PR(0,,,,,,""PRICE"",""INTRA"",""52W"")-1")</f>
        <v>0.105363965</v>
      </c>
      <c r="S18" s="3" cm="1">
        <f t="array" ref="S18">_xll.FDS(C18,"FG_TOTAL_RETURNC(0,-12AM)")</f>
        <v>0.44510365000000002</v>
      </c>
      <c r="T18" s="4" cm="1">
        <f t="array" ref="T18">_xlfn.PERCENTRANK.EXC(_xlfn._xlws.FILTER($R$3:$R$23, ISNUMBER($R$3:$R$23)),R18)*100</f>
        <v>36.299999999999997</v>
      </c>
      <c r="U18" s="4">
        <f t="shared" si="3"/>
        <v>63.7</v>
      </c>
      <c r="V18" s="4" cm="1">
        <f t="array" ref="V18">_xlfn.PERCENTRANK.EXC(_xlfn._xlws.FILTER($Q$3:$Q$23, ISNUMBER($Q$3:$Q$23)),Q18)*100</f>
        <v>40.9</v>
      </c>
      <c r="W18" s="4" cm="1">
        <f t="array" ref="W18">_xlfn.PERCENTRANK.EXC(_xlfn._xlws.FILTER($O$3:$O$23, ISNUMBER($O$3:$O$23)),O18)*100</f>
        <v>27.200000000000003</v>
      </c>
      <c r="X18" s="4" cm="1">
        <f t="array" ref="X18">_xlfn.PERCENTRANK.EXC(_xlfn._xlws.FILTER($P$3:$P$23, ISNUMBER($P$3:$P$23)),P18)*100</f>
        <v>36.299999999999997</v>
      </c>
      <c r="Y18" s="200" cm="1">
        <f t="array" ref="Y18">_xlfn.PERCENTRANK.EXC(_xlfn._xlws.FILTER($S$3:$S$23, ISNUMBER($S$3:$S$23)),S18)*100</f>
        <v>36.299999999999997</v>
      </c>
      <c r="Z18" s="4" cm="1">
        <f t="array" ref="Z18">_xlfn.PERCENTRANK.EXC(_xlfn._xlws.FILTER($K$3:$K$23, ISNUMBER($K$3:$K$23)),K18)*100</f>
        <v>13.600000000000001</v>
      </c>
      <c r="AA18" s="4" cm="1">
        <f t="array" ref="AA18">_xlfn.PERCENTRANK.EXC(_xlfn._xlws.FILTER($H$3:$H$23, ISNUMBER($H$3:$H$23)),H18)*100</f>
        <v>9</v>
      </c>
      <c r="AB18" s="4" cm="1">
        <f t="array" ref="AB18">_xlfn.PERCENTRANK.EXC(_xlfn._xlws.FILTER($J$3:$J$23, ISNUMBER($J$3:$J$23)),J18)*100</f>
        <v>77.2</v>
      </c>
      <c r="AC18" s="4">
        <f t="shared" si="4"/>
        <v>59</v>
      </c>
      <c r="AD18" s="4">
        <f t="shared" si="5"/>
        <v>90.9</v>
      </c>
      <c r="AE18" s="4">
        <f t="shared" si="6"/>
        <v>22.7</v>
      </c>
      <c r="AF18" s="4">
        <f>'Economic Momentum'!Q19</f>
        <v>36.299999999999997</v>
      </c>
      <c r="AG18" s="4">
        <f ca="1">'Economic Momentum'!R19</f>
        <v>13.600000000000001</v>
      </c>
      <c r="AH18" s="4">
        <f t="shared" ca="1" si="7"/>
        <v>35.409999999999997</v>
      </c>
      <c r="AJ18" s="3" cm="1">
        <f t="array" aca="1" ref="AJ18" ca="1">_xlfn.PERCENTRANK.EXC(_xlfn._xlws.FILTER($AH$3:$AH$23, ISNUMBER($AH$3:$AH$23)),AH18)*100</f>
        <v>36.299999999999997</v>
      </c>
      <c r="AK18">
        <f t="shared" si="8"/>
        <v>1</v>
      </c>
      <c r="AM18" s="4"/>
    </row>
    <row r="19" spans="1:39" s="1" customFormat="1" x14ac:dyDescent="0.35">
      <c r="A19" s="1" t="s">
        <v>757</v>
      </c>
      <c r="B19" s="1" t="s">
        <v>758</v>
      </c>
      <c r="C19" s="1" t="s">
        <v>757</v>
      </c>
      <c r="D19" s="153">
        <f>VLOOKUP(C19,'Market Capitalisation'!$C$2:$G$31,5,FALSE)</f>
        <v>457112.30603836</v>
      </c>
      <c r="E19" cm="1">
        <f t="array" ref="E19">_xll.FDS(C19,"FMA_COS_UP(""EPS"",""1M"",+1,NOW,,,""PORTAGG"",""MEANR"")")</f>
        <v>60</v>
      </c>
      <c r="F19" cm="1">
        <f t="array" ref="F19">_xll.FDS(C19,"FMA_COS_DOWN(""EPS"",""1M"",+1,NOW,,,""PORTAGG"",""MEANR"")")</f>
        <v>72</v>
      </c>
      <c r="G19" s="1" cm="1">
        <f t="array" ref="G19">_xll.FDS(A19,"SIZE(FG_CONSTITUENTS)")</f>
        <v>1</v>
      </c>
      <c r="H19" s="48">
        <f t="shared" si="0"/>
        <v>60</v>
      </c>
      <c r="I19" s="48">
        <f t="shared" si="1"/>
        <v>72</v>
      </c>
      <c r="J19" s="9">
        <f t="shared" si="2"/>
        <v>-12</v>
      </c>
      <c r="K19" s="6" cm="1">
        <f t="array" ref="K19">_xll.FDS(A19,"FMA_PCT_ABOVE_MAVG(200,0,,,,""PORTAGG"")")/100</f>
        <v>0.280120481927711</v>
      </c>
      <c r="L19" s="41" cm="1">
        <f t="array" ref="L19">_xll.FDSB(A19,"PERCENT_CHANGE(FMA_EPS(+1,0,,,,""PORTAGG"",""MEAN""),FMA_EPS(+1,-1AM,,,,""PORTAGG"",""MEAN""))")</f>
        <v>-0.775276788493096</v>
      </c>
      <c r="M19" s="41" cm="1">
        <f t="array" ref="M19">_xll.FDSB(A19,"PERCENT_CHANGE(FMA_EPS(+1,0,,,,""PORTAGG"",""MEAN""),FMA_EPS(+1,-3AM,,,,""PORTAGG"",""MEAN""))")</f>
        <v>-3.2510002585026401</v>
      </c>
      <c r="N19" s="3" cm="1">
        <f t="array" ref="N19">_xll.FDS(C19,"FG_TOTAL_RETURNC(0,-1AM)")</f>
        <v>-1.7980516</v>
      </c>
      <c r="O19" s="54" cm="1">
        <f t="array" ref="O19">_xll.FDS(C19,"FG_TOTAL_RETURNC(0,-3AM)")</f>
        <v>-1.227206</v>
      </c>
      <c r="P19" s="54" cm="1">
        <f t="array" ref="P19">_xll.FDS(C19,"FG_TOTAL_RETURNC(0,-6AM)")</f>
        <v>-5.3433894999999998</v>
      </c>
      <c r="Q19" s="9" cm="1">
        <f t="array" ref="Q19">_xll.FDS(C19,"P_PRICE(0)/P_PRICE_HIGH_PR(0,,,,,,""PRICE"",""INTRA"",""52W"")")</f>
        <v>0.8532613</v>
      </c>
      <c r="R19" s="9" cm="1">
        <f t="array" ref="R19">_xll.FDS(C19,"P_PRICE(0)/P_PRICE_low_PR(0,,,,,,""PRICE"",""INTRA"",""52W"")-1")</f>
        <v>8.9102980000000005E-3</v>
      </c>
      <c r="S19" s="3" cm="1">
        <f t="array" ref="S19">_xll.FDS(C19,"FG_TOTAL_RETURNC(0,-12AM)")</f>
        <v>-14.60802</v>
      </c>
      <c r="T19" s="4" cm="1">
        <f t="array" ref="T19">_xlfn.PERCENTRANK.EXC(_xlfn._xlws.FILTER($R$3:$R$23, ISNUMBER($R$3:$R$23)),R19)*100</f>
        <v>4.5</v>
      </c>
      <c r="U19" s="4">
        <f t="shared" si="3"/>
        <v>95.5</v>
      </c>
      <c r="V19" s="4" cm="1">
        <f t="array" ref="V19">_xlfn.PERCENTRANK.EXC(_xlfn._xlws.FILTER($Q$3:$Q$23, ISNUMBER($Q$3:$Q$23)),Q19)*100</f>
        <v>36.299999999999997</v>
      </c>
      <c r="W19" s="4" cm="1">
        <f t="array" ref="W19">_xlfn.PERCENTRANK.EXC(_xlfn._xlws.FILTER($O$3:$O$23, ISNUMBER($O$3:$O$23)),O19)*100</f>
        <v>31.8</v>
      </c>
      <c r="X19" s="4" cm="1">
        <f t="array" ref="X19">_xlfn.PERCENTRANK.EXC(_xlfn._xlws.FILTER($P$3:$P$23, ISNUMBER($P$3:$P$23)),P19)*100</f>
        <v>4.5</v>
      </c>
      <c r="Y19" s="200" cm="1">
        <f t="array" ref="Y19">_xlfn.PERCENTRANK.EXC(_xlfn._xlws.FILTER($S$3:$S$23, ISNUMBER($S$3:$S$23)),S19)*100</f>
        <v>13.600000000000001</v>
      </c>
      <c r="Z19" s="4" cm="1">
        <f t="array" ref="Z19">_xlfn.PERCENTRANK.EXC(_xlfn._xlws.FILTER($K$3:$K$23, ISNUMBER($K$3:$K$23)),K19)*100</f>
        <v>9</v>
      </c>
      <c r="AA19" s="4" cm="1">
        <f t="array" ref="AA19">_xlfn.PERCENTRANK.EXC(_xlfn._xlws.FILTER($H$3:$H$23, ISNUMBER($H$3:$H$23)),H19)*100</f>
        <v>95.399999999999991</v>
      </c>
      <c r="AB19" s="4" cm="1">
        <f t="array" ref="AB19">_xlfn.PERCENTRANK.EXC(_xlfn._xlws.FILTER($J$3:$J$23, ISNUMBER($J$3:$J$23)),J19)*100</f>
        <v>4.5</v>
      </c>
      <c r="AC19" s="4">
        <f t="shared" si="4"/>
        <v>63.6</v>
      </c>
      <c r="AD19" s="4">
        <f t="shared" si="5"/>
        <v>36.299999999999997</v>
      </c>
      <c r="AE19" s="4">
        <f t="shared" si="6"/>
        <v>50</v>
      </c>
      <c r="AF19" s="4">
        <f>'Economic Momentum'!Q20</f>
        <v>50</v>
      </c>
      <c r="AG19" s="4">
        <f ca="1">'Economic Momentum'!R20</f>
        <v>40.9</v>
      </c>
      <c r="AH19" s="4">
        <f t="shared" ca="1" si="7"/>
        <v>25.41</v>
      </c>
      <c r="AJ19" s="3" cm="1">
        <f t="array" aca="1" ref="AJ19" ca="1">_xlfn.PERCENTRANK.EXC(_xlfn._xlws.FILTER($AH$3:$AH$23, ISNUMBER($AH$3:$AH$23)),AH19)*100</f>
        <v>18.099999999999998</v>
      </c>
      <c r="AK19" s="1">
        <f t="shared" si="8"/>
        <v>1</v>
      </c>
      <c r="AM19" s="4"/>
    </row>
    <row r="20" spans="1:39" x14ac:dyDescent="0.35">
      <c r="A20" t="s">
        <v>25</v>
      </c>
      <c r="B20" t="s">
        <v>446</v>
      </c>
      <c r="C20" t="s">
        <v>25</v>
      </c>
      <c r="D20" s="153">
        <f>VLOOKUP(C20,'Market Capitalisation'!$C$2:$G$31,5,FALSE)</f>
        <v>376849.1</v>
      </c>
      <c r="E20" cm="1">
        <f t="array" ref="E20">_xll.FDS(C20,"FMA_COS_UP(""EPS"",""1M"",+1,NOW,,,""PORTAGG"",""MEANR"")")</f>
        <v>12</v>
      </c>
      <c r="F20" cm="1">
        <f t="array" ref="F20">_xll.FDS(C20,"FMA_COS_DOWN(""EPS"",""1M"",+1,NOW,,,""PORTAGG"",""MEANR"")")</f>
        <v>12</v>
      </c>
      <c r="G20" cm="1">
        <f t="array" ref="G20">_xll.FDS(A20,"SIZE(FG_CONSTITUENTS)")</f>
        <v>98</v>
      </c>
      <c r="H20" s="9">
        <f t="shared" si="0"/>
        <v>0.12244897959183673</v>
      </c>
      <c r="I20" s="9">
        <f t="shared" si="1"/>
        <v>0.12244897959183673</v>
      </c>
      <c r="J20" s="9">
        <f t="shared" si="2"/>
        <v>0</v>
      </c>
      <c r="K20" s="5" cm="1">
        <f t="array" ref="K20">_xll.FDS(A20,"FMA_PCT_ABOVE_MAVG(200,0,,,,""PORTAGG"")")/100</f>
        <v>0.63043478260869601</v>
      </c>
      <c r="L20" s="41" cm="1">
        <f t="array" ref="L20">_xll.FDSB(A20,"PERCENT_CHANGE(FMA_EPS(+1,0,,,,""PORTAGG"",""MEAN""),FMA_EPS(+1,-1AM,,,,""PORTAGG"",""MEAN""))")</f>
        <v>-1.37103294041771</v>
      </c>
      <c r="M20" s="41" cm="1">
        <f t="array" ref="M20">_xll.FDSB(A20,"PERCENT_CHANGE(FMA_EPS(+1,0,,,,""PORTAGG"",""MEAN""),FMA_EPS(+1,-3AM,,,,""PORTAGG"",""MEAN""))")</f>
        <v>-6.6165836878036099</v>
      </c>
      <c r="N20" s="3" cm="1">
        <f t="array" ref="N20">_xll.FDS(C20,"FG_TOTAL_RETURNC(0,-1AM)")</f>
        <v>9.2753650000000007</v>
      </c>
      <c r="O20" s="3" cm="1">
        <f t="array" ref="O20">_xll.FDS(C20,"FG_TOTAL_RETURNC(0,-3AM)")</f>
        <v>11.736810999999999</v>
      </c>
      <c r="P20" s="3" cm="1">
        <f t="array" ref="P20">_xll.FDS(C20,"FG_TOTAL_RETURNC(0,-6AM)")</f>
        <v>6.0679673999999997</v>
      </c>
      <c r="Q20" s="9" cm="1">
        <f t="array" ref="Q20">_xll.FDS(C20,"P_PRICE(0)/P_PRICE_HIGH_PR(0,,,,,,""PRICE"",""INTRA"",""52W"")")</f>
        <v>0.94818919999999995</v>
      </c>
      <c r="R20" s="9" cm="1">
        <f t="array" ref="R20">_xll.FDS(C20,"P_PRICE(0)/P_PRICE_low_PR(0,,,,,,""PRICE"",""INTRA"",""52W"")-1")</f>
        <v>0.36544727999999999</v>
      </c>
      <c r="S20" s="3" cm="1">
        <f t="array" ref="S20">_xll.FDS(C20,"FG_TOTAL_RETURNC(0,-12AM)")</f>
        <v>16.913902</v>
      </c>
      <c r="T20" s="4" cm="1">
        <f t="array" ref="T20">_xlfn.PERCENTRANK.EXC(_xlfn._xlws.FILTER($R$3:$R$23, ISNUMBER($R$3:$R$23)),R20)*100</f>
        <v>86.3</v>
      </c>
      <c r="U20" s="4">
        <f t="shared" si="3"/>
        <v>13.700000000000003</v>
      </c>
      <c r="V20" s="4" cm="1">
        <f t="array" ref="V20">_xlfn.PERCENTRANK.EXC(_xlfn._xlws.FILTER($Q$3:$Q$23, ISNUMBER($Q$3:$Q$23)),Q20)*100</f>
        <v>77.2</v>
      </c>
      <c r="W20" s="4" cm="1">
        <f t="array" ref="W20">_xlfn.PERCENTRANK.EXC(_xlfn._xlws.FILTER($O$3:$O$23, ISNUMBER($O$3:$O$23)),O20)*100</f>
        <v>90.9</v>
      </c>
      <c r="X20" s="4" cm="1">
        <f t="array" ref="X20">_xlfn.PERCENTRANK.EXC(_xlfn._xlws.FILTER($P$3:$P$23, ISNUMBER($P$3:$P$23)),P20)*100</f>
        <v>50</v>
      </c>
      <c r="Y20" s="200" cm="1">
        <f t="array" ref="Y20">_xlfn.PERCENTRANK.EXC(_xlfn._xlws.FILTER($S$3:$S$23, ISNUMBER($S$3:$S$23)),S20)*100</f>
        <v>72.7</v>
      </c>
      <c r="Z20" s="4" cm="1">
        <f t="array" ref="Z20">_xlfn.PERCENTRANK.EXC(_xlfn._xlws.FILTER($K$3:$K$23, ISNUMBER($K$3:$K$23)),K20)*100</f>
        <v>63.6</v>
      </c>
      <c r="AA20" s="4" cm="1">
        <f t="array" ref="AA20">_xlfn.PERCENTRANK.EXC(_xlfn._xlws.FILTER($H$3:$H$23, ISNUMBER($H$3:$H$23)),H20)*100</f>
        <v>4.5</v>
      </c>
      <c r="AB20" s="4" cm="1">
        <f t="array" ref="AB20">_xlfn.PERCENTRANK.EXC(_xlfn._xlws.FILTER($J$3:$J$23, ISNUMBER($J$3:$J$23)),J20)*100</f>
        <v>68.100000000000009</v>
      </c>
      <c r="AC20" s="4">
        <f t="shared" si="4"/>
        <v>40.9</v>
      </c>
      <c r="AD20" s="4">
        <f t="shared" si="5"/>
        <v>13.600000000000001</v>
      </c>
      <c r="AE20" s="4">
        <f t="shared" si="6"/>
        <v>45.4</v>
      </c>
      <c r="AF20" s="4">
        <f>'Economic Momentum'!Q21</f>
        <v>31.8</v>
      </c>
      <c r="AG20" s="4">
        <f ca="1">'Economic Momentum'!R21</f>
        <v>86.3</v>
      </c>
      <c r="AH20" s="4">
        <f t="shared" ca="1" si="7"/>
        <v>73.150000000000006</v>
      </c>
      <c r="AJ20" s="3" cm="1">
        <f t="array" aca="1" ref="AJ20" ca="1">_xlfn.PERCENTRANK.EXC(_xlfn._xlws.FILTER($AH$3:$AH$23, ISNUMBER($AH$3:$AH$23)),AH20)*100</f>
        <v>81.8</v>
      </c>
      <c r="AK20">
        <f t="shared" si="8"/>
        <v>3</v>
      </c>
      <c r="AM20" s="4"/>
    </row>
    <row r="21" spans="1:39" x14ac:dyDescent="0.35">
      <c r="A21" t="s">
        <v>34</v>
      </c>
      <c r="B21" t="s">
        <v>447</v>
      </c>
      <c r="C21" t="s">
        <v>34</v>
      </c>
      <c r="D21" s="153">
        <f>VLOOKUP(C21,'Market Capitalisation'!$C$2:$G$31,5,FALSE)</f>
        <v>878029.9</v>
      </c>
      <c r="E21" cm="1">
        <f t="array" ref="E21">_xll.FDS(C21,"FMA_COS_UP(""EPS"",""1M"",+1,NOW,,,""PORTAGG"",""MEANR"")")</f>
        <v>8</v>
      </c>
      <c r="F21" cm="1">
        <f t="array" ref="F21">_xll.FDS(C21,"FMA_COS_DOWN(""EPS"",""1M"",+1,NOW,,,""PORTAGG"",""MEANR"")")</f>
        <v>5</v>
      </c>
      <c r="G21" cm="1">
        <f t="array" ref="G21">_xll.FDS(A21,"SIZE(FG_CONSTITUENTS)")</f>
        <v>42</v>
      </c>
      <c r="H21" s="9">
        <f t="shared" si="0"/>
        <v>0.19047619047619047</v>
      </c>
      <c r="I21" s="9">
        <f t="shared" si="1"/>
        <v>0.11904761904761904</v>
      </c>
      <c r="J21" s="9">
        <f t="shared" si="2"/>
        <v>7.1428571428571425E-2</v>
      </c>
      <c r="K21" s="5" cm="1">
        <f t="array" ref="K21">_xll.FDS(A21,"FMA_PCT_ABOVE_MAVG(200,0,,,,""PORTAGG"")")/100</f>
        <v>0.27027027027027001</v>
      </c>
      <c r="L21" s="41" cm="1">
        <f t="array" ref="L21">_xll.FDSB(A21,"PERCENT_CHANGE(FMA_EPS(+1,0,,,,""PORTAGG"",""MEAN""),FMA_EPS(+1,-1AM,,,,""PORTAGG"",""MEAN""))")</f>
        <v>2.00356880895963</v>
      </c>
      <c r="M21" s="41" cm="1">
        <f t="array" ref="M21">_xll.FDSB(A21,"PERCENT_CHANGE(FMA_EPS(+1,0,,,,""PORTAGG"",""MEAN""),FMA_EPS(+1,-3AM,,,,""PORTAGG"",""MEAN""))")</f>
        <v>10.387076778333199</v>
      </c>
      <c r="N21" s="3" cm="1">
        <f t="array" ref="N21">_xll.FDS(C21,"FG_TOTAL_RETURNC(0,-1AM)")</f>
        <v>-1.4864862000000001</v>
      </c>
      <c r="O21" s="3" cm="1">
        <f t="array" ref="O21">_xll.FDS(C21,"FG_TOTAL_RETURNC(0,-3AM)")</f>
        <v>-2.1476506999999998</v>
      </c>
      <c r="P21" s="3" cm="1">
        <f t="array" ref="P21">_xll.FDS(C21,"FG_TOTAL_RETURNC(0,-6AM)")</f>
        <v>3.5654186999999999</v>
      </c>
      <c r="Q21" s="9" cm="1">
        <f t="array" ref="Q21">_xll.FDS(C21,"P_PRICE(0)/P_PRICE_HIGH_PR(0,,,,,,""PRICE"",""INTRA"",""52W"")")</f>
        <v>0.92953867000000001</v>
      </c>
      <c r="R21" s="9" cm="1">
        <f t="array" ref="R21">_xll.FDS(C21,"P_PRICE(0)/P_PRICE_low_PR(0,,,,,,""PRICE"",""INTRA"",""52W"")-1")</f>
        <v>9.5416899999999999E-2</v>
      </c>
      <c r="S21" s="3" cm="1">
        <f t="array" ref="S21">_xll.FDS(C21,"FG_TOTAL_RETURNC(0,-12AM)")</f>
        <v>1.9243598</v>
      </c>
      <c r="T21" s="4" cm="1">
        <f t="array" ref="T21">_xlfn.PERCENTRANK.EXC(_xlfn._xlws.FILTER($R$3:$R$23, ISNUMBER($R$3:$R$23)),R21)*100</f>
        <v>31.8</v>
      </c>
      <c r="U21" s="4">
        <f t="shared" si="3"/>
        <v>68.2</v>
      </c>
      <c r="V21" s="4" cm="1">
        <f t="array" ref="V21">_xlfn.PERCENTRANK.EXC(_xlfn._xlws.FILTER($Q$3:$Q$23, ISNUMBER($Q$3:$Q$23)),Q21)*100</f>
        <v>59</v>
      </c>
      <c r="W21" s="4" cm="1">
        <f t="array" ref="W21">_xlfn.PERCENTRANK.EXC(_xlfn._xlws.FILTER($O$3:$O$23, ISNUMBER($O$3:$O$23)),O21)*100</f>
        <v>22.7</v>
      </c>
      <c r="X21" s="4" cm="1">
        <f t="array" ref="X21">_xlfn.PERCENTRANK.EXC(_xlfn._xlws.FILTER($P$3:$P$23, ISNUMBER($P$3:$P$23)),P21)*100</f>
        <v>40.9</v>
      </c>
      <c r="Y21" s="200" cm="1">
        <f t="array" ref="Y21">_xlfn.PERCENTRANK.EXC(_xlfn._xlws.FILTER($S$3:$S$23, ISNUMBER($S$3:$S$23)),S21)*100</f>
        <v>50</v>
      </c>
      <c r="Z21" s="4" cm="1">
        <f t="array" ref="Z21">_xlfn.PERCENTRANK.EXC(_xlfn._xlws.FILTER($K$3:$K$23, ISNUMBER($K$3:$K$23)),K21)*100</f>
        <v>4.5</v>
      </c>
      <c r="AA21" s="4" cm="1">
        <f t="array" ref="AA21">_xlfn.PERCENTRANK.EXC(_xlfn._xlws.FILTER($H$3:$H$23, ISNUMBER($H$3:$H$23)),H21)*100</f>
        <v>13.600000000000001</v>
      </c>
      <c r="AB21" s="4" cm="1">
        <f t="array" ref="AB21">_xlfn.PERCENTRANK.EXC(_xlfn._xlws.FILTER($J$3:$J$23, ISNUMBER($J$3:$J$23)),J21)*100</f>
        <v>81.8</v>
      </c>
      <c r="AC21" s="4">
        <f t="shared" si="4"/>
        <v>90.9</v>
      </c>
      <c r="AD21" s="4">
        <f t="shared" si="5"/>
        <v>95.399999999999991</v>
      </c>
      <c r="AE21" s="4">
        <f t="shared" si="6"/>
        <v>68.100000000000009</v>
      </c>
      <c r="AF21" s="4">
        <f>'Economic Momentum'!Q22</f>
        <v>50</v>
      </c>
      <c r="AG21" s="4">
        <f ca="1">'Economic Momentum'!R22</f>
        <v>40.9</v>
      </c>
      <c r="AH21" s="4">
        <f t="shared" ca="1" si="7"/>
        <v>42.68</v>
      </c>
      <c r="AJ21" s="3" cm="1">
        <f t="array" aca="1" ref="AJ21" ca="1">_xlfn.PERCENTRANK.EXC(_xlfn._xlws.FILTER($AH$3:$AH$23, ISNUMBER($AH$3:$AH$23)),AH21)*100</f>
        <v>50</v>
      </c>
      <c r="AK21">
        <f t="shared" si="8"/>
        <v>1</v>
      </c>
      <c r="AM21" s="4"/>
    </row>
    <row r="22" spans="1:39" x14ac:dyDescent="0.35">
      <c r="A22" t="s">
        <v>37</v>
      </c>
      <c r="B22" t="s">
        <v>448</v>
      </c>
      <c r="C22" t="s">
        <v>37</v>
      </c>
      <c r="D22" s="153">
        <f>VLOOKUP(C22,'Market Capitalisation'!$C$2:$G$31,5,FALSE)</f>
        <v>22962.360186000002</v>
      </c>
      <c r="E22" cm="1">
        <f t="array" ref="E22">_xll.FDS(C22,"FMA_COS_UP(""EPS"",""1M"",+1,NOW,,,""PORTAGG"",""MEANR"")")</f>
        <v>12</v>
      </c>
      <c r="F22" cm="1">
        <f t="array" ref="F22">_xll.FDS(C22,"FMA_COS_DOWN(""EPS"",""1M"",+1,NOW,,,""PORTAGG"",""MEANR"")")</f>
        <v>7</v>
      </c>
      <c r="G22" cm="1">
        <f t="array" ref="G22">_xll.FDS(A22,"SIZE(FG_CONSTITUENTS)")</f>
        <v>46</v>
      </c>
      <c r="H22" s="9">
        <f t="shared" si="0"/>
        <v>0.2608695652173913</v>
      </c>
      <c r="I22" s="9">
        <f t="shared" si="1"/>
        <v>0.15217391304347827</v>
      </c>
      <c r="J22" s="9">
        <f t="shared" si="2"/>
        <v>0.10869565217391303</v>
      </c>
      <c r="K22" s="5" cm="1">
        <f t="array" ref="K22">_xll.FDS(A22,"FMA_PCT_ABOVE_MAVG(200,0,,,,""PORTAGG"")")/100</f>
        <v>0.434782608695652</v>
      </c>
      <c r="L22" s="41" cm="1">
        <f t="array" ref="L22">_xll.FDSB(A22,"PERCENT_CHANGE(FMA_EPS(+1,0,,,,""PORTAGG"",""MEAN""),FMA_EPS(+1,-1AM,,,,""PORTAGG"",""MEAN""))")</f>
        <v>-1.6659971040836601</v>
      </c>
      <c r="M22" s="41" cm="1">
        <f t="array" ref="M22">_xll.FDSB(A22,"PERCENT_CHANGE(FMA_EPS(+1,0,,,,""PORTAGG"",""MEAN""),FMA_EPS(+1,-3AM,,,,""PORTAGG"",""MEAN""))")</f>
        <v>-12.001440319516799</v>
      </c>
      <c r="N22" s="3" cm="1">
        <f t="array" ref="N22">_xll.FDS(C22,"FG_TOTAL_RETURNC(0,-1AM)")</f>
        <v>-8.9955029999999994</v>
      </c>
      <c r="O22" s="3" cm="1">
        <f t="array" ref="O22">_xll.FDS(C22,"FG_TOTAL_RETURNC(0,-3AM)")</f>
        <v>-5.9279323000000002</v>
      </c>
      <c r="P22" s="3" cm="1">
        <f t="array" ref="P22">_xll.FDS(C22,"FG_TOTAL_RETURNC(0,-6AM)")</f>
        <v>0.15982389999999999</v>
      </c>
      <c r="Q22" s="9" cm="1">
        <f t="array" ref="Q22">_xll.FDS(C22,"P_PRICE(0)/P_PRICE_HIGH_PR(0,,,,,,""PRICE"",""INTRA"",""52W"")")</f>
        <v>0.77596675999999998</v>
      </c>
      <c r="R22" s="9" cm="1">
        <f t="array" ref="R22">_xll.FDS(C22,"P_PRICE(0)/P_PRICE_low_PR(0,,,,,,""PRICE"",""INTRA"",""52W"")-1")</f>
        <v>5.4735064999999999E-2</v>
      </c>
      <c r="S22" s="3" cm="1">
        <f t="array" ref="S22">_xll.FDS(C22,"FG_TOTAL_RETURNC(0,-12AM)")</f>
        <v>5.5269956999999996</v>
      </c>
      <c r="T22" s="4" cm="1">
        <f t="array" ref="T22">_xlfn.PERCENTRANK.EXC(_xlfn._xlws.FILTER($R$3:$R$23, ISNUMBER($R$3:$R$23)),R22)*100</f>
        <v>13.600000000000001</v>
      </c>
      <c r="U22" s="4">
        <f t="shared" si="3"/>
        <v>86.4</v>
      </c>
      <c r="V22" s="4" cm="1">
        <f t="array" ref="V22">_xlfn.PERCENTRANK.EXC(_xlfn._xlws.FILTER($Q$3:$Q$23, ISNUMBER($Q$3:$Q$23)),Q22)*100</f>
        <v>4.5</v>
      </c>
      <c r="W22" s="4" cm="1">
        <f t="array" ref="W22">_xlfn.PERCENTRANK.EXC(_xlfn._xlws.FILTER($O$3:$O$23, ISNUMBER($O$3:$O$23)),O22)*100</f>
        <v>9</v>
      </c>
      <c r="X22" s="4" cm="1">
        <f t="array" ref="X22">_xlfn.PERCENTRANK.EXC(_xlfn._xlws.FILTER($P$3:$P$23, ISNUMBER($P$3:$P$23)),P22)*100</f>
        <v>18.099999999999998</v>
      </c>
      <c r="Y22" s="200" cm="1">
        <f t="array" ref="Y22">_xlfn.PERCENTRANK.EXC(_xlfn._xlws.FILTER($S$3:$S$23, ISNUMBER($S$3:$S$23)),S22)*100</f>
        <v>54.500000000000007</v>
      </c>
      <c r="Z22" s="4" cm="1">
        <f t="array" ref="Z22">_xlfn.PERCENTRANK.EXC(_xlfn._xlws.FILTER($K$3:$K$23, ISNUMBER($K$3:$K$23)),K22)*100</f>
        <v>36.299999999999997</v>
      </c>
      <c r="AA22" s="4" cm="1">
        <f t="array" ref="AA22">_xlfn.PERCENTRANK.EXC(_xlfn._xlws.FILTER($H$3:$H$23, ISNUMBER($H$3:$H$23)),H22)*100</f>
        <v>40.9</v>
      </c>
      <c r="AB22" s="4" cm="1">
        <f t="array" ref="AB22">_xlfn.PERCENTRANK.EXC(_xlfn._xlws.FILTER($J$3:$J$23, ISNUMBER($J$3:$J$23)),J22)*100</f>
        <v>86.3</v>
      </c>
      <c r="AC22" s="4">
        <f t="shared" si="4"/>
        <v>36.299999999999997</v>
      </c>
      <c r="AD22" s="4">
        <f t="shared" si="5"/>
        <v>4.5</v>
      </c>
      <c r="AE22" s="4">
        <f t="shared" si="6"/>
        <v>4.5</v>
      </c>
      <c r="AF22" s="4">
        <f>'Economic Momentum'!Q23</f>
        <v>27.200000000000003</v>
      </c>
      <c r="AG22" s="4">
        <f ca="1">'Economic Momentum'!R23</f>
        <v>77.2</v>
      </c>
      <c r="AH22" s="4">
        <f t="shared" ca="1" si="7"/>
        <v>9.93</v>
      </c>
      <c r="AJ22" s="3" cm="1">
        <f t="array" aca="1" ref="AJ22" ca="1">_xlfn.PERCENTRANK.EXC(_xlfn._xlws.FILTER($AH$3:$AH$23, ISNUMBER($AH$3:$AH$23)),AH22)*100</f>
        <v>4.5</v>
      </c>
      <c r="AK22">
        <f t="shared" si="8"/>
        <v>1</v>
      </c>
      <c r="AM22" s="4"/>
    </row>
    <row r="23" spans="1:39" x14ac:dyDescent="0.35">
      <c r="A23" t="s">
        <v>36</v>
      </c>
      <c r="B23" t="s">
        <v>449</v>
      </c>
      <c r="C23" t="s">
        <v>36</v>
      </c>
      <c r="D23" s="153">
        <f>VLOOKUP(C23,'Market Capitalisation'!$C$2:$G$31,5,FALSE)</f>
        <v>2884927.3</v>
      </c>
      <c r="E23" cm="1">
        <f t="array" ref="E23">_xll.FDS(C23,"FMA_COS_UP(""EPS"",""1M"",+1,NOW,,,""PORTAGG"",""MEANR"")")</f>
        <v>33</v>
      </c>
      <c r="F23" cm="1">
        <f t="array" ref="F23">_xll.FDS(C23,"FMA_COS_DOWN(""EPS"",""1M"",+1,NOW,,,""PORTAGG"",""MEANR"")")</f>
        <v>34</v>
      </c>
      <c r="G23" cm="1">
        <f t="array" ref="G23">_xll.FDS(A23,"SIZE(FG_CONSTITUENTS)")</f>
        <v>122</v>
      </c>
      <c r="H23" s="9">
        <f t="shared" si="0"/>
        <v>0.27049180327868855</v>
      </c>
      <c r="I23" s="9">
        <f t="shared" si="1"/>
        <v>0.27868852459016391</v>
      </c>
      <c r="J23" s="9">
        <f t="shared" si="2"/>
        <v>-8.1967213114753634E-3</v>
      </c>
      <c r="K23" s="5" cm="1">
        <f t="array" ref="K23">_xll.FDS(A23,"FMA_PCT_ABOVE_MAVG(200,0,,,,""PORTAGG"")")/100</f>
        <v>0.71666666666666701</v>
      </c>
      <c r="L23" s="41" cm="1">
        <f t="array" ref="L23">_xll.FDSB(A23,"PERCENT_CHANGE(FMA_EPS(+1,0,,,,""PORTAGG"",""MEAN""),FMA_EPS(+1,-1AM,,,,""PORTAGG"",""MEAN""))")</f>
        <v>-1.0093950261951199</v>
      </c>
      <c r="M23" s="41" cm="1">
        <f t="array" ref="M23">_xll.FDSB(A23,"PERCENT_CHANGE(FMA_EPS(+1,0,,,,""PORTAGG"",""MEAN""),FMA_EPS(+1,-3AM,,,,""PORTAGG"",""MEAN""))")</f>
        <v>1.33146622112402</v>
      </c>
      <c r="N23" s="3" cm="1">
        <f t="array" ref="N23">_xll.FDS(C23,"FG_TOTAL_RETURNC(0,-1AM)")</f>
        <v>-2.9713987999999998</v>
      </c>
      <c r="O23" s="3" cm="1">
        <f t="array" ref="O23">_xll.FDS(C23,"FG_TOTAL_RETURNC(0,-3AM)")</f>
        <v>3.0856848000000001</v>
      </c>
      <c r="P23" s="3" cm="1">
        <f t="array" ref="P23">_xll.FDS(C23,"FG_TOTAL_RETURNC(0,-6AM)")</f>
        <v>16.821086999999999</v>
      </c>
      <c r="Q23" s="9" cm="1">
        <f t="array" ref="Q23">_xll.FDS(C23,"P_PRICE(0)/P_PRICE_HIGH_PR(0,,,,,,""PRICE"",""INTRA"",""52W"")")</f>
        <v>0.96307790000000004</v>
      </c>
      <c r="R23" s="9" cm="1">
        <f t="array" ref="R23">_xll.FDS(C23,"P_PRICE(0)/P_PRICE_low_PR(0,,,,,,""PRICE"",""INTRA"",""52W"")-1")</f>
        <v>0.19939244</v>
      </c>
      <c r="S23" s="3" cm="1">
        <f t="array" ref="S23">_xll.FDS(C23,"FG_TOTAL_RETURNC(0,-12AM)")</f>
        <v>9.7315070000000006</v>
      </c>
      <c r="T23" s="4" cm="1">
        <f t="array" ref="T23">_xlfn.PERCENTRANK.EXC(_xlfn._xlws.FILTER($R$3:$R$23, ISNUMBER($R$3:$R$23)),R23)*100</f>
        <v>68.100000000000009</v>
      </c>
      <c r="U23" s="4">
        <f t="shared" si="3"/>
        <v>31.899999999999991</v>
      </c>
      <c r="V23" s="4" cm="1">
        <f t="array" ref="V23">_xlfn.PERCENTRANK.EXC(_xlfn._xlws.FILTER($Q$3:$Q$23, ISNUMBER($Q$3:$Q$23)),Q23)*100</f>
        <v>81.8</v>
      </c>
      <c r="W23" s="4" cm="1">
        <f t="array" ref="W23">_xlfn.PERCENTRANK.EXC(_xlfn._xlws.FILTER($O$3:$O$23, ISNUMBER($O$3:$O$23)),O23)*100</f>
        <v>50</v>
      </c>
      <c r="X23" s="4" cm="1">
        <f t="array" ref="X23">_xlfn.PERCENTRANK.EXC(_xlfn._xlws.FILTER($P$3:$P$23, ISNUMBER($P$3:$P$23)),P23)*100</f>
        <v>72.7</v>
      </c>
      <c r="Y23" s="200" cm="1">
        <f t="array" ref="Y23">_xlfn.PERCENTRANK.EXC(_xlfn._xlws.FILTER($S$3:$S$23, ISNUMBER($S$3:$S$23)),S23)*100</f>
        <v>59</v>
      </c>
      <c r="Z23" s="4" cm="1">
        <f t="array" ref="Z23">_xlfn.PERCENTRANK.EXC(_xlfn._xlws.FILTER($K$3:$K$23, ISNUMBER($K$3:$K$23)),K23)*100</f>
        <v>86.3</v>
      </c>
      <c r="AA23" s="4" cm="1">
        <f t="array" ref="AA23">_xlfn.PERCENTRANK.EXC(_xlfn._xlws.FILTER($H$3:$H$23, ISNUMBER($H$3:$H$23)),H23)*100</f>
        <v>45.4</v>
      </c>
      <c r="AB23" s="4" cm="1">
        <f t="array" ref="AB23">_xlfn.PERCENTRANK.EXC(_xlfn._xlws.FILTER($J$3:$J$23, ISNUMBER($J$3:$J$23)),J23)*100</f>
        <v>63.6</v>
      </c>
      <c r="AC23" s="4">
        <f t="shared" si="4"/>
        <v>50</v>
      </c>
      <c r="AD23" s="4">
        <f t="shared" si="5"/>
        <v>86.3</v>
      </c>
      <c r="AE23" s="4">
        <f t="shared" si="6"/>
        <v>81.8</v>
      </c>
      <c r="AF23" s="4">
        <f>'Economic Momentum'!Q24</f>
        <v>90.9</v>
      </c>
      <c r="AG23" s="4">
        <f ca="1">'Economic Momentum'!R24</f>
        <v>4.5</v>
      </c>
      <c r="AH23" s="4">
        <f t="shared" ca="1" si="7"/>
        <v>69.53</v>
      </c>
      <c r="AJ23" s="3" cm="1">
        <f t="array" aca="1" ref="AJ23" ca="1">_xlfn.PERCENTRANK.EXC(_xlfn._xlws.FILTER($AH$3:$AH$23, ISNUMBER($AH$3:$AH$23)),AH23)*100</f>
        <v>68.100000000000009</v>
      </c>
      <c r="AK23">
        <f t="shared" si="8"/>
        <v>3</v>
      </c>
      <c r="AM23" s="4"/>
    </row>
    <row r="24" spans="1:39" x14ac:dyDescent="0.35">
      <c r="H24" s="9"/>
      <c r="I24" s="9"/>
      <c r="J24" s="9"/>
      <c r="K24" s="5"/>
      <c r="L24" s="41"/>
      <c r="M24" s="41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G24" s="4"/>
      <c r="AH24" s="4"/>
      <c r="AJ24" s="4"/>
    </row>
    <row r="25" spans="1:39" x14ac:dyDescent="0.35">
      <c r="H25" s="9"/>
      <c r="I25" s="9"/>
      <c r="J25" s="9"/>
      <c r="K25" s="5"/>
      <c r="L25" s="41"/>
      <c r="M25" s="41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G25" s="4"/>
      <c r="AH25" s="4"/>
      <c r="AJ25" s="4"/>
    </row>
    <row r="26" spans="1:39" x14ac:dyDescent="0.35">
      <c r="H26" s="9"/>
      <c r="I26" s="9"/>
      <c r="J26" s="9"/>
      <c r="K26" s="5"/>
      <c r="L26" s="41"/>
      <c r="M26" s="41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G26" s="4"/>
      <c r="AH26" s="4"/>
      <c r="AJ26" s="4"/>
    </row>
    <row r="27" spans="1:39" x14ac:dyDescent="0.35">
      <c r="H27" s="9"/>
      <c r="I27" s="9"/>
      <c r="J27" s="9"/>
      <c r="K27" s="5"/>
      <c r="L27" s="41"/>
      <c r="M27" s="41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G27" s="4"/>
      <c r="AH27" s="4"/>
      <c r="AJ27" s="4"/>
    </row>
    <row r="28" spans="1:39" x14ac:dyDescent="0.35">
      <c r="H28" s="9"/>
      <c r="I28" s="9"/>
      <c r="J28" s="9"/>
      <c r="K28" s="5"/>
      <c r="L28" s="41"/>
      <c r="M28" s="41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G28" s="4"/>
      <c r="AH28" s="4"/>
      <c r="AJ28" s="4"/>
    </row>
    <row r="29" spans="1:39" x14ac:dyDescent="0.35">
      <c r="A29" s="1" t="s">
        <v>803</v>
      </c>
      <c r="H29" s="9"/>
      <c r="I29" s="9"/>
      <c r="J29" s="9"/>
      <c r="K29" s="5"/>
      <c r="L29" s="41"/>
      <c r="M29" s="41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G29" s="4"/>
      <c r="AH29" s="4"/>
      <c r="AJ29" s="4"/>
    </row>
    <row r="30" spans="1:39" x14ac:dyDescent="0.35">
      <c r="A30" t="s">
        <v>547</v>
      </c>
      <c r="B30" t="s">
        <v>227</v>
      </c>
      <c r="C30" t="str">
        <f>A30</f>
        <v>VGK</v>
      </c>
      <c r="E30" cm="1">
        <f t="array" ref="E30">_xll.FDS(C30,"FMA_COS_UP(""EPS"",""1M"",+1,NOW,,,""PORTAGG"",""MEANR"")")</f>
        <v>473</v>
      </c>
      <c r="F30" cm="1">
        <f t="array" ref="F30">_xll.FDS(C30,"FMA_COS_DOWN(""EPS"",""1M"",+1,NOW,,,""PORTAGG"",""MEANR"")")</f>
        <v>451</v>
      </c>
      <c r="G30" cm="1">
        <f t="array" ref="G30">_xll.FDS(A30,"SIZE(FG_CONSTITUENTS)")</f>
        <v>1280</v>
      </c>
      <c r="H30" s="9">
        <f>E30/$G30</f>
        <v>0.36953124999999998</v>
      </c>
      <c r="I30" s="9">
        <f>F30/$G30</f>
        <v>0.35234375000000001</v>
      </c>
      <c r="J30" s="9">
        <f t="shared" ref="J30" si="9">H30-I30</f>
        <v>1.7187499999999967E-2</v>
      </c>
      <c r="K30" s="5" cm="1">
        <f t="array" ref="K30">_xll.FDS(A30,"FMA_PCT_ABOVE_MAVG(200,0,,,,""PORTAGG"")")/100</f>
        <v>0.584313725490196</v>
      </c>
      <c r="L30" s="41" cm="1">
        <f t="array" ref="L30">_xll.FDSB(A30,"PERCENT_CHANGE(FMA_EPS(+1,0,,,,""PORTAGG"",""MEAN""),FMA_EPS(+1,-1AM,,,,""PORTAGG"",""MEAN""))")</f>
        <v>-5.0132098423733398</v>
      </c>
      <c r="M30" s="41" cm="1">
        <f t="array" ref="M30">_xll.FDSB(A30,"PERCENT_CHANGE(FMA_EPS(+1,0,,,,""PORTAGG"",""MEAN""),FMA_EPS(+1,-3AM,,,,""PORTAGG"",""MEAN""))")</f>
        <v>-8.7171415271051202</v>
      </c>
      <c r="O30" s="3" cm="1">
        <f t="array" ref="O30">_xll.FDS(C30,"FG_TOTAL_RETURNC(0,-3AM)")</f>
        <v>3.8551926999999999</v>
      </c>
      <c r="P30" s="3" cm="1">
        <f t="array" ref="P30">_xll.FDS(C30,"FG_TOTAL_RETURNC(0,-6AM)")</f>
        <v>14.664877000000001</v>
      </c>
      <c r="Q30" s="9" cm="1">
        <f t="array" ref="Q30">_xll.FDS(C30,"P_PRICE(0)/P_PRICE_HIGH_PR(0,,,,,,""PRICE"",""INTRA"",""52W"")")</f>
        <v>0.95190315999999997</v>
      </c>
      <c r="R30" s="9" cm="1">
        <f t="array" ref="R30">_xll.FDS(C30,"P_PRICE(0)/P_PRICE_low_PR(0,,,,,,""PRICE"",""INTRA"",""52W"")-1")</f>
        <v>0.17181252999999999</v>
      </c>
      <c r="W30" s="4"/>
      <c r="X30" s="4"/>
      <c r="Y30" s="200"/>
      <c r="AA30" s="4"/>
      <c r="AB30" s="4"/>
      <c r="AC30" s="4"/>
      <c r="AD30" s="4"/>
      <c r="AE30" s="4"/>
      <c r="AF30" s="4"/>
      <c r="AG30" s="4"/>
      <c r="AH30" s="4"/>
      <c r="AI30" s="4"/>
      <c r="AK30" s="4"/>
    </row>
    <row r="31" spans="1:39" x14ac:dyDescent="0.35">
      <c r="A31" t="s">
        <v>6</v>
      </c>
      <c r="B31" t="s">
        <v>762</v>
      </c>
      <c r="C31" t="str">
        <f>A31</f>
        <v>VWO</v>
      </c>
      <c r="E31" cm="1">
        <f t="array" ref="E31">_xll.FDS(C31,"FMA_COS_UP(""EPS"",""1M"",+1,NOW,,,""PORTAGG"",""MEANR"")")</f>
        <v>716</v>
      </c>
      <c r="F31" cm="1">
        <f t="array" ref="F31">_xll.FDS(C31,"FMA_COS_DOWN(""EPS"",""1M"",+1,NOW,,,""PORTAGG"",""MEANR"")")</f>
        <v>1045</v>
      </c>
      <c r="G31" cm="1">
        <f t="array" ref="G31">_xll.FDS(A31,"SIZE(FG_CONSTITUENTS)")</f>
        <v>4786</v>
      </c>
      <c r="H31" s="9">
        <f>E31/$G31</f>
        <v>0.14960300877559549</v>
      </c>
      <c r="I31" s="9">
        <f>F31/$G31</f>
        <v>0.21834517342248225</v>
      </c>
      <c r="J31" s="9">
        <f t="shared" ref="J31" si="10">H31-I31</f>
        <v>-6.8742164646886761E-2</v>
      </c>
      <c r="K31" s="5" cm="1">
        <f t="array" ref="K31">_xll.FDS(A31,"FMA_PCT_ABOVE_MAVG(200,0,,,,""PORTAGG"")")/100</f>
        <v>0.40505777196424703</v>
      </c>
      <c r="L31" s="41" cm="1">
        <f t="array" ref="L31">_xll.FDSB(A31,"PERCENT_CHANGE(FMA_EPS(+1,0,,,,""PORTAGG"",""MEAN""),FMA_EPS(+1,-1AM,,,,""PORTAGG"",""MEAN""))")</f>
        <v>-13.280960461112199</v>
      </c>
      <c r="M31" s="41" cm="1">
        <f t="array" ref="M31">_xll.FDSB(A31,"PERCENT_CHANGE(FMA_EPS(+1,0,,,,""PORTAGG"",""MEAN""),FMA_EPS(+1,-3AM,,,,""PORTAGG"",""MEAN""))")</f>
        <v>-16.663463755637601</v>
      </c>
      <c r="O31" s="3" cm="1">
        <f t="array" ref="O31">_xll.FDS(C31,"FG_TOTAL_RETURNC(0,-3AM)")</f>
        <v>4.5274973000000003</v>
      </c>
      <c r="P31" s="3" cm="1">
        <f t="array" ref="P31">_xll.FDS(C31,"FG_TOTAL_RETURNC(0,-6AM)")</f>
        <v>8.9119320000000002</v>
      </c>
      <c r="Q31" s="9" cm="1">
        <f t="array" ref="Q31">_xll.FDS(C31,"P_PRICE(0)/P_PRICE_HIGH_PR(0,,,,,,""PRICE"",""INTRA"",""52W"")")</f>
        <v>0.95150809999999997</v>
      </c>
      <c r="R31" s="9" cm="1">
        <f t="array" ref="R31">_xll.FDS(C31,"P_PRICE(0)/P_PRICE_low_PR(0,,,,,,""PRICE"",""INTRA"",""52W"")-1")</f>
        <v>9.4913839999999999E-2</v>
      </c>
    </row>
    <row r="32" spans="1:39" x14ac:dyDescent="0.35">
      <c r="A32" t="s">
        <v>804</v>
      </c>
      <c r="B32" t="s">
        <v>805</v>
      </c>
      <c r="C32" t="str">
        <f t="shared" ref="C32" si="11">A32</f>
        <v>URTH</v>
      </c>
      <c r="E32" cm="1">
        <f t="array" ref="E32">_xll.FDS(C32,"FMA_COS_UP(""EPS"",""1M"",+1,NOW,,,""PORTAGG"",""MEANR"")")</f>
        <v>577</v>
      </c>
      <c r="F32" cm="1">
        <f t="array" ref="F32">_xll.FDS(C32,"FMA_COS_DOWN(""EPS"",""1M"",+1,NOW,,,""PORTAGG"",""MEANR"")")</f>
        <v>553</v>
      </c>
      <c r="G32" cm="1">
        <f t="array" ref="G32">_xll.FDS(A32,"SIZE(FG_CONSTITUENTS)")</f>
        <v>1469</v>
      </c>
      <c r="H32" s="9">
        <f t="shared" ref="H32" si="12">E32/$G32</f>
        <v>0.39278420694349897</v>
      </c>
      <c r="I32" s="9">
        <f t="shared" ref="I32" si="13">F32/$G32</f>
        <v>0.37644656228727025</v>
      </c>
      <c r="J32" s="9">
        <f t="shared" ref="J32" si="14">H32-I32</f>
        <v>1.6337644656228723E-2</v>
      </c>
      <c r="K32" s="5" cm="1">
        <f t="array" ref="K32">_xll.FDS(A32,"FMA_PCT_ABOVE_MAVG(200,0,,,,""PORTAGG"")")/100</f>
        <v>0.66393442622950805</v>
      </c>
      <c r="L32" s="41" cm="1">
        <f t="array" ref="L32">_xll.FDSB(A32,"PERCENT_CHANGE(FMA_EPS(+1,0,,,,""PORTAGG"",""MEAN""),FMA_EPS(+1,-1AM,,,,""PORTAGG"",""MEAN""))")</f>
        <v>-1.0088117401502701</v>
      </c>
      <c r="M32" s="41" cm="1">
        <f t="array" ref="M32">_xll.FDSB(A32,"PERCENT_CHANGE(FMA_EPS(+1,0,,,,""PORTAGG"",""MEAN""),FMA_EPS(+1,-3AM,,,,""PORTAGG"",""MEAN""))")</f>
        <v>-1.4604966324019699</v>
      </c>
      <c r="O32" s="3" cm="1">
        <f t="array" ref="O32">_xll.FDS(C32,"FG_TOTAL_RETURNC(0,-3AM)")</f>
        <v>4.4309973999999999</v>
      </c>
      <c r="P32" s="3" cm="1">
        <f t="array" ref="P32">_xll.FDS(C32,"FG_TOTAL_RETURNC(0,-6AM)")</f>
        <v>15.993463500000001</v>
      </c>
      <c r="Q32" s="9" cm="1">
        <f t="array" ref="Q32">_xll.FDS(C32,"P_PRICE(0)/P_PRICE_HIGH_PR(0,,,,,,""PRICE"",""INTRA"",""52W"")")</f>
        <v>0.95123630000000003</v>
      </c>
      <c r="R32" s="9" cm="1">
        <f t="array" ref="R32">_xll.FDS(C32,"P_PRICE(0)/P_PRICE_low_PR(0,,,,,,""PRICE"",""INTRA"",""52W"")-1")</f>
        <v>0.20409763</v>
      </c>
    </row>
    <row r="33" spans="1:18" x14ac:dyDescent="0.35">
      <c r="A33" t="s">
        <v>46</v>
      </c>
      <c r="B33" t="s">
        <v>842</v>
      </c>
      <c r="C33" t="str">
        <f t="shared" ref="C33:C34" si="15">A33</f>
        <v>EWJ</v>
      </c>
      <c r="E33" cm="1">
        <f t="array" ref="E33">_xll.FDS(C33,"FMA_COS_UP(""EPS"",""1M"",+1,NOW,,,""PORTAGG"",""MEANR"")")</f>
        <v>97</v>
      </c>
      <c r="F33" cm="1">
        <f t="array" ref="F33">_xll.FDS(C33,"FMA_COS_DOWN(""EPS"",""1M"",+1,NOW,,,""PORTAGG"",""MEANR"")")</f>
        <v>88</v>
      </c>
      <c r="G33" cm="1">
        <f t="array" ref="G33">_xll.FDS(A33,"SIZE(FG_CONSTITUENTS)")</f>
        <v>219</v>
      </c>
      <c r="H33" s="9">
        <f t="shared" ref="H33:H34" si="16">E33/$G33</f>
        <v>0.44292237442922372</v>
      </c>
      <c r="I33" s="9">
        <f t="shared" ref="I33:I34" si="17">F33/$G33</f>
        <v>0.40182648401826482</v>
      </c>
      <c r="J33" s="9">
        <f t="shared" ref="J33:J34" si="18">H33-I33</f>
        <v>4.1095890410958902E-2</v>
      </c>
      <c r="K33" s="5" cm="1">
        <f t="array" ref="K33">_xll.FDS(A33,"FMA_PCT_ABOVE_MAVG(200,0,,,,""PORTAGG"")")/100</f>
        <v>0.69406392694063901</v>
      </c>
      <c r="L33" s="41" cm="1">
        <f t="array" ref="L33">_xll.FDSB(A33,"PERCENT_CHANGE(FMA_EPS(+1,0,,,,""PORTAGG"",""MEAN""),FMA_EPS(+1,-1AM,,,,""PORTAGG"",""MEAN""))")</f>
        <v>-3.2492863040976601</v>
      </c>
      <c r="M33" s="41" cm="1">
        <f t="array" ref="M33">_xll.FDSB(A33,"PERCENT_CHANGE(FMA_EPS(+1,0,,,,""PORTAGG"",""MEAN""),FMA_EPS(+1,-3AM,,,,""PORTAGG"",""MEAN""))")</f>
        <v>-2.9105354742355498</v>
      </c>
      <c r="O33" s="3" cm="1">
        <f t="array" ref="O33">_xll.FDS(C33,"FG_TOTAL_RETURNC(0,-3AM)")</f>
        <v>1.7647862000000001</v>
      </c>
      <c r="P33" s="3" cm="1">
        <f t="array" ref="P33">_xll.FDS(C33,"FG_TOTAL_RETURNC(0,-6AM)")</f>
        <v>15.068388000000001</v>
      </c>
      <c r="Q33" s="9" cm="1">
        <f t="array" ref="Q33">_xll.FDS(C33,"P_PRICE(0)/P_PRICE_HIGH_PR(0,,,,,,""PRICE"",""INTRA"",""52W"")")</f>
        <v>0.92818979999999995</v>
      </c>
      <c r="R33" s="9" cm="1">
        <f t="array" ref="R33">_xll.FDS(C33,"P_PRICE(0)/P_PRICE_low_PR(0,,,,,,""PRICE"",""INTRA"",""52W"")-1")</f>
        <v>0.16940558</v>
      </c>
    </row>
    <row r="34" spans="1:18" x14ac:dyDescent="0.35">
      <c r="A34" t="s">
        <v>1</v>
      </c>
      <c r="B34" t="s">
        <v>119</v>
      </c>
      <c r="C34" t="str">
        <f t="shared" si="15"/>
        <v>SPY</v>
      </c>
      <c r="E34" cm="1">
        <f t="array" ref="E34">_xll.FDS(C34,"FMA_COS_UP(""EPS"",""1M"",+1,NOW,,,""PORTAGG"",""MEANR"")")</f>
        <v>180</v>
      </c>
      <c r="F34" cm="1">
        <f t="array" ref="F34">_xll.FDS(C34,"FMA_COS_DOWN(""EPS"",""1M"",+1,NOW,,,""PORTAGG"",""MEANR"")")</f>
        <v>189</v>
      </c>
      <c r="G34" cm="1">
        <f t="array" ref="G34">_xll.FDS(A34,"SIZE(FG_CONSTITUENTS)")</f>
        <v>504</v>
      </c>
      <c r="H34" s="9">
        <f t="shared" si="16"/>
        <v>0.35714285714285715</v>
      </c>
      <c r="I34" s="9">
        <f t="shared" si="17"/>
        <v>0.375</v>
      </c>
      <c r="J34" s="9">
        <f t="shared" si="18"/>
        <v>-1.7857142857142849E-2</v>
      </c>
      <c r="K34" s="5" cm="1">
        <f t="array" ref="K34">_xll.FDS(A34,"FMA_PCT_ABOVE_MAVG(200,0,,,,""PORTAGG"")")/100</f>
        <v>0.65069860279441105</v>
      </c>
      <c r="L34" s="41" cm="1">
        <f t="array" ref="L34">_xll.FDSB(A34,"PERCENT_CHANGE(FMA_EPS(+1,0,,,,""PORTAGG"",""MEAN""),FMA_EPS(+1,-1AM,,,,""PORTAGG"",""MEAN""))")</f>
        <v>-0.21257960682320801</v>
      </c>
      <c r="M34" s="41" cm="1">
        <f t="array" ref="M34">_xll.FDSB(A34,"PERCENT_CHANGE(FMA_EPS(+1,0,,,,""PORTAGG"",""MEAN""),FMA_EPS(+1,-3AM,,,,""PORTAGG"",""MEAN""))")</f>
        <v>-0.20618774858379799</v>
      </c>
      <c r="O34" s="3" cm="1">
        <f t="array" ref="O34">_xll.FDS(C34,"FG_TOTAL_RETURNC(0,-3AM)")</f>
        <v>5.1612140000000002</v>
      </c>
      <c r="P34" s="3" cm="1">
        <f t="array" ref="P34">_xll.FDS(C34,"FG_TOTAL_RETURNC(0,-6AM)")</f>
        <v>16.947005999999998</v>
      </c>
      <c r="Q34" s="9" cm="1">
        <f t="array" ref="Q34">_xll.FDS(C34,"P_PRICE(0)/P_PRICE_HIGH_PR(0,,,,,,""PRICE"",""INTRA"",""52W"")")</f>
        <v>0.95217399999999996</v>
      </c>
      <c r="R34" s="9" cm="1">
        <f t="array" ref="R34">_xll.FDS(C34,"P_PRICE(0)/P_PRICE_low_PR(0,,,,,,""PRICE"",""INTRA"",""52W"")-1")</f>
        <v>0.23723184999999999</v>
      </c>
    </row>
    <row r="35" spans="1:18" x14ac:dyDescent="0.35">
      <c r="Q35" s="9"/>
      <c r="R35" s="9"/>
    </row>
    <row r="36" spans="1:18" x14ac:dyDescent="0.35">
      <c r="Q36" s="9"/>
      <c r="R36" s="9"/>
    </row>
    <row r="37" spans="1:18" x14ac:dyDescent="0.35">
      <c r="Q37" s="9"/>
      <c r="R37" s="9"/>
    </row>
    <row r="38" spans="1:18" ht="15" customHeight="1" x14ac:dyDescent="0.35">
      <c r="E38" s="43"/>
      <c r="F38" s="43"/>
      <c r="Q38" s="9"/>
      <c r="R38" s="9"/>
    </row>
    <row r="39" spans="1:18" ht="15" customHeight="1" x14ac:dyDescent="0.35">
      <c r="E39" s="43"/>
      <c r="F39" s="43"/>
      <c r="Q39" s="9"/>
      <c r="R39" s="9"/>
    </row>
    <row r="40" spans="1:18" ht="15" customHeight="1" x14ac:dyDescent="0.35">
      <c r="E40" s="43"/>
      <c r="F40" s="43"/>
      <c r="Q40" s="9"/>
      <c r="R40" s="9"/>
    </row>
    <row r="41" spans="1:18" ht="15" customHeight="1" x14ac:dyDescent="0.35">
      <c r="C41" s="1"/>
      <c r="D41" s="1"/>
      <c r="E41" s="43"/>
      <c r="F41" s="43"/>
      <c r="Q41" s="9"/>
      <c r="R41" s="9"/>
    </row>
    <row r="42" spans="1:18" ht="15" customHeight="1" x14ac:dyDescent="0.35">
      <c r="E42" s="43"/>
      <c r="F42" s="43"/>
      <c r="Q42" s="9"/>
      <c r="R42" s="9"/>
    </row>
    <row r="43" spans="1:18" ht="15" customHeight="1" x14ac:dyDescent="0.35">
      <c r="E43" s="43"/>
      <c r="F43" s="43"/>
      <c r="Q43" s="9"/>
      <c r="R43" s="9"/>
    </row>
    <row r="44" spans="1:18" ht="15" customHeight="1" x14ac:dyDescent="0.35">
      <c r="E44" s="43"/>
      <c r="F44" s="43"/>
      <c r="Q44" s="9"/>
      <c r="R44" s="9"/>
    </row>
    <row r="45" spans="1:18" ht="15" customHeight="1" x14ac:dyDescent="0.35">
      <c r="E45" s="43"/>
      <c r="F45" s="43"/>
      <c r="P45" s="1"/>
      <c r="Q45" s="9"/>
      <c r="R45" s="9"/>
    </row>
    <row r="46" spans="1:18" ht="15" customHeight="1" x14ac:dyDescent="0.35">
      <c r="E46" s="43"/>
      <c r="F46" s="43"/>
      <c r="Q46" s="9"/>
      <c r="R46" s="9"/>
    </row>
    <row r="47" spans="1:18" ht="15" customHeight="1" x14ac:dyDescent="0.35">
      <c r="E47" s="43"/>
      <c r="F47" s="43"/>
      <c r="Q47" s="9"/>
      <c r="R47" s="9"/>
    </row>
    <row r="48" spans="1:18" ht="15" customHeight="1" x14ac:dyDescent="0.35">
      <c r="C48" s="1"/>
      <c r="D48" s="1"/>
      <c r="E48" s="43"/>
      <c r="F48" s="43"/>
      <c r="Q48" s="9"/>
      <c r="R48" s="9"/>
    </row>
    <row r="49" spans="3:18" ht="15" customHeight="1" x14ac:dyDescent="0.35">
      <c r="E49" s="43"/>
      <c r="F49" s="43"/>
      <c r="Q49" s="9"/>
      <c r="R49" s="9"/>
    </row>
    <row r="50" spans="3:18" ht="15" customHeight="1" x14ac:dyDescent="0.35">
      <c r="E50" s="43"/>
      <c r="F50" s="43"/>
      <c r="Q50" s="9"/>
      <c r="R50" s="9"/>
    </row>
    <row r="51" spans="3:18" ht="15" customHeight="1" x14ac:dyDescent="0.35">
      <c r="E51" s="43"/>
      <c r="F51" s="43"/>
      <c r="Q51" s="9"/>
      <c r="R51" s="9"/>
    </row>
    <row r="52" spans="3:18" ht="15" customHeight="1" x14ac:dyDescent="0.35">
      <c r="E52" s="43"/>
      <c r="F52" s="43"/>
      <c r="Q52" s="9"/>
      <c r="R52" s="9"/>
    </row>
    <row r="53" spans="3:18" ht="15" customHeight="1" x14ac:dyDescent="0.35">
      <c r="C53" s="1"/>
      <c r="D53" s="1"/>
      <c r="E53" s="43"/>
      <c r="F53" s="43"/>
      <c r="Q53" s="9"/>
      <c r="R53" s="9"/>
    </row>
    <row r="54" spans="3:18" ht="15" customHeight="1" x14ac:dyDescent="0.35">
      <c r="E54" s="43"/>
      <c r="F54" s="43"/>
      <c r="Q54" s="9"/>
      <c r="R54" s="9"/>
    </row>
    <row r="55" spans="3:18" ht="15" customHeight="1" x14ac:dyDescent="0.35">
      <c r="E55" s="43"/>
      <c r="F55" s="43"/>
      <c r="Q55" s="9"/>
      <c r="R55" s="9"/>
    </row>
    <row r="56" spans="3:18" ht="15" customHeight="1" x14ac:dyDescent="0.35">
      <c r="E56" s="43"/>
      <c r="F56" s="43"/>
      <c r="Q56" s="9"/>
      <c r="R56" s="9"/>
    </row>
    <row r="57" spans="3:18" ht="15" customHeight="1" x14ac:dyDescent="0.35">
      <c r="E57" s="43"/>
      <c r="F57" s="43"/>
      <c r="Q57" s="9"/>
      <c r="R57" s="9"/>
    </row>
    <row r="58" spans="3:18" ht="15" customHeight="1" x14ac:dyDescent="0.35">
      <c r="C58" s="1"/>
      <c r="D58" s="1"/>
      <c r="E58" s="43"/>
      <c r="F58" s="43"/>
      <c r="Q58" s="9"/>
      <c r="R58" s="9"/>
    </row>
    <row r="59" spans="3:18" ht="15" customHeight="1" x14ac:dyDescent="0.35">
      <c r="C59" s="1"/>
      <c r="D59" s="1"/>
      <c r="E59" s="43"/>
      <c r="F59" s="43"/>
    </row>
    <row r="60" spans="3:18" ht="15" customHeight="1" x14ac:dyDescent="0.35">
      <c r="E60" s="43"/>
      <c r="F60" s="43"/>
    </row>
    <row r="61" spans="3:18" ht="15" customHeight="1" x14ac:dyDescent="0.35">
      <c r="E61" s="43"/>
      <c r="F61" s="43"/>
    </row>
    <row r="62" spans="3:18" ht="15" customHeight="1" x14ac:dyDescent="0.35">
      <c r="E62" s="44"/>
      <c r="F62" s="44"/>
      <c r="G62" s="1"/>
    </row>
    <row r="63" spans="3:18" ht="15" customHeight="1" x14ac:dyDescent="0.35">
      <c r="E63" s="43"/>
      <c r="F63" s="43"/>
    </row>
    <row r="64" spans="3:18" ht="15" customHeight="1" x14ac:dyDescent="0.35">
      <c r="E64" s="43"/>
      <c r="F64" s="43"/>
    </row>
    <row r="65" spans="5:7" ht="15" customHeight="1" x14ac:dyDescent="0.35">
      <c r="E65" s="43"/>
      <c r="F65" s="43"/>
    </row>
    <row r="66" spans="5:7" ht="15" customHeight="1" x14ac:dyDescent="0.35">
      <c r="E66" s="43"/>
      <c r="F66" s="43"/>
    </row>
    <row r="67" spans="5:7" ht="15" customHeight="1" x14ac:dyDescent="0.35">
      <c r="E67" s="43"/>
      <c r="F67" s="43"/>
    </row>
    <row r="68" spans="5:7" ht="15" customHeight="1" x14ac:dyDescent="0.35">
      <c r="E68" s="43"/>
      <c r="F68" s="43"/>
    </row>
    <row r="69" spans="5:7" ht="15" customHeight="1" x14ac:dyDescent="0.35">
      <c r="E69" s="43"/>
      <c r="F69" s="43"/>
    </row>
    <row r="70" spans="5:7" ht="15" customHeight="1" x14ac:dyDescent="0.35">
      <c r="E70" s="44"/>
      <c r="F70" s="44"/>
      <c r="G70" s="1"/>
    </row>
    <row r="71" spans="5:7" ht="15" customHeight="1" x14ac:dyDescent="0.35">
      <c r="E71" s="43"/>
      <c r="F71" s="43"/>
    </row>
    <row r="72" spans="5:7" ht="15" customHeight="1" x14ac:dyDescent="0.35">
      <c r="E72" s="43"/>
      <c r="F72" s="43"/>
    </row>
    <row r="73" spans="5:7" ht="15" customHeight="1" x14ac:dyDescent="0.35">
      <c r="E73" s="43"/>
      <c r="F73" s="43"/>
    </row>
    <row r="74" spans="5:7" ht="15" customHeight="1" x14ac:dyDescent="0.35">
      <c r="E74" s="43"/>
      <c r="F74" s="43"/>
    </row>
    <row r="75" spans="5:7" ht="15" customHeight="1" x14ac:dyDescent="0.35">
      <c r="E75" s="43"/>
      <c r="F75" s="43"/>
    </row>
    <row r="76" spans="5:7" ht="15" customHeight="1" x14ac:dyDescent="0.35">
      <c r="E76" s="43"/>
      <c r="F76" s="43"/>
    </row>
    <row r="77" spans="5:7" x14ac:dyDescent="0.35">
      <c r="F77" s="4"/>
    </row>
    <row r="78" spans="5:7" x14ac:dyDescent="0.35">
      <c r="F78" s="4"/>
    </row>
    <row r="79" spans="5:7" x14ac:dyDescent="0.35">
      <c r="F79" s="4"/>
    </row>
    <row r="80" spans="5:7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  <row r="258" spans="6:6" x14ac:dyDescent="0.35">
      <c r="F258" s="4"/>
    </row>
    <row r="259" spans="6:6" x14ac:dyDescent="0.35">
      <c r="F259" s="4"/>
    </row>
    <row r="260" spans="6:6" x14ac:dyDescent="0.35">
      <c r="F260" s="4"/>
    </row>
    <row r="261" spans="6:6" x14ac:dyDescent="0.35">
      <c r="F261" s="4"/>
    </row>
    <row r="262" spans="6:6" x14ac:dyDescent="0.35">
      <c r="F262" s="4"/>
    </row>
    <row r="263" spans="6:6" x14ac:dyDescent="0.35">
      <c r="F263" s="4"/>
    </row>
    <row r="264" spans="6:6" x14ac:dyDescent="0.35">
      <c r="F264" s="4"/>
    </row>
    <row r="265" spans="6:6" x14ac:dyDescent="0.35">
      <c r="F265" s="4"/>
    </row>
    <row r="266" spans="6:6" x14ac:dyDescent="0.35">
      <c r="F266" s="4"/>
    </row>
    <row r="267" spans="6:6" x14ac:dyDescent="0.35">
      <c r="F267" s="4"/>
    </row>
    <row r="268" spans="6:6" x14ac:dyDescent="0.35">
      <c r="F268" s="4"/>
    </row>
    <row r="269" spans="6:6" x14ac:dyDescent="0.3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topLeftCell="D1" workbookViewId="0">
      <selection activeCell="I4" sqref="I4"/>
    </sheetView>
  </sheetViews>
  <sheetFormatPr defaultRowHeight="14.5" x14ac:dyDescent="0.35"/>
  <cols>
    <col min="3" max="3" width="45.54296875" bestFit="1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bestFit="1" customWidth="1"/>
    <col min="11" max="11" width="13.453125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534</v>
      </c>
      <c r="M1" t="s">
        <v>533</v>
      </c>
      <c r="N1" s="51" t="s">
        <v>407</v>
      </c>
      <c r="P1" s="51" t="s">
        <v>406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404</v>
      </c>
      <c r="E3" s="46" t="s">
        <v>89</v>
      </c>
      <c r="H3" t="s">
        <v>405</v>
      </c>
      <c r="I3" t="s">
        <v>94</v>
      </c>
      <c r="J3" s="1"/>
      <c r="P3" t="s">
        <v>917</v>
      </c>
      <c r="R3" t="s">
        <v>918</v>
      </c>
    </row>
    <row r="4" spans="2:18" x14ac:dyDescent="0.35">
      <c r="B4" t="s">
        <v>432</v>
      </c>
      <c r="C4" t="s">
        <v>435</v>
      </c>
      <c r="D4" s="9">
        <f>HLOOKUP(B4,'Monthly Returns'!$A$1:$AC$134, 127, FALSE)</f>
        <v>-0.140651045</v>
      </c>
      <c r="E4" s="9">
        <f>HLOOKUP(B4,'Monthly Returns'!$A$1:$AC$134, 132, FALSE)</f>
        <v>0.13829787234042554</v>
      </c>
      <c r="H4" s="9">
        <f>HLOOKUP(B4,'Yearly returns'!$B$1:$V$140, 133, FALSE)</f>
        <v>0.33734939759036142</v>
      </c>
      <c r="I4" s="9">
        <f>HLOOKUP(B4,'Yearly returns'!$B$1:$V$140, 138, FALSE)</f>
        <v>0.154</v>
      </c>
      <c r="L4" s="47">
        <f t="shared" ref="L4:L24" si="0">(1-PERCENTRANK($E$4:$E$24,E4))*100</f>
        <v>85</v>
      </c>
      <c r="M4" s="47">
        <f t="shared" ref="M4:M24" si="1">(1-PERCENTRANK($H$4:$H$24,H4))*100</f>
        <v>19.999999999999996</v>
      </c>
      <c r="N4" s="47">
        <f t="shared" ref="N4:N24" si="2">(1-PERCENTRANK($I$4:$I$24,I4))*100</f>
        <v>95</v>
      </c>
      <c r="P4">
        <f>L4*Assumption!$E$53 + M4*Assumption!$F$53 + N4*Assumption!$G$53</f>
        <v>73.75</v>
      </c>
      <c r="R4" cm="1">
        <f t="array" ref="R4">_xlfn.PERCENTRANK.EXC(_xlfn._xlws.FILTER(P$4:P$24, ISNUMBER(P$4:P$24)),P4)*100</f>
        <v>81.8</v>
      </c>
    </row>
    <row r="5" spans="2:18" x14ac:dyDescent="0.35">
      <c r="B5" t="s">
        <v>27</v>
      </c>
      <c r="C5" t="s">
        <v>436</v>
      </c>
      <c r="D5" s="9">
        <f>HLOOKUP(B5,'Monthly Returns'!$A$1:$AC$134, 127, FALSE)</f>
        <v>-0.41469810000000001</v>
      </c>
      <c r="E5" s="9">
        <f>HLOOKUP(B5,'Monthly Returns'!$A$1:$AC$134, 132, FALSE)</f>
        <v>0.21487603305785125</v>
      </c>
      <c r="H5" s="9">
        <f>HLOOKUP(B5,'Yearly returns'!$B$1:$V$140, 133, FALSE)</f>
        <v>0.41322314049586778</v>
      </c>
      <c r="I5" s="9">
        <f>HLOOKUP(B5,'Yearly returns'!$B$1:$V$140, 138, FALSE)</f>
        <v>0.46700000000000003</v>
      </c>
      <c r="L5" s="47">
        <f t="shared" si="0"/>
        <v>30.000000000000004</v>
      </c>
      <c r="M5" s="47">
        <f t="shared" si="1"/>
        <v>9.9999999999999982</v>
      </c>
      <c r="N5" s="47">
        <f t="shared" si="2"/>
        <v>70</v>
      </c>
      <c r="P5">
        <f>L5*Assumption!$E$53 + M5*Assumption!$F$53 + N5*Assumption!$G$53</f>
        <v>45</v>
      </c>
      <c r="R5" cm="1">
        <f t="array" ref="R5">_xlfn.PERCENTRANK.EXC(_xlfn._xlws.FILTER(P$4:P$24, ISNUMBER(P$4:P$24)),P5)*100</f>
        <v>36.299999999999997</v>
      </c>
    </row>
    <row r="6" spans="2:18" x14ac:dyDescent="0.35">
      <c r="B6" t="s">
        <v>35</v>
      </c>
      <c r="C6" t="s">
        <v>437</v>
      </c>
      <c r="D6" s="9">
        <f>HLOOKUP(B6,'Monthly Returns'!$A$1:$AC$134, 127, FALSE)</f>
        <v>-0.40486995999999997</v>
      </c>
      <c r="E6" s="9">
        <f>HLOOKUP(B6,'Monthly Returns'!$A$1:$AC$134, 132, FALSE)</f>
        <v>0.16528925619834711</v>
      </c>
      <c r="H6" s="9">
        <f>HLOOKUP(B6,'Yearly returns'!$B$1:$V$140, 133, FALSE)</f>
        <v>0.24793388429752067</v>
      </c>
      <c r="I6" s="9">
        <f>HLOOKUP(B6,'Yearly returns'!$B$1:$V$140, 138, FALSE)</f>
        <v>0.245</v>
      </c>
      <c r="L6" s="47">
        <f t="shared" si="0"/>
        <v>65</v>
      </c>
      <c r="M6" s="47">
        <f t="shared" si="1"/>
        <v>75</v>
      </c>
      <c r="N6" s="47">
        <f t="shared" si="2"/>
        <v>85</v>
      </c>
      <c r="P6">
        <f>L6*Assumption!$E$53 + M6*Assumption!$F$53 + N6*Assumption!$G$53</f>
        <v>77.5</v>
      </c>
      <c r="R6" cm="1">
        <f t="array" ref="R6">_xlfn.PERCENTRANK.EXC(_xlfn._xlws.FILTER(P$4:P$24, ISNUMBER(P$4:P$24)),P6)*100</f>
        <v>86.3</v>
      </c>
    </row>
    <row r="7" spans="2:18" x14ac:dyDescent="0.35">
      <c r="B7" t="s">
        <v>30</v>
      </c>
      <c r="C7" t="s">
        <v>438</v>
      </c>
      <c r="D7" s="9">
        <f>HLOOKUP(B7,'Monthly Returns'!$A$1:$AC$134, 127, FALSE)</f>
        <v>-0.40317059999999999</v>
      </c>
      <c r="E7" s="9">
        <f>HLOOKUP(B7,'Monthly Returns'!$A$1:$AC$134, 132, FALSE)</f>
        <v>0.16528925619834711</v>
      </c>
      <c r="H7" s="9">
        <f>HLOOKUP(B7,'Yearly returns'!$B$1:$V$140, 133, FALSE)</f>
        <v>0.26446280991735538</v>
      </c>
      <c r="I7" s="9">
        <f>HLOOKUP(B7,'Yearly returns'!$B$1:$V$140, 138, FALSE)</f>
        <v>0.51600000000000001</v>
      </c>
      <c r="L7" s="47">
        <f t="shared" si="0"/>
        <v>65</v>
      </c>
      <c r="M7" s="47">
        <f t="shared" si="1"/>
        <v>70</v>
      </c>
      <c r="N7" s="47">
        <f t="shared" si="2"/>
        <v>65</v>
      </c>
      <c r="P7">
        <f>L7*Assumption!$E$53 + M7*Assumption!$F$53 + N7*Assumption!$G$53</f>
        <v>66.25</v>
      </c>
      <c r="R7" cm="1">
        <f t="array" ref="R7">_xlfn.PERCENTRANK.EXC(_xlfn._xlws.FILTER(P$4:P$24, ISNUMBER(P$4:P$24)),P7)*100</f>
        <v>72.7</v>
      </c>
    </row>
    <row r="8" spans="2:18" x14ac:dyDescent="0.35">
      <c r="B8" t="s">
        <v>23</v>
      </c>
      <c r="C8" t="s">
        <v>439</v>
      </c>
      <c r="D8" s="9">
        <f>HLOOKUP(B8,'Monthly Returns'!$A$1:$AC$134, 127, FALSE)</f>
        <v>-0.35835839999999997</v>
      </c>
      <c r="E8" s="9">
        <f>HLOOKUP(B8,'Monthly Returns'!$A$1:$AC$134, 132, FALSE)</f>
        <v>0.24793388429752067</v>
      </c>
      <c r="H8" s="9">
        <f>HLOOKUP(B8,'Yearly returns'!$B$1:$V$140, 133, FALSE)</f>
        <v>0.42148760330578511</v>
      </c>
      <c r="I8" s="9">
        <f>HLOOKUP(B8,'Yearly returns'!$B$1:$V$140, 138, FALSE)</f>
        <v>0.83599999999999997</v>
      </c>
      <c r="L8" s="47">
        <f t="shared" si="0"/>
        <v>15.000000000000002</v>
      </c>
      <c r="M8" s="47">
        <f t="shared" si="1"/>
        <v>5.0000000000000044</v>
      </c>
      <c r="N8" s="47">
        <f t="shared" si="2"/>
        <v>9.9999999999999982</v>
      </c>
      <c r="P8">
        <f>L8*Assumption!$E$53 + M8*Assumption!$F$53 + N8*Assumption!$G$53</f>
        <v>10</v>
      </c>
      <c r="R8" cm="1">
        <f t="array" ref="R8">_xlfn.PERCENTRANK.EXC(_xlfn._xlws.FILTER(P$4:P$24, ISNUMBER(P$4:P$24)),P8)*100</f>
        <v>4.5</v>
      </c>
    </row>
    <row r="9" spans="2:18" s="1" customFormat="1" x14ac:dyDescent="0.35">
      <c r="B9" s="1" t="s">
        <v>29</v>
      </c>
      <c r="C9" t="s">
        <v>440</v>
      </c>
      <c r="D9" s="9">
        <f>HLOOKUP(B9,'Monthly Returns'!$A$1:$AC$134, 127, FALSE)</f>
        <v>-0.37286068</v>
      </c>
      <c r="E9" s="9">
        <f>HLOOKUP(B9,'Monthly Returns'!$A$1:$AC$134, 132, FALSE)</f>
        <v>0.19834710743801653</v>
      </c>
      <c r="H9" s="9">
        <f>HLOOKUP(B9,'Yearly returns'!$B$1:$V$140, 133, FALSE)</f>
        <v>0.23966942148760331</v>
      </c>
      <c r="I9" s="9">
        <f>HLOOKUP(B9,'Yearly returns'!$B$1:$V$140, 138, FALSE)</f>
        <v>0.88500000000000001</v>
      </c>
      <c r="L9" s="47">
        <f t="shared" si="0"/>
        <v>40</v>
      </c>
      <c r="M9" s="49">
        <f t="shared" si="1"/>
        <v>80</v>
      </c>
      <c r="N9" s="47">
        <f t="shared" si="2"/>
        <v>0</v>
      </c>
      <c r="P9">
        <f>L9*Assumption!$E$53 + M9*Assumption!$F$53 + N9*Assumption!$G$53</f>
        <v>30</v>
      </c>
      <c r="R9" cm="1">
        <f t="array" ref="R9">_xlfn.PERCENTRANK.EXC(_xlfn._xlws.FILTER(P$4:P$24, ISNUMBER(P$4:P$24)),P9)*100</f>
        <v>18.099999999999998</v>
      </c>
    </row>
    <row r="10" spans="2:18" x14ac:dyDescent="0.35">
      <c r="B10" t="s">
        <v>33</v>
      </c>
      <c r="C10" t="s">
        <v>441</v>
      </c>
      <c r="D10" s="9">
        <f>HLOOKUP(B10,'Monthly Returns'!$A$1:$AC$134, 127, FALSE)</f>
        <v>-0.25807655000000002</v>
      </c>
      <c r="E10" s="9">
        <f>HLOOKUP(B10,'Monthly Returns'!$A$1:$AC$134, 132, FALSE)</f>
        <v>0.15702479338842976</v>
      </c>
      <c r="H10" s="9">
        <f>HLOOKUP(B10,'Yearly returns'!$B$1:$V$140, 133, FALSE)</f>
        <v>0.26446280991735538</v>
      </c>
      <c r="I10" s="9">
        <f>HLOOKUP(B10,'Yearly returns'!$B$1:$V$140, 138, FALSE)</f>
        <v>0.69599999999999995</v>
      </c>
      <c r="L10" s="47">
        <f t="shared" si="0"/>
        <v>75</v>
      </c>
      <c r="M10" s="47">
        <f t="shared" si="1"/>
        <v>70</v>
      </c>
      <c r="N10" s="47">
        <f t="shared" si="2"/>
        <v>19.999999999999996</v>
      </c>
      <c r="P10">
        <f>L10*Assumption!$E$53 + M10*Assumption!$F$53 + N10*Assumption!$G$53</f>
        <v>46.25</v>
      </c>
      <c r="R10" cm="1">
        <f t="array" ref="R10">_xlfn.PERCENTRANK.EXC(_xlfn._xlws.FILTER(P$4:P$24, ISNUMBER(P$4:P$24)),P10)*100</f>
        <v>40.9</v>
      </c>
    </row>
    <row r="11" spans="2:18" x14ac:dyDescent="0.35">
      <c r="B11" t="s">
        <v>24</v>
      </c>
      <c r="C11" t="s">
        <v>40</v>
      </c>
      <c r="D11" s="9">
        <f>HLOOKUP(B11,'Monthly Returns'!$A$1:$AC$134, 127, FALSE)</f>
        <v>-0.24823766999999999</v>
      </c>
      <c r="E11" s="9">
        <f>HLOOKUP(B11,'Monthly Returns'!$A$1:$AC$134, 132, FALSE)</f>
        <v>0.11570247933884298</v>
      </c>
      <c r="H11" s="9">
        <f>HLOOKUP(B11,'Yearly returns'!$B$1:$V$140, 133, FALSE)</f>
        <v>0.18181818181818182</v>
      </c>
      <c r="I11" s="9">
        <f>HLOOKUP(B11,'Yearly returns'!$B$1:$V$140, 138, FALSE)</f>
        <v>0.59</v>
      </c>
      <c r="L11" s="47">
        <f t="shared" si="0"/>
        <v>95</v>
      </c>
      <c r="M11" s="47">
        <f t="shared" si="1"/>
        <v>90</v>
      </c>
      <c r="N11" s="47">
        <f t="shared" si="2"/>
        <v>44.999999999999993</v>
      </c>
      <c r="P11">
        <f>L11*Assumption!$E$53 + M11*Assumption!$F$53 + N11*Assumption!$G$53</f>
        <v>68.75</v>
      </c>
      <c r="R11" cm="1">
        <f t="array" ref="R11">_xlfn.PERCENTRANK.EXC(_xlfn._xlws.FILTER(P$4:P$24, ISNUMBER(P$4:P$24)),P11)*100</f>
        <v>77.2</v>
      </c>
    </row>
    <row r="12" spans="2:18" x14ac:dyDescent="0.35">
      <c r="B12" t="s">
        <v>7</v>
      </c>
      <c r="C12" t="s">
        <v>53</v>
      </c>
      <c r="D12" s="9">
        <f>HLOOKUP(B12,'Monthly Returns'!$A$1:$AC$134, 127, FALSE)</f>
        <v>-0.39448189999999994</v>
      </c>
      <c r="E12" s="9">
        <f>HLOOKUP(B12,'Monthly Returns'!$A$1:$AC$134, 132, FALSE)</f>
        <v>0.17355371900826447</v>
      </c>
      <c r="H12" s="9">
        <f>HLOOKUP(B12,'Yearly returns'!$B$1:$V$140, 133, FALSE)</f>
        <v>0.2975206611570248</v>
      </c>
      <c r="I12" s="9">
        <f>HLOOKUP(B12,'Yearly returns'!$B$1:$V$140, 138, FALSE)</f>
        <v>0.68</v>
      </c>
      <c r="L12" s="47">
        <f t="shared" si="0"/>
        <v>44.999999999999993</v>
      </c>
      <c r="M12" s="47">
        <f t="shared" si="1"/>
        <v>50</v>
      </c>
      <c r="N12" s="47">
        <f t="shared" si="2"/>
        <v>25</v>
      </c>
      <c r="P12">
        <f>L12*Assumption!$E$53 + M12*Assumption!$F$53 + N12*Assumption!$G$53</f>
        <v>36.25</v>
      </c>
      <c r="R12" cm="1">
        <f t="array" ref="R12">_xlfn.PERCENTRANK.EXC(_xlfn._xlws.FILTER(P$4:P$24, ISNUMBER(P$4:P$24)),P12)*100</f>
        <v>31.8</v>
      </c>
    </row>
    <row r="13" spans="2:18" x14ac:dyDescent="0.35">
      <c r="B13" t="s">
        <v>21</v>
      </c>
      <c r="C13" t="s">
        <v>38</v>
      </c>
      <c r="D13" s="9">
        <f>HLOOKUP(B13,'Monthly Returns'!$A$1:$AC$134, 127, FALSE)</f>
        <v>-0.334152</v>
      </c>
      <c r="E13" s="9">
        <f>HLOOKUP(B13,'Monthly Returns'!$A$1:$AC$134, 132, FALSE)</f>
        <v>0.16528925619834711</v>
      </c>
      <c r="H13" s="9">
        <f>HLOOKUP(B13,'Yearly returns'!$B$1:$V$140, 133, FALSE)</f>
        <v>0.32231404958677684</v>
      </c>
      <c r="I13" s="9">
        <f>HLOOKUP(B13,'Yearly returns'!$B$1:$V$140, 138, FALSE)</f>
        <v>0.51600000000000001</v>
      </c>
      <c r="L13" s="47">
        <f t="shared" si="0"/>
        <v>65</v>
      </c>
      <c r="M13" s="47">
        <f t="shared" si="1"/>
        <v>35</v>
      </c>
      <c r="N13" s="47">
        <f t="shared" si="2"/>
        <v>65</v>
      </c>
      <c r="P13">
        <f>L13*Assumption!$E$53 + M13*Assumption!$F$53 + N13*Assumption!$G$53</f>
        <v>57.5</v>
      </c>
      <c r="R13" cm="1">
        <f t="array" ref="R13">_xlfn.PERCENTRANK.EXC(_xlfn._xlws.FILTER(P$4:P$24, ISNUMBER(P$4:P$24)),P13)*100</f>
        <v>59</v>
      </c>
    </row>
    <row r="14" spans="2:18" x14ac:dyDescent="0.35">
      <c r="B14" t="s">
        <v>12</v>
      </c>
      <c r="C14" t="s">
        <v>54</v>
      </c>
      <c r="D14" s="9">
        <f>HLOOKUP(B14,'Monthly Returns'!$A$1:$AC$134, 127, FALSE)</f>
        <v>-0.50623271999999997</v>
      </c>
      <c r="E14" s="9">
        <f>HLOOKUP(B14,'Monthly Returns'!$A$1:$AC$134, 132, FALSE)</f>
        <v>0.28099173553719009</v>
      </c>
      <c r="H14" s="9">
        <f>HLOOKUP(B14,'Yearly returns'!$B$1:$V$140, 133, FALSE)</f>
        <v>0.32231404958677684</v>
      </c>
      <c r="I14" s="9">
        <f>HLOOKUP(B14,'Yearly returns'!$B$1:$V$140, 138, FALSE)</f>
        <v>0.58099999999999996</v>
      </c>
      <c r="L14" s="47">
        <f t="shared" si="0"/>
        <v>5.0000000000000044</v>
      </c>
      <c r="M14" s="47">
        <f t="shared" si="1"/>
        <v>35</v>
      </c>
      <c r="N14" s="47">
        <f t="shared" si="2"/>
        <v>50</v>
      </c>
      <c r="P14">
        <f>L14*Assumption!$E$53 + M14*Assumption!$F$53 + N14*Assumption!$G$53</f>
        <v>35</v>
      </c>
      <c r="R14" cm="1">
        <f t="array" ref="R14">_xlfn.PERCENTRANK.EXC(_xlfn._xlws.FILTER(P$4:P$24, ISNUMBER(P$4:P$24)),P14)*100</f>
        <v>22.7</v>
      </c>
    </row>
    <row r="15" spans="2:18" x14ac:dyDescent="0.35">
      <c r="B15" t="s">
        <v>22</v>
      </c>
      <c r="C15" t="s">
        <v>442</v>
      </c>
      <c r="D15" s="9">
        <f>HLOOKUP(B15,'Monthly Returns'!$A$1:$AC$134, 127, FALSE)</f>
        <v>-0.43189155999999995</v>
      </c>
      <c r="E15" s="9">
        <f>HLOOKUP(B15,'Monthly Returns'!$A$1:$AC$134, 132, FALSE)</f>
        <v>0.2231404958677686</v>
      </c>
      <c r="H15" s="9">
        <f>HLOOKUP(B15,'Yearly returns'!$B$1:$V$140, 133, FALSE)</f>
        <v>0.2975206611570248</v>
      </c>
      <c r="I15" s="9">
        <f>HLOOKUP(B15,'Yearly returns'!$B$1:$V$140, 138, FALSE)</f>
        <v>0.32700000000000001</v>
      </c>
      <c r="L15" s="47">
        <f t="shared" si="0"/>
        <v>25</v>
      </c>
      <c r="M15" s="47">
        <f t="shared" si="1"/>
        <v>50</v>
      </c>
      <c r="N15" s="47">
        <f t="shared" si="2"/>
        <v>80</v>
      </c>
      <c r="P15">
        <f>L15*Assumption!$E$53 + M15*Assumption!$F$53 + N15*Assumption!$G$53</f>
        <v>58.75</v>
      </c>
      <c r="R15" cm="1">
        <f t="array" ref="R15">_xlfn.PERCENTRANK.EXC(_xlfn._xlws.FILTER(P$4:P$24, ISNUMBER(P$4:P$24)),P15)*100</f>
        <v>63.6</v>
      </c>
    </row>
    <row r="16" spans="2:18" x14ac:dyDescent="0.35">
      <c r="B16" t="s">
        <v>28</v>
      </c>
      <c r="C16" t="s">
        <v>443</v>
      </c>
      <c r="D16" s="9">
        <f>HLOOKUP(B16,'Monthly Returns'!$A$1:$AC$134, 127, FALSE)</f>
        <v>-0.48580783999999999</v>
      </c>
      <c r="E16" s="9">
        <f>HLOOKUP(B16,'Monthly Returns'!$A$1:$AC$134, 132, FALSE)</f>
        <v>0.28925619834710742</v>
      </c>
      <c r="H16" s="9">
        <f>HLOOKUP(B16,'Yearly returns'!$B$1:$V$140, 133, FALSE)</f>
        <v>0.43801652892561982</v>
      </c>
      <c r="I16" s="9">
        <f>HLOOKUP(B16,'Yearly returns'!$B$1:$V$140, 138, FALSE)</f>
        <v>0.66300000000000003</v>
      </c>
      <c r="L16" s="47">
        <f t="shared" si="0"/>
        <v>0</v>
      </c>
      <c r="M16" s="47">
        <f t="shared" si="1"/>
        <v>0</v>
      </c>
      <c r="N16" s="47">
        <f t="shared" si="2"/>
        <v>30.000000000000004</v>
      </c>
      <c r="P16">
        <f>L16*Assumption!$E$53 + M16*Assumption!$F$53 + N16*Assumption!$G$53</f>
        <v>15.000000000000002</v>
      </c>
      <c r="R16" cm="1">
        <f t="array" ref="R16">_xlfn.PERCENTRANK.EXC(_xlfn._xlws.FILTER(P$4:P$24, ISNUMBER(P$4:P$24)),P16)*100</f>
        <v>9</v>
      </c>
    </row>
    <row r="17" spans="2:18" x14ac:dyDescent="0.35">
      <c r="B17" t="s">
        <v>32</v>
      </c>
      <c r="C17" t="s">
        <v>52</v>
      </c>
      <c r="D17" s="9">
        <f>HLOOKUP(B17,'Monthly Returns'!$A$1:$AC$134, 127, FALSE)</f>
        <v>-0.33075380000000004</v>
      </c>
      <c r="E17" s="9">
        <f>HLOOKUP(B17,'Monthly Returns'!$A$1:$AC$134, 132, FALSE)</f>
        <v>0.13223140495867769</v>
      </c>
      <c r="H17" s="9">
        <f>HLOOKUP(B17,'Yearly returns'!$B$1:$V$140, 133, FALSE)</f>
        <v>0.1487603305785124</v>
      </c>
      <c r="I17" s="9">
        <f>HLOOKUP(B17,'Yearly returns'!$B$1:$V$140, 138, FALSE)</f>
        <v>0.83599999999999997</v>
      </c>
      <c r="L17" s="47">
        <f t="shared" si="0"/>
        <v>90</v>
      </c>
      <c r="M17" s="47">
        <f t="shared" si="1"/>
        <v>95</v>
      </c>
      <c r="N17" s="47">
        <f t="shared" si="2"/>
        <v>9.9999999999999982</v>
      </c>
      <c r="P17">
        <f>L17*Assumption!$E$53 + M17*Assumption!$F$53 + N17*Assumption!$G$53</f>
        <v>51.25</v>
      </c>
      <c r="R17" cm="1">
        <f t="array" ref="R17">_xlfn.PERCENTRANK.EXC(_xlfn._xlws.FILTER(P$4:P$24, ISNUMBER(P$4:P$24)),P17)*100</f>
        <v>45.4</v>
      </c>
    </row>
    <row r="18" spans="2:18" x14ac:dyDescent="0.35">
      <c r="B18" t="s">
        <v>26</v>
      </c>
      <c r="C18" t="s">
        <v>41</v>
      </c>
      <c r="D18" s="9">
        <f>HLOOKUP(B18,'Monthly Returns'!$A$1:$AC$134, 127, FALSE)</f>
        <v>-0.19222462000000001</v>
      </c>
      <c r="E18" s="9">
        <f>HLOOKUP(B18,'Monthly Returns'!$A$1:$AC$134, 132, FALSE)</f>
        <v>0.23140495867768596</v>
      </c>
      <c r="H18" s="9">
        <f>HLOOKUP(B18,'Yearly returns'!$B$1:$V$140, 133, FALSE)</f>
        <v>0.31404958677685951</v>
      </c>
      <c r="I18" s="9">
        <f>HLOOKUP(B18,'Yearly returns'!$B$1:$V$140, 138, FALSE)</f>
        <v>0.20399999999999999</v>
      </c>
      <c r="L18" s="47">
        <f t="shared" si="0"/>
        <v>19.999999999999996</v>
      </c>
      <c r="M18" s="47">
        <f t="shared" si="1"/>
        <v>40</v>
      </c>
      <c r="N18" s="47">
        <f t="shared" si="2"/>
        <v>90</v>
      </c>
      <c r="P18">
        <f>L18*Assumption!$E$53 + M18*Assumption!$F$53 + N18*Assumption!$G$53</f>
        <v>60</v>
      </c>
      <c r="R18" cm="1">
        <f t="array" ref="R18">_xlfn.PERCENTRANK.EXC(_xlfn._xlws.FILTER(P$4:P$24, ISNUMBER(P$4:P$24)),P18)*100</f>
        <v>68.100000000000009</v>
      </c>
    </row>
    <row r="19" spans="2:18" x14ac:dyDescent="0.35">
      <c r="B19" t="s">
        <v>31</v>
      </c>
      <c r="C19" t="s">
        <v>444</v>
      </c>
      <c r="D19" s="9">
        <f>HLOOKUP(B19,'Monthly Returns'!$A$1:$AC$134, 127, FALSE)</f>
        <v>-0.13657819999999998</v>
      </c>
      <c r="E19" s="9">
        <f>HLOOKUP(B19,'Monthly Returns'!$A$1:$AC$134, 132, FALSE)</f>
        <v>0.16806722689075632</v>
      </c>
      <c r="H19" s="9">
        <f>HLOOKUP(B19,'Yearly returns'!$B$1:$V$140, 133, FALSE)</f>
        <v>0.29629629629629628</v>
      </c>
      <c r="I19" s="9">
        <f>HLOOKUP(B19,'Yearly returns'!$B$1:$V$140, 138, FALSE)</f>
        <v>0.53200000000000003</v>
      </c>
      <c r="L19" s="47">
        <f t="shared" si="0"/>
        <v>50</v>
      </c>
      <c r="M19" s="47">
        <f t="shared" si="1"/>
        <v>55.000000000000007</v>
      </c>
      <c r="N19" s="47">
        <f t="shared" si="2"/>
        <v>55.000000000000007</v>
      </c>
      <c r="P19">
        <f>L19*Assumption!$E$53 + M19*Assumption!$F$53 + N19*Assumption!$G$53</f>
        <v>53.75</v>
      </c>
      <c r="R19" cm="1">
        <f t="array" ref="R19">_xlfn.PERCENTRANK.EXC(_xlfn._xlws.FILTER(P$4:P$24, ISNUMBER(P$4:P$24)),P19)*100</f>
        <v>50</v>
      </c>
    </row>
    <row r="20" spans="2:18" x14ac:dyDescent="0.35">
      <c r="B20" t="s">
        <v>757</v>
      </c>
      <c r="C20" s="1" t="s">
        <v>758</v>
      </c>
      <c r="D20" s="9">
        <f>HLOOKUP(B20,'Monthly Returns'!$A$1:$AC$134, 127, FALSE)</f>
        <v>-0.30754851999999999</v>
      </c>
      <c r="E20" s="9">
        <f>HLOOKUP(B20,'Monthly Returns'!$A$1:$AC$134, 132, FALSE)</f>
        <v>5.7851239669421489E-2</v>
      </c>
      <c r="H20" s="9">
        <f>HLOOKUP(B20,'Yearly returns'!$B$1:$V$140, 133, FALSE)</f>
        <v>0.20661157024793389</v>
      </c>
      <c r="I20" s="9">
        <f>HLOOKUP(B20,'Yearly returns'!$B$1:$V$140, 138, FALSE)</f>
        <v>0.122</v>
      </c>
      <c r="L20" s="47">
        <f t="shared" si="0"/>
        <v>100</v>
      </c>
      <c r="M20" s="47">
        <f t="shared" si="1"/>
        <v>85</v>
      </c>
      <c r="N20" s="47">
        <f t="shared" si="2"/>
        <v>100</v>
      </c>
      <c r="P20">
        <f>L20*Assumption!$E$53 + M20*Assumption!$F$53 + N20*Assumption!$G$53</f>
        <v>96.25</v>
      </c>
      <c r="R20" cm="1">
        <f t="array" ref="R20">_xlfn.PERCENTRANK.EXC(_xlfn._xlws.FILTER(P$4:P$24, ISNUMBER(P$4:P$24)),P20)*100</f>
        <v>95.399999999999991</v>
      </c>
    </row>
    <row r="21" spans="2:18" x14ac:dyDescent="0.35">
      <c r="B21" t="s">
        <v>25</v>
      </c>
      <c r="C21" t="s">
        <v>446</v>
      </c>
      <c r="D21" s="9">
        <f>HLOOKUP(B21,'Monthly Returns'!$A$1:$AC$134, 127, FALSE)</f>
        <v>-0.33959538</v>
      </c>
      <c r="E21" s="9">
        <f>HLOOKUP(B21,'Monthly Returns'!$A$1:$AC$134, 132, FALSE)</f>
        <v>0.24793388429752067</v>
      </c>
      <c r="H21" s="9">
        <f>HLOOKUP(B21,'Yearly returns'!$B$1:$V$140, 133, FALSE)</f>
        <v>0.38842975206611569</v>
      </c>
      <c r="I21" s="9">
        <f>HLOOKUP(B21,'Yearly returns'!$B$1:$V$140, 138, FALSE)</f>
        <v>0.77</v>
      </c>
      <c r="L21" s="47">
        <f t="shared" si="0"/>
        <v>15.000000000000002</v>
      </c>
      <c r="M21" s="47">
        <f t="shared" si="1"/>
        <v>15.000000000000002</v>
      </c>
      <c r="N21" s="47">
        <f t="shared" si="2"/>
        <v>15.000000000000002</v>
      </c>
      <c r="P21">
        <f>L21*Assumption!$E$53 + M21*Assumption!$F$53 + N21*Assumption!$G$53</f>
        <v>15.000000000000002</v>
      </c>
      <c r="R21" cm="1">
        <f t="array" ref="R21">_xlfn.PERCENTRANK.EXC(_xlfn._xlws.FILTER(P$4:P$24, ISNUMBER(P$4:P$24)),P21)*100</f>
        <v>9</v>
      </c>
    </row>
    <row r="22" spans="2:18" x14ac:dyDescent="0.35">
      <c r="B22" t="s">
        <v>34</v>
      </c>
      <c r="C22" t="s">
        <v>447</v>
      </c>
      <c r="D22" s="9">
        <f>HLOOKUP(B22,'Monthly Returns'!$A$1:$AC$134, 127, FALSE)</f>
        <v>-0.35549034000000002</v>
      </c>
      <c r="E22" s="9">
        <f>HLOOKUP(B22,'Monthly Returns'!$A$1:$AC$134, 132, FALSE)</f>
        <v>0.15126050420168066</v>
      </c>
      <c r="H22" s="9">
        <f>HLOOKUP(B22,'Yearly returns'!$B$1:$V$140, 133, FALSE)</f>
        <v>0.26851851851851855</v>
      </c>
      <c r="I22" s="9">
        <f>HLOOKUP(B22,'Yearly returns'!$B$1:$V$140, 138, FALSE)</f>
        <v>0.63300000000000001</v>
      </c>
      <c r="L22" s="47">
        <f t="shared" si="0"/>
        <v>80</v>
      </c>
      <c r="M22" s="47">
        <f t="shared" si="1"/>
        <v>60</v>
      </c>
      <c r="N22" s="47">
        <f t="shared" si="2"/>
        <v>40</v>
      </c>
      <c r="P22">
        <f>L22*Assumption!$E$53 + M22*Assumption!$F$53 + N22*Assumption!$G$53</f>
        <v>55</v>
      </c>
      <c r="R22" cm="1">
        <f t="array" ref="R22">_xlfn.PERCENTRANK.EXC(_xlfn._xlws.FILTER(P$4:P$24, ISNUMBER(P$4:P$24)),P22)*100</f>
        <v>54.500000000000007</v>
      </c>
    </row>
    <row r="23" spans="2:18" x14ac:dyDescent="0.35">
      <c r="B23" t="s">
        <v>37</v>
      </c>
      <c r="C23" t="s">
        <v>448</v>
      </c>
      <c r="D23" s="9">
        <f>HLOOKUP(B23,'Monthly Returns'!$A$1:$AC$134, 127, FALSE)</f>
        <v>-0.33377570000000001</v>
      </c>
      <c r="E23" s="9">
        <f>HLOOKUP(B23,'Monthly Returns'!$A$1:$AC$134, 132, FALSE)</f>
        <v>0.20661157024793389</v>
      </c>
      <c r="H23" s="9">
        <f>HLOOKUP(B23,'Yearly returns'!$B$1:$V$140, 133, FALSE)</f>
        <v>0.32231404958677684</v>
      </c>
      <c r="I23" s="9">
        <f>HLOOKUP(B23,'Yearly returns'!$B$1:$V$140, 138, FALSE)</f>
        <v>0.64700000000000002</v>
      </c>
      <c r="L23" s="47">
        <f t="shared" si="0"/>
        <v>35</v>
      </c>
      <c r="M23" s="47">
        <f t="shared" si="1"/>
        <v>35</v>
      </c>
      <c r="N23" s="47">
        <f t="shared" si="2"/>
        <v>35</v>
      </c>
      <c r="P23">
        <f>L23*Assumption!$E$53 + M23*Assumption!$F$53 + N23*Assumption!$G$53</f>
        <v>35</v>
      </c>
      <c r="R23" cm="1">
        <f t="array" ref="R23">_xlfn.PERCENTRANK.EXC(_xlfn._xlws.FILTER(P$4:P$24, ISNUMBER(P$4:P$24)),P23)*100</f>
        <v>22.7</v>
      </c>
    </row>
    <row r="24" spans="2:18" x14ac:dyDescent="0.35">
      <c r="B24" t="s">
        <v>36</v>
      </c>
      <c r="C24" t="s">
        <v>449</v>
      </c>
      <c r="D24" s="9">
        <f>HLOOKUP(B24,'Monthly Returns'!$A$1:$AC$134, 127, FALSE)</f>
        <v>-0.24268799999999999</v>
      </c>
      <c r="E24" s="9">
        <f>HLOOKUP(B24,'Monthly Returns'!$A$1:$AC$134, 132, FALSE)</f>
        <v>0.1650485436893204</v>
      </c>
      <c r="H24" s="9">
        <f>HLOOKUP(B24,'Yearly returns'!$B$1:$V$140, 133, FALSE)</f>
        <v>0.12087912087912088</v>
      </c>
      <c r="I24" s="9">
        <f>HLOOKUP(B24,'Yearly returns'!$B$1:$V$140, 138, FALSE)</f>
        <v>0.434</v>
      </c>
      <c r="L24" s="47">
        <f t="shared" si="0"/>
        <v>70</v>
      </c>
      <c r="M24" s="47">
        <f t="shared" si="1"/>
        <v>100</v>
      </c>
      <c r="N24" s="47">
        <f t="shared" si="2"/>
        <v>75</v>
      </c>
      <c r="P24">
        <f>L24*Assumption!$E$53 + M24*Assumption!$F$53 + N24*Assumption!$G$53</f>
        <v>80</v>
      </c>
      <c r="R24" cm="1">
        <f t="array" ref="R24">_xlfn.PERCENTRANK.EXC(_xlfn._xlws.FILTER(P$4:P$24, ISNUMBER(P$4:P$24)),P24)*100</f>
        <v>90.9</v>
      </c>
    </row>
    <row r="25" spans="2:18" x14ac:dyDescent="0.35">
      <c r="D25" s="9"/>
    </row>
    <row r="26" spans="2:18" x14ac:dyDescent="0.35">
      <c r="D26" s="9"/>
    </row>
    <row r="27" spans="2:18" x14ac:dyDescent="0.35">
      <c r="D27" s="9"/>
    </row>
    <row r="28" spans="2:18" x14ac:dyDescent="0.35">
      <c r="D28" s="9"/>
    </row>
    <row r="29" spans="2:18" x14ac:dyDescent="0.35">
      <c r="D29" s="9"/>
    </row>
    <row r="30" spans="2:18" x14ac:dyDescent="0.35">
      <c r="D30" s="9"/>
    </row>
    <row r="31" spans="2:18" x14ac:dyDescent="0.35">
      <c r="D31" s="9"/>
    </row>
    <row r="32" spans="2:18" x14ac:dyDescent="0.3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5" x14ac:dyDescent="0.35"/>
  <cols>
    <col min="1" max="1" width="15.1796875" bestFit="1" customWidth="1"/>
    <col min="2" max="2" width="34.453125" bestFit="1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807</v>
      </c>
      <c r="L2" s="5">
        <v>0.95</v>
      </c>
    </row>
    <row r="3" spans="1:22" x14ac:dyDescent="0.35">
      <c r="H3"/>
      <c r="I3"/>
      <c r="J3"/>
      <c r="K3" t="s">
        <v>808</v>
      </c>
      <c r="L3" s="5">
        <v>0.05</v>
      </c>
    </row>
    <row r="4" spans="1:22" x14ac:dyDescent="0.35">
      <c r="A4" t="s">
        <v>847</v>
      </c>
      <c r="B4" t="s">
        <v>530</v>
      </c>
      <c r="C4" t="s">
        <v>846</v>
      </c>
      <c r="D4" t="s">
        <v>555</v>
      </c>
      <c r="F4" t="s">
        <v>809</v>
      </c>
      <c r="G4" s="114" t="s">
        <v>844</v>
      </c>
      <c r="H4" s="114" t="s">
        <v>843</v>
      </c>
      <c r="I4" s="114" t="s">
        <v>863</v>
      </c>
      <c r="J4" s="114" t="s">
        <v>845</v>
      </c>
      <c r="S4" s="114" t="s">
        <v>844</v>
      </c>
      <c r="T4" s="114" t="s">
        <v>843</v>
      </c>
      <c r="U4" s="114" t="s">
        <v>863</v>
      </c>
      <c r="V4" s="114" t="s">
        <v>845</v>
      </c>
    </row>
    <row r="5" spans="1:22" x14ac:dyDescent="0.35">
      <c r="A5" t="s">
        <v>177</v>
      </c>
      <c r="B5" t="s">
        <v>435</v>
      </c>
      <c r="C5" t="s">
        <v>432</v>
      </c>
      <c r="D5" t="s">
        <v>615</v>
      </c>
      <c r="E5" s="3" t="s">
        <v>432</v>
      </c>
      <c r="F5" s="9">
        <f>HLOOKUP(E5,'Monthly Returns'!$A$1:$AE$136,134,FALSE)</f>
        <v>0.36799999999999999</v>
      </c>
      <c r="G5" s="7" cm="1">
        <f t="array" ref="G5">_xll.FDSZ(C5,"FG_PRICE(0)")</f>
        <v>26.35</v>
      </c>
      <c r="H5" s="7" cm="1">
        <f t="array" ref="H5">_xll.FDSZ(C5,"FG_PRICE_MAVG(0,,,,30)")</f>
        <v>26.301807</v>
      </c>
      <c r="I5" s="7" cm="1">
        <f t="array" ref="I5">_xll.FDSZ(C5,"FG_PRICE_MAVG(0,,,,60)")</f>
        <v>25.661290999999999</v>
      </c>
      <c r="J5" s="7" cm="1">
        <f t="array" ref="J5">_xll.FDSZ(C5,"FG_PRICE_MAVG(0,,,,200)")</f>
        <v>27.087278000000001</v>
      </c>
      <c r="L5">
        <f>IF($G5&gt;H5, 1, 0)</f>
        <v>1</v>
      </c>
      <c r="M5">
        <f t="shared" ref="M5:N5" si="0">IF($G5&gt;I5, 1, 0)</f>
        <v>1</v>
      </c>
      <c r="N5">
        <f t="shared" si="0"/>
        <v>0</v>
      </c>
      <c r="P5">
        <f>SUM(L5:N5)</f>
        <v>2</v>
      </c>
      <c r="R5" t="s">
        <v>864</v>
      </c>
      <c r="S5" s="7" cm="1">
        <f t="array" ref="S5">_xll.FDSZ($R5,"FG_PRICE(0)")</f>
        <v>249.65450999999999</v>
      </c>
      <c r="T5" s="7" cm="1">
        <f t="array" ref="T5">_xll.FDSZ($R5,"FG_PRICE(0)")</f>
        <v>249.65450999999999</v>
      </c>
      <c r="U5" s="7" cm="1">
        <f t="array" ref="U5">_xll.FDSZ($R5,"FG_PRICE(0)")</f>
        <v>249.65450999999999</v>
      </c>
      <c r="V5" s="7" cm="1">
        <f t="array" ref="V5">_xll.FDSZ($R5,"FG_PRICE(0)")</f>
        <v>249.65450999999999</v>
      </c>
    </row>
    <row r="6" spans="1:22" x14ac:dyDescent="0.35">
      <c r="A6" t="s">
        <v>294</v>
      </c>
      <c r="B6" t="s">
        <v>436</v>
      </c>
      <c r="C6" t="s">
        <v>27</v>
      </c>
      <c r="D6" t="s">
        <v>614</v>
      </c>
      <c r="E6" s="3" t="s">
        <v>27</v>
      </c>
      <c r="F6" s="9">
        <f>HLOOKUP(E6,'Monthly Returns'!$A$1:$AE$136,134,FALSE)</f>
        <v>0.33600000000000002</v>
      </c>
      <c r="G6" s="152" cm="1">
        <f t="array" ref="G6">_xll.FDSZ(C6,"FG_PRICE(0)")</f>
        <v>26.27</v>
      </c>
      <c r="H6" s="152" cm="1">
        <f t="array" ref="H6">_xll.FDSZ(C6,"FG_PRICE_MAVG(0,,,,30)")</f>
        <v>26.666665999999999</v>
      </c>
      <c r="I6" s="152" cm="1">
        <f t="array" ref="I6">_xll.FDSZ(C6,"FG_PRICE_MAVG(0,,,,60)")</f>
        <v>26.037333</v>
      </c>
      <c r="J6" s="152" cm="1">
        <f t="array" ref="J6">_xll.FDSZ(C6,"FG_PRICE_MAVG(0,,,,200)")</f>
        <v>26.90427</v>
      </c>
      <c r="L6">
        <f t="shared" ref="L6:L25" si="1">IF($G6&gt;H6, 1, 0)</f>
        <v>0</v>
      </c>
      <c r="M6">
        <f t="shared" ref="M6:M25" si="2">IF($G6&gt;I6, 1, 0)</f>
        <v>1</v>
      </c>
      <c r="N6">
        <f t="shared" ref="N6:N25" si="3">IF($G6&gt;J6, 1, 0)</f>
        <v>0</v>
      </c>
      <c r="P6">
        <f t="shared" ref="P6:P25" si="4">SUM(L6:N6)</f>
        <v>1</v>
      </c>
      <c r="R6" t="s">
        <v>865</v>
      </c>
      <c r="S6" s="7" cm="1">
        <f t="array" ref="S6">_xll.FDSZ($R6,"FG_PRICE(0)")</f>
        <v>200.31154000000001</v>
      </c>
      <c r="T6" s="7" cm="1">
        <f t="array" ref="T6">_xll.FDSZ($R6,"FG_PRICE(0)")</f>
        <v>200.31154000000001</v>
      </c>
      <c r="U6" s="7" cm="1">
        <f t="array" ref="U6">_xll.FDSZ($R6,"FG_PRICE(0)")</f>
        <v>200.31154000000001</v>
      </c>
      <c r="V6" s="7" cm="1">
        <f t="array" ref="V6">_xll.FDSZ($R6,"FG_PRICE(0)")</f>
        <v>200.31154000000001</v>
      </c>
    </row>
    <row r="7" spans="1:22" x14ac:dyDescent="0.35">
      <c r="A7" t="s">
        <v>187</v>
      </c>
      <c r="B7" t="s">
        <v>437</v>
      </c>
      <c r="C7" t="s">
        <v>35</v>
      </c>
      <c r="D7" t="s">
        <v>651</v>
      </c>
      <c r="E7" s="3" t="s">
        <v>35</v>
      </c>
      <c r="F7" s="9">
        <f>HLOOKUP(E7,'Monthly Returns'!$A$1:$AE$136,134,FALSE)</f>
        <v>9.8000000000000004E-2</v>
      </c>
      <c r="G7" s="152" cm="1">
        <f t="array" ref="G7">_xll.FDSZ(C7,"FG_PRICE(0)")</f>
        <v>20.89</v>
      </c>
      <c r="H7" s="152" cm="1">
        <f t="array" ref="H7">_xll.FDSZ(C7,"FG_PRICE_MAVG(0,,,,30)")</f>
        <v>22.261333</v>
      </c>
      <c r="I7" s="152" cm="1">
        <f t="array" ref="I7">_xll.FDSZ(C7,"FG_PRICE_MAVG(0,,,,60)")</f>
        <v>22.269666999999998</v>
      </c>
      <c r="J7" s="152" cm="1">
        <f t="array" ref="J7">_xll.FDSZ(C7,"FG_PRICE_MAVG(0,,,,200)")</f>
        <v>22.279450000000001</v>
      </c>
      <c r="L7">
        <f t="shared" si="1"/>
        <v>0</v>
      </c>
      <c r="M7">
        <f t="shared" si="2"/>
        <v>0</v>
      </c>
      <c r="N7">
        <f t="shared" si="3"/>
        <v>0</v>
      </c>
      <c r="P7">
        <f t="shared" si="4"/>
        <v>0</v>
      </c>
      <c r="R7" t="s">
        <v>866</v>
      </c>
      <c r="S7" s="7" cm="1">
        <f t="array" ref="S7">_xll.FDSZ($R7,"FG_PRICE(0)")</f>
        <v>1074.81</v>
      </c>
      <c r="T7" s="7" cm="1">
        <f t="array" ref="T7">_xll.FDSZ($R7,"FG_PRICE(0)")</f>
        <v>1074.81</v>
      </c>
      <c r="U7" s="7" cm="1">
        <f t="array" ref="U7">_xll.FDSZ($R7,"FG_PRICE(0)")</f>
        <v>1074.81</v>
      </c>
      <c r="V7" s="7" cm="1">
        <f t="array" ref="V7">_xll.FDSZ($R7,"FG_PRICE(0)")</f>
        <v>1074.81</v>
      </c>
    </row>
    <row r="8" spans="1:22" x14ac:dyDescent="0.35">
      <c r="A8" t="s">
        <v>205</v>
      </c>
      <c r="B8" t="s">
        <v>438</v>
      </c>
      <c r="C8" t="s">
        <v>30</v>
      </c>
      <c r="D8" t="s">
        <v>699</v>
      </c>
      <c r="E8" s="3" t="s">
        <v>30</v>
      </c>
      <c r="F8" s="9">
        <f>HLOOKUP(E8,'Monthly Returns'!$A$1:$AE$136,134,FALSE)</f>
        <v>3.2000000000000001E-2</v>
      </c>
      <c r="G8" s="152" cm="1">
        <f t="array" ref="G8">_xll.FDSZ(C8,"FG_PRICE(0)")</f>
        <v>25.07</v>
      </c>
      <c r="H8" s="152" cm="1">
        <f t="array" ref="H8">_xll.FDSZ(C8,"FG_PRICE_MAVG(0,,,,30)")</f>
        <v>26.988333000000001</v>
      </c>
      <c r="I8" s="152" cm="1">
        <f t="array" ref="I8">_xll.FDSZ(C8,"FG_PRICE_MAVG(0,,,,60)")</f>
        <v>27.073</v>
      </c>
      <c r="J8" s="152" cm="1">
        <f t="array" ref="J8">_xll.FDSZ(C8,"FG_PRICE_MAVG(0,,,,200)")</f>
        <v>25.791872000000001</v>
      </c>
      <c r="L8">
        <f t="shared" si="1"/>
        <v>0</v>
      </c>
      <c r="M8">
        <f t="shared" si="2"/>
        <v>0</v>
      </c>
      <c r="N8">
        <f t="shared" si="3"/>
        <v>0</v>
      </c>
      <c r="P8">
        <f t="shared" si="4"/>
        <v>0</v>
      </c>
      <c r="R8" t="s">
        <v>867</v>
      </c>
      <c r="S8" s="7" cm="1">
        <f t="array" ref="S8">_xll.FDSZ($R8,"FG_PRICE(0)")</f>
        <v>311.1771</v>
      </c>
      <c r="T8" s="7" cm="1">
        <f t="array" ref="T8">_xll.FDSZ($R8,"FG_PRICE(0)")</f>
        <v>311.1771</v>
      </c>
      <c r="U8" s="7" cm="1">
        <f t="array" ref="U8">_xll.FDSZ($R8,"FG_PRICE(0)")</f>
        <v>311.1771</v>
      </c>
      <c r="V8" s="7" cm="1">
        <f t="array" ref="V8">_xll.FDSZ($R8,"FG_PRICE(0)")</f>
        <v>311.1771</v>
      </c>
    </row>
    <row r="9" spans="1:22" x14ac:dyDescent="0.35">
      <c r="A9" t="s">
        <v>257</v>
      </c>
      <c r="B9" t="s">
        <v>439</v>
      </c>
      <c r="C9" t="s">
        <v>23</v>
      </c>
      <c r="D9" t="s">
        <v>700</v>
      </c>
      <c r="E9" s="3" t="s">
        <v>23</v>
      </c>
      <c r="F9" s="9">
        <f>HLOOKUP(E9,'Monthly Returns'!$A$1:$AE$136,134,FALSE)</f>
        <v>0.56499999999999995</v>
      </c>
      <c r="G9" s="152" cm="1">
        <f t="array" ref="G9">_xll.FDSZ(C9,"FG_PRICE(0)")</f>
        <v>23.18</v>
      </c>
      <c r="H9" s="152" cm="1">
        <f t="array" ref="H9">_xll.FDSZ(C9,"FG_PRICE_MAVG(0,,,,30)")</f>
        <v>23.436</v>
      </c>
      <c r="I9" s="152" cm="1">
        <f t="array" ref="I9">_xll.FDSZ(C9,"FG_PRICE_MAVG(0,,,,60)")</f>
        <v>23.020499999999998</v>
      </c>
      <c r="J9" s="152" cm="1">
        <f t="array" ref="J9">_xll.FDSZ(C9,"FG_PRICE_MAVG(0,,,,200)")</f>
        <v>20.984000000000002</v>
      </c>
      <c r="L9">
        <f t="shared" si="1"/>
        <v>0</v>
      </c>
      <c r="M9">
        <f t="shared" si="2"/>
        <v>1</v>
      </c>
      <c r="N9">
        <f t="shared" si="3"/>
        <v>1</v>
      </c>
      <c r="P9">
        <f t="shared" si="4"/>
        <v>2</v>
      </c>
      <c r="R9" t="s">
        <v>868</v>
      </c>
      <c r="S9" s="7" cm="1">
        <f t="array" ref="S9">_xll.FDSZ($R9,"FG_PRICE(0)")</f>
        <v>207.91612000000001</v>
      </c>
      <c r="T9" s="7" cm="1">
        <f t="array" ref="T9">_xll.FDSZ($R9,"FG_PRICE(0)")</f>
        <v>207.91612000000001</v>
      </c>
      <c r="U9" s="7" cm="1">
        <f t="array" ref="U9">_xll.FDSZ($R9,"FG_PRICE(0)")</f>
        <v>207.91612000000001</v>
      </c>
      <c r="V9" s="7" cm="1">
        <f t="array" ref="V9">_xll.FDSZ($R9,"FG_PRICE(0)")</f>
        <v>207.91612000000001</v>
      </c>
    </row>
    <row r="10" spans="1:22" x14ac:dyDescent="0.35">
      <c r="A10" t="s">
        <v>304</v>
      </c>
      <c r="B10" t="s">
        <v>440</v>
      </c>
      <c r="C10" t="s">
        <v>29</v>
      </c>
      <c r="D10" t="s">
        <v>698</v>
      </c>
      <c r="E10" s="3" t="s">
        <v>29</v>
      </c>
      <c r="F10" s="9">
        <f>HLOOKUP(E10,'Monthly Returns'!$A$1:$AE$136,134,FALSE)</f>
        <v>0.58099999999999996</v>
      </c>
      <c r="G10" s="152" cm="1">
        <f t="array" ref="G10">_xll.FDSZ(C10,"FG_PRICE(0)")</f>
        <v>39.880000000000003</v>
      </c>
      <c r="H10" s="152" cm="1">
        <f t="array" ref="H10">_xll.FDSZ(C10,"FG_PRICE_MAVG(0,,,,30)")</f>
        <v>39.123640000000002</v>
      </c>
      <c r="I10" s="152" cm="1">
        <f t="array" ref="I10">_xll.FDSZ(C10,"FG_PRICE_MAVG(0,,,,60)")</f>
        <v>36.760289999999998</v>
      </c>
      <c r="J10" s="152" cm="1">
        <f t="array" ref="J10">_xll.FDSZ(C10,"FG_PRICE_MAVG(0,,,,200)")</f>
        <v>33.071606000000003</v>
      </c>
      <c r="L10">
        <f t="shared" si="1"/>
        <v>1</v>
      </c>
      <c r="M10">
        <f t="shared" si="2"/>
        <v>1</v>
      </c>
      <c r="N10">
        <f t="shared" si="3"/>
        <v>1</v>
      </c>
      <c r="P10">
        <f t="shared" si="4"/>
        <v>3</v>
      </c>
      <c r="R10" t="s">
        <v>869</v>
      </c>
      <c r="S10" s="7" cm="1">
        <f t="array" ref="S10">_xll.FDSZ($R10,"FG_PRICE(0)")</f>
        <v>758.68719999999996</v>
      </c>
      <c r="T10" s="7" cm="1">
        <f t="array" ref="T10">_xll.FDSZ($R10,"FG_PRICE(0)")</f>
        <v>758.68719999999996</v>
      </c>
      <c r="U10" s="7" cm="1">
        <f t="array" ref="U10">_xll.FDSZ($R10,"FG_PRICE(0)")</f>
        <v>758.68719999999996</v>
      </c>
      <c r="V10" s="7" cm="1">
        <f t="array" ref="V10">_xll.FDSZ($R10,"FG_PRICE(0)")</f>
        <v>758.68719999999996</v>
      </c>
    </row>
    <row r="11" spans="1:22" x14ac:dyDescent="0.35">
      <c r="A11" t="s">
        <v>194</v>
      </c>
      <c r="B11" t="s">
        <v>441</v>
      </c>
      <c r="C11" t="s">
        <v>33</v>
      </c>
      <c r="D11" t="s">
        <v>673</v>
      </c>
      <c r="E11" s="3" t="s">
        <v>33</v>
      </c>
      <c r="F11" s="9">
        <f>HLOOKUP(E11,'Monthly Returns'!$A$1:$AE$136,134,FALSE)</f>
        <v>0.311</v>
      </c>
      <c r="G11" s="152" cm="1">
        <f t="array" ref="G11">_xll.FDSZ(C11,"FG_PRICE(0)")</f>
        <v>21.64</v>
      </c>
      <c r="H11" s="152" cm="1">
        <f t="array" ref="H11">_xll.FDSZ(C11,"FG_PRICE_MAVG(0,,,,30)")</f>
        <v>21.876332999999999</v>
      </c>
      <c r="I11" s="152" cm="1">
        <f t="array" ref="I11">_xll.FDSZ(C11,"FG_PRICE_MAVG(0,,,,60)")</f>
        <v>21.612666999999998</v>
      </c>
      <c r="J11" s="152" cm="1">
        <f t="array" ref="J11">_xll.FDSZ(C11,"FG_PRICE_MAVG(0,,,,200)")</f>
        <v>21.214300000000001</v>
      </c>
      <c r="L11">
        <f t="shared" si="1"/>
        <v>0</v>
      </c>
      <c r="M11">
        <f t="shared" si="2"/>
        <v>1</v>
      </c>
      <c r="N11">
        <f t="shared" si="3"/>
        <v>1</v>
      </c>
      <c r="P11">
        <f t="shared" si="4"/>
        <v>2</v>
      </c>
      <c r="R11" t="s">
        <v>870</v>
      </c>
      <c r="S11" s="7" cm="1">
        <f t="array" ref="S11">_xll.FDSZ($R11,"FG_PRICE(0)")</f>
        <v>234.28167999999999</v>
      </c>
      <c r="T11" s="7" cm="1">
        <f t="array" ref="T11">_xll.FDSZ($R11,"FG_PRICE(0)")</f>
        <v>234.28167999999999</v>
      </c>
      <c r="U11" s="7" cm="1">
        <f t="array" ref="U11">_xll.FDSZ($R11,"FG_PRICE(0)")</f>
        <v>234.28167999999999</v>
      </c>
      <c r="V11" s="7" cm="1">
        <f t="array" ref="V11">_xll.FDSZ($R11,"FG_PRICE(0)")</f>
        <v>234.28167999999999</v>
      </c>
    </row>
    <row r="12" spans="1:22" x14ac:dyDescent="0.35">
      <c r="A12" t="s">
        <v>217</v>
      </c>
      <c r="B12" t="s">
        <v>40</v>
      </c>
      <c r="C12" t="s">
        <v>24</v>
      </c>
      <c r="D12" t="s">
        <v>720</v>
      </c>
      <c r="E12" s="3" t="s">
        <v>24</v>
      </c>
      <c r="F12" s="9">
        <f>HLOOKUP(E12,'Monthly Returns'!$A$1:$AE$136,134,FALSE)</f>
        <v>0.19600000000000001</v>
      </c>
      <c r="G12" s="152" cm="1">
        <f t="array" ref="G12">_xll.FDSZ(C12,"FG_PRICE(0)")</f>
        <v>46.69</v>
      </c>
      <c r="H12" s="152" cm="1">
        <f t="array" ref="H12">_xll.FDSZ(C12,"FG_PRICE_MAVG(0,,,,30)")</f>
        <v>48.494</v>
      </c>
      <c r="I12" s="152" cm="1">
        <f t="array" ref="I12">_xll.FDSZ(C12,"FG_PRICE_MAVG(0,,,,60)")</f>
        <v>47.251334999999997</v>
      </c>
      <c r="J12" s="152" cm="1">
        <f t="array" ref="J12">_xll.FDSZ(C12,"FG_PRICE_MAVG(0,,,,200)")</f>
        <v>46.44</v>
      </c>
      <c r="L12">
        <f t="shared" si="1"/>
        <v>0</v>
      </c>
      <c r="M12">
        <f t="shared" si="2"/>
        <v>0</v>
      </c>
      <c r="N12">
        <f t="shared" si="3"/>
        <v>1</v>
      </c>
      <c r="P12">
        <f t="shared" si="4"/>
        <v>1</v>
      </c>
      <c r="R12" t="s">
        <v>871</v>
      </c>
      <c r="S12" s="7" cm="1">
        <f t="array" ref="S12">_xll.FDSZ($R12,"FG_PRICE(0)")</f>
        <v>339.92259999999999</v>
      </c>
      <c r="T12" s="7" cm="1">
        <f t="array" ref="T12">_xll.FDSZ($R12,"FG_PRICE(0)")</f>
        <v>339.92259999999999</v>
      </c>
      <c r="U12" s="7" cm="1">
        <f t="array" ref="U12">_xll.FDSZ($R12,"FG_PRICE(0)")</f>
        <v>339.92259999999999</v>
      </c>
      <c r="V12" s="7" cm="1">
        <f t="array" ref="V12">_xll.FDSZ($R12,"FG_PRICE(0)")</f>
        <v>339.92259999999999</v>
      </c>
    </row>
    <row r="13" spans="1:22" x14ac:dyDescent="0.35">
      <c r="A13" t="s">
        <v>301</v>
      </c>
      <c r="B13" t="s">
        <v>53</v>
      </c>
      <c r="C13" t="s">
        <v>7</v>
      </c>
      <c r="D13" t="s">
        <v>678</v>
      </c>
      <c r="E13" s="3" t="s">
        <v>7</v>
      </c>
      <c r="F13" s="9">
        <f>HLOOKUP(E13,'Monthly Returns'!$A$1:$AE$136,134,FALSE)</f>
        <v>0.245</v>
      </c>
      <c r="G13" s="152" cm="1">
        <f t="array" ref="G13">_xll.FDSZ(C13,"FG_PRICE(0)")</f>
        <v>64.92</v>
      </c>
      <c r="H13" s="152" cm="1">
        <f t="array" ref="H13">_xll.FDSZ(C13,"FG_PRICE_MAVG(0,,,,30)")</f>
        <v>67.576999999999998</v>
      </c>
      <c r="I13" s="152" cm="1">
        <f t="array" ref="I13">_xll.FDSZ(C13,"FG_PRICE_MAVG(0,,,,60)")</f>
        <v>67.154335000000003</v>
      </c>
      <c r="J13" s="152" cm="1">
        <f t="array" ref="J13">_xll.FDSZ(C13,"FG_PRICE_MAVG(0,,,,200)")</f>
        <v>63.277700000000003</v>
      </c>
      <c r="L13">
        <f t="shared" si="1"/>
        <v>0</v>
      </c>
      <c r="M13">
        <f t="shared" si="2"/>
        <v>0</v>
      </c>
      <c r="N13">
        <f t="shared" si="3"/>
        <v>1</v>
      </c>
      <c r="P13">
        <f t="shared" si="4"/>
        <v>1</v>
      </c>
      <c r="R13" t="s">
        <v>872</v>
      </c>
      <c r="S13" s="7" cm="1">
        <f t="array" ref="S13">_xll.FDSZ($R13,"FG_PRICE(0)")</f>
        <v>510.25546000000003</v>
      </c>
      <c r="T13" s="7" cm="1">
        <f t="array" ref="T13">_xll.FDSZ($R13,"FG_PRICE(0)")</f>
        <v>510.25546000000003</v>
      </c>
      <c r="U13" s="7" cm="1">
        <f t="array" ref="U13">_xll.FDSZ($R13,"FG_PRICE(0)")</f>
        <v>510.25546000000003</v>
      </c>
      <c r="V13" s="7" cm="1">
        <f t="array" ref="V13">_xll.FDSZ($R13,"FG_PRICE(0)")</f>
        <v>510.25546000000003</v>
      </c>
    </row>
    <row r="14" spans="1:22" x14ac:dyDescent="0.35">
      <c r="A14" t="s">
        <v>210</v>
      </c>
      <c r="B14" t="s">
        <v>38</v>
      </c>
      <c r="C14" t="s">
        <v>21</v>
      </c>
      <c r="D14" t="s">
        <v>660</v>
      </c>
      <c r="E14" s="3" t="s">
        <v>21</v>
      </c>
      <c r="F14" s="9">
        <f>HLOOKUP(E14,'Monthly Returns'!$A$1:$AE$136,134,FALSE)</f>
        <v>0.155</v>
      </c>
      <c r="G14" s="152" cm="1">
        <f t="array" ref="G14">_xll.FDSZ(C14,"FG_PRICE(0)")</f>
        <v>61.8</v>
      </c>
      <c r="H14" s="152" cm="1">
        <f t="array" ref="H14">_xll.FDSZ(C14,"FG_PRICE_MAVG(0,,,,30)")</f>
        <v>65.610339999999994</v>
      </c>
      <c r="I14" s="152" cm="1">
        <f t="array" ref="I14">_xll.FDSZ(C14,"FG_PRICE_MAVG(0,,,,60)")</f>
        <v>64.295333999999997</v>
      </c>
      <c r="J14" s="152" cm="1">
        <f t="array" ref="J14">_xll.FDSZ(C14,"FG_PRICE_MAVG(0,,,,200)")</f>
        <v>62.687800000000003</v>
      </c>
      <c r="L14">
        <f t="shared" si="1"/>
        <v>0</v>
      </c>
      <c r="M14">
        <f t="shared" si="2"/>
        <v>0</v>
      </c>
      <c r="N14">
        <f t="shared" si="3"/>
        <v>0</v>
      </c>
      <c r="P14">
        <f t="shared" si="4"/>
        <v>0</v>
      </c>
      <c r="R14" t="s">
        <v>873</v>
      </c>
      <c r="S14" s="7" cm="1">
        <f t="array" ref="S14">_xll.FDSZ($R14,"FG_PRICE(0)")</f>
        <v>454.30680000000001</v>
      </c>
      <c r="T14" s="7" cm="1">
        <f t="array" ref="T14">_xll.FDSZ($R14,"FG_PRICE(0)")</f>
        <v>454.30680000000001</v>
      </c>
      <c r="U14" s="7" cm="1">
        <f t="array" ref="U14">_xll.FDSZ($R14,"FG_PRICE(0)")</f>
        <v>454.30680000000001</v>
      </c>
      <c r="V14" s="7" cm="1">
        <f t="array" ref="V14">_xll.FDSZ($R14,"FG_PRICE(0)")</f>
        <v>454.30680000000001</v>
      </c>
    </row>
    <row r="15" spans="1:22" x14ac:dyDescent="0.35">
      <c r="A15" t="s">
        <v>291</v>
      </c>
      <c r="B15" t="s">
        <v>54</v>
      </c>
      <c r="C15" t="s">
        <v>12</v>
      </c>
      <c r="D15" t="s">
        <v>603</v>
      </c>
      <c r="E15" s="3" t="s">
        <v>12</v>
      </c>
      <c r="F15" s="9">
        <f>HLOOKUP(E15,'Monthly Returns'!$A$1:$AE$136,134,FALSE)</f>
        <v>0.245</v>
      </c>
      <c r="G15" s="152" cm="1">
        <f t="array" ref="G15">_xll.FDSZ(C15,"FG_PRICE(0)")</f>
        <v>30.11</v>
      </c>
      <c r="H15" s="152" cm="1">
        <f t="array" ref="H15">_xll.FDSZ(C15,"FG_PRICE_MAVG(0,,,,30)")</f>
        <v>31.998667000000001</v>
      </c>
      <c r="I15" s="152" cm="1">
        <f t="array" ref="I15">_xll.FDSZ(C15,"FG_PRICE_MAVG(0,,,,60)")</f>
        <v>32.557499999999997</v>
      </c>
      <c r="J15" s="152" cm="1">
        <f t="array" ref="J15">_xll.FDSZ(C15,"FG_PRICE_MAVG(0,,,,200)")</f>
        <v>32.348350000000003</v>
      </c>
      <c r="L15">
        <f t="shared" si="1"/>
        <v>0</v>
      </c>
      <c r="M15">
        <f t="shared" si="2"/>
        <v>0</v>
      </c>
      <c r="N15">
        <f t="shared" si="3"/>
        <v>0</v>
      </c>
      <c r="P15">
        <f t="shared" si="4"/>
        <v>0</v>
      </c>
      <c r="R15" t="s">
        <v>874</v>
      </c>
      <c r="S15" s="7" cm="1">
        <f t="array" ref="S15">_xll.FDSZ($R15,"FG_PRICE(0)")</f>
        <v>197.67547999999999</v>
      </c>
      <c r="T15" s="7" cm="1">
        <f t="array" ref="T15">_xll.FDSZ($R15,"FG_PRICE(0)")</f>
        <v>197.67547999999999</v>
      </c>
      <c r="U15" s="7" cm="1">
        <f t="array" ref="U15">_xll.FDSZ($R15,"FG_PRICE(0)")</f>
        <v>197.67547999999999</v>
      </c>
      <c r="V15" s="7" cm="1">
        <f t="array" ref="V15">_xll.FDSZ($R15,"FG_PRICE(0)")</f>
        <v>197.67547999999999</v>
      </c>
    </row>
    <row r="16" spans="1:22" x14ac:dyDescent="0.35">
      <c r="A16" t="s">
        <v>366</v>
      </c>
      <c r="B16" t="s">
        <v>442</v>
      </c>
      <c r="C16" t="s">
        <v>22</v>
      </c>
      <c r="D16" t="s">
        <v>713</v>
      </c>
      <c r="E16" s="3" t="s">
        <v>22</v>
      </c>
      <c r="F16" s="9">
        <f>HLOOKUP(E16,'Monthly Returns'!$A$1:$AE$136,134,FALSE)</f>
        <v>0.58099999999999996</v>
      </c>
      <c r="G16" s="152" cm="1">
        <f t="array" ref="G16">_xll.FDSZ(C16,"FG_PRICE(0)")</f>
        <v>38.26</v>
      </c>
      <c r="H16" s="152" cm="1">
        <f t="array" ref="H16">_xll.FDSZ(C16,"FG_PRICE_MAVG(0,,,,30)")</f>
        <v>39.088999999999999</v>
      </c>
      <c r="I16" s="152" cm="1">
        <f t="array" ref="I16">_xll.FDSZ(C16,"FG_PRICE_MAVG(0,,,,60)")</f>
        <v>38.784668000000003</v>
      </c>
      <c r="J16" s="152" cm="1">
        <f t="array" ref="J16">_xll.FDSZ(C16,"FG_PRICE_MAVG(0,,,,200)")</f>
        <v>39.414149999999999</v>
      </c>
      <c r="L16">
        <f t="shared" si="1"/>
        <v>0</v>
      </c>
      <c r="M16">
        <f t="shared" si="2"/>
        <v>0</v>
      </c>
      <c r="N16">
        <f t="shared" si="3"/>
        <v>0</v>
      </c>
      <c r="P16">
        <f t="shared" si="4"/>
        <v>0</v>
      </c>
      <c r="R16" t="s">
        <v>875</v>
      </c>
      <c r="S16" s="7" cm="1">
        <f t="array" ref="S16">_xll.FDSZ($R16,"FG_PRICE(0)")</f>
        <v>294.13074</v>
      </c>
      <c r="T16" s="7" cm="1">
        <f t="array" ref="T16">_xll.FDSZ($R16,"FG_PRICE(0)")</f>
        <v>294.13074</v>
      </c>
      <c r="U16" s="7" cm="1">
        <f t="array" ref="U16">_xll.FDSZ($R16,"FG_PRICE(0)")</f>
        <v>294.13074</v>
      </c>
      <c r="V16" s="7" cm="1">
        <f t="array" ref="V16">_xll.FDSZ($R16,"FG_PRICE(0)")</f>
        <v>294.13074</v>
      </c>
    </row>
    <row r="17" spans="1:22" x14ac:dyDescent="0.35">
      <c r="A17" t="s">
        <v>498</v>
      </c>
      <c r="B17" t="s">
        <v>443</v>
      </c>
      <c r="C17" t="s">
        <v>28</v>
      </c>
      <c r="D17" t="s">
        <v>640</v>
      </c>
      <c r="E17" s="3" t="s">
        <v>28</v>
      </c>
      <c r="F17" s="9">
        <f>HLOOKUP(E17,'Monthly Returns'!$A$1:$AE$136,134,FALSE)</f>
        <v>0.30299999999999999</v>
      </c>
      <c r="G17" s="152" cm="1">
        <f t="array" ref="G17">_xll.FDSZ(C17,"FG_PRICE(0)")</f>
        <v>38.49</v>
      </c>
      <c r="H17" s="152" cm="1">
        <f t="array" ref="H17">_xll.FDSZ(C17,"FG_PRICE_MAVG(0,,,,30)")</f>
        <v>39.809666</v>
      </c>
      <c r="I17" s="152" cm="1">
        <f t="array" ref="I17">_xll.FDSZ(C17,"FG_PRICE_MAVG(0,,,,60)")</f>
        <v>39.852665000000002</v>
      </c>
      <c r="J17" s="152" cm="1">
        <f t="array" ref="J17">_xll.FDSZ(C17,"FG_PRICE_MAVG(0,,,,200)")</f>
        <v>37.424010000000003</v>
      </c>
      <c r="L17">
        <f t="shared" si="1"/>
        <v>0</v>
      </c>
      <c r="M17">
        <f t="shared" si="2"/>
        <v>0</v>
      </c>
      <c r="N17">
        <f t="shared" si="3"/>
        <v>1</v>
      </c>
      <c r="P17">
        <f t="shared" si="4"/>
        <v>1</v>
      </c>
      <c r="R17" t="s">
        <v>876</v>
      </c>
      <c r="S17" s="7" cm="1">
        <f t="array" ref="S17">_xll.FDSZ($R17,"FG_PRICE(0)")</f>
        <v>9.2450880000000009</v>
      </c>
      <c r="T17" s="7" cm="1">
        <f t="array" ref="T17">_xll.FDSZ($R17,"FG_PRICE(0)")</f>
        <v>9.2450880000000009</v>
      </c>
      <c r="U17" s="7" cm="1">
        <f t="array" ref="U17">_xll.FDSZ($R17,"FG_PRICE(0)")</f>
        <v>9.2450880000000009</v>
      </c>
      <c r="V17" s="7" cm="1">
        <f t="array" ref="V17">_xll.FDSZ($R17,"FG_PRICE(0)")</f>
        <v>9.2450880000000009</v>
      </c>
    </row>
    <row r="18" spans="1:22" x14ac:dyDescent="0.35">
      <c r="A18" t="s">
        <v>184</v>
      </c>
      <c r="B18" t="s">
        <v>52</v>
      </c>
      <c r="C18" t="s">
        <v>32</v>
      </c>
      <c r="D18" t="s">
        <v>650</v>
      </c>
      <c r="E18" s="3" t="s">
        <v>32</v>
      </c>
      <c r="F18" s="9">
        <f>HLOOKUP(E18,'Monthly Returns'!$A$1:$AE$136,134,FALSE)</f>
        <v>0.442</v>
      </c>
      <c r="G18" s="152" cm="1">
        <f t="array" ref="G18">_xll.FDSZ(C18,"FG_PRICE(0)")</f>
        <v>51.07</v>
      </c>
      <c r="H18" s="152" cm="1">
        <f t="array" ref="H18">_xll.FDSZ(C18,"FG_PRICE_MAVG(0,,,,30)")</f>
        <v>51.33</v>
      </c>
      <c r="I18" s="152" cm="1">
        <f t="array" ref="I18">_xll.FDSZ(C18,"FG_PRICE_MAVG(0,,,,60)")</f>
        <v>51.051167</v>
      </c>
      <c r="J18" s="152" cm="1">
        <f t="array" ref="J18">_xll.FDSZ(C18,"FG_PRICE_MAVG(0,,,,200)")</f>
        <v>47.042926999999999</v>
      </c>
      <c r="L18">
        <f t="shared" si="1"/>
        <v>0</v>
      </c>
      <c r="M18">
        <f t="shared" si="2"/>
        <v>1</v>
      </c>
      <c r="N18">
        <f t="shared" si="3"/>
        <v>1</v>
      </c>
      <c r="P18">
        <f t="shared" si="4"/>
        <v>2</v>
      </c>
      <c r="R18" t="s">
        <v>877</v>
      </c>
      <c r="S18" s="7" cm="1">
        <f t="array" ref="S18">_xll.FDSZ($R18,"FG_PRICE(0)")</f>
        <v>1277.5667000000001</v>
      </c>
      <c r="T18" s="7" cm="1">
        <f t="array" ref="T18">_xll.FDSZ($R18,"FG_PRICE(0)")</f>
        <v>1277.5667000000001</v>
      </c>
      <c r="U18" s="7" cm="1">
        <f t="array" ref="U18">_xll.FDSZ($R18,"FG_PRICE(0)")</f>
        <v>1277.5667000000001</v>
      </c>
      <c r="V18" s="7" cm="1">
        <f t="array" ref="V18">_xll.FDSZ($R18,"FG_PRICE(0)")</f>
        <v>1277.5667000000001</v>
      </c>
    </row>
    <row r="19" spans="1:22" x14ac:dyDescent="0.35">
      <c r="A19" t="s">
        <v>177</v>
      </c>
      <c r="B19" t="s">
        <v>41</v>
      </c>
      <c r="C19" t="s">
        <v>26</v>
      </c>
      <c r="D19" t="s">
        <v>615</v>
      </c>
      <c r="E19" s="3" t="s">
        <v>26</v>
      </c>
      <c r="F19" s="9">
        <f>HLOOKUP(E19,'Monthly Returns'!$A$1:$AE$136,134,FALSE)</f>
        <v>0.377</v>
      </c>
      <c r="G19" s="152" cm="1">
        <f t="array" ref="G19">_xll.FDSZ(C19,"FG_PRICE(0)")</f>
        <v>39.54</v>
      </c>
      <c r="H19" s="152" cm="1">
        <f t="array" ref="H19">_xll.FDSZ(C19,"FG_PRICE_MAVG(0,,,,30)")</f>
        <v>39.901333000000001</v>
      </c>
      <c r="I19" s="152" cm="1">
        <f t="array" ref="I19">_xll.FDSZ(C19,"FG_PRICE_MAVG(0,,,,60)")</f>
        <v>39.089333000000003</v>
      </c>
      <c r="J19" s="152" cm="1">
        <f t="array" ref="J19">_xll.FDSZ(C19,"FG_PRICE_MAVG(0,,,,200)")</f>
        <v>41.914349999999999</v>
      </c>
      <c r="L19">
        <f t="shared" si="1"/>
        <v>0</v>
      </c>
      <c r="M19">
        <f t="shared" si="2"/>
        <v>1</v>
      </c>
      <c r="N19">
        <f t="shared" si="3"/>
        <v>0</v>
      </c>
      <c r="P19">
        <f t="shared" si="4"/>
        <v>1</v>
      </c>
      <c r="R19" t="s">
        <v>864</v>
      </c>
      <c r="S19" s="7" cm="1">
        <f t="array" ref="S19">_xll.FDSZ($R19,"FG_PRICE(0)")</f>
        <v>249.65450999999999</v>
      </c>
      <c r="T19" s="7" cm="1">
        <f t="array" ref="T19">_xll.FDSZ($R19,"FG_PRICE(0)")</f>
        <v>249.65450999999999</v>
      </c>
      <c r="U19" s="7" cm="1">
        <f t="array" ref="U19">_xll.FDSZ($R19,"FG_PRICE(0)")</f>
        <v>249.65450999999999</v>
      </c>
      <c r="V19" s="7" cm="1">
        <f t="array" ref="V19">_xll.FDSZ($R19,"FG_PRICE(0)")</f>
        <v>249.65450999999999</v>
      </c>
    </row>
    <row r="20" spans="1:22" x14ac:dyDescent="0.35">
      <c r="A20" t="s">
        <v>360</v>
      </c>
      <c r="B20" t="s">
        <v>444</v>
      </c>
      <c r="C20" t="s">
        <v>31</v>
      </c>
      <c r="D20" t="s">
        <v>702</v>
      </c>
      <c r="E20" s="3" t="s">
        <v>31</v>
      </c>
      <c r="F20" s="9">
        <f>HLOOKUP(E20,'Monthly Returns'!$A$1:$AE$136,134,FALSE)</f>
        <v>0.2</v>
      </c>
      <c r="G20" s="152" cm="1">
        <f t="array" ref="G20">_xll.FDSZ(C20,"FG_PRICE(0)")</f>
        <v>17.309999999999999</v>
      </c>
      <c r="H20" s="152" cm="1">
        <f t="array" ref="H20">_xll.FDSZ(C20,"FG_PRICE_MAVG(0,,,,30)")</f>
        <v>17.698399999999999</v>
      </c>
      <c r="I20" s="152" cm="1">
        <f t="array" ref="I20">_xll.FDSZ(C20,"FG_PRICE_MAVG(0,,,,60)")</f>
        <v>17.649494000000001</v>
      </c>
      <c r="J20" s="152" cm="1">
        <f t="array" ref="J20">_xll.FDSZ(C20,"FG_PRICE_MAVG(0,,,,200)")</f>
        <v>17.641172000000001</v>
      </c>
      <c r="L20">
        <f t="shared" si="1"/>
        <v>0</v>
      </c>
      <c r="M20">
        <f t="shared" si="2"/>
        <v>0</v>
      </c>
      <c r="N20">
        <f t="shared" si="3"/>
        <v>0</v>
      </c>
      <c r="P20">
        <f t="shared" si="4"/>
        <v>0</v>
      </c>
      <c r="R20" t="s">
        <v>878</v>
      </c>
      <c r="S20" s="7" cm="1">
        <f t="array" ref="S20">_xll.FDSZ($R20,"FG_PRICE(0)")</f>
        <v>100.21059</v>
      </c>
      <c r="T20" s="7" cm="1">
        <f t="array" ref="T20">_xll.FDSZ($R20,"FG_PRICE(0)")</f>
        <v>100.21059</v>
      </c>
      <c r="U20" s="7" cm="1">
        <f t="array" ref="U20">_xll.FDSZ($R20,"FG_PRICE(0)")</f>
        <v>100.21059</v>
      </c>
      <c r="V20" s="7" cm="1">
        <f t="array" ref="V20">_xll.FDSZ($R20,"FG_PRICE(0)")</f>
        <v>100.21059</v>
      </c>
    </row>
    <row r="21" spans="1:22" x14ac:dyDescent="0.35">
      <c r="A21" t="s">
        <v>221</v>
      </c>
      <c r="B21" t="s">
        <v>758</v>
      </c>
      <c r="C21" t="s">
        <v>757</v>
      </c>
      <c r="D21" t="s">
        <v>723</v>
      </c>
      <c r="E21" s="3" t="s">
        <v>757</v>
      </c>
      <c r="F21" s="9">
        <f>HLOOKUP(E21,'Monthly Returns'!$A$1:$AE$136,134,FALSE)</f>
        <v>0.28599999999999998</v>
      </c>
      <c r="G21" s="152" cm="1">
        <f t="array" ref="G21">_xll.FDSZ(C21,"FG_PRICE(0)")</f>
        <v>1361.02</v>
      </c>
      <c r="H21" s="152" cm="1">
        <f t="array" ref="H21">_xll.FDSZ(C21,"FG_PRICE_MAVG(0,,,,30)")</f>
        <v>1379.4369999999999</v>
      </c>
      <c r="I21" s="152" cm="1">
        <f t="array" ref="I21">_xll.FDSZ(C21,"FG_PRICE_MAVG(0,,,,60)")</f>
        <v>1380.9585</v>
      </c>
      <c r="J21" s="152" cm="1">
        <f t="array" ref="J21">_xll.FDSZ(C21,"FG_PRICE_MAVG(0,,,,200)")</f>
        <v>1439.0435</v>
      </c>
      <c r="L21">
        <f t="shared" si="1"/>
        <v>0</v>
      </c>
      <c r="M21">
        <f t="shared" si="2"/>
        <v>0</v>
      </c>
      <c r="N21">
        <f t="shared" si="3"/>
        <v>0</v>
      </c>
      <c r="P21">
        <f t="shared" si="4"/>
        <v>0</v>
      </c>
      <c r="R21" t="s">
        <v>757</v>
      </c>
      <c r="S21" s="7" cm="1">
        <f t="array" ref="S21">_xll.FDSZ($R21,"FG_PRICE(0)")</f>
        <v>1361.02</v>
      </c>
      <c r="T21" s="7" cm="1">
        <f t="array" ref="T21">_xll.FDSZ($R21,"FG_PRICE(0)")</f>
        <v>1361.02</v>
      </c>
      <c r="U21" s="7" cm="1">
        <f t="array" ref="U21">_xll.FDSZ($R21,"FG_PRICE(0)")</f>
        <v>1361.02</v>
      </c>
      <c r="V21" s="7" cm="1">
        <f t="array" ref="V21">_xll.FDSZ($R21,"FG_PRICE(0)")</f>
        <v>1361.02</v>
      </c>
    </row>
    <row r="22" spans="1:22" x14ac:dyDescent="0.35">
      <c r="A22" t="s">
        <v>279</v>
      </c>
      <c r="B22" t="s">
        <v>446</v>
      </c>
      <c r="C22" t="s">
        <v>25</v>
      </c>
      <c r="D22" t="s">
        <v>727</v>
      </c>
      <c r="E22" s="3" t="s">
        <v>25</v>
      </c>
      <c r="F22" s="9">
        <f>HLOOKUP(E22,'Monthly Returns'!$A$1:$AE$136,134,FALSE)</f>
        <v>0.78600000000000003</v>
      </c>
      <c r="G22" s="152" cm="1">
        <f t="array" ref="G22">_xll.FDSZ(C22,"FG_PRICE(0)")</f>
        <v>37.700000000000003</v>
      </c>
      <c r="H22" s="152" cm="1">
        <f t="array" ref="H22">_xll.FDSZ(C22,"FG_PRICE_MAVG(0,,,,30)")</f>
        <v>36.682667000000002</v>
      </c>
      <c r="I22" s="152" cm="1">
        <f t="array" ref="I22">_xll.FDSZ(C22,"FG_PRICE_MAVG(0,,,,60)")</f>
        <v>36.805500000000002</v>
      </c>
      <c r="J22" s="152" cm="1">
        <f t="array" ref="J22">_xll.FDSZ(C22,"FG_PRICE_MAVG(0,,,,200)")</f>
        <v>35.532649999999997</v>
      </c>
      <c r="L22">
        <f t="shared" si="1"/>
        <v>1</v>
      </c>
      <c r="M22">
        <f t="shared" si="2"/>
        <v>1</v>
      </c>
      <c r="N22">
        <f t="shared" si="3"/>
        <v>1</v>
      </c>
      <c r="P22">
        <f t="shared" si="4"/>
        <v>3</v>
      </c>
      <c r="R22" t="s">
        <v>879</v>
      </c>
      <c r="S22" s="7" cm="1">
        <f t="array" ref="S22">_xll.FDSZ($R22,"FG_PRICE(0)")</f>
        <v>234.78787</v>
      </c>
      <c r="T22" s="7" cm="1">
        <f t="array" ref="T22">_xll.FDSZ($R22,"FG_PRICE(0)")</f>
        <v>234.78787</v>
      </c>
      <c r="U22" s="7" cm="1">
        <f t="array" ref="U22">_xll.FDSZ($R22,"FG_PRICE(0)")</f>
        <v>234.78787</v>
      </c>
      <c r="V22" s="7" cm="1">
        <f t="array" ref="V22">_xll.FDSZ($R22,"FG_PRICE(0)")</f>
        <v>234.78787</v>
      </c>
    </row>
    <row r="23" spans="1:22" x14ac:dyDescent="0.35">
      <c r="A23" t="s">
        <v>373</v>
      </c>
      <c r="B23" t="s">
        <v>447</v>
      </c>
      <c r="C23" t="s">
        <v>34</v>
      </c>
      <c r="D23" t="s">
        <v>731</v>
      </c>
      <c r="E23" s="3" t="s">
        <v>34</v>
      </c>
      <c r="F23" s="9">
        <f>HLOOKUP(E23,'Monthly Returns'!$A$1:$AE$136,134,FALSE)</f>
        <v>0.33300000000000002</v>
      </c>
      <c r="G23" s="152" cm="1">
        <f t="array" ref="G23">_xll.FDSZ(C23,"FG_PRICE(0)")</f>
        <v>14.58</v>
      </c>
      <c r="H23" s="152" cm="1">
        <f t="array" ref="H23">_xll.FDSZ(C23,"FG_PRICE_MAVG(0,,,,30)")</f>
        <v>14.764760000000001</v>
      </c>
      <c r="I23" s="152" cm="1">
        <f t="array" ref="I23">_xll.FDSZ(C23,"FG_PRICE_MAVG(0,,,,60)")</f>
        <v>14.750641999999999</v>
      </c>
      <c r="J23" s="152" cm="1">
        <f t="array" ref="J23">_xll.FDSZ(C23,"FG_PRICE_MAVG(0,,,,200)")</f>
        <v>14.831117000000001</v>
      </c>
      <c r="L23">
        <f t="shared" si="1"/>
        <v>0</v>
      </c>
      <c r="M23">
        <f t="shared" si="2"/>
        <v>0</v>
      </c>
      <c r="N23">
        <f t="shared" si="3"/>
        <v>0</v>
      </c>
      <c r="P23">
        <f t="shared" si="4"/>
        <v>0</v>
      </c>
      <c r="R23" t="s">
        <v>880</v>
      </c>
      <c r="S23" s="7" cm="1">
        <f t="array" ref="S23">_xll.FDSZ($R23,"FG_PRICE(0)")</f>
        <v>144.44943000000001</v>
      </c>
      <c r="T23" s="7" cm="1">
        <f t="array" ref="T23">_xll.FDSZ($R23,"FG_PRICE(0)")</f>
        <v>144.44943000000001</v>
      </c>
      <c r="U23" s="7" cm="1">
        <f t="array" ref="U23">_xll.FDSZ($R23,"FG_PRICE(0)")</f>
        <v>144.44943000000001</v>
      </c>
      <c r="V23" s="7" cm="1">
        <f t="array" ref="V23">_xll.FDSZ($R23,"FG_PRICE(0)")</f>
        <v>144.44943000000001</v>
      </c>
    </row>
    <row r="24" spans="1:22" x14ac:dyDescent="0.35">
      <c r="A24" t="s">
        <v>224</v>
      </c>
      <c r="B24" t="s">
        <v>448</v>
      </c>
      <c r="C24" t="s">
        <v>37</v>
      </c>
      <c r="D24" t="s">
        <v>736</v>
      </c>
      <c r="E24" s="3" t="s">
        <v>37</v>
      </c>
      <c r="F24" s="9">
        <f>HLOOKUP(E24,'Monthly Returns'!$A$1:$AE$136,134,FALSE)</f>
        <v>8.1000000000000003E-2</v>
      </c>
      <c r="G24" s="152" cm="1">
        <f t="array" ref="G24">_xll.FDSZ(C24,"FG_PRICE(0)")</f>
        <v>12.14</v>
      </c>
      <c r="H24" s="152" cm="1">
        <f t="array" ref="H24">_xll.FDSZ(C24,"FG_PRICE_MAVG(0,,,,30)")</f>
        <v>13.36</v>
      </c>
      <c r="I24" s="152" cm="1">
        <f t="array" ref="I24">_xll.FDSZ(C24,"FG_PRICE_MAVG(0,,,,60)")</f>
        <v>13.251833</v>
      </c>
      <c r="J24" s="152" cm="1">
        <f t="array" ref="J24">_xll.FDSZ(C24,"FG_PRICE_MAVG(0,,,,200)")</f>
        <v>13.564550000000001</v>
      </c>
      <c r="L24">
        <f t="shared" si="1"/>
        <v>0</v>
      </c>
      <c r="M24">
        <f t="shared" si="2"/>
        <v>0</v>
      </c>
      <c r="N24">
        <f t="shared" si="3"/>
        <v>0</v>
      </c>
      <c r="P24">
        <f t="shared" si="4"/>
        <v>0</v>
      </c>
      <c r="R24" t="s">
        <v>881</v>
      </c>
      <c r="S24" s="7" cm="1">
        <f t="array" ref="S24">_xll.FDSZ($R24,"FG_PRICE(0)")</f>
        <v>364.26717409999998</v>
      </c>
      <c r="T24" s="7" cm="1">
        <f t="array" ref="T24">_xll.FDSZ($R24,"FG_PRICE(0)")</f>
        <v>364.26717409999998</v>
      </c>
      <c r="U24" s="7" cm="1">
        <f t="array" ref="U24">_xll.FDSZ($R24,"FG_PRICE(0)")</f>
        <v>364.26717409999998</v>
      </c>
      <c r="V24" s="7" cm="1">
        <f t="array" ref="V24">_xll.FDSZ($R24,"FG_PRICE(0)")</f>
        <v>364.26717409999998</v>
      </c>
    </row>
    <row r="25" spans="1:22" x14ac:dyDescent="0.35">
      <c r="A25" t="s">
        <v>363</v>
      </c>
      <c r="B25" t="s">
        <v>449</v>
      </c>
      <c r="C25" t="s">
        <v>36</v>
      </c>
      <c r="D25" t="s">
        <v>706</v>
      </c>
      <c r="E25" s="3" t="s">
        <v>36</v>
      </c>
      <c r="F25" s="9">
        <f>HLOOKUP(E25,'Monthly Returns'!$A$1:$AE$136,134,FALSE)</f>
        <v>0.23</v>
      </c>
      <c r="G25" s="152" cm="1">
        <f t="array" ref="G25">_xll.FDSZ(C25,"FG_PRICE(0)")</f>
        <v>43.43</v>
      </c>
      <c r="H25" s="152" cm="1">
        <f t="array" ref="H25">_xll.FDSZ(C25,"FG_PRICE_MAVG(0,,,,30)")</f>
        <v>44.343665999999999</v>
      </c>
      <c r="I25" s="152" cm="1">
        <f t="array" ref="I25">_xll.FDSZ(C25,"FG_PRICE_MAVG(0,,,,60)")</f>
        <v>44.017333999999998</v>
      </c>
      <c r="J25" s="152" cm="1">
        <f t="array" ref="J25">_xll.FDSZ(C25,"FG_PRICE_MAVG(0,,,,200)")</f>
        <v>41.4011</v>
      </c>
      <c r="L25">
        <f t="shared" si="1"/>
        <v>0</v>
      </c>
      <c r="M25">
        <f t="shared" si="2"/>
        <v>0</v>
      </c>
      <c r="N25">
        <f t="shared" si="3"/>
        <v>1</v>
      </c>
      <c r="P25">
        <f t="shared" si="4"/>
        <v>1</v>
      </c>
      <c r="R25" t="s">
        <v>882</v>
      </c>
      <c r="S25" s="7" cm="1">
        <f t="array" ref="S25">_xll.FDSZ($R25,"FG_PRICE(0)")</f>
        <v>51.367019999999997</v>
      </c>
      <c r="T25" s="7" cm="1">
        <f t="array" ref="T25">_xll.FDSZ($R25,"FG_PRICE(0)")</f>
        <v>51.367019999999997</v>
      </c>
      <c r="U25" s="7" cm="1">
        <f t="array" ref="U25">_xll.FDSZ($R25,"FG_PRICE(0)")</f>
        <v>51.367019999999997</v>
      </c>
      <c r="V25" s="7" cm="1">
        <f t="array" ref="V25">_xll.FDSZ($R25,"FG_PRICE(0)")</f>
        <v>51.367019999999997</v>
      </c>
    </row>
    <row r="27" spans="1:22" x14ac:dyDescent="0.35">
      <c r="K27" s="119" t="s">
        <v>908</v>
      </c>
      <c r="L27" s="119">
        <f>SUM(L5:L25)</f>
        <v>3</v>
      </c>
      <c r="M27" s="119">
        <f>SUM(M5:M25)</f>
        <v>8</v>
      </c>
      <c r="N27" s="119">
        <f>SUM(N5:N25)</f>
        <v>9</v>
      </c>
    </row>
    <row r="28" spans="1:22" x14ac:dyDescent="0.35">
      <c r="K28" s="119" t="s">
        <v>86</v>
      </c>
      <c r="L28" s="119">
        <f>COUNT(L5:L25)</f>
        <v>21</v>
      </c>
      <c r="M28" s="119">
        <f>COUNT(M5:M25)</f>
        <v>21</v>
      </c>
      <c r="N28" s="119">
        <f>COUNT(N5:N25)</f>
        <v>21</v>
      </c>
    </row>
    <row r="29" spans="1:22" x14ac:dyDescent="0.35">
      <c r="K29" s="119"/>
      <c r="L29" s="119"/>
      <c r="M29" s="119"/>
      <c r="N29" s="119"/>
    </row>
    <row r="30" spans="1:22" x14ac:dyDescent="0.35">
      <c r="K30" s="119" t="s">
        <v>88</v>
      </c>
      <c r="L30" s="178">
        <f>L27/L28</f>
        <v>0.14285714285714285</v>
      </c>
      <c r="M30" s="178">
        <f t="shared" ref="M30:N30" si="5">M27/M28</f>
        <v>0.38095238095238093</v>
      </c>
      <c r="N30" s="178">
        <f t="shared" si="5"/>
        <v>0.42857142857142855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 t="s">
        <v>815</v>
      </c>
      <c r="H2" t="s">
        <v>816</v>
      </c>
      <c r="I2" t="s">
        <v>817</v>
      </c>
      <c r="J2" t="s">
        <v>818</v>
      </c>
      <c r="S2" t="s">
        <v>819</v>
      </c>
    </row>
    <row r="3" spans="1:20" x14ac:dyDescent="0.35">
      <c r="A3" t="s">
        <v>820</v>
      </c>
      <c r="B3" t="s">
        <v>821</v>
      </c>
      <c r="C3" cm="1">
        <f t="array" ref="C3">_xll.FDS($A3,"FG_PRICE(0)")</f>
        <v>107.95</v>
      </c>
      <c r="D3" cm="1">
        <f t="array" ref="D3">_xll.FDS($A3,"FG_PRICE_MAVG(0,,,,30)")</f>
        <v>108.05067</v>
      </c>
      <c r="E3" s="47" cm="1">
        <f t="array" ref="E3">_xll.FDS($A3,"FG_PRICE_CHANGE(0,-1AM)")</f>
        <v>-2.28116230650856</v>
      </c>
      <c r="F3" s="47" cm="1">
        <f t="array" ref="F3">_xll.FDS($A3,"FG_PRICE_CHANGE(0,-3AM)")</f>
        <v>-20.6716637272193</v>
      </c>
      <c r="G3" s="47" cm="1">
        <f t="array" ref="G3">_xll.FDS($A3,"FG_PRICE_CHANGE(0,-6AM)")</f>
        <v>-9.2933366943954301</v>
      </c>
      <c r="H3" s="47" cm="1">
        <f t="array" ref="H3">_xll.FDS($A3,"FG_PRICE_CHANGE(0,-1AY)")</f>
        <v>-10.2958284859565</v>
      </c>
      <c r="I3" s="47" cm="1">
        <f t="array" ref="I3">_xll.FDS($A3,"FG_PRICE(0)/MAX(FG_PRICE(0,-1AY))")</f>
        <v>0.74882075471698095</v>
      </c>
      <c r="J3" cm="1">
        <f t="array" ref="J3">_xll.FDS($A3,"MAX(FG_PRICE(0,-5AY))")</f>
        <v>219.77</v>
      </c>
      <c r="P3" t="s">
        <v>432</v>
      </c>
      <c r="Q3" t="s">
        <v>435</v>
      </c>
      <c r="R3" t="s">
        <v>432</v>
      </c>
      <c r="S3">
        <f>IF(E3&lt;$C$19, -1, IF(E3&gt;$C$20,1,0))</f>
        <v>0</v>
      </c>
      <c r="T3">
        <f>S3</f>
        <v>0</v>
      </c>
    </row>
    <row r="4" spans="1:20" x14ac:dyDescent="0.35">
      <c r="A4" t="s">
        <v>822</v>
      </c>
      <c r="B4" t="s">
        <v>823</v>
      </c>
      <c r="C4" cm="1">
        <f t="array" ref="C4">_xll.FDS($A4,"FG_PRICE(0)")</f>
        <v>4.4405000000000001</v>
      </c>
      <c r="D4" cm="1">
        <f t="array" ref="D4">_xll.FDS($A4,"FG_PRICE_MAVG(0,,,,30)")</f>
        <v>4.1241329999999996</v>
      </c>
      <c r="E4" s="47" cm="1">
        <f t="array" ref="E4">_xll.FDS($A4,"FG_PRICE_CHANGE(0,-1AM)")</f>
        <v>7.92319844452547</v>
      </c>
      <c r="F4" s="47" cm="1">
        <f t="array" ref="F4">_xll.FDS($A4,"FG_PRICE_CHANGE(0,-3AM)")</f>
        <v>18.571428571428601</v>
      </c>
      <c r="G4" s="47" cm="1">
        <f t="array" ref="G4">_xll.FDS($A4,"FG_PRICE_CHANGE(0,-6AM)")</f>
        <v>23.967057509771099</v>
      </c>
      <c r="H4" s="47" cm="1">
        <f t="array" ref="H4">_xll.FDS($A4,"FG_PRICE_CHANGE(0,-1AY)")</f>
        <v>8.5829563516322196</v>
      </c>
      <c r="I4" s="47" cm="1">
        <f t="array" ref="I4">_xll.FDS($A4,"FG_PRICE(0)/MAX(FG_PRICE(0,-1AY))")</f>
        <v>1</v>
      </c>
      <c r="J4" cm="1">
        <f t="array" ref="J4">_xll.FDS($A4,"MAX(FG_PRICE(0,-5AY))")</f>
        <v>4.9290000000000003</v>
      </c>
      <c r="P4" t="s">
        <v>27</v>
      </c>
      <c r="Q4" t="s">
        <v>436</v>
      </c>
      <c r="R4" t="s">
        <v>27</v>
      </c>
      <c r="S4">
        <f>IF(E4&lt;$C$19, -1, IF(E4&gt;$C$20,1,0))</f>
        <v>0</v>
      </c>
      <c r="T4">
        <f t="shared" ref="T4:T5" si="0">S4</f>
        <v>0</v>
      </c>
    </row>
    <row r="5" spans="1:20" x14ac:dyDescent="0.35">
      <c r="A5" t="s">
        <v>824</v>
      </c>
      <c r="B5" t="s">
        <v>461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-9.5544085115348203</v>
      </c>
      <c r="H5" s="47" cm="1">
        <f t="array" ref="H5">_xll.FDS($A5,"FG_PRICE_CHANGE(0,-1AY)")</f>
        <v>-2.5646845211075902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437</v>
      </c>
      <c r="R5" t="s">
        <v>35</v>
      </c>
      <c r="S5">
        <f>IF(E9&lt;$C$19, -1, IF(E9&gt;$C$20,1,0))</f>
        <v>0</v>
      </c>
      <c r="T5">
        <f t="shared" si="0"/>
        <v>0</v>
      </c>
    </row>
    <row r="6" spans="1:20" x14ac:dyDescent="0.35">
      <c r="A6" t="s">
        <v>825</v>
      </c>
      <c r="B6" t="s">
        <v>826</v>
      </c>
      <c r="C6" cm="1">
        <f t="array" ref="C6">_xll.FDS($A6,"FG_PRICE(0)")</f>
        <v>5.3674999999999997</v>
      </c>
      <c r="D6" cm="1">
        <f t="array" ref="D6">_xll.FDS($A6,"FG_PRICE_MAVG(0,,,,30)")</f>
        <v>5.4651665999999999</v>
      </c>
      <c r="E6" s="47" cm="1">
        <f t="array" ref="E6">_xll.FDS($A6,"FG_PRICE_CHANGE(0,-1AM)")</f>
        <v>-1.10548134500231</v>
      </c>
      <c r="F6" s="47" cm="1">
        <f t="array" ref="F6">_xll.FDS($A6,"FG_PRICE_CHANGE(0,-3AM)")</f>
        <v>-8.3262169086251205</v>
      </c>
      <c r="G6" s="47" cm="1">
        <f t="array" ref="G6">_xll.FDS($A6,"FG_PRICE_CHANGE(0,-6AM)")</f>
        <v>-7.4967686342094098</v>
      </c>
      <c r="H6" s="47" cm="1">
        <f t="array" ref="H6">_xll.FDS($A6,"FG_PRICE_CHANGE(0,-1AY)")</f>
        <v>-23.101719197707698</v>
      </c>
      <c r="I6" s="47" cm="1">
        <f t="array" ref="I6">_xll.FDS($A6,"FG_PRICE(0)/MAX(FG_PRICE(0,-1AY))")</f>
        <v>0.70601775731667205</v>
      </c>
      <c r="J6" cm="1">
        <f t="array" ref="J6">_xll.FDS($A6,"MAX(FG_PRICE(0,-5AY))")</f>
        <v>14.2525</v>
      </c>
      <c r="P6" t="s">
        <v>30</v>
      </c>
      <c r="Q6" t="s">
        <v>438</v>
      </c>
      <c r="R6" t="s">
        <v>30</v>
      </c>
    </row>
    <row r="7" spans="1:20" x14ac:dyDescent="0.35">
      <c r="A7" t="s">
        <v>827</v>
      </c>
      <c r="B7" t="s">
        <v>828</v>
      </c>
      <c r="C7" cm="1">
        <f t="array" ref="C7">_xll.FDS($A7,"FG_PRICE(0)")</f>
        <v>4125</v>
      </c>
      <c r="D7" cm="1">
        <f t="array" ref="D7">_xll.FDS($A7,"FG_PRICE_MAVG(0,,,,30)")</f>
        <v>4351.5330000000004</v>
      </c>
      <c r="E7" s="47" cm="1">
        <f t="array" ref="E7">_xll.FDS($A7,"FG_PRICE_CHANGE(0,-1AM)")</f>
        <v>-4.6463245492371703</v>
      </c>
      <c r="F7" s="47" cm="1">
        <f t="array" ref="F7">_xll.FDS($A7,"FG_PRICE_CHANGE(0,-3AM)")</f>
        <v>4.9885467039959304</v>
      </c>
      <c r="G7" s="47" cm="1">
        <f t="array" ref="G7">_xll.FDS($A7,"FG_PRICE_CHANGE(0,-6AM)")</f>
        <v>9.4454762536481809</v>
      </c>
      <c r="H7" s="47" cm="1">
        <f t="array" ref="H7">_xll.FDS($A7,"FG_PRICE_CHANGE(0,-1AY)")</f>
        <v>-0.36231884057971198</v>
      </c>
      <c r="I7" s="47" cm="1">
        <f t="array" ref="I7">_xll.FDS($A7,"FG_PRICE(0)/MAX(FG_PRICE(0,-1AY))")</f>
        <v>0.90085171434811095</v>
      </c>
      <c r="J7" cm="1">
        <f t="array" ref="J7">_xll.FDS($A7,"MAX(FG_PRICE(0,-5AY))")</f>
        <v>8163</v>
      </c>
      <c r="P7" t="s">
        <v>23</v>
      </c>
      <c r="Q7" t="s">
        <v>439</v>
      </c>
      <c r="R7" t="s">
        <v>23</v>
      </c>
    </row>
    <row r="8" spans="1:20" x14ac:dyDescent="0.35">
      <c r="A8" t="s">
        <v>829</v>
      </c>
      <c r="B8" t="s">
        <v>830</v>
      </c>
      <c r="C8" cm="1">
        <f t="array" ref="C8">_xll.FDS($A8,"FG_PRICE(0)")</f>
        <v>945</v>
      </c>
      <c r="D8" cm="1">
        <f t="array" ref="D8">_xll.FDS($A8,"FG_PRICE_MAVG(0,,,,30)")</f>
        <v>938.13336000000004</v>
      </c>
      <c r="E8" s="47" cm="1">
        <f t="array" ref="E8">_xll.FDS($A8,"FG_PRICE_CHANGE(0,-1AM)")</f>
        <v>1.0695187165775399</v>
      </c>
      <c r="F8" s="47" cm="1">
        <f t="array" ref="F8">_xll.FDS($A8,"FG_PRICE_CHANGE(0,-3AM)")</f>
        <v>5</v>
      </c>
      <c r="G8" s="47" cm="1">
        <f t="array" ref="G8">_xll.FDS($A8,"FG_PRICE_CHANGE(0,-6AM)")</f>
        <v>4.4198895027624401</v>
      </c>
      <c r="H8" s="47" cm="1">
        <f t="array" ref="H8">_xll.FDS($A8,"FG_PRICE_CHANGE(0,-1AY)")</f>
        <v>-12.5</v>
      </c>
      <c r="I8" s="47" cm="1">
        <f t="array" ref="I8">_xll.FDS($A8,"FG_PRICE(0)/MAX(FG_PRICE(0,-1AY))")</f>
        <v>0.83259911894273098</v>
      </c>
      <c r="J8" cm="1">
        <f t="array" ref="J8">_xll.FDS($A8,"MAX(FG_PRICE(0,-5AY))")</f>
        <v>1272.5899999999999</v>
      </c>
      <c r="P8" t="s">
        <v>29</v>
      </c>
      <c r="Q8" t="s">
        <v>440</v>
      </c>
      <c r="R8" t="s">
        <v>29</v>
      </c>
    </row>
    <row r="9" spans="1:20" x14ac:dyDescent="0.35">
      <c r="A9" t="s">
        <v>831</v>
      </c>
      <c r="B9" t="s">
        <v>832</v>
      </c>
      <c r="C9" cm="1">
        <f t="array" ref="C9">_xll.FDS($A9,"FG_PRICE(0)")</f>
        <v>18210</v>
      </c>
      <c r="D9" cm="1">
        <f t="array" ref="D9">_xll.FDS($A9,"FG_PRICE_MAVG(0,,,,30)")</f>
        <v>17501.833999999999</v>
      </c>
      <c r="E9" s="47" cm="1">
        <f t="array" ref="E9">_xll.FDS($A9,"FG_PRICE_CHANGE(0,-1AM)")</f>
        <v>2.9977375565610802</v>
      </c>
      <c r="F9" s="47" cm="1">
        <f t="array" ref="F9">_xll.FDS($A9,"FG_PRICE_CHANGE(0,-3AM)")</f>
        <v>14.7448015122873</v>
      </c>
      <c r="G9" s="47" cm="1">
        <f t="array" ref="G9">_xll.FDS($A9,"FG_PRICE_CHANGE(0,-6AM)")</f>
        <v>-1.4076881429344901</v>
      </c>
      <c r="H9" s="47" cm="1">
        <f t="array" ref="H9">_xll.FDS($A9,"FG_PRICE_CHANGE(0,-1AY)")</f>
        <v>-27.043269230769202</v>
      </c>
      <c r="I9" s="47" cm="1">
        <f t="array" ref="I9">_xll.FDS($A9,"FG_PRICE(0)/MAX(FG_PRICE(0,-1AY))")</f>
        <v>0.71299921691464396</v>
      </c>
      <c r="J9" cm="1">
        <f t="array" ref="J9">_xll.FDS($A9,"MAX(FG_PRICE(0,-5AY))")</f>
        <v>48241</v>
      </c>
      <c r="P9" t="s">
        <v>33</v>
      </c>
      <c r="Q9" t="s">
        <v>441</v>
      </c>
      <c r="R9" t="s">
        <v>33</v>
      </c>
      <c r="S9">
        <f>IF(E7&lt;$C$19, -1, IF(E7&gt;$C$20,1,0))</f>
        <v>0</v>
      </c>
      <c r="T9">
        <f t="shared" ref="T9" si="1">S9</f>
        <v>0</v>
      </c>
    </row>
    <row r="10" spans="1:20" x14ac:dyDescent="0.35">
      <c r="A10" t="s">
        <v>833</v>
      </c>
      <c r="B10" t="s">
        <v>834</v>
      </c>
      <c r="C10" cm="1">
        <f t="array" ref="C10">_xll.FDS($A10,"FG_PRICE(0)")</f>
        <v>1060</v>
      </c>
      <c r="D10" cm="1">
        <f t="array" ref="D10">_xll.FDS($A10,"FG_PRICE_MAVG(0,,,,30)")</f>
        <v>1043.0667000000001</v>
      </c>
      <c r="E10" s="47" cm="1">
        <f t="array" ref="E10">_xll.FDS($A10,"FG_PRICE_CHANGE(0,-1AM)")</f>
        <v>-1.3953488372092999</v>
      </c>
      <c r="F10" s="47" cm="1">
        <f t="array" ref="F10">_xll.FDS($A10,"FG_PRICE_CHANGE(0,-3AM)")</f>
        <v>12.1693121693122</v>
      </c>
      <c r="G10" s="47" cm="1">
        <f t="array" ref="G10">_xll.FDS($A10,"FG_PRICE_CHANGE(0,-6AM)")</f>
        <v>-7.4235807860262</v>
      </c>
      <c r="H10" s="47" cm="1">
        <f t="array" ref="H10">_xll.FDS($A10,"FG_PRICE_CHANGE(0,-1AY)")</f>
        <v>-35.168195718654403</v>
      </c>
      <c r="I10" s="47" cm="1">
        <f t="array" ref="I10">_xll.FDS($A10,"FG_PRICE(0)/MAX(FG_PRICE(0,-1AY))")</f>
        <v>0.64634146341463405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835</v>
      </c>
      <c r="C11" cm="1">
        <f t="array" ref="C11">_xll.FDS($A11,"FG_PRICE(0)")</f>
        <v>568.9</v>
      </c>
      <c r="D11" cm="1">
        <f t="array" ref="D11">_xll.FDS($A11,"FG_PRICE_MAVG(0,,,,30)")</f>
        <v>625.09</v>
      </c>
      <c r="E11" s="47" cm="1">
        <f t="array" ref="E11">_xll.FDS($A11,"FG_PRICE_CHANGE(0,-1AM)")</f>
        <v>-9.4108280254777092</v>
      </c>
      <c r="F11" s="47" cm="1">
        <f t="array" ref="F11">_xll.FDS($A11,"FG_PRICE_CHANGE(0,-3AM)")</f>
        <v>-12.6516198372486</v>
      </c>
      <c r="G11" s="47" cm="1">
        <f t="array" ref="G11">_xll.FDS($A11,"FG_PRICE_CHANGE(0,-6AM)")</f>
        <v>-23.3081693178754</v>
      </c>
      <c r="H11" s="47" cm="1">
        <f t="array" ref="H11">_xll.FDS($A11,"FG_PRICE_CHANGE(0,-1AY)")</f>
        <v>-15.855642656411799</v>
      </c>
      <c r="I11" s="47" cm="1">
        <f t="array" ref="I11">_xll.FDS($A11,"FG_PRICE(0)/MAX(FG_PRICE(0,-1AY))")</f>
        <v>0.74521875818705796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836</v>
      </c>
      <c r="B12" t="s">
        <v>837</v>
      </c>
      <c r="C12" cm="1">
        <f t="array" ref="C12">_xll.FDS($A12,"FG_PRICE(0)")</f>
        <v>0.96972035999999995</v>
      </c>
      <c r="D12" cm="1">
        <f t="array" ref="D12">_xll.FDS($A12,"FG_PRICE_MAVG(0,,,,30)")</f>
        <v>0.96408179999999999</v>
      </c>
      <c r="E12" s="47" cm="1">
        <f t="array" ref="E12">_xll.FDS($A12,"FG_PRICE_CHANGE(0,-1AM)")</f>
        <v>0.69777304442528698</v>
      </c>
      <c r="F12" s="47" cm="1">
        <f t="array" ref="F12">_xll.FDS($A12,"FG_PRICE_CHANGE(0,-3AM)")</f>
        <v>-1.7483243511822399</v>
      </c>
      <c r="G12" s="47" cm="1">
        <f t="array" ref="G12">_xll.FDS($A12,"FG_PRICE_CHANGE(0,-6AM)")</f>
        <v>-4.2304559717728401</v>
      </c>
      <c r="H12" s="47" cm="1">
        <f t="array" ref="H12">_xll.FDS($A12,"FG_PRICE_CHANGE(0,-1AY)")</f>
        <v>-11.843603636363699</v>
      </c>
      <c r="I12" s="47" cm="1">
        <f t="array" ref="I12">_xll.FDS($A12,"FG_PRICE(0)/MAX(FG_PRICE(0,-1AY))")</f>
        <v>0.88156396363636302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-1, IF(E3&gt;$C$20,1,0))</f>
        <v>0</v>
      </c>
      <c r="T13">
        <f t="shared" ref="T13:T23" si="2">S13</f>
        <v>0</v>
      </c>
    </row>
    <row r="14" spans="1:20" x14ac:dyDescent="0.35">
      <c r="P14" t="s">
        <v>22</v>
      </c>
      <c r="Q14" t="s">
        <v>442</v>
      </c>
      <c r="R14" t="s">
        <v>22</v>
      </c>
      <c r="S14" t="str">
        <f>IF(E8&lt;$C$19, -1, "")</f>
        <v/>
      </c>
      <c r="T14" t="str">
        <f t="shared" si="2"/>
        <v/>
      </c>
    </row>
    <row r="15" spans="1:20" x14ac:dyDescent="0.35">
      <c r="P15" t="s">
        <v>28</v>
      </c>
      <c r="Q15" t="s">
        <v>443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444</v>
      </c>
      <c r="R18" t="s">
        <v>31</v>
      </c>
    </row>
    <row r="19" spans="2:20" x14ac:dyDescent="0.35">
      <c r="B19" t="s">
        <v>839</v>
      </c>
      <c r="C19" s="56">
        <v>-5</v>
      </c>
      <c r="P19" s="1" t="s">
        <v>757</v>
      </c>
      <c r="Q19" s="1" t="s">
        <v>758</v>
      </c>
      <c r="R19" s="1" t="s">
        <v>757</v>
      </c>
    </row>
    <row r="20" spans="2:20" x14ac:dyDescent="0.35">
      <c r="B20" t="s">
        <v>840</v>
      </c>
      <c r="C20" s="56">
        <v>10</v>
      </c>
      <c r="P20" t="s">
        <v>25</v>
      </c>
      <c r="Q20" t="s">
        <v>446</v>
      </c>
      <c r="R20" t="s">
        <v>25</v>
      </c>
    </row>
    <row r="21" spans="2:20" x14ac:dyDescent="0.35">
      <c r="P21" t="s">
        <v>34</v>
      </c>
      <c r="Q21" t="s">
        <v>447</v>
      </c>
      <c r="R21" t="s">
        <v>34</v>
      </c>
      <c r="S21" s="1"/>
    </row>
    <row r="22" spans="2:20" x14ac:dyDescent="0.35">
      <c r="P22" t="s">
        <v>37</v>
      </c>
      <c r="Q22" t="s">
        <v>448</v>
      </c>
      <c r="R22" t="s">
        <v>37</v>
      </c>
    </row>
    <row r="23" spans="2:20" x14ac:dyDescent="0.35">
      <c r="P23" t="s">
        <v>36</v>
      </c>
      <c r="Q23" t="s">
        <v>449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433</v>
      </c>
      <c r="Q24" t="s">
        <v>450</v>
      </c>
      <c r="R24" t="s">
        <v>433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451</v>
      </c>
      <c r="R30" t="s">
        <v>48</v>
      </c>
    </row>
    <row r="31" spans="2:20" x14ac:dyDescent="0.35">
      <c r="P31" t="s">
        <v>51</v>
      </c>
      <c r="Q31" t="s">
        <v>452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_xll.FDS(C1,"JULIAN(FMA_DIV_YLD(LTMA,-10AY,0,AM,""PORTAGG"",""MEANR"").dates)")</f>
        <v>41746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15.680436051604101</v>
      </c>
      <c r="D2" s="3" cm="1">
        <f t="array" ref="D2:D122">_xll.FDS(D1,"FMA_PE(LTMA,-10AY,0,AM,""PORTAGG"",""MEANR"")")</f>
        <v>15.743742378036499</v>
      </c>
      <c r="E2" s="3" cm="1">
        <f t="array" ref="E2:E122">_xll.FDS(E1,"FMA_PE(LTMA,-10AY,0,AM,""PORTAGG"",""MEANR"")")</f>
        <v>19.286712257141499</v>
      </c>
      <c r="F2" s="3" cm="1">
        <f t="array" ref="F2:F122">_xll.FDS(F1,"FMA_PE(LTMA,-10AY,0,AM,""PORTAGG"",""MEANR"")")</f>
        <v>15.3738677151321</v>
      </c>
      <c r="G2" s="3" cm="1">
        <f t="array" ref="G2:G122">_xll.FDS(G1,"FMA_PE(LTMA,-10AY,0,AM,""PORTAGG"",""MEANR"")")</f>
        <v>14.8250817521072</v>
      </c>
      <c r="H2" s="3" cm="1">
        <f t="array" ref="H2:H122">_xll.FDS(H1,"FMA_PE(LTMA,-10AY,0,AM,""PORTAGG"",""MEANR"")")</f>
        <v>16.709546926784199</v>
      </c>
      <c r="I2" s="3" cm="1">
        <f t="array" ref="I2:I122">_xll.FDS(I1,"FMA_PE(LTMA,-10AY,0,AM,""PORTAGG"",""MEANR"")")</f>
        <v>15.662696907277301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11.5082338161441</v>
      </c>
      <c r="L2" s="3" cm="1">
        <f t="array" ref="L2:L122">_xll.FDS(L1,"FMA_PE(LTMA,-10AY,0,AM,""PORTAGG"",""MEANR"")")</f>
        <v>11.529742982445701</v>
      </c>
      <c r="M2" s="3" cm="1">
        <f t="array" ref="M2:M122">_xll.FDS(M1,"FMA_PE(LTMA,-10AY,0,AM,""PORTAGG"",""MEANR"")")</f>
        <v>15.6291300620485</v>
      </c>
      <c r="N2" s="3" cm="1">
        <f t="array" ref="N2:N122">_xll.FDS(N1,"FMA_PE(LTMA,-10AY,0,AM,""PORTAGG"",""MEANR"")")</f>
        <v>31.607578548602699</v>
      </c>
      <c r="O2" s="3" cm="1">
        <f t="array" ref="O2:O122">_xll.FDS(O1,"FMA_PE(LTMA,-10AY,0,AM,""PORTAGG"",""MEANR"")")</f>
        <v>16.409116369472301</v>
      </c>
      <c r="P2" s="3" cm="1">
        <f t="array" ref="P2:P122">_xll.FDS(P1,"FMA_PE(LTMA,-10AY,0,AM,""PORTAGG"",""MEANR"")")</f>
        <v>9.2720335604977002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18.313073845852699</v>
      </c>
      <c r="S2" s="3" cm="1">
        <f t="array" ref="S2:S122">_xll.FDS(S1,"FMA_PE(LTMA,-10AY,0,AM,""PORTAGG"",""MEANR"")")</f>
        <v>9.7430722575245792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11.836127226378901</v>
      </c>
      <c r="V2" s="3" t="e" cm="1">
        <f t="array" ref="V2:V122">_xll.FDS(V1,"FMA_PE(LTMA,-10AY,0,AM,""PORTAGG"",""MEANR"")")</f>
        <v>#N/A</v>
      </c>
    </row>
    <row r="3" spans="1:22" x14ac:dyDescent="0.35">
      <c r="A3" s="2">
        <v>41775</v>
      </c>
      <c r="B3" s="3" t="e">
        <v>#N/A</v>
      </c>
      <c r="C3" s="3">
        <v>15.863463529410801</v>
      </c>
      <c r="D3" s="3">
        <v>15.770318671042601</v>
      </c>
      <c r="E3" s="3">
        <v>19.349068458750502</v>
      </c>
      <c r="F3" s="3">
        <v>15.1494664353304</v>
      </c>
      <c r="G3" s="3">
        <v>14.777466550212701</v>
      </c>
      <c r="H3" s="3">
        <v>16.729772515234199</v>
      </c>
      <c r="I3" s="3">
        <v>15.4538325582235</v>
      </c>
      <c r="J3" s="3" t="e">
        <v>#N/A</v>
      </c>
      <c r="K3" s="3">
        <v>11.449820275697601</v>
      </c>
      <c r="L3" s="3">
        <v>11.610346200867699</v>
      </c>
      <c r="M3" s="3">
        <v>15.6167620241566</v>
      </c>
      <c r="N3" s="3">
        <v>30.9044776412101</v>
      </c>
      <c r="O3" s="3">
        <v>16.6533600367692</v>
      </c>
      <c r="P3" s="3">
        <v>9.2127720292380193</v>
      </c>
      <c r="Q3" s="3" t="e">
        <v>#N/A</v>
      </c>
      <c r="R3" s="3">
        <v>18.099349589614501</v>
      </c>
      <c r="S3" s="3">
        <v>9.9851331186247307</v>
      </c>
      <c r="T3" s="3" t="e">
        <v>#N/A</v>
      </c>
      <c r="U3" s="3">
        <v>11.896891577119099</v>
      </c>
      <c r="V3" s="3" t="e">
        <v>#N/A</v>
      </c>
    </row>
    <row r="4" spans="1:22" x14ac:dyDescent="0.35">
      <c r="A4" s="2">
        <v>41808</v>
      </c>
      <c r="B4" s="3" t="e">
        <v>#N/A</v>
      </c>
      <c r="C4" s="3">
        <v>15.8608115779745</v>
      </c>
      <c r="D4" s="3">
        <v>15.4743432883062</v>
      </c>
      <c r="E4" s="3">
        <v>19.098813520810701</v>
      </c>
      <c r="F4" s="3">
        <v>15.1404994798733</v>
      </c>
      <c r="G4" s="3">
        <v>15.2295400579083</v>
      </c>
      <c r="H4" s="3">
        <v>16.737646934378901</v>
      </c>
      <c r="I4" s="3">
        <v>15.5531150970208</v>
      </c>
      <c r="J4" s="3" t="e">
        <v>#N/A</v>
      </c>
      <c r="K4" s="3">
        <v>11.2807744740277</v>
      </c>
      <c r="L4" s="3">
        <v>11.9261418894349</v>
      </c>
      <c r="M4" s="3">
        <v>15.7560331540252</v>
      </c>
      <c r="N4" s="3">
        <v>26.480837204850602</v>
      </c>
      <c r="O4" s="3">
        <v>17.069229291722401</v>
      </c>
      <c r="P4" s="3">
        <v>9.3335662877497008</v>
      </c>
      <c r="Q4" s="3" t="e">
        <v>#N/A</v>
      </c>
      <c r="R4" s="3">
        <v>17.719874630069601</v>
      </c>
      <c r="S4" s="3">
        <v>10.239769909289301</v>
      </c>
      <c r="T4" s="3" t="e">
        <v>#N/A</v>
      </c>
      <c r="U4" s="3">
        <v>12.434276258983299</v>
      </c>
      <c r="V4" s="3" t="e">
        <v>#N/A</v>
      </c>
    </row>
    <row r="5" spans="1:22" x14ac:dyDescent="0.35">
      <c r="A5" s="2">
        <v>41838</v>
      </c>
      <c r="B5" s="3" t="e">
        <v>#N/A</v>
      </c>
      <c r="C5" s="3">
        <v>16.242957989075599</v>
      </c>
      <c r="D5" s="3">
        <v>15.800875344148899</v>
      </c>
      <c r="E5" s="3">
        <v>19.229123643533299</v>
      </c>
      <c r="F5" s="3">
        <v>14.7440601397061</v>
      </c>
      <c r="G5" s="3">
        <v>15.8289665684879</v>
      </c>
      <c r="H5" s="3">
        <v>16.676940192644601</v>
      </c>
      <c r="I5" s="3">
        <v>15.3465668149565</v>
      </c>
      <c r="J5" s="3" t="e">
        <v>#N/A</v>
      </c>
      <c r="K5" s="3">
        <v>11.3425931785643</v>
      </c>
      <c r="L5" s="3">
        <v>12.138308886773499</v>
      </c>
      <c r="M5" s="3">
        <v>16.044424844680599</v>
      </c>
      <c r="N5" s="3">
        <v>23.757229799218301</v>
      </c>
      <c r="O5" s="3">
        <v>17.2273349734471</v>
      </c>
      <c r="P5" s="3">
        <v>9.4602281876346499</v>
      </c>
      <c r="Q5" s="3" t="e">
        <v>#N/A</v>
      </c>
      <c r="R5" s="3">
        <v>17.8428623143955</v>
      </c>
      <c r="S5" s="3">
        <v>10.7556040256946</v>
      </c>
      <c r="T5" s="3" t="e">
        <v>#N/A</v>
      </c>
      <c r="U5" s="3">
        <v>12.7350877746414</v>
      </c>
      <c r="V5" s="3" t="e">
        <v>#N/A</v>
      </c>
    </row>
    <row r="6" spans="1:22" x14ac:dyDescent="0.35">
      <c r="A6" s="2">
        <v>41869</v>
      </c>
      <c r="B6" s="3" t="e">
        <v>#N/A</v>
      </c>
      <c r="C6" s="3">
        <v>16.5072253212311</v>
      </c>
      <c r="D6" s="3">
        <v>15.929488336780301</v>
      </c>
      <c r="E6" s="3">
        <v>19.446192817485201</v>
      </c>
      <c r="F6" s="3">
        <v>14.795149302579301</v>
      </c>
      <c r="G6" s="3">
        <v>15.733748622094501</v>
      </c>
      <c r="H6" s="3">
        <v>16.7007812707736</v>
      </c>
      <c r="I6" s="3">
        <v>14.892581862339499</v>
      </c>
      <c r="J6" s="3" t="e">
        <v>#N/A</v>
      </c>
      <c r="K6" s="3">
        <v>11.5839536589076</v>
      </c>
      <c r="L6" s="3">
        <v>12.5108521334261</v>
      </c>
      <c r="M6" s="3">
        <v>16.301010009376501</v>
      </c>
      <c r="N6" s="3">
        <v>21.229577527553001</v>
      </c>
      <c r="O6" s="3">
        <v>17.5897023737061</v>
      </c>
      <c r="P6" s="3">
        <v>9.75481592115508</v>
      </c>
      <c r="Q6" s="3" t="e">
        <v>#N/A</v>
      </c>
      <c r="R6" s="3">
        <v>18.8080850931659</v>
      </c>
      <c r="S6" s="3">
        <v>10.394849539525101</v>
      </c>
      <c r="T6" s="3" t="e">
        <v>#N/A</v>
      </c>
      <c r="U6" s="3">
        <v>12.9622290210429</v>
      </c>
      <c r="V6" s="3" t="e">
        <v>#N/A</v>
      </c>
    </row>
    <row r="7" spans="1:22" x14ac:dyDescent="0.35">
      <c r="A7" s="2">
        <v>41900</v>
      </c>
      <c r="B7" s="3" t="e">
        <v>#N/A</v>
      </c>
      <c r="C7" s="3">
        <v>16.575912687330799</v>
      </c>
      <c r="D7" s="3">
        <v>15.941233745898799</v>
      </c>
      <c r="E7" s="3">
        <v>19.974795909150401</v>
      </c>
      <c r="F7" s="3">
        <v>14.772556340691301</v>
      </c>
      <c r="G7" s="3">
        <v>15.654071452090401</v>
      </c>
      <c r="H7" s="3">
        <v>16.748047907000199</v>
      </c>
      <c r="I7" s="3">
        <v>14.7594905328269</v>
      </c>
      <c r="J7" s="3" t="e">
        <v>#N/A</v>
      </c>
      <c r="K7" s="3">
        <v>11.631434177782801</v>
      </c>
      <c r="L7" s="3">
        <v>12.727207795871999</v>
      </c>
      <c r="M7" s="3">
        <v>16.501135073734499</v>
      </c>
      <c r="N7" s="3">
        <v>19.3539250229076</v>
      </c>
      <c r="O7" s="3">
        <v>18.0500260261453</v>
      </c>
      <c r="P7" s="3">
        <v>9.5791019831971909</v>
      </c>
      <c r="Q7" s="3" t="e">
        <v>#N/A</v>
      </c>
      <c r="R7" s="3">
        <v>19.214084013427701</v>
      </c>
      <c r="S7" s="3">
        <v>10.526516207194399</v>
      </c>
      <c r="T7" s="3" t="e">
        <v>#N/A</v>
      </c>
      <c r="U7" s="3">
        <v>13.131557242546901</v>
      </c>
      <c r="V7" s="3" t="e">
        <v>#N/A</v>
      </c>
    </row>
    <row r="8" spans="1:22" x14ac:dyDescent="0.35">
      <c r="A8" s="2">
        <v>41929</v>
      </c>
      <c r="B8" s="3" t="e">
        <v>#N/A</v>
      </c>
      <c r="C8" s="3">
        <v>15.9503131629912</v>
      </c>
      <c r="D8" s="3">
        <v>15.896663151606001</v>
      </c>
      <c r="E8" s="3">
        <v>19.254080012890402</v>
      </c>
      <c r="F8" s="3">
        <v>14.505702684570799</v>
      </c>
      <c r="G8" s="3">
        <v>14.2496344830412</v>
      </c>
      <c r="H8" s="3">
        <v>16.322044448657699</v>
      </c>
      <c r="I8" s="3">
        <v>13.7068439159322</v>
      </c>
      <c r="J8" s="3" t="e">
        <v>#N/A</v>
      </c>
      <c r="K8" s="3">
        <v>10.8848598806712</v>
      </c>
      <c r="L8" s="3">
        <v>12.6410730960707</v>
      </c>
      <c r="M8" s="3">
        <v>15.917385016722699</v>
      </c>
      <c r="N8" s="3">
        <v>17.248382338728799</v>
      </c>
      <c r="O8" s="3">
        <v>17.6018228981549</v>
      </c>
      <c r="P8" s="3">
        <v>9.1762503797382902</v>
      </c>
      <c r="Q8" s="3" t="e">
        <v>#N/A</v>
      </c>
      <c r="R8" s="3">
        <v>18.720754953807599</v>
      </c>
      <c r="S8" s="3">
        <v>10.400408772012501</v>
      </c>
      <c r="T8" s="3" t="e">
        <v>#N/A</v>
      </c>
      <c r="U8" s="3">
        <v>12.956860779229199</v>
      </c>
      <c r="V8" s="3" t="e">
        <v>#N/A</v>
      </c>
    </row>
    <row r="9" spans="1:22" x14ac:dyDescent="0.35">
      <c r="A9" s="2">
        <v>41961</v>
      </c>
      <c r="B9" s="3" t="e">
        <v>#N/A</v>
      </c>
      <c r="C9" s="3">
        <v>16.472984602134801</v>
      </c>
      <c r="D9" s="3">
        <v>16.087292681600601</v>
      </c>
      <c r="E9" s="3">
        <v>20.129113900255501</v>
      </c>
      <c r="F9" s="3">
        <v>14.640469949183201</v>
      </c>
      <c r="G9" s="3">
        <v>14.1648847117845</v>
      </c>
      <c r="H9" s="3">
        <v>16.4816745213977</v>
      </c>
      <c r="I9" s="3">
        <v>13.8451301462865</v>
      </c>
      <c r="J9" s="3" t="e">
        <v>#N/A</v>
      </c>
      <c r="K9" s="3">
        <v>11.6048357995939</v>
      </c>
      <c r="L9" s="3">
        <v>12.328853572025301</v>
      </c>
      <c r="M9" s="3">
        <v>16.966459680450601</v>
      </c>
      <c r="N9" s="3">
        <v>17.0153789445488</v>
      </c>
      <c r="O9" s="3">
        <v>19.242856805712901</v>
      </c>
      <c r="P9" s="3">
        <v>9.4153531105238297</v>
      </c>
      <c r="Q9" s="3" t="e">
        <v>#N/A</v>
      </c>
      <c r="R9" s="3">
        <v>19.818700254787601</v>
      </c>
      <c r="S9" s="3">
        <v>11.195297047170699</v>
      </c>
      <c r="T9" s="3" t="e">
        <v>#N/A</v>
      </c>
      <c r="U9" s="3">
        <v>12.8211170833811</v>
      </c>
      <c r="V9" s="3" t="e">
        <v>#N/A</v>
      </c>
    </row>
    <row r="10" spans="1:22" x14ac:dyDescent="0.35">
      <c r="A10" s="2">
        <v>41991</v>
      </c>
      <c r="B10" s="3" t="e">
        <v>#N/A</v>
      </c>
      <c r="C10" s="3">
        <v>16.5123787654125</v>
      </c>
      <c r="D10" s="3">
        <v>16.610099767307901</v>
      </c>
      <c r="E10" s="3">
        <v>19.4369007907707</v>
      </c>
      <c r="F10" s="3">
        <v>14.4604280099274</v>
      </c>
      <c r="G10" s="3">
        <v>14.057860387504</v>
      </c>
      <c r="H10" s="3">
        <v>15.8053429842561</v>
      </c>
      <c r="I10" s="3">
        <v>13.383547723767</v>
      </c>
      <c r="J10" s="3" t="e">
        <v>#N/A</v>
      </c>
      <c r="K10" s="3">
        <v>11.331368696687999</v>
      </c>
      <c r="L10" s="3">
        <v>11.891699328068301</v>
      </c>
      <c r="M10" s="3">
        <v>16.7474648552849</v>
      </c>
      <c r="N10" s="3">
        <v>17.341593403271801</v>
      </c>
      <c r="O10" s="3">
        <v>18.840995881794399</v>
      </c>
      <c r="P10" s="3">
        <v>9.7421271949503101</v>
      </c>
      <c r="Q10" s="3" t="e">
        <v>#N/A</v>
      </c>
      <c r="R10" s="3">
        <v>19.407517531045599</v>
      </c>
      <c r="S10" s="3">
        <v>11.4366883790243</v>
      </c>
      <c r="T10" s="3" t="e">
        <v>#N/A</v>
      </c>
      <c r="U10" s="3">
        <v>12.3705389981795</v>
      </c>
      <c r="V10" s="3" t="e">
        <v>#N/A</v>
      </c>
    </row>
    <row r="11" spans="1:22" x14ac:dyDescent="0.35">
      <c r="A11" s="2">
        <v>42020</v>
      </c>
      <c r="B11" s="3" t="e">
        <v>#N/A</v>
      </c>
      <c r="C11" s="3">
        <v>15.8195303560521</v>
      </c>
      <c r="D11" s="3">
        <v>16.669062080028301</v>
      </c>
      <c r="E11" s="3">
        <v>20.533192341018601</v>
      </c>
      <c r="F11" s="3">
        <v>14.0318595025236</v>
      </c>
      <c r="G11" s="3">
        <v>14.969922229734999</v>
      </c>
      <c r="H11" s="3">
        <v>16.1723007875636</v>
      </c>
      <c r="I11" s="3">
        <v>13.7528343719015</v>
      </c>
      <c r="J11" s="3" t="e">
        <v>#N/A</v>
      </c>
      <c r="K11" s="3">
        <v>11.228723121578801</v>
      </c>
      <c r="L11" s="3">
        <v>12.264839680193599</v>
      </c>
      <c r="M11" s="3">
        <v>16.9922138724151</v>
      </c>
      <c r="N11" s="3">
        <v>12.640628831803999</v>
      </c>
      <c r="O11" s="3">
        <v>19.8716776123964</v>
      </c>
      <c r="P11" s="3">
        <v>10.4351891737562</v>
      </c>
      <c r="Q11" s="3">
        <v>14.614131599533801</v>
      </c>
      <c r="R11" s="3">
        <v>19.528810853968999</v>
      </c>
      <c r="S11" s="3">
        <v>12.136907312156101</v>
      </c>
      <c r="T11" s="3">
        <v>12.1380216727148</v>
      </c>
      <c r="U11" s="3">
        <v>12.450910878161601</v>
      </c>
      <c r="V11" s="3" t="e">
        <v>#N/A</v>
      </c>
    </row>
    <row r="12" spans="1:22" x14ac:dyDescent="0.35">
      <c r="A12" s="2">
        <v>42053</v>
      </c>
      <c r="B12" s="3" t="e">
        <v>#N/A</v>
      </c>
      <c r="C12" s="3">
        <v>16.7710152279911</v>
      </c>
      <c r="D12" s="3">
        <v>17.755612424302299</v>
      </c>
      <c r="E12" s="3">
        <v>21.1472408682646</v>
      </c>
      <c r="F12" s="3">
        <v>18.9828089337995</v>
      </c>
      <c r="G12" s="3">
        <v>16.3841948538374</v>
      </c>
      <c r="H12" s="3">
        <v>16.578775706759298</v>
      </c>
      <c r="I12" s="3">
        <v>14.281441658190101</v>
      </c>
      <c r="J12" s="3" t="e">
        <v>#N/A</v>
      </c>
      <c r="K12" s="3">
        <v>12.300397778040001</v>
      </c>
      <c r="L12" s="3">
        <v>12.7732804514731</v>
      </c>
      <c r="M12" s="3">
        <v>18.1509678238437</v>
      </c>
      <c r="N12" s="3">
        <v>15.291812061168001</v>
      </c>
      <c r="O12" s="3">
        <v>21.089065959326799</v>
      </c>
      <c r="P12" s="3">
        <v>10.752161236536301</v>
      </c>
      <c r="Q12" s="3">
        <v>15.1763515120075</v>
      </c>
      <c r="R12" s="3">
        <v>22.647939385105602</v>
      </c>
      <c r="S12" s="3">
        <v>12.117875603332999</v>
      </c>
      <c r="T12" s="3">
        <v>12.725945981706101</v>
      </c>
      <c r="U12" s="3">
        <v>12.999850451230699</v>
      </c>
      <c r="V12" s="3" t="e">
        <v>#N/A</v>
      </c>
    </row>
    <row r="13" spans="1:22" x14ac:dyDescent="0.35">
      <c r="A13" s="2">
        <v>42081</v>
      </c>
      <c r="B13" s="3" t="e">
        <v>#N/A</v>
      </c>
      <c r="C13" s="3">
        <v>16.457077445231899</v>
      </c>
      <c r="D13" s="3">
        <v>17.886962825007299</v>
      </c>
      <c r="E13" s="3">
        <v>20.915967730197099</v>
      </c>
      <c r="F13" s="3">
        <v>20.0323406363527</v>
      </c>
      <c r="G13" s="3">
        <v>16.109440286326599</v>
      </c>
      <c r="H13" s="3">
        <v>16.999609097312899</v>
      </c>
      <c r="I13" s="3">
        <v>14.2701492714904</v>
      </c>
      <c r="J13" s="3" t="e">
        <v>#N/A</v>
      </c>
      <c r="K13" s="3">
        <v>12.1966290786785</v>
      </c>
      <c r="L13" s="3">
        <v>13.011890701671</v>
      </c>
      <c r="M13" s="3">
        <v>18.347754796296599</v>
      </c>
      <c r="N13" s="3">
        <v>17.331148430283999</v>
      </c>
      <c r="O13" s="3">
        <v>20.888637081200901</v>
      </c>
      <c r="P13" s="3">
        <v>10.8006275725654</v>
      </c>
      <c r="Q13" s="3">
        <v>14.8038942923738</v>
      </c>
      <c r="R13" s="3">
        <v>23.154787816247499</v>
      </c>
      <c r="S13" s="3">
        <v>11.743999699907199</v>
      </c>
      <c r="T13" s="3">
        <v>12.821768078630299</v>
      </c>
      <c r="U13" s="3">
        <v>16.626955933055399</v>
      </c>
      <c r="V13" s="3" t="e">
        <v>#N/A</v>
      </c>
    </row>
    <row r="14" spans="1:22" x14ac:dyDescent="0.35">
      <c r="A14" s="2">
        <v>42111</v>
      </c>
      <c r="B14" s="3" t="e">
        <v>#N/A</v>
      </c>
      <c r="C14" s="3">
        <v>16.4125894930093</v>
      </c>
      <c r="D14" s="3">
        <v>17.8008324346129</v>
      </c>
      <c r="E14" s="3">
        <v>20.815066610095201</v>
      </c>
      <c r="F14" s="3">
        <v>19.743281729631398</v>
      </c>
      <c r="G14" s="3">
        <v>15.6339653039638</v>
      </c>
      <c r="H14" s="3">
        <v>17.0357761151195</v>
      </c>
      <c r="I14" s="3">
        <v>14.080254934571901</v>
      </c>
      <c r="J14" s="3" t="e">
        <v>#N/A</v>
      </c>
      <c r="K14" s="3">
        <v>12.089302164924399</v>
      </c>
      <c r="L14" s="3">
        <v>13.4619768717145</v>
      </c>
      <c r="M14" s="3">
        <v>18.550834578130601</v>
      </c>
      <c r="N14" s="3">
        <v>16.2725125263857</v>
      </c>
      <c r="O14" s="3">
        <v>20.6955042195641</v>
      </c>
      <c r="P14" s="3">
        <v>11.430391328835601</v>
      </c>
      <c r="Q14" s="3">
        <v>14.7892368614645</v>
      </c>
      <c r="R14" s="3">
        <v>22.529725885476999</v>
      </c>
      <c r="S14" s="3">
        <v>11.6942712353265</v>
      </c>
      <c r="T14" s="3">
        <v>13.4955075964412</v>
      </c>
      <c r="U14" s="3">
        <v>16.7860826239706</v>
      </c>
      <c r="V14" s="3" t="e">
        <v>#N/A</v>
      </c>
    </row>
    <row r="15" spans="1:22" x14ac:dyDescent="0.35">
      <c r="A15" s="2">
        <v>42142</v>
      </c>
      <c r="B15" s="3" t="e">
        <v>#N/A</v>
      </c>
      <c r="C15" s="3">
        <v>16.4822811838958</v>
      </c>
      <c r="D15" s="3">
        <v>17.494970691240699</v>
      </c>
      <c r="E15" s="3">
        <v>20.668205033098101</v>
      </c>
      <c r="F15" s="3">
        <v>19.134387966261599</v>
      </c>
      <c r="G15" s="3">
        <v>15.6129176232527</v>
      </c>
      <c r="H15" s="3">
        <v>16.9372684944288</v>
      </c>
      <c r="I15" s="3">
        <v>14.035349361259</v>
      </c>
      <c r="J15" s="3" t="e">
        <v>#N/A</v>
      </c>
      <c r="K15" s="3">
        <v>11.7375266104019</v>
      </c>
      <c r="L15" s="3">
        <v>13.8892500899683</v>
      </c>
      <c r="M15" s="3">
        <v>18.454575204584199</v>
      </c>
      <c r="N15" s="3">
        <v>15.072840949053701</v>
      </c>
      <c r="O15" s="3">
        <v>20.386962648530499</v>
      </c>
      <c r="P15" s="3">
        <v>11.477423220982899</v>
      </c>
      <c r="Q15" s="3">
        <v>14.8409505478249</v>
      </c>
      <c r="R15" s="3">
        <v>21.936770552123701</v>
      </c>
      <c r="S15" s="3">
        <v>11.958863105821299</v>
      </c>
      <c r="T15" s="3">
        <v>13.757753557873301</v>
      </c>
      <c r="U15" s="3">
        <v>16.360667867132399</v>
      </c>
      <c r="V15" s="3" t="e">
        <v>#N/A</v>
      </c>
    </row>
    <row r="16" spans="1:22" x14ac:dyDescent="0.35">
      <c r="A16" s="2">
        <v>42173</v>
      </c>
      <c r="B16" s="3" t="e">
        <v>#N/A</v>
      </c>
      <c r="C16" s="3">
        <v>16.081015886510102</v>
      </c>
      <c r="D16" s="3">
        <v>17.030466214719102</v>
      </c>
      <c r="E16" s="3">
        <v>20.189600228490001</v>
      </c>
      <c r="F16" s="3">
        <v>17.925394947112899</v>
      </c>
      <c r="G16" s="3">
        <v>16.3478414122687</v>
      </c>
      <c r="H16" s="3">
        <v>16.615294062959599</v>
      </c>
      <c r="I16" s="3">
        <v>13.774936612469499</v>
      </c>
      <c r="J16" s="3" t="e">
        <v>#N/A</v>
      </c>
      <c r="K16" s="3">
        <v>11.348039209793701</v>
      </c>
      <c r="L16" s="3">
        <v>13.970154312883899</v>
      </c>
      <c r="M16" s="3">
        <v>17.930076033395402</v>
      </c>
      <c r="N16" s="3">
        <v>14.021566035298701</v>
      </c>
      <c r="O16" s="3">
        <v>20.154241239264099</v>
      </c>
      <c r="P16" s="3">
        <v>11.2744703198801</v>
      </c>
      <c r="Q16" s="3">
        <v>14.517363943979101</v>
      </c>
      <c r="R16" s="3">
        <v>21.291167430945301</v>
      </c>
      <c r="S16" s="3">
        <v>11.5231549471074</v>
      </c>
      <c r="T16" s="3">
        <v>13.496334509362899</v>
      </c>
      <c r="U16" s="3">
        <v>16.638728186338</v>
      </c>
      <c r="V16" s="3" t="e">
        <v>#N/A</v>
      </c>
    </row>
    <row r="17" spans="1:22" x14ac:dyDescent="0.35">
      <c r="A17" s="2">
        <v>42202</v>
      </c>
      <c r="B17" s="3" t="e">
        <v>#N/A</v>
      </c>
      <c r="C17" s="3">
        <v>15.4629178595361</v>
      </c>
      <c r="D17" s="3">
        <v>16.826858367597801</v>
      </c>
      <c r="E17" s="3">
        <v>20.149056632740599</v>
      </c>
      <c r="F17" s="3">
        <v>17.175814781949502</v>
      </c>
      <c r="G17" s="3">
        <v>15.7159337579577</v>
      </c>
      <c r="H17" s="3">
        <v>16.6086089496158</v>
      </c>
      <c r="I17" s="3">
        <v>13.525806646195701</v>
      </c>
      <c r="J17" s="3" t="e">
        <v>#N/A</v>
      </c>
      <c r="K17" s="3">
        <v>11.180160804213401</v>
      </c>
      <c r="L17" s="3">
        <v>13.698523966632299</v>
      </c>
      <c r="M17" s="3">
        <v>18.0801305476325</v>
      </c>
      <c r="N17" s="3">
        <v>13.0432561795631</v>
      </c>
      <c r="O17" s="3">
        <v>21.023027954658598</v>
      </c>
      <c r="P17" s="3">
        <v>10.774844999206699</v>
      </c>
      <c r="Q17" s="3">
        <v>14.653096465998001</v>
      </c>
      <c r="R17" s="3">
        <v>20.697231456152899</v>
      </c>
      <c r="S17" s="3">
        <v>11.499649679506399</v>
      </c>
      <c r="T17" s="3">
        <v>13.6470482098043</v>
      </c>
      <c r="U17" s="3">
        <v>17.2759789066297</v>
      </c>
      <c r="V17" s="3" t="e">
        <v>#N/A</v>
      </c>
    </row>
    <row r="18" spans="1:22" x14ac:dyDescent="0.35">
      <c r="A18" s="2">
        <v>42234</v>
      </c>
      <c r="B18" s="3" t="e">
        <v>#N/A</v>
      </c>
      <c r="C18" s="3">
        <v>15.1873053484214</v>
      </c>
      <c r="D18" s="3">
        <v>16.217771979743699</v>
      </c>
      <c r="E18" s="3">
        <v>19.664797814056602</v>
      </c>
      <c r="F18" s="3">
        <v>15.809786776242699</v>
      </c>
      <c r="G18" s="3">
        <v>14.9952922849173</v>
      </c>
      <c r="H18" s="3">
        <v>15.650950797933699</v>
      </c>
      <c r="I18" s="3">
        <v>12.800717859117899</v>
      </c>
      <c r="J18" s="3" t="e">
        <v>#N/A</v>
      </c>
      <c r="K18" s="3">
        <v>10.9055677875801</v>
      </c>
      <c r="L18" s="3">
        <v>12.8341979469129</v>
      </c>
      <c r="M18" s="3">
        <v>17.340020187880299</v>
      </c>
      <c r="N18" s="3">
        <v>12.106086351963199</v>
      </c>
      <c r="O18" s="3">
        <v>21.243296765118298</v>
      </c>
      <c r="P18" s="3">
        <v>10.3739361000999</v>
      </c>
      <c r="Q18" s="3">
        <v>14.282853113321501</v>
      </c>
      <c r="R18" s="3">
        <v>19.422750552232099</v>
      </c>
      <c r="S18" s="3">
        <v>10.824976127849499</v>
      </c>
      <c r="T18" s="3">
        <v>12.961643899008999</v>
      </c>
      <c r="U18" s="3">
        <v>17.2451886229004</v>
      </c>
      <c r="V18" s="3" t="e">
        <v>#N/A</v>
      </c>
    </row>
    <row r="19" spans="1:22" x14ac:dyDescent="0.35">
      <c r="A19" s="2">
        <v>42265</v>
      </c>
      <c r="B19" s="3" t="e">
        <v>#N/A</v>
      </c>
      <c r="C19" s="3">
        <v>15.249140349527501</v>
      </c>
      <c r="D19" s="3">
        <v>15.8215603905147</v>
      </c>
      <c r="E19" s="3">
        <v>19.270224119165999</v>
      </c>
      <c r="F19" s="3">
        <v>14.875361524498301</v>
      </c>
      <c r="G19" s="3">
        <v>14.556492654373899</v>
      </c>
      <c r="H19" s="3">
        <v>16.430928750231701</v>
      </c>
      <c r="I19" s="3">
        <v>12.922002596642301</v>
      </c>
      <c r="J19" s="3" t="e">
        <v>#N/A</v>
      </c>
      <c r="K19" s="3">
        <v>10.8917606567693</v>
      </c>
      <c r="L19" s="3">
        <v>12.6635393711753</v>
      </c>
      <c r="M19" s="3">
        <v>17.177561122239499</v>
      </c>
      <c r="N19" s="3">
        <v>11.4949751616457</v>
      </c>
      <c r="O19" s="3">
        <v>20.4500108632887</v>
      </c>
      <c r="P19" s="3">
        <v>9.9753632304067601</v>
      </c>
      <c r="Q19" s="3">
        <v>14.0042745707484</v>
      </c>
      <c r="R19" s="3">
        <v>19.0031066676721</v>
      </c>
      <c r="S19" s="3">
        <v>10.6624499311918</v>
      </c>
      <c r="T19" s="3">
        <v>13.3468019415394</v>
      </c>
      <c r="U19" s="3">
        <v>17.9027083089176</v>
      </c>
      <c r="V19" s="3" t="e">
        <v>#N/A</v>
      </c>
    </row>
    <row r="20" spans="1:22" x14ac:dyDescent="0.35">
      <c r="A20" s="2">
        <v>42293</v>
      </c>
      <c r="B20" s="3" t="e">
        <v>#N/A</v>
      </c>
      <c r="C20" s="3">
        <v>15.530059746128201</v>
      </c>
      <c r="D20" s="3">
        <v>16.3381128166099</v>
      </c>
      <c r="E20" s="3">
        <v>19.103946194161502</v>
      </c>
      <c r="F20" s="3">
        <v>14.1252954275917</v>
      </c>
      <c r="G20" s="3">
        <v>15.0095418478413</v>
      </c>
      <c r="H20" s="3">
        <v>16.811221849292401</v>
      </c>
      <c r="I20" s="3">
        <v>12.8867699934009</v>
      </c>
      <c r="J20" s="3" t="e">
        <v>#N/A</v>
      </c>
      <c r="K20" s="3">
        <v>11.1158524804486</v>
      </c>
      <c r="L20" s="3">
        <v>12.479916031949699</v>
      </c>
      <c r="M20" s="3">
        <v>17.770703602982898</v>
      </c>
      <c r="N20" s="3">
        <v>11.357811384009</v>
      </c>
      <c r="O20" s="3">
        <v>20.7266747160464</v>
      </c>
      <c r="P20" s="3">
        <v>10.3564479899975</v>
      </c>
      <c r="Q20" s="3">
        <v>14.1061640805469</v>
      </c>
      <c r="R20" s="3">
        <v>18.764359154455502</v>
      </c>
      <c r="S20" s="3">
        <v>10.955628996382099</v>
      </c>
      <c r="T20" s="3">
        <v>13.7092510361375</v>
      </c>
      <c r="U20" s="3">
        <v>23.726882620310398</v>
      </c>
      <c r="V20" s="3" t="e">
        <v>#N/A</v>
      </c>
    </row>
    <row r="21" spans="1:22" x14ac:dyDescent="0.35">
      <c r="A21" s="2">
        <v>42326</v>
      </c>
      <c r="B21" s="3" t="e">
        <v>#N/A</v>
      </c>
      <c r="C21" s="3">
        <v>15.9533104751634</v>
      </c>
      <c r="D21" s="3">
        <v>16.245624330886301</v>
      </c>
      <c r="E21" s="3">
        <v>18.095413071724</v>
      </c>
      <c r="F21" s="3">
        <v>12.815834996236999</v>
      </c>
      <c r="G21" s="3">
        <v>11.317550967928099</v>
      </c>
      <c r="H21" s="3">
        <v>16.3545139502159</v>
      </c>
      <c r="I21" s="3">
        <v>12.5608846719889</v>
      </c>
      <c r="J21" s="3" t="e">
        <v>#N/A</v>
      </c>
      <c r="K21" s="3">
        <v>11.205208392653001</v>
      </c>
      <c r="L21" s="3">
        <v>12.840879427303699</v>
      </c>
      <c r="M21" s="3">
        <v>17.362383852231599</v>
      </c>
      <c r="N21" s="3">
        <v>11.7730661940713</v>
      </c>
      <c r="O21" s="3">
        <v>19.8749038669588</v>
      </c>
      <c r="P21" s="3">
        <v>10.044790655799099</v>
      </c>
      <c r="Q21" s="3">
        <v>13.025608710136</v>
      </c>
      <c r="R21" s="3">
        <v>16.3427605239294</v>
      </c>
      <c r="S21" s="3">
        <v>11.2940846625826</v>
      </c>
      <c r="T21" s="3">
        <v>12.089517716546</v>
      </c>
      <c r="U21" s="3">
        <v>24.835758390388701</v>
      </c>
      <c r="V21" s="3" t="e">
        <v>#N/A</v>
      </c>
    </row>
    <row r="22" spans="1:22" x14ac:dyDescent="0.35">
      <c r="A22" s="2">
        <v>42356</v>
      </c>
      <c r="B22" s="3" t="e">
        <v>#N/A</v>
      </c>
      <c r="C22" s="3">
        <v>16.1911612172335</v>
      </c>
      <c r="D22" s="3">
        <v>15.7986612129838</v>
      </c>
      <c r="E22" s="3">
        <v>18.051498318325599</v>
      </c>
      <c r="F22" s="3">
        <v>11.2675641346133</v>
      </c>
      <c r="G22" s="3">
        <v>10.3708259186498</v>
      </c>
      <c r="H22" s="3">
        <v>16.424315555956301</v>
      </c>
      <c r="I22" s="3">
        <v>12.2652654420964</v>
      </c>
      <c r="J22" s="3" t="e">
        <v>#N/A</v>
      </c>
      <c r="K22" s="3">
        <v>10.550368323559301</v>
      </c>
      <c r="L22" s="3">
        <v>12.1350269194582</v>
      </c>
      <c r="M22" s="3">
        <v>16.155238523236299</v>
      </c>
      <c r="N22" s="3">
        <v>-3.0441980630245098</v>
      </c>
      <c r="O22" s="3">
        <v>20.195498583959001</v>
      </c>
      <c r="P22" s="3">
        <v>9.8034694713230301</v>
      </c>
      <c r="Q22" s="3">
        <v>10.909111327524499</v>
      </c>
      <c r="R22" s="3">
        <v>14.616977877518</v>
      </c>
      <c r="S22" s="3">
        <v>9.9962269208233394</v>
      </c>
      <c r="T22" s="3">
        <v>12.075033610075099</v>
      </c>
      <c r="U22" s="3">
        <v>23.044348975655002</v>
      </c>
      <c r="V22" s="3" t="e">
        <v>#N/A</v>
      </c>
    </row>
    <row r="23" spans="1:22" x14ac:dyDescent="0.35">
      <c r="A23" s="2">
        <v>42384</v>
      </c>
      <c r="B23" s="3" t="e">
        <v>#N/A</v>
      </c>
      <c r="C23" s="3">
        <v>15.0357859978968</v>
      </c>
      <c r="D23" s="3">
        <v>15.941404799345699</v>
      </c>
      <c r="E23" s="3">
        <v>16.691008775746202</v>
      </c>
      <c r="F23" s="3">
        <v>10.787706735607699</v>
      </c>
      <c r="G23" s="3">
        <v>13.4671276207711</v>
      </c>
      <c r="H23" s="3">
        <v>16.141494141497599</v>
      </c>
      <c r="I23" s="3">
        <v>11.221810494101501</v>
      </c>
      <c r="J23" s="3">
        <v>22.199468552352201</v>
      </c>
      <c r="K23" s="3">
        <v>9.6181266942460208</v>
      </c>
      <c r="L23" s="3">
        <v>10.958406251133701</v>
      </c>
      <c r="M23" s="3">
        <v>14.609736508627501</v>
      </c>
      <c r="N23" s="3">
        <v>-1.39016671490513</v>
      </c>
      <c r="O23" s="3">
        <v>19.3719867041447</v>
      </c>
      <c r="P23" s="3">
        <v>9.4710516961059508</v>
      </c>
      <c r="Q23" s="3">
        <v>10.7510548049412</v>
      </c>
      <c r="R23" s="3">
        <v>13.8962235548337</v>
      </c>
      <c r="S23" s="3">
        <v>9.6571973471252992</v>
      </c>
      <c r="T23" s="3">
        <v>12.201662916354501</v>
      </c>
      <c r="U23" s="3">
        <v>32.239751541001702</v>
      </c>
      <c r="V23" s="3">
        <v>11.7929194961715</v>
      </c>
    </row>
    <row r="24" spans="1:22" x14ac:dyDescent="0.35">
      <c r="A24" s="2">
        <v>42418</v>
      </c>
      <c r="B24" s="3" t="e">
        <v>#N/A</v>
      </c>
      <c r="C24" s="3">
        <v>15.915741472205699</v>
      </c>
      <c r="D24" s="3">
        <v>16.822762598545999</v>
      </c>
      <c r="E24" s="3">
        <v>17.464667959410001</v>
      </c>
      <c r="F24" s="3">
        <v>12.2791758269036</v>
      </c>
      <c r="G24" s="3">
        <v>17.8138585431184</v>
      </c>
      <c r="H24" s="3">
        <v>16.727860404105702</v>
      </c>
      <c r="I24" s="3">
        <v>12.285952058261399</v>
      </c>
      <c r="J24" s="3">
        <v>23.904199085040801</v>
      </c>
      <c r="K24" s="3">
        <v>10.575815151502701</v>
      </c>
      <c r="L24" s="3">
        <v>11.888130579395201</v>
      </c>
      <c r="M24" s="3">
        <v>16.3531440623536</v>
      </c>
      <c r="N24" s="3">
        <v>-0.32784012407413499</v>
      </c>
      <c r="O24" s="3">
        <v>19.333943368425601</v>
      </c>
      <c r="P24" s="3">
        <v>9.5135277659805606</v>
      </c>
      <c r="Q24" s="3">
        <v>12.2164661008529</v>
      </c>
      <c r="R24" s="3">
        <v>16.001277215638002</v>
      </c>
      <c r="S24" s="3">
        <v>9.7278980481080204</v>
      </c>
      <c r="T24" s="3">
        <v>12.4195064983825</v>
      </c>
      <c r="U24" s="3">
        <v>19.449541301375199</v>
      </c>
      <c r="V24" s="3">
        <v>11.166907404393401</v>
      </c>
    </row>
    <row r="25" spans="1:22" x14ac:dyDescent="0.35">
      <c r="A25" s="2">
        <v>42447</v>
      </c>
      <c r="B25" s="3" t="e">
        <v>#N/A</v>
      </c>
      <c r="C25" s="3">
        <v>15.5052879218636</v>
      </c>
      <c r="D25" s="3">
        <v>16.835509760045099</v>
      </c>
      <c r="E25" s="3">
        <v>16.8910200352889</v>
      </c>
      <c r="F25" s="3">
        <v>12.3798005198921</v>
      </c>
      <c r="G25" s="3">
        <v>22.509825359135299</v>
      </c>
      <c r="H25" s="3">
        <v>16.672641348235999</v>
      </c>
      <c r="I25" s="3">
        <v>12.5142305246149</v>
      </c>
      <c r="J25" s="3">
        <v>24.7277604672983</v>
      </c>
      <c r="K25" s="3">
        <v>10.649985935221601</v>
      </c>
      <c r="L25" s="3">
        <v>13.0582819981264</v>
      </c>
      <c r="M25" s="3">
        <v>16.089664087126799</v>
      </c>
      <c r="N25" s="3">
        <v>0.37474461933646702</v>
      </c>
      <c r="O25" s="3">
        <v>18.9428546479608</v>
      </c>
      <c r="P25" s="3">
        <v>9.4898896793513501</v>
      </c>
      <c r="Q25" s="3">
        <v>12.138186488706401</v>
      </c>
      <c r="R25" s="3">
        <v>16.606698767722701</v>
      </c>
      <c r="S25" s="3">
        <v>9.8732496835910695</v>
      </c>
      <c r="T25" s="3">
        <v>13.074623889534299</v>
      </c>
      <c r="U25" s="3">
        <v>-4.7302215235906804</v>
      </c>
      <c r="V25" s="3">
        <v>11.8033989922631</v>
      </c>
    </row>
    <row r="26" spans="1:22" x14ac:dyDescent="0.35">
      <c r="A26" s="2">
        <v>42478</v>
      </c>
      <c r="B26" s="3" t="e">
        <v>#N/A</v>
      </c>
      <c r="C26" s="3">
        <v>15.4067798382634</v>
      </c>
      <c r="D26" s="3">
        <v>16.671374285844301</v>
      </c>
      <c r="E26" s="3">
        <v>16.933449879650698</v>
      </c>
      <c r="F26" s="3">
        <v>12.423309641687201</v>
      </c>
      <c r="G26" s="3">
        <v>21.842235957056399</v>
      </c>
      <c r="H26" s="3">
        <v>16.667968788859401</v>
      </c>
      <c r="I26" s="3">
        <v>12.5567218294507</v>
      </c>
      <c r="J26" s="3">
        <v>24.543937201689999</v>
      </c>
      <c r="K26" s="3">
        <v>10.695041469674401</v>
      </c>
      <c r="L26" s="3">
        <v>13.400458077918</v>
      </c>
      <c r="M26" s="3">
        <v>16.065977123142002</v>
      </c>
      <c r="N26" s="3">
        <v>2.0098596199777501</v>
      </c>
      <c r="O26" s="3">
        <v>19.010671234683201</v>
      </c>
      <c r="P26" s="3">
        <v>9.7082000756056708</v>
      </c>
      <c r="Q26" s="3">
        <v>12.241433149280001</v>
      </c>
      <c r="R26" s="3">
        <v>16.455988976885699</v>
      </c>
      <c r="S26" s="3">
        <v>9.9182388146093992</v>
      </c>
      <c r="T26" s="3">
        <v>13.305003123752501</v>
      </c>
      <c r="U26" s="3">
        <v>-3.1644942727460701</v>
      </c>
      <c r="V26" s="3">
        <v>11.952694713207</v>
      </c>
    </row>
    <row r="27" spans="1:22" x14ac:dyDescent="0.35">
      <c r="A27" s="2">
        <v>42508</v>
      </c>
      <c r="B27" s="3" t="e">
        <v>#N/A</v>
      </c>
      <c r="C27" s="3">
        <v>15.238107017804399</v>
      </c>
      <c r="D27" s="3">
        <v>16.3289831494955</v>
      </c>
      <c r="E27" s="3">
        <v>17.014046047853402</v>
      </c>
      <c r="F27" s="3">
        <v>12.106099370849</v>
      </c>
      <c r="G27" s="3">
        <v>21.082788559726101</v>
      </c>
      <c r="H27" s="3">
        <v>16.400764257622502</v>
      </c>
      <c r="I27" s="3">
        <v>12.4537968068904</v>
      </c>
      <c r="J27" s="3">
        <v>24.2318157740571</v>
      </c>
      <c r="K27" s="3">
        <v>10.415494170864299</v>
      </c>
      <c r="L27" s="3">
        <v>13.0263148058793</v>
      </c>
      <c r="M27" s="3">
        <v>15.6284011221812</v>
      </c>
      <c r="N27" s="3">
        <v>3.537255303437</v>
      </c>
      <c r="O27" s="3">
        <v>18.936031734349299</v>
      </c>
      <c r="P27" s="3">
        <v>9.57255719638556</v>
      </c>
      <c r="Q27" s="3">
        <v>12.104425532743701</v>
      </c>
      <c r="R27" s="3">
        <v>16.330032920149499</v>
      </c>
      <c r="S27" s="3">
        <v>9.5759324363777605</v>
      </c>
      <c r="T27" s="3">
        <v>13.1954620462365</v>
      </c>
      <c r="U27" s="3">
        <v>-1.2294717301715099</v>
      </c>
      <c r="V27" s="3">
        <v>12.4406243186758</v>
      </c>
    </row>
    <row r="28" spans="1:22" x14ac:dyDescent="0.35">
      <c r="A28" s="2">
        <v>42538</v>
      </c>
      <c r="B28" s="3" t="e">
        <v>#N/A</v>
      </c>
      <c r="C28" s="3">
        <v>15.058175954362399</v>
      </c>
      <c r="D28" s="3">
        <v>16.533578416422799</v>
      </c>
      <c r="E28" s="3">
        <v>17.4100372474987</v>
      </c>
      <c r="F28" s="3">
        <v>11.8986176069343</v>
      </c>
      <c r="G28" s="3">
        <v>20.1619458359601</v>
      </c>
      <c r="H28" s="3">
        <v>16.549248010787899</v>
      </c>
      <c r="I28" s="3">
        <v>12.8953695169208</v>
      </c>
      <c r="J28" s="3">
        <v>23.195244294250099</v>
      </c>
      <c r="K28" s="3">
        <v>10.406958775240501</v>
      </c>
      <c r="L28" s="3">
        <v>12.962372159018299</v>
      </c>
      <c r="M28" s="3">
        <v>15.748878100273499</v>
      </c>
      <c r="N28" s="3">
        <v>4.0284682066786202</v>
      </c>
      <c r="O28" s="3">
        <v>19.054380605763999</v>
      </c>
      <c r="P28" s="3">
        <v>10.1475767773986</v>
      </c>
      <c r="Q28" s="3">
        <v>12.1808022399454</v>
      </c>
      <c r="R28" s="3">
        <v>16.3248407834453</v>
      </c>
      <c r="S28" s="3">
        <v>9.4003335441376006</v>
      </c>
      <c r="T28" s="3">
        <v>13.0873852895696</v>
      </c>
      <c r="U28" s="3">
        <v>0.66564479352982198</v>
      </c>
      <c r="V28" s="3">
        <v>12.7448847562232</v>
      </c>
    </row>
    <row r="29" spans="1:22" x14ac:dyDescent="0.35">
      <c r="A29" s="2">
        <v>42569</v>
      </c>
      <c r="B29" s="3" t="e">
        <v>#N/A</v>
      </c>
      <c r="C29" s="3">
        <v>15.6852227278986</v>
      </c>
      <c r="D29" s="3">
        <v>17.1941217565881</v>
      </c>
      <c r="E29" s="3">
        <v>18.0066016837063</v>
      </c>
      <c r="F29" s="3">
        <v>11.8775747926438</v>
      </c>
      <c r="G29" s="3">
        <v>19.9513258103363</v>
      </c>
      <c r="H29" s="3">
        <v>16.836248154436799</v>
      </c>
      <c r="I29" s="3">
        <v>13.3999255189444</v>
      </c>
      <c r="J29" s="3">
        <v>23.003593877180499</v>
      </c>
      <c r="K29" s="3">
        <v>10.5954169913272</v>
      </c>
      <c r="L29" s="3">
        <v>13.956100658867999</v>
      </c>
      <c r="M29" s="3">
        <v>16.244298635231001</v>
      </c>
      <c r="N29" s="3">
        <v>5.3617922120868799</v>
      </c>
      <c r="O29" s="3">
        <v>19.449640718817601</v>
      </c>
      <c r="P29" s="3">
        <v>10.9233898949948</v>
      </c>
      <c r="Q29" s="3">
        <v>12.6646603765446</v>
      </c>
      <c r="R29" s="3">
        <v>16.653259421159799</v>
      </c>
      <c r="S29" s="3">
        <v>9.4188519516456903</v>
      </c>
      <c r="T29" s="3">
        <v>13.6541815322181</v>
      </c>
      <c r="U29" s="3">
        <v>2.6092557040669599</v>
      </c>
      <c r="V29" s="3">
        <v>13.0289036538939</v>
      </c>
    </row>
    <row r="30" spans="1:22" x14ac:dyDescent="0.35">
      <c r="A30" s="2">
        <v>42600</v>
      </c>
      <c r="B30" s="3" t="e">
        <v>#N/A</v>
      </c>
      <c r="C30" s="3">
        <v>16.011279687101499</v>
      </c>
      <c r="D30" s="3">
        <v>18.090313182808501</v>
      </c>
      <c r="E30" s="3">
        <v>18.3836057057616</v>
      </c>
      <c r="F30" s="3">
        <v>12.299734359611101</v>
      </c>
      <c r="G30" s="3">
        <v>18.946055608339801</v>
      </c>
      <c r="H30" s="3">
        <v>17.0844469429314</v>
      </c>
      <c r="I30" s="3">
        <v>13.7852681258967</v>
      </c>
      <c r="J30" s="3">
        <v>22.9829288341971</v>
      </c>
      <c r="K30" s="3">
        <v>10.6485040067146</v>
      </c>
      <c r="L30" s="3">
        <v>14.5937854610227</v>
      </c>
      <c r="M30" s="3">
        <v>17.0557574774306</v>
      </c>
      <c r="N30" s="3">
        <v>6.4893120519535401</v>
      </c>
      <c r="O30" s="3">
        <v>19.7180509700095</v>
      </c>
      <c r="P30" s="3">
        <v>11.7575174995424</v>
      </c>
      <c r="Q30" s="3">
        <v>13.5050119933986</v>
      </c>
      <c r="R30" s="3">
        <v>16.719748509768301</v>
      </c>
      <c r="S30" s="3">
        <v>9.4829532825880207</v>
      </c>
      <c r="T30" s="3">
        <v>13.5993257910922</v>
      </c>
      <c r="U30" s="3">
        <v>4.2814014763408297</v>
      </c>
      <c r="V30" s="3">
        <v>12.782649020532199</v>
      </c>
    </row>
    <row r="31" spans="1:22" x14ac:dyDescent="0.35">
      <c r="A31" s="2">
        <v>42629</v>
      </c>
      <c r="B31" s="3" t="e">
        <v>#N/A</v>
      </c>
      <c r="C31" s="3">
        <v>15.9132599866376</v>
      </c>
      <c r="D31" s="3">
        <v>17.6236908650807</v>
      </c>
      <c r="E31" s="3">
        <v>17.6635927956277</v>
      </c>
      <c r="F31" s="3">
        <v>12.0635401507329</v>
      </c>
      <c r="G31" s="3">
        <v>17.6775882175594</v>
      </c>
      <c r="H31" s="3">
        <v>17.082748169568401</v>
      </c>
      <c r="I31" s="3">
        <v>13.7153739347202</v>
      </c>
      <c r="J31" s="3">
        <v>21.6953387316197</v>
      </c>
      <c r="K31" s="3">
        <v>10.547882536313701</v>
      </c>
      <c r="L31" s="3">
        <v>14.2400640797051</v>
      </c>
      <c r="M31" s="3">
        <v>16.493292731490499</v>
      </c>
      <c r="N31" s="3">
        <v>8.1461654614348102</v>
      </c>
      <c r="O31" s="3">
        <v>19.776667625614401</v>
      </c>
      <c r="P31" s="3">
        <v>12.3326781950592</v>
      </c>
      <c r="Q31" s="3">
        <v>13.1588262795294</v>
      </c>
      <c r="R31" s="3">
        <v>16.100148882373698</v>
      </c>
      <c r="S31" s="3">
        <v>9.3688038629196395</v>
      </c>
      <c r="T31" s="3">
        <v>13.481396668543701</v>
      </c>
      <c r="U31" s="3">
        <v>5.7626158367327101</v>
      </c>
      <c r="V31" s="3">
        <v>12.8853663981605</v>
      </c>
    </row>
    <row r="32" spans="1:22" x14ac:dyDescent="0.35">
      <c r="A32" s="2">
        <v>42661</v>
      </c>
      <c r="B32" s="3" t="e">
        <v>#N/A</v>
      </c>
      <c r="C32" s="3">
        <v>16.751249937274501</v>
      </c>
      <c r="D32" s="3">
        <v>18.3662199041819</v>
      </c>
      <c r="E32" s="3">
        <v>17.792541138073702</v>
      </c>
      <c r="F32" s="3">
        <v>12.278606085526301</v>
      </c>
      <c r="G32" s="3">
        <v>16.467629884963699</v>
      </c>
      <c r="H32" s="3">
        <v>17.347026673459901</v>
      </c>
      <c r="I32" s="3">
        <v>14.2975894755673</v>
      </c>
      <c r="J32" s="3">
        <v>22.247279739571798</v>
      </c>
      <c r="K32" s="3">
        <v>10.8351703580016</v>
      </c>
      <c r="L32" s="3">
        <v>15.452561433804901</v>
      </c>
      <c r="M32" s="3">
        <v>16.565303685158501</v>
      </c>
      <c r="N32" s="3">
        <v>10.8627190500633</v>
      </c>
      <c r="O32" s="3">
        <v>19.8031394311719</v>
      </c>
      <c r="P32" s="3">
        <v>12.8933357088878</v>
      </c>
      <c r="Q32" s="3">
        <v>13.472458847557601</v>
      </c>
      <c r="R32" s="3">
        <v>15.9348135703019</v>
      </c>
      <c r="S32" s="3">
        <v>9.4091685209943901</v>
      </c>
      <c r="T32" s="3">
        <v>13.426948072051999</v>
      </c>
      <c r="U32" s="3">
        <v>10.559607446394001</v>
      </c>
      <c r="V32" s="3">
        <v>12.056733224058799</v>
      </c>
    </row>
    <row r="33" spans="1:22" x14ac:dyDescent="0.35">
      <c r="A33" s="2">
        <v>42692</v>
      </c>
      <c r="B33" s="3" t="e">
        <v>#N/A</v>
      </c>
      <c r="C33" s="3">
        <v>16.5210429490199</v>
      </c>
      <c r="D33" s="3">
        <v>17.1159082846515</v>
      </c>
      <c r="E33" s="3">
        <v>16.9275795072565</v>
      </c>
      <c r="F33" s="3">
        <v>12.2078972960465</v>
      </c>
      <c r="G33" s="3">
        <v>15.6747226212148</v>
      </c>
      <c r="H33" s="3">
        <v>17.002901288487401</v>
      </c>
      <c r="I33" s="3">
        <v>13.895854277079</v>
      </c>
      <c r="J33" s="3">
        <v>20.617592458617199</v>
      </c>
      <c r="K33" s="3">
        <v>10.6281636558318</v>
      </c>
      <c r="L33" s="3">
        <v>14.8497843514008</v>
      </c>
      <c r="M33" s="3">
        <v>16.262544978405099</v>
      </c>
      <c r="N33" s="3">
        <v>13.221595281469</v>
      </c>
      <c r="O33" s="3">
        <v>18.610143277825699</v>
      </c>
      <c r="P33" s="3">
        <v>12.8659446542223</v>
      </c>
      <c r="Q33" s="3">
        <v>12.9786938007699</v>
      </c>
      <c r="R33" s="3">
        <v>15.8178427633143</v>
      </c>
      <c r="S33" s="3">
        <v>8.9770656703538592</v>
      </c>
      <c r="T33" s="3">
        <v>12.6495547411964</v>
      </c>
      <c r="U33" s="3">
        <v>11.722877496786801</v>
      </c>
      <c r="V33" s="3">
        <v>13.955356835877099</v>
      </c>
    </row>
    <row r="34" spans="1:22" x14ac:dyDescent="0.35">
      <c r="A34" s="2">
        <v>42720</v>
      </c>
      <c r="B34" s="3" t="e">
        <v>#N/A</v>
      </c>
      <c r="C34" s="3">
        <v>15.7173605005766</v>
      </c>
      <c r="D34" s="3">
        <v>17.334875350380901</v>
      </c>
      <c r="E34" s="3">
        <v>16.845411963723599</v>
      </c>
      <c r="F34" s="3">
        <v>13.392399354747999</v>
      </c>
      <c r="G34" s="3">
        <v>15.2099985685799</v>
      </c>
      <c r="H34" s="3">
        <v>17.015327256794301</v>
      </c>
      <c r="I34" s="3">
        <v>14.3725152040955</v>
      </c>
      <c r="J34" s="3">
        <v>20.516738681556902</v>
      </c>
      <c r="K34" s="3">
        <v>11.1412390314212</v>
      </c>
      <c r="L34" s="3">
        <v>14.3259998721693</v>
      </c>
      <c r="M34" s="3">
        <v>16.3242483817879</v>
      </c>
      <c r="N34" s="3">
        <v>14.2918512728072</v>
      </c>
      <c r="O34" s="3">
        <v>18.9604812019634</v>
      </c>
      <c r="P34" s="3">
        <v>12.9303936063388</v>
      </c>
      <c r="Q34" s="3">
        <v>13.920059452858199</v>
      </c>
      <c r="R34" s="3">
        <v>16.116383549988502</v>
      </c>
      <c r="S34" s="3">
        <v>9.0085811883674207</v>
      </c>
      <c r="T34" s="3">
        <v>12.704823799842901</v>
      </c>
      <c r="U34" s="3">
        <v>13.5571636614408</v>
      </c>
      <c r="V34" s="3">
        <v>14.957079204894001</v>
      </c>
    </row>
    <row r="35" spans="1:22" x14ac:dyDescent="0.35">
      <c r="A35" s="2">
        <v>42753</v>
      </c>
      <c r="B35" s="3">
        <v>14.980181933853199</v>
      </c>
      <c r="C35" s="3">
        <v>15.9257945465215</v>
      </c>
      <c r="D35" s="3">
        <v>17.727743024640599</v>
      </c>
      <c r="E35" s="3">
        <v>17.918109684179601</v>
      </c>
      <c r="F35" s="3">
        <v>14.043317961954701</v>
      </c>
      <c r="G35" s="3">
        <v>15.461139757409899</v>
      </c>
      <c r="H35" s="3">
        <v>17.169049998972302</v>
      </c>
      <c r="I35" s="3">
        <v>14.2856696420186</v>
      </c>
      <c r="J35" s="3">
        <v>20.387678847249202</v>
      </c>
      <c r="K35" s="3">
        <v>11.2562933564978</v>
      </c>
      <c r="L35" s="3">
        <v>15.305124091594701</v>
      </c>
      <c r="M35" s="3">
        <v>17.560521876563801</v>
      </c>
      <c r="N35" s="3">
        <v>14.295215623552</v>
      </c>
      <c r="O35" s="3">
        <v>19.356899384318702</v>
      </c>
      <c r="P35" s="3">
        <v>13.584856941887899</v>
      </c>
      <c r="Q35" s="3">
        <v>15.028577121960099</v>
      </c>
      <c r="R35" s="3">
        <v>16.3473867678271</v>
      </c>
      <c r="S35" s="3">
        <v>9.38066675013423</v>
      </c>
      <c r="T35" s="3">
        <v>13.510803080202599</v>
      </c>
      <c r="U35" s="3">
        <v>14.700999158535099</v>
      </c>
      <c r="V35" s="3">
        <v>14.6828382870619</v>
      </c>
    </row>
    <row r="36" spans="1:22" x14ac:dyDescent="0.35">
      <c r="A36" s="2">
        <v>42783</v>
      </c>
      <c r="B36" s="3">
        <v>15.0193150681439</v>
      </c>
      <c r="C36" s="3">
        <v>16.6580976431446</v>
      </c>
      <c r="D36" s="3">
        <v>17.565124652161501</v>
      </c>
      <c r="E36" s="3">
        <v>18.224592832508801</v>
      </c>
      <c r="F36" s="3">
        <v>16.142462347832101</v>
      </c>
      <c r="G36" s="3">
        <v>16.937891261651</v>
      </c>
      <c r="H36" s="3">
        <v>17.284517816944099</v>
      </c>
      <c r="I36" s="3">
        <v>14.626487120049701</v>
      </c>
      <c r="J36" s="3">
        <v>21.556371492745299</v>
      </c>
      <c r="K36" s="3">
        <v>11.676850419709201</v>
      </c>
      <c r="L36" s="3">
        <v>16.891536723811701</v>
      </c>
      <c r="M36" s="3">
        <v>18.533519860495598</v>
      </c>
      <c r="N36" s="3">
        <v>13.7103696081201</v>
      </c>
      <c r="O36" s="3">
        <v>20.433352667802499</v>
      </c>
      <c r="P36" s="3">
        <v>14.2183509246564</v>
      </c>
      <c r="Q36" s="3">
        <v>14.937459642788101</v>
      </c>
      <c r="R36" s="3">
        <v>16.367130012350302</v>
      </c>
      <c r="S36" s="3">
        <v>10.051887212340301</v>
      </c>
      <c r="T36" s="3">
        <v>13.5463670009058</v>
      </c>
      <c r="U36" s="3">
        <v>15.895180283790401</v>
      </c>
      <c r="V36" s="3">
        <v>15.3127913489727</v>
      </c>
    </row>
    <row r="37" spans="1:22" x14ac:dyDescent="0.35">
      <c r="A37" s="2">
        <v>42811</v>
      </c>
      <c r="B37" s="3">
        <v>15.153186935723401</v>
      </c>
      <c r="C37" s="3">
        <v>16.8913525316466</v>
      </c>
      <c r="D37" s="3">
        <v>17.509014798341401</v>
      </c>
      <c r="E37" s="3">
        <v>17.8785771847513</v>
      </c>
      <c r="F37" s="3">
        <v>15.6670629879934</v>
      </c>
      <c r="G37" s="3">
        <v>16.177691647744101</v>
      </c>
      <c r="H37" s="3">
        <v>17.120554434316599</v>
      </c>
      <c r="I37" s="3">
        <v>14.5101951340024</v>
      </c>
      <c r="J37" s="3">
        <v>21.404671903159802</v>
      </c>
      <c r="K37" s="3">
        <v>11.619289143607901</v>
      </c>
      <c r="L37" s="3">
        <v>16.551255799879701</v>
      </c>
      <c r="M37" s="3">
        <v>18.493992195381999</v>
      </c>
      <c r="N37" s="3">
        <v>14.1720550964735</v>
      </c>
      <c r="O37" s="3">
        <v>20.509513050186399</v>
      </c>
      <c r="P37" s="3">
        <v>14.0740118522163</v>
      </c>
      <c r="Q37" s="3">
        <v>14.7438808633744</v>
      </c>
      <c r="R37" s="3">
        <v>16.3026720240508</v>
      </c>
      <c r="S37" s="3">
        <v>9.8449974155943902</v>
      </c>
      <c r="T37" s="3">
        <v>13.3423337538435</v>
      </c>
      <c r="U37" s="3">
        <v>15.501892060326799</v>
      </c>
      <c r="V37" s="3">
        <v>15.3474771819022</v>
      </c>
    </row>
    <row r="38" spans="1:22" x14ac:dyDescent="0.35">
      <c r="A38" s="2">
        <v>42843</v>
      </c>
      <c r="B38" s="3">
        <v>15.065974784787</v>
      </c>
      <c r="C38" s="3">
        <v>17.1548103906497</v>
      </c>
      <c r="D38" s="3">
        <v>17.337545060724899</v>
      </c>
      <c r="E38" s="3">
        <v>17.9884536324797</v>
      </c>
      <c r="F38" s="3">
        <v>15.2711512784579</v>
      </c>
      <c r="G38" s="3">
        <v>15.4751973559316</v>
      </c>
      <c r="H38" s="3">
        <v>17.136107967969799</v>
      </c>
      <c r="I38" s="3">
        <v>14.3314363291015</v>
      </c>
      <c r="J38" s="3">
        <v>21.0022502215114</v>
      </c>
      <c r="K38" s="3">
        <v>11.264008873178801</v>
      </c>
      <c r="L38" s="3">
        <v>16.1416036007241</v>
      </c>
      <c r="M38" s="3">
        <v>18.275338203919102</v>
      </c>
      <c r="N38" s="3">
        <v>14.2105931733022</v>
      </c>
      <c r="O38" s="3">
        <v>20.321080100683599</v>
      </c>
      <c r="P38" s="3">
        <v>13.883451993804</v>
      </c>
      <c r="Q38" s="3">
        <v>14.703273466009399</v>
      </c>
      <c r="R38" s="3">
        <v>16.2398284033052</v>
      </c>
      <c r="S38" s="3">
        <v>9.73005550173899</v>
      </c>
      <c r="T38" s="3">
        <v>13.287774347876001</v>
      </c>
      <c r="U38" s="3">
        <v>15.644145945791299</v>
      </c>
      <c r="V38" s="3">
        <v>15.1538396954899</v>
      </c>
    </row>
    <row r="39" spans="1:22" x14ac:dyDescent="0.35">
      <c r="A39" s="2">
        <v>42873</v>
      </c>
      <c r="B39" s="3">
        <v>14.911237900588199</v>
      </c>
      <c r="C39" s="3">
        <v>17.124387017351399</v>
      </c>
      <c r="D39" s="3">
        <v>17.301619568214299</v>
      </c>
      <c r="E39" s="3">
        <v>17.951894668824501</v>
      </c>
      <c r="F39" s="3">
        <v>14.9485621580888</v>
      </c>
      <c r="G39" s="3">
        <v>15.151648510867499</v>
      </c>
      <c r="H39" s="3">
        <v>17.2736200601998</v>
      </c>
      <c r="I39" s="3">
        <v>14.329805718217299</v>
      </c>
      <c r="J39" s="3">
        <v>20.4210313893049</v>
      </c>
      <c r="K39" s="3">
        <v>11.1284259891278</v>
      </c>
      <c r="L39" s="3">
        <v>15.5835298841941</v>
      </c>
      <c r="M39" s="3">
        <v>18.2666659754458</v>
      </c>
      <c r="N39" s="3">
        <v>15.1975974638195</v>
      </c>
      <c r="O39" s="3">
        <v>20.3617553254984</v>
      </c>
      <c r="P39" s="3">
        <v>14.00906966114</v>
      </c>
      <c r="Q39" s="3">
        <v>14.616023427254699</v>
      </c>
      <c r="R39" s="3">
        <v>16.013745445550001</v>
      </c>
      <c r="S39" s="3">
        <v>9.7263242972997492</v>
      </c>
      <c r="T39" s="3">
        <v>13.196108034033999</v>
      </c>
      <c r="U39" s="3">
        <v>15.7606935738637</v>
      </c>
      <c r="V39" s="3">
        <v>15.0317938294016</v>
      </c>
    </row>
    <row r="40" spans="1:22" x14ac:dyDescent="0.35">
      <c r="A40" s="2">
        <v>42902</v>
      </c>
      <c r="B40" s="3">
        <v>15.111061832920299</v>
      </c>
      <c r="C40" s="3">
        <v>17.259754653886901</v>
      </c>
      <c r="D40" s="3">
        <v>17.2621129963733</v>
      </c>
      <c r="E40" s="3">
        <v>18.229766717858801</v>
      </c>
      <c r="F40" s="3">
        <v>14.6889004363188</v>
      </c>
      <c r="G40" s="3">
        <v>14.7675117007231</v>
      </c>
      <c r="H40" s="3">
        <v>17.270185854159902</v>
      </c>
      <c r="I40" s="3">
        <v>14.403990730174399</v>
      </c>
      <c r="J40" s="3">
        <v>20.163181037932201</v>
      </c>
      <c r="K40" s="3">
        <v>11.012627503127201</v>
      </c>
      <c r="L40" s="3">
        <v>15.1546036305461</v>
      </c>
      <c r="M40" s="3">
        <v>17.615534258005798</v>
      </c>
      <c r="N40" s="3">
        <v>15.115553031665099</v>
      </c>
      <c r="O40" s="3">
        <v>20.324300001005302</v>
      </c>
      <c r="P40" s="3">
        <v>14.009914983905899</v>
      </c>
      <c r="Q40" s="3">
        <v>14.1817098844272</v>
      </c>
      <c r="R40" s="3">
        <v>16.1037580014765</v>
      </c>
      <c r="S40" s="3">
        <v>9.64916558016753</v>
      </c>
      <c r="T40" s="3">
        <v>12.928748742074299</v>
      </c>
      <c r="U40" s="3">
        <v>15.837767976909699</v>
      </c>
      <c r="V40" s="3">
        <v>14.936092981418801</v>
      </c>
    </row>
    <row r="41" spans="1:22" x14ac:dyDescent="0.35">
      <c r="A41" s="2">
        <v>42934</v>
      </c>
      <c r="B41" s="3">
        <v>15.240962438441599</v>
      </c>
      <c r="C41" s="3">
        <v>17.961409275921799</v>
      </c>
      <c r="D41" s="3">
        <v>17.3425066410833</v>
      </c>
      <c r="E41" s="3">
        <v>17.921836114373502</v>
      </c>
      <c r="F41" s="3">
        <v>14.5309858969526</v>
      </c>
      <c r="G41" s="3">
        <v>14.918110604937601</v>
      </c>
      <c r="H41" s="3">
        <v>17.1517151261016</v>
      </c>
      <c r="I41" s="3">
        <v>14.7308501727393</v>
      </c>
      <c r="J41" s="3">
        <v>19.988904570290799</v>
      </c>
      <c r="K41" s="3">
        <v>10.9474077794266</v>
      </c>
      <c r="L41" s="3">
        <v>15.070629261606699</v>
      </c>
      <c r="M41" s="3">
        <v>17.821914758842698</v>
      </c>
      <c r="N41" s="3">
        <v>15.4732591908354</v>
      </c>
      <c r="O41" s="3">
        <v>20.624133394668199</v>
      </c>
      <c r="P41" s="3">
        <v>14.326161383071</v>
      </c>
      <c r="Q41" s="3">
        <v>14.124852945779001</v>
      </c>
      <c r="R41" s="3">
        <v>15.909126710587399</v>
      </c>
      <c r="S41" s="3">
        <v>9.7729476440723992</v>
      </c>
      <c r="T41" s="3">
        <v>13.0775100658811</v>
      </c>
      <c r="U41" s="3">
        <v>16.060348092185301</v>
      </c>
      <c r="V41" s="3">
        <v>15.353376185266001</v>
      </c>
    </row>
    <row r="42" spans="1:22" x14ac:dyDescent="0.35">
      <c r="A42" s="2">
        <v>42965</v>
      </c>
      <c r="B42" s="3">
        <v>15.226264877130101</v>
      </c>
      <c r="C42" s="3">
        <v>18.6637709372066</v>
      </c>
      <c r="D42" s="3">
        <v>17.335600335907898</v>
      </c>
      <c r="E42" s="3">
        <v>17.802135074455901</v>
      </c>
      <c r="F42" s="3">
        <v>14.250441543246399</v>
      </c>
      <c r="G42" s="3">
        <v>15.2650820808148</v>
      </c>
      <c r="H42" s="3">
        <v>17.3471186722232</v>
      </c>
      <c r="I42" s="3">
        <v>14.6453591340962</v>
      </c>
      <c r="J42" s="3">
        <v>19.596448764895001</v>
      </c>
      <c r="K42" s="3">
        <v>10.4746548487913</v>
      </c>
      <c r="L42" s="3">
        <v>15.301964130147301</v>
      </c>
      <c r="M42" s="3">
        <v>18.087182729475199</v>
      </c>
      <c r="N42" s="3">
        <v>15.1756915167422</v>
      </c>
      <c r="O42" s="3">
        <v>20.7588411089339</v>
      </c>
      <c r="P42" s="3">
        <v>14.527942960377301</v>
      </c>
      <c r="Q42" s="3">
        <v>13.952247750816399</v>
      </c>
      <c r="R42" s="3">
        <v>15.9262376107196</v>
      </c>
      <c r="S42" s="3">
        <v>9.4905080780205697</v>
      </c>
      <c r="T42" s="3">
        <v>13.0130709328631</v>
      </c>
      <c r="U42" s="3">
        <v>17.066417334149602</v>
      </c>
      <c r="V42" s="3">
        <v>15.025746808826501</v>
      </c>
    </row>
    <row r="43" spans="1:22" x14ac:dyDescent="0.35">
      <c r="A43" s="2">
        <v>42996</v>
      </c>
      <c r="B43" s="3">
        <v>15.6800638480607</v>
      </c>
      <c r="C43" s="3">
        <v>19.812453459196899</v>
      </c>
      <c r="D43" s="3">
        <v>17.173975907458299</v>
      </c>
      <c r="E43" s="3">
        <v>18.807429978144999</v>
      </c>
      <c r="F43" s="3">
        <v>13.988813260179001</v>
      </c>
      <c r="G43" s="3">
        <v>16.676768950995399</v>
      </c>
      <c r="H43" s="3">
        <v>17.580437070086099</v>
      </c>
      <c r="I43" s="3">
        <v>14.6370419419524</v>
      </c>
      <c r="J43" s="3">
        <v>19.226450401720399</v>
      </c>
      <c r="K43" s="3">
        <v>10.506052059312401</v>
      </c>
      <c r="L43" s="3">
        <v>15.8590246406253</v>
      </c>
      <c r="M43" s="3">
        <v>17.663065971796801</v>
      </c>
      <c r="N43" s="3">
        <v>14.2807750215831</v>
      </c>
      <c r="O43" s="3">
        <v>21.320082273894599</v>
      </c>
      <c r="P43" s="3">
        <v>14.9119088807604</v>
      </c>
      <c r="Q43" s="3">
        <v>12.749515545565799</v>
      </c>
      <c r="R43" s="3">
        <v>16.5573002277537</v>
      </c>
      <c r="S43" s="3">
        <v>9.3218112065121304</v>
      </c>
      <c r="T43" s="3">
        <v>12.398407733962699</v>
      </c>
      <c r="U43" s="3">
        <v>18.004282829218798</v>
      </c>
      <c r="V43" s="3">
        <v>15.1520270229239</v>
      </c>
    </row>
    <row r="44" spans="1:22" x14ac:dyDescent="0.35">
      <c r="A44" s="2">
        <v>43026</v>
      </c>
      <c r="B44" s="3">
        <v>15.9159470935535</v>
      </c>
      <c r="C44" s="3">
        <v>18.118081275376401</v>
      </c>
      <c r="D44" s="3">
        <v>17.345061389263801</v>
      </c>
      <c r="E44" s="3">
        <v>19.540697178470499</v>
      </c>
      <c r="F44" s="3">
        <v>13.481674436014099</v>
      </c>
      <c r="G44" s="3">
        <v>16.445433774894401</v>
      </c>
      <c r="H44" s="3">
        <v>17.386363779471498</v>
      </c>
      <c r="I44" s="3">
        <v>14.724036231546</v>
      </c>
      <c r="J44" s="3">
        <v>18.466272837538099</v>
      </c>
      <c r="K44" s="3">
        <v>10.597827142246899</v>
      </c>
      <c r="L44" s="3">
        <v>15.659297438984</v>
      </c>
      <c r="M44" s="3">
        <v>18.1951358482216</v>
      </c>
      <c r="N44" s="3">
        <v>16.2878252500287</v>
      </c>
      <c r="O44" s="3">
        <v>21.4010445760034</v>
      </c>
      <c r="P44" s="3">
        <v>15.3090840186874</v>
      </c>
      <c r="Q44" s="3">
        <v>12.601123843092299</v>
      </c>
      <c r="R44" s="3">
        <v>16.770404006136999</v>
      </c>
      <c r="S44" s="3">
        <v>9.1300475471412508</v>
      </c>
      <c r="T44" s="3">
        <v>12.4187480123048</v>
      </c>
      <c r="U44" s="3">
        <v>18.1641769717932</v>
      </c>
      <c r="V44" s="3">
        <v>14.293713804288201</v>
      </c>
    </row>
    <row r="45" spans="1:22" x14ac:dyDescent="0.35">
      <c r="A45" s="2">
        <v>43056</v>
      </c>
      <c r="B45" s="3">
        <v>16.433723188274499</v>
      </c>
      <c r="C45" s="3">
        <v>17.7309264664813</v>
      </c>
      <c r="D45" s="3">
        <v>17.3364580759484</v>
      </c>
      <c r="E45" s="3">
        <v>19.273696720082501</v>
      </c>
      <c r="F45" s="3">
        <v>12.775789265092101</v>
      </c>
      <c r="G45" s="3">
        <v>16.652763947950199</v>
      </c>
      <c r="H45" s="3">
        <v>17.156332137394699</v>
      </c>
      <c r="I45" s="3">
        <v>14.858288878467</v>
      </c>
      <c r="J45" s="3">
        <v>16.956700635222099</v>
      </c>
      <c r="K45" s="3">
        <v>10.453858418377999</v>
      </c>
      <c r="L45" s="3">
        <v>14.700764315464101</v>
      </c>
      <c r="M45" s="3">
        <v>18.821638041698101</v>
      </c>
      <c r="N45" s="3">
        <v>16.017029876466299</v>
      </c>
      <c r="O45" s="3">
        <v>21.696993629444101</v>
      </c>
      <c r="P45" s="3">
        <v>15.5431934900854</v>
      </c>
      <c r="Q45" s="3">
        <v>12.399431531712899</v>
      </c>
      <c r="R45" s="3">
        <v>17.0977840156689</v>
      </c>
      <c r="S45" s="3">
        <v>8.8731236211629092</v>
      </c>
      <c r="T45" s="3">
        <v>11.4835092089182</v>
      </c>
      <c r="U45" s="3">
        <v>19.4560485552195</v>
      </c>
      <c r="V45" s="3">
        <v>14.264443697860401</v>
      </c>
    </row>
    <row r="46" spans="1:22" x14ac:dyDescent="0.35">
      <c r="A46" s="2">
        <v>43087</v>
      </c>
      <c r="B46" s="3">
        <v>15.6992365087323</v>
      </c>
      <c r="C46" s="3">
        <v>18.1767539837664</v>
      </c>
      <c r="D46" s="3">
        <v>17.3437163783742</v>
      </c>
      <c r="E46" s="3">
        <v>19.502934962086002</v>
      </c>
      <c r="F46" s="3">
        <v>12.510076932339301</v>
      </c>
      <c r="G46" s="3">
        <v>16.450389312195501</v>
      </c>
      <c r="H46" s="3">
        <v>17.862440810650501</v>
      </c>
      <c r="I46" s="3">
        <v>14.4777389373383</v>
      </c>
      <c r="J46" s="3">
        <v>17.1867174644409</v>
      </c>
      <c r="K46" s="3">
        <v>10.1909785380853</v>
      </c>
      <c r="L46" s="3">
        <v>14.4993054097146</v>
      </c>
      <c r="M46" s="3">
        <v>17.983549489193202</v>
      </c>
      <c r="N46" s="3">
        <v>20.229844686055699</v>
      </c>
      <c r="O46" s="3">
        <v>22.156996048981</v>
      </c>
      <c r="P46" s="3">
        <v>15.1316534341018</v>
      </c>
      <c r="Q46" s="3">
        <v>13.057138951771501</v>
      </c>
      <c r="R46" s="3">
        <v>17.444113170873202</v>
      </c>
      <c r="S46" s="3">
        <v>8.7726634482107393</v>
      </c>
      <c r="T46" s="3">
        <v>11.701995990590801</v>
      </c>
      <c r="U46" s="3">
        <v>21.871918792257201</v>
      </c>
      <c r="V46" s="3">
        <v>14.495319048007</v>
      </c>
    </row>
    <row r="47" spans="1:22" x14ac:dyDescent="0.35">
      <c r="A47" s="2">
        <v>43118</v>
      </c>
      <c r="B47" s="3">
        <v>16.6164027899679</v>
      </c>
      <c r="C47" s="3">
        <v>18.644859497051002</v>
      </c>
      <c r="D47" s="3">
        <v>18.330782368363099</v>
      </c>
      <c r="E47" s="3">
        <v>20.213665551955</v>
      </c>
      <c r="F47" s="3">
        <v>12.964023375061901</v>
      </c>
      <c r="G47" s="3">
        <v>17.661948683635799</v>
      </c>
      <c r="H47" s="3">
        <v>18.535420429003601</v>
      </c>
      <c r="I47" s="3">
        <v>14.9606124995901</v>
      </c>
      <c r="J47" s="3">
        <v>17.387448543140199</v>
      </c>
      <c r="K47" s="3">
        <v>10.4162429346945</v>
      </c>
      <c r="L47" s="3">
        <v>15.6276552321977</v>
      </c>
      <c r="M47" s="3">
        <v>18.889189246672199</v>
      </c>
      <c r="N47" s="3">
        <v>22.160033673308</v>
      </c>
      <c r="O47" s="3">
        <v>23.038801303386698</v>
      </c>
      <c r="P47" s="3">
        <v>16.316421832057699</v>
      </c>
      <c r="Q47" s="3">
        <v>13.976211097421</v>
      </c>
      <c r="R47" s="3">
        <v>18.4274349403861</v>
      </c>
      <c r="S47" s="3">
        <v>9.0666190382618908</v>
      </c>
      <c r="T47" s="3">
        <v>12.4637981938988</v>
      </c>
      <c r="U47" s="3">
        <v>24.8295235435811</v>
      </c>
      <c r="V47" s="3">
        <v>15.2395293862862</v>
      </c>
    </row>
    <row r="48" spans="1:22" x14ac:dyDescent="0.35">
      <c r="A48" s="2">
        <v>43147</v>
      </c>
      <c r="B48" s="3">
        <v>15.156084948726701</v>
      </c>
      <c r="C48" s="3">
        <v>17.773130251275902</v>
      </c>
      <c r="D48" s="3">
        <v>17.849463154153302</v>
      </c>
      <c r="E48" s="3">
        <v>19.4385026382636</v>
      </c>
      <c r="F48" s="3">
        <v>12.1607282606849</v>
      </c>
      <c r="G48" s="3">
        <v>18.6939935479772</v>
      </c>
      <c r="H48" s="3">
        <v>18.501494293447202</v>
      </c>
      <c r="I48" s="3">
        <v>14.074231581699401</v>
      </c>
      <c r="J48" s="3">
        <v>17.849475738263099</v>
      </c>
      <c r="K48" s="3">
        <v>10.537924318453101</v>
      </c>
      <c r="L48" s="3">
        <v>16.144216100229102</v>
      </c>
      <c r="M48" s="3">
        <v>18.420986295528301</v>
      </c>
      <c r="N48" s="3">
        <v>24.061362925449</v>
      </c>
      <c r="O48" s="3">
        <v>21.737985308233799</v>
      </c>
      <c r="P48" s="3">
        <v>15.583100962264799</v>
      </c>
      <c r="Q48" s="3">
        <v>13.465328736650299</v>
      </c>
      <c r="R48" s="3">
        <v>17.9817673436924</v>
      </c>
      <c r="S48" s="3">
        <v>9.0810971146646207</v>
      </c>
      <c r="T48" s="3">
        <v>12.486228340794799</v>
      </c>
      <c r="U48" s="3">
        <v>23.829217979032698</v>
      </c>
      <c r="V48" s="3">
        <v>15.163831401904501</v>
      </c>
    </row>
    <row r="49" spans="1:22" x14ac:dyDescent="0.35">
      <c r="A49" s="2">
        <v>43175</v>
      </c>
      <c r="B49" s="3">
        <v>15.2460145510875</v>
      </c>
      <c r="C49" s="3">
        <v>17.403595880640999</v>
      </c>
      <c r="D49" s="3">
        <v>17.4315487692011</v>
      </c>
      <c r="E49" s="3">
        <v>19.230156994442002</v>
      </c>
      <c r="F49" s="3">
        <v>11.7036885717726</v>
      </c>
      <c r="G49" s="3">
        <v>19.518179280356001</v>
      </c>
      <c r="H49" s="3">
        <v>18.469214963832801</v>
      </c>
      <c r="I49" s="3">
        <v>14.499267487031</v>
      </c>
      <c r="J49" s="3">
        <v>17.847267229879002</v>
      </c>
      <c r="K49" s="3">
        <v>10.5374689930042</v>
      </c>
      <c r="L49" s="3">
        <v>16.374297638709599</v>
      </c>
      <c r="M49" s="3">
        <v>18.173668575885099</v>
      </c>
      <c r="N49" s="3">
        <v>23.408045145355398</v>
      </c>
      <c r="O49" s="3">
        <v>21.528192692453501</v>
      </c>
      <c r="P49" s="3">
        <v>15.3671401819616</v>
      </c>
      <c r="Q49" s="3">
        <v>12.8107301753772</v>
      </c>
      <c r="R49" s="3">
        <v>17.6600395735414</v>
      </c>
      <c r="S49" s="3">
        <v>9.1465461665422705</v>
      </c>
      <c r="T49" s="3">
        <v>12.357259576162701</v>
      </c>
      <c r="U49" s="3">
        <v>24.531793100197401</v>
      </c>
      <c r="V49" s="3">
        <v>15.1733050511349</v>
      </c>
    </row>
    <row r="50" spans="1:22" x14ac:dyDescent="0.35">
      <c r="A50" s="2">
        <v>43208</v>
      </c>
      <c r="B50" s="3">
        <v>14.813666149535701</v>
      </c>
      <c r="C50" s="3">
        <v>17.121439785316099</v>
      </c>
      <c r="D50" s="3">
        <v>17.276742123967299</v>
      </c>
      <c r="E50" s="3">
        <v>18.758719594345202</v>
      </c>
      <c r="F50" s="3">
        <v>11.810703371735601</v>
      </c>
      <c r="G50" s="3">
        <v>19.107698777666901</v>
      </c>
      <c r="H50" s="3">
        <v>18.355296598206699</v>
      </c>
      <c r="I50" s="3">
        <v>14.3270356930599</v>
      </c>
      <c r="J50" s="3">
        <v>17.8238868707428</v>
      </c>
      <c r="K50" s="3">
        <v>10.378265831755799</v>
      </c>
      <c r="L50" s="3">
        <v>16.042605768184501</v>
      </c>
      <c r="M50" s="3">
        <v>17.913271056907298</v>
      </c>
      <c r="N50" s="3">
        <v>22.937026996515701</v>
      </c>
      <c r="O50" s="3">
        <v>21.394299346490801</v>
      </c>
      <c r="P50" s="3">
        <v>14.8731400023169</v>
      </c>
      <c r="Q50" s="3">
        <v>12.7639465736064</v>
      </c>
      <c r="R50" s="3">
        <v>17.319451537469</v>
      </c>
      <c r="S50" s="3">
        <v>8.9177154796344897</v>
      </c>
      <c r="T50" s="3">
        <v>12.4159406668306</v>
      </c>
      <c r="U50" s="3">
        <v>24.368605070909201</v>
      </c>
      <c r="V50" s="3">
        <v>15.3288713814211</v>
      </c>
    </row>
    <row r="51" spans="1:22" x14ac:dyDescent="0.35">
      <c r="A51" s="2">
        <v>43238</v>
      </c>
      <c r="B51" s="3">
        <v>14.494615353540899</v>
      </c>
      <c r="C51" s="3">
        <v>16.576042224374</v>
      </c>
      <c r="D51" s="3">
        <v>16.406830798412201</v>
      </c>
      <c r="E51" s="3">
        <v>18.560466006059599</v>
      </c>
      <c r="F51" s="3">
        <v>11.6816643333133</v>
      </c>
      <c r="G51" s="3">
        <v>18.421060794298299</v>
      </c>
      <c r="H51" s="3">
        <v>18.136155135290899</v>
      </c>
      <c r="I51" s="3">
        <v>14.2816818209931</v>
      </c>
      <c r="J51" s="3">
        <v>17.187405408159901</v>
      </c>
      <c r="K51" s="3">
        <v>10.167126880683</v>
      </c>
      <c r="L51" s="3">
        <v>15.451328887681999</v>
      </c>
      <c r="M51" s="3">
        <v>17.444640835091501</v>
      </c>
      <c r="N51" s="3">
        <v>21.713815153881001</v>
      </c>
      <c r="O51" s="3">
        <v>21.074210512391598</v>
      </c>
      <c r="P51" s="3">
        <v>14.833194583079599</v>
      </c>
      <c r="Q51" s="3">
        <v>12.5656964727328</v>
      </c>
      <c r="R51" s="3">
        <v>17.258758765656999</v>
      </c>
      <c r="S51" s="3">
        <v>8.5241453025032197</v>
      </c>
      <c r="T51" s="3">
        <v>11.9474272291493</v>
      </c>
      <c r="U51" s="3">
        <v>24.1464660038178</v>
      </c>
      <c r="V51" s="3">
        <v>15.2966683315114</v>
      </c>
    </row>
    <row r="52" spans="1:22" x14ac:dyDescent="0.35">
      <c r="A52" s="2">
        <v>43269</v>
      </c>
      <c r="B52" s="3">
        <v>14.1341465320459</v>
      </c>
      <c r="C52" s="3">
        <v>15.681211603007901</v>
      </c>
      <c r="D52" s="3">
        <v>16.239070313232901</v>
      </c>
      <c r="E52" s="3">
        <v>18.163743766385501</v>
      </c>
      <c r="F52" s="3">
        <v>11.393430027503801</v>
      </c>
      <c r="G52" s="3">
        <v>18.1078461015865</v>
      </c>
      <c r="H52" s="3">
        <v>17.815706211150101</v>
      </c>
      <c r="I52" s="3">
        <v>14.339619288661201</v>
      </c>
      <c r="J52" s="3">
        <v>17.1955326109594</v>
      </c>
      <c r="K52" s="3">
        <v>9.9587338584776006</v>
      </c>
      <c r="L52" s="3">
        <v>14.2697086096997</v>
      </c>
      <c r="M52" s="3">
        <v>17.022172589005901</v>
      </c>
      <c r="N52" s="3">
        <v>21.822381964135001</v>
      </c>
      <c r="O52" s="3">
        <v>21.316590403373102</v>
      </c>
      <c r="P52" s="3">
        <v>14.6402149789412</v>
      </c>
      <c r="Q52" s="3">
        <v>12.574202040198999</v>
      </c>
      <c r="R52" s="3">
        <v>16.744504251276499</v>
      </c>
      <c r="S52" s="3">
        <v>8.0796577706015302</v>
      </c>
      <c r="T52" s="3">
        <v>11.9773712654617</v>
      </c>
      <c r="U52" s="3">
        <v>22.715291997793798</v>
      </c>
      <c r="V52" s="3">
        <v>15.476362161049</v>
      </c>
    </row>
    <row r="53" spans="1:22" x14ac:dyDescent="0.35">
      <c r="A53" s="2">
        <v>43299</v>
      </c>
      <c r="B53" s="3">
        <v>13.231273634980299</v>
      </c>
      <c r="C53" s="3">
        <v>15.2329281763352</v>
      </c>
      <c r="D53" s="3">
        <v>15.6767437456039</v>
      </c>
      <c r="E53" s="3">
        <v>17.795512251989798</v>
      </c>
      <c r="F53" s="3">
        <v>11.3109498051074</v>
      </c>
      <c r="G53" s="3">
        <v>17.466769912948699</v>
      </c>
      <c r="H53" s="3">
        <v>17.6776543421628</v>
      </c>
      <c r="I53" s="3">
        <v>14.0826323593477</v>
      </c>
      <c r="J53" s="3">
        <v>17.593140553082801</v>
      </c>
      <c r="K53" s="3">
        <v>9.6653076044656494</v>
      </c>
      <c r="L53" s="3">
        <v>14.2988558702268</v>
      </c>
      <c r="M53" s="3">
        <v>16.6453810502755</v>
      </c>
      <c r="N53" s="3">
        <v>21.3721347999975</v>
      </c>
      <c r="O53" s="3">
        <v>21.236635052139199</v>
      </c>
      <c r="P53" s="3">
        <v>14.0934044308769</v>
      </c>
      <c r="Q53" s="3">
        <v>12.601021934721601</v>
      </c>
      <c r="R53" s="3">
        <v>16.304107275871601</v>
      </c>
      <c r="S53" s="3">
        <v>7.7779184490527697</v>
      </c>
      <c r="T53" s="3">
        <v>12.2081484019255</v>
      </c>
      <c r="U53" s="3">
        <v>21.8277021121574</v>
      </c>
      <c r="V53" s="3">
        <v>15.6420796286788</v>
      </c>
    </row>
    <row r="54" spans="1:22" x14ac:dyDescent="0.35">
      <c r="A54" s="2">
        <v>43329</v>
      </c>
      <c r="B54" s="3">
        <v>12.4245753977471</v>
      </c>
      <c r="C54" s="3">
        <v>14.9892561298481</v>
      </c>
      <c r="D54" s="3">
        <v>15.5591073194015</v>
      </c>
      <c r="E54" s="3">
        <v>17.729108905273101</v>
      </c>
      <c r="F54" s="3">
        <v>11.521462239334699</v>
      </c>
      <c r="G54" s="3">
        <v>17.307515802610599</v>
      </c>
      <c r="H54" s="3">
        <v>17.7965788696396</v>
      </c>
      <c r="I54" s="3">
        <v>13.9320476708704</v>
      </c>
      <c r="J54" s="3">
        <v>17.0685936270302</v>
      </c>
      <c r="K54" s="3">
        <v>9.3487945085133894</v>
      </c>
      <c r="L54" s="3">
        <v>13.7382497780732</v>
      </c>
      <c r="M54" s="3">
        <v>16.044526892443798</v>
      </c>
      <c r="N54" s="3">
        <v>20.832916851787601</v>
      </c>
      <c r="O54" s="3">
        <v>22.126331673063401</v>
      </c>
      <c r="P54" s="3">
        <v>13.4716900753172</v>
      </c>
      <c r="Q54" s="3">
        <v>12.8103223924326</v>
      </c>
      <c r="R54" s="3">
        <v>16.252960903188001</v>
      </c>
      <c r="S54" s="3">
        <v>7.3637981023672401</v>
      </c>
      <c r="T54" s="3">
        <v>12.141241528519201</v>
      </c>
      <c r="U54" s="3">
        <v>21.992918427394599</v>
      </c>
      <c r="V54" s="3">
        <v>14.833070882039401</v>
      </c>
    </row>
    <row r="55" spans="1:22" x14ac:dyDescent="0.35">
      <c r="A55" s="2">
        <v>43361</v>
      </c>
      <c r="B55" s="3">
        <v>12.3586862815038</v>
      </c>
      <c r="C55" s="3">
        <v>15.300065224941299</v>
      </c>
      <c r="D55" s="3">
        <v>15.259082981500899</v>
      </c>
      <c r="E55" s="3">
        <v>16.569665282494601</v>
      </c>
      <c r="F55" s="3">
        <v>11.340484806678999</v>
      </c>
      <c r="G55" s="3">
        <v>16.162873481026299</v>
      </c>
      <c r="H55" s="3">
        <v>17.699574280361801</v>
      </c>
      <c r="I55" s="3">
        <v>13.6819729389199</v>
      </c>
      <c r="J55" s="3">
        <v>17.281083854252099</v>
      </c>
      <c r="K55" s="3">
        <v>9.3358340503413402</v>
      </c>
      <c r="L55" s="3">
        <v>13.317845398560101</v>
      </c>
      <c r="M55" s="3">
        <v>15.701534949239001</v>
      </c>
      <c r="N55" s="3">
        <v>21.661593994066301</v>
      </c>
      <c r="O55" s="3">
        <v>22.015353968806199</v>
      </c>
      <c r="P55" s="3">
        <v>13.0226789852001</v>
      </c>
      <c r="Q55" s="3">
        <v>13.1090362505056</v>
      </c>
      <c r="R55" s="3">
        <v>16.4571052039718</v>
      </c>
      <c r="S55" s="3">
        <v>7.4786204831168197</v>
      </c>
      <c r="T55" s="3">
        <v>12.770400509780901</v>
      </c>
      <c r="U55" s="3">
        <v>21.969278099448601</v>
      </c>
      <c r="V55" s="3">
        <v>14.538179980629099</v>
      </c>
    </row>
    <row r="56" spans="1:22" x14ac:dyDescent="0.35">
      <c r="A56" s="2">
        <v>43391</v>
      </c>
      <c r="B56" s="3">
        <v>11.3650216597953</v>
      </c>
      <c r="C56" s="3">
        <v>17.0578716955294</v>
      </c>
      <c r="D56" s="3">
        <v>15.0938822338818</v>
      </c>
      <c r="E56" s="3">
        <v>16.211339979958598</v>
      </c>
      <c r="F56" s="3">
        <v>11.255764125270099</v>
      </c>
      <c r="G56" s="3">
        <v>16.194657492220401</v>
      </c>
      <c r="H56" s="3">
        <v>17.0708354971514</v>
      </c>
      <c r="I56" s="3">
        <v>12.8200651314952</v>
      </c>
      <c r="J56" s="3">
        <v>16.382485479933901</v>
      </c>
      <c r="K56" s="3">
        <v>8.7636441704065398</v>
      </c>
      <c r="L56" s="3">
        <v>13.6650131727912</v>
      </c>
      <c r="M56" s="3">
        <v>14.561647333687</v>
      </c>
      <c r="N56" s="3">
        <v>18.906591026515098</v>
      </c>
      <c r="O56" s="3">
        <v>20.5814546877459</v>
      </c>
      <c r="P56" s="3">
        <v>12.121466497323</v>
      </c>
      <c r="Q56" s="3">
        <v>13.408727805200099</v>
      </c>
      <c r="R56" s="3">
        <v>15.8240091097008</v>
      </c>
      <c r="S56" s="3">
        <v>7.4811084725553201</v>
      </c>
      <c r="T56" s="3">
        <v>12.6267544506227</v>
      </c>
      <c r="U56" s="3">
        <v>20.2604218436636</v>
      </c>
      <c r="V56" s="3">
        <v>14.715553584984001</v>
      </c>
    </row>
    <row r="57" spans="1:22" x14ac:dyDescent="0.35">
      <c r="A57" s="2">
        <v>43420</v>
      </c>
      <c r="B57" s="3">
        <v>11.7102005249115</v>
      </c>
      <c r="C57" s="3">
        <v>17.542162591330499</v>
      </c>
      <c r="D57" s="3">
        <v>15.624395558094699</v>
      </c>
      <c r="E57" s="3">
        <v>15.7076341238279</v>
      </c>
      <c r="F57" s="3">
        <v>11.0947908035956</v>
      </c>
      <c r="G57" s="3">
        <v>17.035024169216001</v>
      </c>
      <c r="H57" s="3">
        <v>16.759492782807001</v>
      </c>
      <c r="I57" s="3">
        <v>12.617790780313801</v>
      </c>
      <c r="J57" s="3">
        <v>15.017802423647399</v>
      </c>
      <c r="K57" s="3">
        <v>8.5425205778544697</v>
      </c>
      <c r="L57" s="3">
        <v>14.019768529953399</v>
      </c>
      <c r="M57" s="3">
        <v>14.776789317035201</v>
      </c>
      <c r="N57" s="3">
        <v>18.109414349629599</v>
      </c>
      <c r="O57" s="3">
        <v>21.387032281939199</v>
      </c>
      <c r="P57" s="3">
        <v>12.2991776462069</v>
      </c>
      <c r="Q57" s="3">
        <v>13.736940372425099</v>
      </c>
      <c r="R57" s="3">
        <v>15.2439649817012</v>
      </c>
      <c r="S57" s="3">
        <v>6.9062940784253604</v>
      </c>
      <c r="T57" s="3">
        <v>13.006633073735999</v>
      </c>
      <c r="U57" s="3">
        <v>19.0620341193409</v>
      </c>
      <c r="V57" s="3">
        <v>14.672337313058501</v>
      </c>
    </row>
    <row r="58" spans="1:22" x14ac:dyDescent="0.35">
      <c r="A58" s="2">
        <v>43452</v>
      </c>
      <c r="B58" s="3">
        <v>11.203875388658799</v>
      </c>
      <c r="C58" s="3">
        <v>16.499133914358001</v>
      </c>
      <c r="D58" s="3">
        <v>15.423595443730701</v>
      </c>
      <c r="E58" s="3">
        <v>16.611765831075498</v>
      </c>
      <c r="F58" s="3">
        <v>11.647809677805601</v>
      </c>
      <c r="G58" s="3">
        <v>17.182879952126399</v>
      </c>
      <c r="H58" s="3">
        <v>16.425421270293299</v>
      </c>
      <c r="I58" s="3">
        <v>12.490318744773999</v>
      </c>
      <c r="J58" s="3">
        <v>14.424410352725101</v>
      </c>
      <c r="K58" s="3">
        <v>8.3207271990922305</v>
      </c>
      <c r="L58" s="3">
        <v>13.5961528504386</v>
      </c>
      <c r="M58" s="3">
        <v>14.513914864055399</v>
      </c>
      <c r="N58" s="3">
        <v>16.804141264245398</v>
      </c>
      <c r="O58" s="3">
        <v>21.792131730302799</v>
      </c>
      <c r="P58" s="3">
        <v>11.729928212581401</v>
      </c>
      <c r="Q58" s="3">
        <v>14.253216937635401</v>
      </c>
      <c r="R58" s="3">
        <v>14.5411973936623</v>
      </c>
      <c r="S58" s="3">
        <v>6.5994780946473304</v>
      </c>
      <c r="T58" s="3">
        <v>11.9654479201523</v>
      </c>
      <c r="U58" s="3">
        <v>19.0448479989942</v>
      </c>
      <c r="V58" s="3">
        <v>15.642288078620799</v>
      </c>
    </row>
    <row r="59" spans="1:22" x14ac:dyDescent="0.35">
      <c r="A59" s="2">
        <v>43483</v>
      </c>
      <c r="B59" s="3">
        <v>11.158543953163701</v>
      </c>
      <c r="C59" s="3">
        <v>17.957046224406401</v>
      </c>
      <c r="D59" s="3">
        <v>16.432123721514699</v>
      </c>
      <c r="E59" s="3">
        <v>17.7490938435276</v>
      </c>
      <c r="F59" s="3">
        <v>11.7723150218439</v>
      </c>
      <c r="G59" s="3">
        <v>17.828242633511099</v>
      </c>
      <c r="H59" s="3">
        <v>16.967407743856501</v>
      </c>
      <c r="I59" s="3">
        <v>12.9637385311436</v>
      </c>
      <c r="J59" s="3">
        <v>15.568539496416401</v>
      </c>
      <c r="K59" s="3">
        <v>8.7608793870628592</v>
      </c>
      <c r="L59" s="3">
        <v>14.9022950850591</v>
      </c>
      <c r="M59" s="3">
        <v>15.319797997992399</v>
      </c>
      <c r="N59" s="3">
        <v>15.279626392214499</v>
      </c>
      <c r="O59" s="3">
        <v>21.560364886027699</v>
      </c>
      <c r="P59" s="3">
        <v>12.106016362224199</v>
      </c>
      <c r="Q59" s="3">
        <v>14.7747883795401</v>
      </c>
      <c r="R59" s="3">
        <v>14.7485165007504</v>
      </c>
      <c r="S59" s="3">
        <v>7.1317628703692302</v>
      </c>
      <c r="T59" s="3">
        <v>11.956436920481</v>
      </c>
      <c r="U59" s="3">
        <v>18.335582839087699</v>
      </c>
      <c r="V59" s="3">
        <v>16.856649673416101</v>
      </c>
    </row>
    <row r="60" spans="1:22" x14ac:dyDescent="0.35">
      <c r="A60" s="2">
        <v>43511</v>
      </c>
      <c r="B60" s="3">
        <v>11.727858374819601</v>
      </c>
      <c r="C60" s="3">
        <v>17.909196783857801</v>
      </c>
      <c r="D60" s="3">
        <v>15.7545144494723</v>
      </c>
      <c r="E60" s="3">
        <v>17.361424837664401</v>
      </c>
      <c r="F60" s="3">
        <v>11.5350907234721</v>
      </c>
      <c r="G60" s="3">
        <v>19.3004468538212</v>
      </c>
      <c r="H60" s="3">
        <v>16.9574465566008</v>
      </c>
      <c r="I60" s="3">
        <v>13.540243459958599</v>
      </c>
      <c r="J60" s="3">
        <v>15.580306879436201</v>
      </c>
      <c r="K60" s="3">
        <v>9.8178880908657504</v>
      </c>
      <c r="L60" s="3">
        <v>15.175564329363</v>
      </c>
      <c r="M60" s="3">
        <v>15.0420966797736</v>
      </c>
      <c r="N60" s="3">
        <v>17.668828372103601</v>
      </c>
      <c r="O60" s="3">
        <v>21.3833351994898</v>
      </c>
      <c r="P60" s="3">
        <v>12.504317255151699</v>
      </c>
      <c r="Q60" s="3">
        <v>13.388312346200999</v>
      </c>
      <c r="R60" s="3">
        <v>15.570044301568</v>
      </c>
      <c r="S60" s="3">
        <v>7.2792640252696996</v>
      </c>
      <c r="T60" s="3">
        <v>12.0017756227472</v>
      </c>
      <c r="U60" s="3">
        <v>18.538432032775699</v>
      </c>
      <c r="V60" s="3">
        <v>17.567304559385001</v>
      </c>
    </row>
    <row r="61" spans="1:22" x14ac:dyDescent="0.35">
      <c r="A61" s="2">
        <v>43542</v>
      </c>
      <c r="B61" s="3">
        <v>12.733368233947299</v>
      </c>
      <c r="C61" s="3">
        <v>15.8345451400402</v>
      </c>
      <c r="D61" s="3">
        <v>15.914747054585201</v>
      </c>
      <c r="E61" s="3">
        <v>16.768016358853</v>
      </c>
      <c r="F61" s="3">
        <v>11.6123619427999</v>
      </c>
      <c r="G61" s="3">
        <v>20.019380534182002</v>
      </c>
      <c r="H61" s="3">
        <v>17.069403092022299</v>
      </c>
      <c r="I61" s="3">
        <v>14.180397804658099</v>
      </c>
      <c r="J61" s="3">
        <v>15.386808513947001</v>
      </c>
      <c r="K61" s="3">
        <v>10.094890977428699</v>
      </c>
      <c r="L61" s="3">
        <v>14.7466771812782</v>
      </c>
      <c r="M61" s="3">
        <v>15.3228884514134</v>
      </c>
      <c r="N61" s="3">
        <v>18.611309122054401</v>
      </c>
      <c r="O61" s="3">
        <v>21.7234929385146</v>
      </c>
      <c r="P61" s="3">
        <v>12.8755313891571</v>
      </c>
      <c r="Q61" s="3">
        <v>13.5526353097344</v>
      </c>
      <c r="R61" s="3">
        <v>16.135827370069698</v>
      </c>
      <c r="S61" s="3">
        <v>7.4762492489004604</v>
      </c>
      <c r="T61" s="3">
        <v>12.7789351633085</v>
      </c>
      <c r="U61" s="3">
        <v>19.748170698598699</v>
      </c>
      <c r="V61" s="3">
        <v>17.250677074453801</v>
      </c>
    </row>
    <row r="62" spans="1:22" x14ac:dyDescent="0.35">
      <c r="A62" s="2">
        <v>43573</v>
      </c>
      <c r="B62" s="3">
        <v>12.850893799322099</v>
      </c>
      <c r="C62" s="3">
        <v>15.7366059194631</v>
      </c>
      <c r="D62" s="3">
        <v>15.755407035165</v>
      </c>
      <c r="E62" s="3">
        <v>16.663799946189499</v>
      </c>
      <c r="F62" s="3">
        <v>11.6595359848644</v>
      </c>
      <c r="G62" s="3">
        <v>19.4007241632317</v>
      </c>
      <c r="H62" s="3">
        <v>16.8654058827969</v>
      </c>
      <c r="I62" s="3">
        <v>14.4803165338837</v>
      </c>
      <c r="J62" s="3">
        <v>15.484427202199001</v>
      </c>
      <c r="K62" s="3">
        <v>10.432401081323601</v>
      </c>
      <c r="L62" s="3">
        <v>14.193909453028001</v>
      </c>
      <c r="M62" s="3">
        <v>15.392248345754901</v>
      </c>
      <c r="N62" s="3">
        <v>18.438608637337602</v>
      </c>
      <c r="O62" s="3">
        <v>21.572625805931001</v>
      </c>
      <c r="P62" s="3">
        <v>12.9481365114158</v>
      </c>
      <c r="Q62" s="3">
        <v>13.631750933745501</v>
      </c>
      <c r="R62" s="3">
        <v>16.1743496758323</v>
      </c>
      <c r="S62" s="3">
        <v>7.2370928304640296</v>
      </c>
      <c r="T62" s="3">
        <v>12.860768809334401</v>
      </c>
      <c r="U62" s="3">
        <v>19.659848877502</v>
      </c>
      <c r="V62" s="3">
        <v>17.542265958120701</v>
      </c>
    </row>
    <row r="63" spans="1:22" x14ac:dyDescent="0.35">
      <c r="A63" s="2">
        <v>43602</v>
      </c>
      <c r="B63" s="3">
        <v>12.364304838047399</v>
      </c>
      <c r="C63" s="3">
        <v>15.4770310117659</v>
      </c>
      <c r="D63" s="3">
        <v>14.963076604104399</v>
      </c>
      <c r="E63" s="3">
        <v>16.461170021686002</v>
      </c>
      <c r="F63" s="3">
        <v>11.3150919460141</v>
      </c>
      <c r="G63" s="3">
        <v>18.2794445516714</v>
      </c>
      <c r="H63" s="3">
        <v>16.730150016962501</v>
      </c>
      <c r="I63" s="3">
        <v>14.318508057500701</v>
      </c>
      <c r="J63" s="3">
        <v>15.1167270784936</v>
      </c>
      <c r="K63" s="3">
        <v>10.398321249077201</v>
      </c>
      <c r="L63" s="3">
        <v>13.8688168409018</v>
      </c>
      <c r="M63" s="3">
        <v>15.0551809151728</v>
      </c>
      <c r="N63" s="3">
        <v>17.715317761769601</v>
      </c>
      <c r="O63" s="3">
        <v>21.307190913606</v>
      </c>
      <c r="P63" s="3">
        <v>12.550606878723601</v>
      </c>
      <c r="Q63" s="3">
        <v>13.313204717487499</v>
      </c>
      <c r="R63" s="3">
        <v>15.930106761683399</v>
      </c>
      <c r="S63" s="3">
        <v>6.9508427176380598</v>
      </c>
      <c r="T63" s="3">
        <v>12.334736679942701</v>
      </c>
      <c r="U63" s="3">
        <v>19.522560991668801</v>
      </c>
      <c r="V63" s="3">
        <v>17.1423795560315</v>
      </c>
    </row>
    <row r="64" spans="1:22" x14ac:dyDescent="0.35">
      <c r="A64" s="2">
        <v>43634</v>
      </c>
      <c r="B64" s="3">
        <v>12.5026846559009</v>
      </c>
      <c r="C64" s="3">
        <v>15.7850354548395</v>
      </c>
      <c r="D64" s="3">
        <v>15.4249010866126</v>
      </c>
      <c r="E64" s="3">
        <v>16.628701325146899</v>
      </c>
      <c r="F64" s="3">
        <v>11.519602266144901</v>
      </c>
      <c r="G64" s="3">
        <v>17.800306988329002</v>
      </c>
      <c r="H64" s="3">
        <v>17.113972754913998</v>
      </c>
      <c r="I64" s="3">
        <v>14.623246746568601</v>
      </c>
      <c r="J64" s="3">
        <v>14.9379448416323</v>
      </c>
      <c r="K64" s="3">
        <v>10.7968047104353</v>
      </c>
      <c r="L64" s="3">
        <v>14.2749719888222</v>
      </c>
      <c r="M64" s="3">
        <v>15.058907765441599</v>
      </c>
      <c r="N64" s="3">
        <v>17.878769980396601</v>
      </c>
      <c r="O64" s="3">
        <v>21.387567086005198</v>
      </c>
      <c r="P64" s="3">
        <v>12.500337305998</v>
      </c>
      <c r="Q64" s="3">
        <v>13.6503916943278</v>
      </c>
      <c r="R64" s="3">
        <v>16.249108958922498</v>
      </c>
      <c r="S64" s="3">
        <v>7.2464622959310896</v>
      </c>
      <c r="T64" s="3">
        <v>12.730439683523899</v>
      </c>
      <c r="U64" s="3">
        <v>19.126173489095901</v>
      </c>
      <c r="V64" s="3">
        <v>17.5027025261723</v>
      </c>
    </row>
    <row r="65" spans="1:22" x14ac:dyDescent="0.35">
      <c r="A65" s="2">
        <v>43664</v>
      </c>
      <c r="B65" s="3">
        <v>12.5250933461417</v>
      </c>
      <c r="C65" s="3">
        <v>16.044275381119299</v>
      </c>
      <c r="D65" s="3">
        <v>16.014966617622001</v>
      </c>
      <c r="E65" s="3">
        <v>16.870054891324699</v>
      </c>
      <c r="F65" s="3">
        <v>11.5593951438519</v>
      </c>
      <c r="G65" s="3">
        <v>18.423376754206</v>
      </c>
      <c r="H65" s="3">
        <v>17.089061486364798</v>
      </c>
      <c r="I65" s="3">
        <v>15.033635533914801</v>
      </c>
      <c r="J65" s="3">
        <v>14.6916551972303</v>
      </c>
      <c r="K65" s="3">
        <v>11.1881226114629</v>
      </c>
      <c r="L65" s="3">
        <v>14.3709237891838</v>
      </c>
      <c r="M65" s="3">
        <v>14.859630809519899</v>
      </c>
      <c r="N65" s="3">
        <v>18.3355174039812</v>
      </c>
      <c r="O65" s="3">
        <v>21.300270288936499</v>
      </c>
      <c r="P65" s="3">
        <v>12.598888967730099</v>
      </c>
      <c r="Q65" s="3">
        <v>13.8578884502916</v>
      </c>
      <c r="R65" s="3">
        <v>16.498575275676998</v>
      </c>
      <c r="S65" s="3">
        <v>7.5282982813882304</v>
      </c>
      <c r="T65" s="3">
        <v>13.0774587962153</v>
      </c>
      <c r="U65" s="3">
        <v>18.673030689141601</v>
      </c>
      <c r="V65" s="3">
        <v>17.6553534645121</v>
      </c>
    </row>
    <row r="66" spans="1:22" x14ac:dyDescent="0.35">
      <c r="A66" s="2">
        <v>43693</v>
      </c>
      <c r="B66" s="3">
        <v>12.409868126644399</v>
      </c>
      <c r="C66" s="3">
        <v>15.2364089401442</v>
      </c>
      <c r="D66" s="3">
        <v>15.836604478639</v>
      </c>
      <c r="E66" s="3">
        <v>15.934288916901499</v>
      </c>
      <c r="F66" s="3">
        <v>10.778110766779999</v>
      </c>
      <c r="G66" s="3">
        <v>17.856145649593401</v>
      </c>
      <c r="H66" s="3">
        <v>16.840510064773301</v>
      </c>
      <c r="I66" s="3">
        <v>14.7940971513869</v>
      </c>
      <c r="J66" s="3">
        <v>14.2251212170725</v>
      </c>
      <c r="K66" s="3">
        <v>11.147832719267599</v>
      </c>
      <c r="L66" s="3">
        <v>14.1783878407901</v>
      </c>
      <c r="M66" s="3">
        <v>14.026979024282699</v>
      </c>
      <c r="N66" s="3">
        <v>16.987187001474599</v>
      </c>
      <c r="O66" s="3">
        <v>21.040665557205902</v>
      </c>
      <c r="P66" s="3">
        <v>12.2230398532789</v>
      </c>
      <c r="Q66" s="3">
        <v>13.1160895784103</v>
      </c>
      <c r="R66" s="3">
        <v>16.2357076707715</v>
      </c>
      <c r="S66" s="3">
        <v>7.4523038290443901</v>
      </c>
      <c r="T66" s="3">
        <v>13.735164364711</v>
      </c>
      <c r="U66" s="3">
        <v>17.616487206020199</v>
      </c>
      <c r="V66" s="3">
        <v>17.747308033965101</v>
      </c>
    </row>
    <row r="67" spans="1:22" x14ac:dyDescent="0.35">
      <c r="A67" s="2">
        <v>43726</v>
      </c>
      <c r="B67" s="3">
        <v>12.910398232381599</v>
      </c>
      <c r="C67" s="3">
        <v>16.5962226897398</v>
      </c>
      <c r="D67" s="3">
        <v>16.002899966820401</v>
      </c>
      <c r="E67" s="3">
        <v>15.4527991047614</v>
      </c>
      <c r="F67" s="3">
        <v>11.1246334516006</v>
      </c>
      <c r="G67" s="3">
        <v>17.282892467292001</v>
      </c>
      <c r="H67" s="3">
        <v>16.896751678556701</v>
      </c>
      <c r="I67" s="3">
        <v>15.5984122683236</v>
      </c>
      <c r="J67" s="3">
        <v>15.093778757232799</v>
      </c>
      <c r="K67" s="3">
        <v>11.9337417798363</v>
      </c>
      <c r="L67" s="3">
        <v>14.1847704682342</v>
      </c>
      <c r="M67" s="3">
        <v>14.051697989893601</v>
      </c>
      <c r="N67" s="3">
        <v>20.0772348340845</v>
      </c>
      <c r="O67" s="3">
        <v>20.930075314719801</v>
      </c>
      <c r="P67" s="3">
        <v>12.636253339564499</v>
      </c>
      <c r="Q67" s="3">
        <v>14.0327096476618</v>
      </c>
      <c r="R67" s="3">
        <v>16.521074425439899</v>
      </c>
      <c r="S67" s="3">
        <v>7.7039523196031396</v>
      </c>
      <c r="T67" s="3">
        <v>14.5771763153384</v>
      </c>
      <c r="U67" s="3">
        <v>17.631311682543</v>
      </c>
      <c r="V67" s="3">
        <v>17.8299796349805</v>
      </c>
    </row>
    <row r="68" spans="1:22" x14ac:dyDescent="0.35">
      <c r="A68" s="2">
        <v>43756</v>
      </c>
      <c r="B68" s="3">
        <v>12.820242122238801</v>
      </c>
      <c r="C68" s="3">
        <v>17.257701474651</v>
      </c>
      <c r="D68" s="3">
        <v>15.907385211654899</v>
      </c>
      <c r="E68" s="3">
        <v>15.2020122916511</v>
      </c>
      <c r="F68" s="3">
        <v>10.9181833431578</v>
      </c>
      <c r="G68" s="3">
        <v>17.061756866406299</v>
      </c>
      <c r="H68" s="3">
        <v>16.643812013449601</v>
      </c>
      <c r="I68" s="3">
        <v>15.987615163113899</v>
      </c>
      <c r="J68" s="3">
        <v>15.2751804801881</v>
      </c>
      <c r="K68" s="3">
        <v>12.290890888405301</v>
      </c>
      <c r="L68" s="3">
        <v>14.7560476107654</v>
      </c>
      <c r="M68" s="3">
        <v>13.692246403557</v>
      </c>
      <c r="N68" s="3">
        <v>15.843927843864501</v>
      </c>
      <c r="O68" s="3">
        <v>21.830719008609901</v>
      </c>
      <c r="P68" s="3">
        <v>12.4174836169791</v>
      </c>
      <c r="Q68" s="3">
        <v>14.2296104034892</v>
      </c>
      <c r="R68" s="3">
        <v>16.7545571040719</v>
      </c>
      <c r="S68" s="3">
        <v>7.5471662669030497</v>
      </c>
      <c r="T68" s="3">
        <v>14.2506650096439</v>
      </c>
      <c r="U68" s="3">
        <v>17.261140358231099</v>
      </c>
      <c r="V68" s="3">
        <v>17.817022314170298</v>
      </c>
    </row>
    <row r="69" spans="1:22" x14ac:dyDescent="0.35">
      <c r="A69" s="2">
        <v>43787</v>
      </c>
      <c r="B69" s="3">
        <v>12.906121444023</v>
      </c>
      <c r="C69" s="3">
        <v>15.9443230409394</v>
      </c>
      <c r="D69" s="3">
        <v>16.135065958389401</v>
      </c>
      <c r="E69" s="3">
        <v>15.1022144611981</v>
      </c>
      <c r="F69" s="3">
        <v>11.0725203643015</v>
      </c>
      <c r="G69" s="3">
        <v>16.955238021458801</v>
      </c>
      <c r="H69" s="3">
        <v>16.917850976966999</v>
      </c>
      <c r="I69" s="3">
        <v>16.7625012117289</v>
      </c>
      <c r="J69" s="3">
        <v>15.424009740123701</v>
      </c>
      <c r="K69" s="3">
        <v>13.754400365376</v>
      </c>
      <c r="L69" s="3">
        <v>15.165333227503901</v>
      </c>
      <c r="M69" s="3">
        <v>13.7146260055358</v>
      </c>
      <c r="N69" s="3">
        <v>15.4191022802577</v>
      </c>
      <c r="O69" s="3">
        <v>22.842927862009599</v>
      </c>
      <c r="P69" s="3">
        <v>12.4482896141352</v>
      </c>
      <c r="Q69" s="3">
        <v>14.1144404989096</v>
      </c>
      <c r="R69" s="3">
        <v>17.200307560784999</v>
      </c>
      <c r="S69" s="3">
        <v>8.2095805653827707</v>
      </c>
      <c r="T69" s="3">
        <v>14.529926251480401</v>
      </c>
      <c r="U69" s="3">
        <v>17.836921509423199</v>
      </c>
      <c r="V69" s="3">
        <v>18.500516557115098</v>
      </c>
    </row>
    <row r="70" spans="1:22" x14ac:dyDescent="0.35">
      <c r="A70" s="2">
        <v>43817</v>
      </c>
      <c r="B70" s="3">
        <v>14.365013910777501</v>
      </c>
      <c r="C70" s="3">
        <v>15.8218559248257</v>
      </c>
      <c r="D70" s="3">
        <v>16.757093904168102</v>
      </c>
      <c r="E70" s="3">
        <v>14.925942050295999</v>
      </c>
      <c r="F70" s="3">
        <v>10.9094537294523</v>
      </c>
      <c r="G70" s="3">
        <v>16.3669081275271</v>
      </c>
      <c r="H70" s="3">
        <v>17.120079734613999</v>
      </c>
      <c r="I70" s="3">
        <v>17.552701028026402</v>
      </c>
      <c r="J70" s="3">
        <v>16.004210169381999</v>
      </c>
      <c r="K70" s="3">
        <v>14.4089506756413</v>
      </c>
      <c r="L70" s="3">
        <v>16.955500009841401</v>
      </c>
      <c r="M70" s="3">
        <v>14.7261356806984</v>
      </c>
      <c r="N70" s="3">
        <v>17.0680385232607</v>
      </c>
      <c r="O70" s="3">
        <v>23.322718544729401</v>
      </c>
      <c r="P70" s="3">
        <v>13.607585362318201</v>
      </c>
      <c r="Q70" s="3">
        <v>14.468694673108301</v>
      </c>
      <c r="R70" s="3">
        <v>16.781040870598702</v>
      </c>
      <c r="S70" s="3">
        <v>8.81104759684988</v>
      </c>
      <c r="T70" s="3">
        <v>15.930517184415001</v>
      </c>
      <c r="U70" s="3">
        <v>17.150744344738801</v>
      </c>
      <c r="V70" s="3">
        <v>19.605460512953702</v>
      </c>
    </row>
    <row r="71" spans="1:22" x14ac:dyDescent="0.35">
      <c r="A71" s="2">
        <v>43847</v>
      </c>
      <c r="B71" s="3">
        <v>14.869508530329099</v>
      </c>
      <c r="C71" s="3">
        <v>15.818748615774499</v>
      </c>
      <c r="D71" s="3">
        <v>17.538795974309402</v>
      </c>
      <c r="E71" s="3">
        <v>14.844095949559399</v>
      </c>
      <c r="F71" s="3">
        <v>11.1894287380336</v>
      </c>
      <c r="G71" s="3">
        <v>16.969732847549398</v>
      </c>
      <c r="H71" s="3">
        <v>17.0203790525232</v>
      </c>
      <c r="I71" s="3">
        <v>17.604861389925802</v>
      </c>
      <c r="J71" s="3">
        <v>16.462715693602298</v>
      </c>
      <c r="K71" s="3">
        <v>15.0176846248511</v>
      </c>
      <c r="L71" s="3">
        <v>17.384277020130899</v>
      </c>
      <c r="M71" s="3">
        <v>14.6305382898934</v>
      </c>
      <c r="N71" s="3">
        <v>18.813266967453199</v>
      </c>
      <c r="O71" s="3">
        <v>23.810625728025698</v>
      </c>
      <c r="P71" s="3">
        <v>14.1386705011611</v>
      </c>
      <c r="Q71" s="3">
        <v>15.398330544843301</v>
      </c>
      <c r="R71" s="3">
        <v>17.1960961342646</v>
      </c>
      <c r="S71" s="3">
        <v>9.5308748702510808</v>
      </c>
      <c r="T71" s="3">
        <v>16.147702824245201</v>
      </c>
      <c r="U71" s="3">
        <v>16.286064398669001</v>
      </c>
      <c r="V71" s="3">
        <v>20.244481082146599</v>
      </c>
    </row>
    <row r="72" spans="1:22" x14ac:dyDescent="0.35">
      <c r="A72" s="2">
        <v>43879</v>
      </c>
      <c r="B72" s="3">
        <v>14.697596090452301</v>
      </c>
      <c r="C72" s="3">
        <v>14.429661381474499</v>
      </c>
      <c r="D72" s="3">
        <v>16.432279794063</v>
      </c>
      <c r="E72" s="3">
        <v>13.9666795989436</v>
      </c>
      <c r="F72" s="3">
        <v>11.4004230710963</v>
      </c>
      <c r="G72" s="3">
        <v>16.6692235842382</v>
      </c>
      <c r="H72" s="3">
        <v>16.397129195736699</v>
      </c>
      <c r="I72" s="3">
        <v>16.992446525635501</v>
      </c>
      <c r="J72" s="3">
        <v>16.512611460734298</v>
      </c>
      <c r="K72" s="3">
        <v>16.4961576330548</v>
      </c>
      <c r="L72" s="3">
        <v>16.7742962967748</v>
      </c>
      <c r="M72" s="3">
        <v>14.4737431523199</v>
      </c>
      <c r="N72" s="3">
        <v>15.923924644307499</v>
      </c>
      <c r="O72" s="3">
        <v>23.059339688424899</v>
      </c>
      <c r="P72" s="3">
        <v>13.8235473994604</v>
      </c>
      <c r="Q72" s="3">
        <v>14.102291036672099</v>
      </c>
      <c r="R72" s="3">
        <v>16.496059710546099</v>
      </c>
      <c r="S72" s="3">
        <v>9.2019475747005792</v>
      </c>
      <c r="T72" s="3">
        <v>15.113093329138501</v>
      </c>
      <c r="U72" s="3">
        <v>15.3004136752529</v>
      </c>
      <c r="V72" s="3">
        <v>18.223225182824802</v>
      </c>
    </row>
    <row r="73" spans="1:22" x14ac:dyDescent="0.35">
      <c r="A73" s="2">
        <v>43908</v>
      </c>
      <c r="B73" s="3">
        <v>14.0029077135721</v>
      </c>
      <c r="C73" s="3">
        <v>14.682346742621901</v>
      </c>
      <c r="D73" s="3">
        <v>14.255533717703001</v>
      </c>
      <c r="E73" s="3">
        <v>12.493674568787601</v>
      </c>
      <c r="F73" s="3">
        <v>9.36016113723187</v>
      </c>
      <c r="G73" s="3">
        <v>15.740535307909299</v>
      </c>
      <c r="H73" s="3">
        <v>15.8642440624849</v>
      </c>
      <c r="I73" s="3">
        <v>15.786724389398699</v>
      </c>
      <c r="J73" s="3">
        <v>14.572510720868401</v>
      </c>
      <c r="K73" s="3">
        <v>14.4745739655405</v>
      </c>
      <c r="L73" s="3">
        <v>16.106869481141899</v>
      </c>
      <c r="M73" s="3">
        <v>11.954193835511299</v>
      </c>
      <c r="N73" s="3">
        <v>11.6229042307986</v>
      </c>
      <c r="O73" s="3">
        <v>20.2352796690929</v>
      </c>
      <c r="P73" s="3">
        <v>12.688013048705001</v>
      </c>
      <c r="Q73" s="3">
        <v>13.6161286328195</v>
      </c>
      <c r="R73" s="3">
        <v>14.3662748963991</v>
      </c>
      <c r="S73" s="3">
        <v>7.7580446947703301</v>
      </c>
      <c r="T73" s="3">
        <v>13.789495719583099</v>
      </c>
      <c r="U73" s="3">
        <v>14.670641023199799</v>
      </c>
      <c r="V73" s="3">
        <v>17.028554768778001</v>
      </c>
    </row>
    <row r="74" spans="1:22" x14ac:dyDescent="0.35">
      <c r="A74" s="2">
        <v>43938</v>
      </c>
      <c r="B74" s="3">
        <v>14.1100327633416</v>
      </c>
      <c r="C74" s="3">
        <v>15.0457315775878</v>
      </c>
      <c r="D74" s="3">
        <v>14.2248862529076</v>
      </c>
      <c r="E74" s="3">
        <v>12.780634804401499</v>
      </c>
      <c r="F74" s="3">
        <v>10.235002675318899</v>
      </c>
      <c r="G74" s="3">
        <v>15.9093974844274</v>
      </c>
      <c r="H74" s="3">
        <v>16.497478793933901</v>
      </c>
      <c r="I74" s="3">
        <v>16.302145492850698</v>
      </c>
      <c r="J74" s="3">
        <v>14.5430268556666</v>
      </c>
      <c r="K74" s="3">
        <v>14.7602238011018</v>
      </c>
      <c r="L74" s="3">
        <v>16.497557232201199</v>
      </c>
      <c r="M74" s="3">
        <v>12.2258360881697</v>
      </c>
      <c r="N74" s="3">
        <v>11.9187737642511</v>
      </c>
      <c r="O74" s="3">
        <v>20.601763659391501</v>
      </c>
      <c r="P74" s="3">
        <v>13.134511646257</v>
      </c>
      <c r="Q74" s="3">
        <v>13.6508831962907</v>
      </c>
      <c r="R74" s="3">
        <v>15.2005792605023</v>
      </c>
      <c r="S74" s="3">
        <v>7.8216034559652696</v>
      </c>
      <c r="T74" s="3">
        <v>15.1785186553661</v>
      </c>
      <c r="U74" s="3">
        <v>15.186611029729599</v>
      </c>
      <c r="V74" s="3">
        <v>17.501959371341901</v>
      </c>
    </row>
    <row r="75" spans="1:22" x14ac:dyDescent="0.35">
      <c r="A75" s="2">
        <v>43969</v>
      </c>
      <c r="B75" s="3">
        <v>14.3214582722348</v>
      </c>
      <c r="C75" s="3">
        <v>15.5028218064061</v>
      </c>
      <c r="D75" s="3">
        <v>14.4579224921895</v>
      </c>
      <c r="E75" s="3">
        <v>13.4042159373437</v>
      </c>
      <c r="F75" s="3">
        <v>11.1144429160294</v>
      </c>
      <c r="G75" s="3">
        <v>17.132214039036899</v>
      </c>
      <c r="H75" s="3">
        <v>16.783059358875398</v>
      </c>
      <c r="I75" s="3">
        <v>16.438971153850499</v>
      </c>
      <c r="J75" s="3">
        <v>16.1154140908471</v>
      </c>
      <c r="K75" s="3">
        <v>14.9063606130493</v>
      </c>
      <c r="L75" s="3">
        <v>17.920366156941299</v>
      </c>
      <c r="M75" s="3">
        <v>12.4971742097164</v>
      </c>
      <c r="N75" s="3">
        <v>12.131672554790001</v>
      </c>
      <c r="O75" s="3">
        <v>20.906286922961701</v>
      </c>
      <c r="P75" s="3">
        <v>13.3670921521775</v>
      </c>
      <c r="Q75" s="3">
        <v>14.230412122186401</v>
      </c>
      <c r="R75" s="3">
        <v>16.607973428289199</v>
      </c>
      <c r="S75" s="3">
        <v>8.2477536841691901</v>
      </c>
      <c r="T75" s="3">
        <v>16.130717747097702</v>
      </c>
      <c r="U75" s="3">
        <v>15.287560474468201</v>
      </c>
      <c r="V75" s="3">
        <v>18.495991403286599</v>
      </c>
    </row>
    <row r="76" spans="1:22" x14ac:dyDescent="0.35">
      <c r="A76" s="2">
        <v>44000</v>
      </c>
      <c r="B76" s="3">
        <v>14.706201680103799</v>
      </c>
      <c r="C76" s="3">
        <v>16.5983664857315</v>
      </c>
      <c r="D76" s="3">
        <v>16.442839739366999</v>
      </c>
      <c r="E76" s="3">
        <v>15.305619168759</v>
      </c>
      <c r="F76" s="3">
        <v>12.1090588828365</v>
      </c>
      <c r="G76" s="3">
        <v>19.824369775285799</v>
      </c>
      <c r="H76" s="3">
        <v>18.454386668925199</v>
      </c>
      <c r="I76" s="3">
        <v>17.065594015053701</v>
      </c>
      <c r="J76" s="3">
        <v>17.462683175242699</v>
      </c>
      <c r="K76" s="3">
        <v>15.3650194502045</v>
      </c>
      <c r="L76" s="3">
        <v>20.108914259083299</v>
      </c>
      <c r="M76" s="3">
        <v>12.903887672004601</v>
      </c>
      <c r="N76" s="3">
        <v>14.6581478643662</v>
      </c>
      <c r="O76" s="3">
        <v>22.847444483078998</v>
      </c>
      <c r="P76" s="3">
        <v>14.075993754378</v>
      </c>
      <c r="Q76" s="3">
        <v>14.8318119967422</v>
      </c>
      <c r="R76" s="3">
        <v>18.1352071215831</v>
      </c>
      <c r="S76" s="3">
        <v>9.26166264017359</v>
      </c>
      <c r="T76" s="3">
        <v>17.597258651720701</v>
      </c>
      <c r="U76" s="3">
        <v>16.208380497155002</v>
      </c>
      <c r="V76" s="3">
        <v>19.439500311962799</v>
      </c>
    </row>
    <row r="77" spans="1:22" x14ac:dyDescent="0.35">
      <c r="A77" s="2">
        <v>44029</v>
      </c>
      <c r="B77" s="3">
        <v>15.8162180219195</v>
      </c>
      <c r="C77" s="3">
        <v>17.2611759547868</v>
      </c>
      <c r="D77" s="3">
        <v>17.231997143630501</v>
      </c>
      <c r="E77" s="3">
        <v>15.759421888146999</v>
      </c>
      <c r="F77" s="3">
        <v>11.8939321850208</v>
      </c>
      <c r="G77" s="3">
        <v>22.456308035794201</v>
      </c>
      <c r="H77" s="3">
        <v>19.542504349580199</v>
      </c>
      <c r="I77" s="3">
        <v>17.572263807066999</v>
      </c>
      <c r="J77" s="3">
        <v>18.331731817576902</v>
      </c>
      <c r="K77" s="3">
        <v>15.576454990296799</v>
      </c>
      <c r="L77" s="3">
        <v>31.632516742073001</v>
      </c>
      <c r="M77" s="3">
        <v>13.5004620548633</v>
      </c>
      <c r="N77" s="3">
        <v>15.149413217094599</v>
      </c>
      <c r="O77" s="3">
        <v>24.438067109461699</v>
      </c>
      <c r="P77" s="3">
        <v>14.850544522285601</v>
      </c>
      <c r="Q77" s="3">
        <v>15.5187134613235</v>
      </c>
      <c r="R77" s="3">
        <v>18.863508227038199</v>
      </c>
      <c r="S77" s="3">
        <v>9.6985577341409108</v>
      </c>
      <c r="T77" s="3">
        <v>18.093511571334101</v>
      </c>
      <c r="U77" s="3">
        <v>16.558432544673501</v>
      </c>
      <c r="V77" s="3">
        <v>19.799341273037001</v>
      </c>
    </row>
    <row r="78" spans="1:22" x14ac:dyDescent="0.35">
      <c r="A78" s="2">
        <v>44061</v>
      </c>
      <c r="B78" s="3">
        <v>16.6662307478963</v>
      </c>
      <c r="C78" s="3">
        <v>19.6738581593617</v>
      </c>
      <c r="D78" s="3">
        <v>18.523344705387</v>
      </c>
      <c r="E78" s="3">
        <v>18.026632216397999</v>
      </c>
      <c r="F78" s="3">
        <v>12.6442632193568</v>
      </c>
      <c r="G78" s="3">
        <v>29.474732659093402</v>
      </c>
      <c r="H78" s="3">
        <v>19.741221637682202</v>
      </c>
      <c r="I78" s="3">
        <v>17.7337358469685</v>
      </c>
      <c r="J78" s="3">
        <v>20.771946849552702</v>
      </c>
      <c r="K78" s="3">
        <v>16.130754260321702</v>
      </c>
      <c r="L78" s="3">
        <v>35.750870302152002</v>
      </c>
      <c r="M78" s="3">
        <v>13.5961998649124</v>
      </c>
      <c r="N78" s="3">
        <v>15.090955816564501</v>
      </c>
      <c r="O78" s="3">
        <v>25.649047491003302</v>
      </c>
      <c r="P78" s="3">
        <v>15.4822520814364</v>
      </c>
      <c r="Q78" s="3">
        <v>16.226093740061199</v>
      </c>
      <c r="R78" s="3">
        <v>20.2362411339057</v>
      </c>
      <c r="S78" s="3">
        <v>9.7819693199079705</v>
      </c>
      <c r="T78" s="3">
        <v>16.186495939128001</v>
      </c>
      <c r="U78" s="3">
        <v>16.5339209388172</v>
      </c>
      <c r="V78" s="3">
        <v>20.978524363587798</v>
      </c>
    </row>
    <row r="79" spans="1:22" x14ac:dyDescent="0.35">
      <c r="A79" s="2">
        <v>44092</v>
      </c>
      <c r="B79" s="3">
        <v>17.147165772845501</v>
      </c>
      <c r="C79" s="3">
        <v>19.156203054582001</v>
      </c>
      <c r="D79" s="3">
        <v>18.357434207611</v>
      </c>
      <c r="E79" s="3">
        <v>18.648909301617401</v>
      </c>
      <c r="F79" s="3">
        <v>12.7143026648075</v>
      </c>
      <c r="G79" s="3">
        <v>36.148494500913102</v>
      </c>
      <c r="H79" s="3">
        <v>19.9202794109049</v>
      </c>
      <c r="I79" s="3">
        <v>17.314572710539899</v>
      </c>
      <c r="J79" s="3">
        <v>19.650489275250301</v>
      </c>
      <c r="K79" s="3">
        <v>16.372183051868198</v>
      </c>
      <c r="L79" s="3">
        <v>31.487866953289998</v>
      </c>
      <c r="M79" s="3">
        <v>13.3459252385433</v>
      </c>
      <c r="N79" s="3">
        <v>16.127407966863299</v>
      </c>
      <c r="O79" s="3">
        <v>26.110573125170099</v>
      </c>
      <c r="P79" s="3">
        <v>15.837050497366301</v>
      </c>
      <c r="Q79" s="3">
        <v>16.114415805458801</v>
      </c>
      <c r="R79" s="3">
        <v>21.238098786043601</v>
      </c>
      <c r="S79" s="3">
        <v>10.1096421209303</v>
      </c>
      <c r="T79" s="3">
        <v>17.710830102808</v>
      </c>
      <c r="U79" s="3">
        <v>18.1113700622519</v>
      </c>
      <c r="V79" s="3">
        <v>24.371100266543401</v>
      </c>
    </row>
    <row r="80" spans="1:22" x14ac:dyDescent="0.35">
      <c r="A80" s="2">
        <v>44120</v>
      </c>
      <c r="B80" s="3">
        <v>17.5649416980987</v>
      </c>
      <c r="C80" s="3">
        <v>19.634661406386702</v>
      </c>
      <c r="D80" s="3">
        <v>19.453975627940402</v>
      </c>
      <c r="E80" s="3">
        <v>19.744702911218202</v>
      </c>
      <c r="F80" s="3">
        <v>14.1949215565114</v>
      </c>
      <c r="G80" s="3">
        <v>36.915248860206702</v>
      </c>
      <c r="H80" s="3">
        <v>20.5260640048784</v>
      </c>
      <c r="I80" s="3">
        <v>17.055744140824899</v>
      </c>
      <c r="J80" s="3">
        <v>20.4367624213107</v>
      </c>
      <c r="K80" s="3">
        <v>15.9082271186835</v>
      </c>
      <c r="L80" s="3">
        <v>30.924908830471502</v>
      </c>
      <c r="M80" s="3">
        <v>13.267582253337901</v>
      </c>
      <c r="N80" s="3">
        <v>14.373361770393499</v>
      </c>
      <c r="O80" s="3">
        <v>26.567254734608198</v>
      </c>
      <c r="P80" s="3">
        <v>16.702636656919399</v>
      </c>
      <c r="Q80" s="3">
        <v>16.7459075798021</v>
      </c>
      <c r="R80" s="3">
        <v>21.4360137212241</v>
      </c>
      <c r="S80" s="3">
        <v>11.067996125613799</v>
      </c>
      <c r="T80" s="3">
        <v>16.024989773856301</v>
      </c>
      <c r="U80" s="3">
        <v>18.683190278904501</v>
      </c>
      <c r="V80" s="3">
        <v>25.991856205926801</v>
      </c>
    </row>
    <row r="81" spans="1:22" x14ac:dyDescent="0.35">
      <c r="A81" s="2">
        <v>44153</v>
      </c>
      <c r="B81" s="3">
        <v>17.9856846675676</v>
      </c>
      <c r="C81" s="3">
        <v>22.6066311606968</v>
      </c>
      <c r="D81" s="3">
        <v>22.288915086975901</v>
      </c>
      <c r="E81" s="3">
        <v>24.753981122626602</v>
      </c>
      <c r="F81" s="3">
        <v>19.383934844108399</v>
      </c>
      <c r="G81" s="3">
        <v>43.304879195735197</v>
      </c>
      <c r="H81" s="3">
        <v>21.033138341476398</v>
      </c>
      <c r="I81" s="3">
        <v>17.491764831294098</v>
      </c>
      <c r="J81" s="3">
        <v>23.718176002147001</v>
      </c>
      <c r="K81" s="3">
        <v>17.025024292766702</v>
      </c>
      <c r="L81" s="3">
        <v>30.874902067993101</v>
      </c>
      <c r="M81" s="3">
        <v>13.777605308595</v>
      </c>
      <c r="N81" s="3">
        <v>16.058699458635399</v>
      </c>
      <c r="O81" s="3">
        <v>27.475241734098599</v>
      </c>
      <c r="P81" s="3">
        <v>16.8394900311553</v>
      </c>
      <c r="Q81" s="3">
        <v>17.5377935220226</v>
      </c>
      <c r="R81" s="3">
        <v>22.915805048675701</v>
      </c>
      <c r="S81" s="3">
        <v>12.769725784525001</v>
      </c>
      <c r="T81" s="3">
        <v>25.9279085006517</v>
      </c>
      <c r="U81" s="3">
        <v>18.993791367739998</v>
      </c>
      <c r="V81" s="3">
        <v>26.965433065469401</v>
      </c>
    </row>
    <row r="82" spans="1:22" x14ac:dyDescent="0.35">
      <c r="A82" s="2">
        <v>44183</v>
      </c>
      <c r="B82" s="3">
        <v>19.166039235043701</v>
      </c>
      <c r="C82" s="3">
        <v>24.459375229503301</v>
      </c>
      <c r="D82" s="3">
        <v>26.136657204487399</v>
      </c>
      <c r="E82" s="3">
        <v>25.11024412315</v>
      </c>
      <c r="F82" s="3">
        <v>21.557175834383699</v>
      </c>
      <c r="G82" s="3">
        <v>52.7747084726022</v>
      </c>
      <c r="H82" s="3">
        <v>21.351979644106599</v>
      </c>
      <c r="I82" s="3">
        <v>17.7296805484768</v>
      </c>
      <c r="J82" s="3">
        <v>31.8160610629667</v>
      </c>
      <c r="K82" s="3">
        <v>18.7403531742358</v>
      </c>
      <c r="L82" s="3">
        <v>35.412252901184502</v>
      </c>
      <c r="M82" s="3">
        <v>14.184114009055399</v>
      </c>
      <c r="N82" s="3">
        <v>18.769582365064299</v>
      </c>
      <c r="O82" s="3">
        <v>32.807696496128401</v>
      </c>
      <c r="P82" s="3">
        <v>18.076502147740499</v>
      </c>
      <c r="Q82" s="3">
        <v>17.374956995952701</v>
      </c>
      <c r="R82" s="3">
        <v>25.6000250945076</v>
      </c>
      <c r="S82" s="3">
        <v>12.833713201555399</v>
      </c>
      <c r="T82" s="3">
        <v>24.497455691744701</v>
      </c>
      <c r="U82" s="3">
        <v>21.551040539360599</v>
      </c>
      <c r="V82" s="3">
        <v>28.285528996761101</v>
      </c>
    </row>
    <row r="83" spans="1:22" x14ac:dyDescent="0.35">
      <c r="A83" s="2">
        <v>44211</v>
      </c>
      <c r="B83" s="3">
        <v>21.0396373856195</v>
      </c>
      <c r="C83" s="3">
        <v>24.194277612830899</v>
      </c>
      <c r="D83" s="3">
        <v>25.867200204507199</v>
      </c>
      <c r="E83" s="3">
        <v>25.872724920081499</v>
      </c>
      <c r="F83" s="3">
        <v>22.4293400423986</v>
      </c>
      <c r="G83" s="3">
        <v>47.932831708268303</v>
      </c>
      <c r="H83" s="3">
        <v>20.908429476833302</v>
      </c>
      <c r="I83" s="3">
        <v>19.069233883764898</v>
      </c>
      <c r="J83" s="3">
        <v>32.349911357891003</v>
      </c>
      <c r="K83" s="3">
        <v>21.325884081850401</v>
      </c>
      <c r="L83" s="3">
        <v>31.203250403416298</v>
      </c>
      <c r="M83" s="3">
        <v>13.8981592310036</v>
      </c>
      <c r="N83" s="3">
        <v>17.683584663706899</v>
      </c>
      <c r="O83" s="3">
        <v>33.956440675695603</v>
      </c>
      <c r="P83" s="3">
        <v>19.8472394222571</v>
      </c>
      <c r="Q83" s="3">
        <v>17.943869410739001</v>
      </c>
      <c r="R83" s="3">
        <v>28.072496147282301</v>
      </c>
      <c r="S83" s="3">
        <v>13.519965788780301</v>
      </c>
      <c r="T83" s="3">
        <v>24.8213893954164</v>
      </c>
      <c r="U83" s="3">
        <v>24.286227032733301</v>
      </c>
      <c r="V83" s="3">
        <v>29.1404225386867</v>
      </c>
    </row>
    <row r="84" spans="1:22" x14ac:dyDescent="0.35">
      <c r="A84" s="2">
        <v>44245</v>
      </c>
      <c r="B84" s="3">
        <v>22.085862200462401</v>
      </c>
      <c r="C84" s="3">
        <v>26.1714157673701</v>
      </c>
      <c r="D84" s="3">
        <v>24.1808487951857</v>
      </c>
      <c r="E84" s="3">
        <v>24.658043319796501</v>
      </c>
      <c r="F84" s="3">
        <v>15.641020874923001</v>
      </c>
      <c r="G84" s="3">
        <v>52.546438037730802</v>
      </c>
      <c r="H84" s="3">
        <v>19.183989509753399</v>
      </c>
      <c r="I84" s="3">
        <v>19.361149666284099</v>
      </c>
      <c r="J84" s="3">
        <v>28.849339932787299</v>
      </c>
      <c r="K84" s="3">
        <v>21.1946625625603</v>
      </c>
      <c r="L84" s="3">
        <v>28.057886122396901</v>
      </c>
      <c r="M84" s="3">
        <v>14.225064134973399</v>
      </c>
      <c r="N84" s="3">
        <v>17.795740393522198</v>
      </c>
      <c r="O84" s="3">
        <v>32.639143882587597</v>
      </c>
      <c r="P84" s="3">
        <v>21.797015032646701</v>
      </c>
      <c r="Q84" s="3">
        <v>16.4823600386812</v>
      </c>
      <c r="R84" s="3">
        <v>27.890332981926498</v>
      </c>
      <c r="S84" s="3">
        <v>12.278532313980101</v>
      </c>
      <c r="T84" s="3">
        <v>27.8114587953735</v>
      </c>
      <c r="U84" s="3">
        <v>24.766538861352601</v>
      </c>
      <c r="V84" s="3">
        <v>26.5668131591645</v>
      </c>
    </row>
    <row r="85" spans="1:22" x14ac:dyDescent="0.35">
      <c r="A85" s="2">
        <v>44273</v>
      </c>
      <c r="B85" s="3">
        <v>19.864676796518701</v>
      </c>
      <c r="C85" s="3">
        <v>31.556471325859601</v>
      </c>
      <c r="D85" s="3">
        <v>23.769373838456101</v>
      </c>
      <c r="E85" s="3">
        <v>22.5417270790327</v>
      </c>
      <c r="F85" s="3">
        <v>16.8773660832187</v>
      </c>
      <c r="G85" s="3">
        <v>64.612551420351195</v>
      </c>
      <c r="H85" s="3">
        <v>19.540285924376899</v>
      </c>
      <c r="I85" s="3">
        <v>18.486415989680701</v>
      </c>
      <c r="J85" s="3">
        <v>26.888660465107499</v>
      </c>
      <c r="K85" s="3">
        <v>20.094247793149599</v>
      </c>
      <c r="L85" s="3">
        <v>19.973816268313598</v>
      </c>
      <c r="M85" s="3">
        <v>13.4522765499408</v>
      </c>
      <c r="N85" s="3">
        <v>17.576998475122199</v>
      </c>
      <c r="O85" s="3">
        <v>30.651124034010799</v>
      </c>
      <c r="P85" s="3">
        <v>19.627359465860799</v>
      </c>
      <c r="Q85" s="3">
        <v>16.773888695207301</v>
      </c>
      <c r="R85" s="3">
        <v>27.362760089496799</v>
      </c>
      <c r="S85" s="3">
        <v>11.385957232533199</v>
      </c>
      <c r="T85" s="3">
        <v>26.9345766781599</v>
      </c>
      <c r="U85" s="3">
        <v>24.1107577102946</v>
      </c>
      <c r="V85" s="3">
        <v>26.201854182821702</v>
      </c>
    </row>
    <row r="86" spans="1:22" x14ac:dyDescent="0.35">
      <c r="A86" s="2">
        <v>44302</v>
      </c>
      <c r="B86" s="3">
        <v>19.391078744508</v>
      </c>
      <c r="C86" s="3">
        <v>29.686173727253799</v>
      </c>
      <c r="D86" s="3">
        <v>23.0075383946551</v>
      </c>
      <c r="E86" s="3">
        <v>21.824873183026298</v>
      </c>
      <c r="F86" s="3">
        <v>16.4644113474912</v>
      </c>
      <c r="G86" s="3">
        <v>58.975129951928899</v>
      </c>
      <c r="H86" s="3">
        <v>18.9745893338077</v>
      </c>
      <c r="I86" s="3">
        <v>18.115523633520699</v>
      </c>
      <c r="J86" s="3">
        <v>25.8392919431971</v>
      </c>
      <c r="K86" s="3">
        <v>19.465257507742098</v>
      </c>
      <c r="L86" s="3">
        <v>18.778648003726701</v>
      </c>
      <c r="M86" s="3">
        <v>13.1118251379309</v>
      </c>
      <c r="N86" s="3">
        <v>17.429405487856201</v>
      </c>
      <c r="O86" s="3">
        <v>29.954823739943201</v>
      </c>
      <c r="P86" s="3">
        <v>19.231823202514502</v>
      </c>
      <c r="Q86" s="3">
        <v>16.643532345163401</v>
      </c>
      <c r="R86" s="3">
        <v>26.520884914084501</v>
      </c>
      <c r="S86" s="3">
        <v>10.7459625067498</v>
      </c>
      <c r="T86" s="3">
        <v>25.545845706966901</v>
      </c>
      <c r="U86" s="3">
        <v>23.561182004312201</v>
      </c>
      <c r="V86" s="3">
        <v>25.6836176035265</v>
      </c>
    </row>
    <row r="87" spans="1:22" x14ac:dyDescent="0.35">
      <c r="A87" s="2">
        <v>44334</v>
      </c>
      <c r="B87" s="3">
        <v>19.3105494768798</v>
      </c>
      <c r="C87" s="3">
        <v>26.658425256203401</v>
      </c>
      <c r="D87" s="3">
        <v>22.0027060959364</v>
      </c>
      <c r="E87" s="3">
        <v>21.1370284675519</v>
      </c>
      <c r="F87" s="3">
        <v>16.3682654179499</v>
      </c>
      <c r="G87" s="3">
        <v>53.180361015120802</v>
      </c>
      <c r="H87" s="3">
        <v>18.250216718521099</v>
      </c>
      <c r="I87" s="3">
        <v>16.957652080178399</v>
      </c>
      <c r="J87" s="3">
        <v>24.52663290505</v>
      </c>
      <c r="K87" s="3">
        <v>17.827305977436801</v>
      </c>
      <c r="L87" s="3">
        <v>17.5612367029014</v>
      </c>
      <c r="M87" s="3">
        <v>12.668563630549199</v>
      </c>
      <c r="N87" s="3">
        <v>15.764192288288699</v>
      </c>
      <c r="O87" s="3">
        <v>29.465713080781001</v>
      </c>
      <c r="P87" s="3">
        <v>18.7292205364637</v>
      </c>
      <c r="Q87" s="3">
        <v>16.404156245491599</v>
      </c>
      <c r="R87" s="3">
        <v>25.2077079804479</v>
      </c>
      <c r="S87" s="3">
        <v>10.285545295786999</v>
      </c>
      <c r="T87" s="3">
        <v>24.321139841722101</v>
      </c>
      <c r="U87" s="3">
        <v>22.664812913900501</v>
      </c>
      <c r="V87" s="3">
        <v>25.022251713165598</v>
      </c>
    </row>
    <row r="88" spans="1:22" x14ac:dyDescent="0.35">
      <c r="A88" s="2">
        <v>44365</v>
      </c>
      <c r="B88" s="3">
        <v>19.084582315753899</v>
      </c>
      <c r="C88" s="3">
        <v>24.539770872960101</v>
      </c>
      <c r="D88" s="3">
        <v>21.245634860854199</v>
      </c>
      <c r="E88" s="3">
        <v>21.519452035809302</v>
      </c>
      <c r="F88" s="3">
        <v>15.715482138546299</v>
      </c>
      <c r="G88" s="3">
        <v>46.1090457851938</v>
      </c>
      <c r="H88" s="3">
        <v>17.688098900958099</v>
      </c>
      <c r="I88" s="3">
        <v>16.684379868869399</v>
      </c>
      <c r="J88" s="3">
        <v>23.430771870608002</v>
      </c>
      <c r="K88" s="3">
        <v>16.994892853199602</v>
      </c>
      <c r="L88" s="3">
        <v>16.514045161839299</v>
      </c>
      <c r="M88" s="3">
        <v>12.185773805541199</v>
      </c>
      <c r="N88" s="3">
        <v>17.035012889268899</v>
      </c>
      <c r="O88" s="3">
        <v>29.170732195204799</v>
      </c>
      <c r="P88" s="3">
        <v>18.742206236502401</v>
      </c>
      <c r="Q88" s="3">
        <v>16.019302680412999</v>
      </c>
      <c r="R88" s="3">
        <v>24.354752711528199</v>
      </c>
      <c r="S88" s="3">
        <v>9.5998401420827602</v>
      </c>
      <c r="T88" s="3">
        <v>23.522687216599699</v>
      </c>
      <c r="U88" s="3">
        <v>23.064176208314102</v>
      </c>
      <c r="V88" s="3">
        <v>24.508783885236799</v>
      </c>
    </row>
    <row r="89" spans="1:22" x14ac:dyDescent="0.35">
      <c r="A89" s="2">
        <v>44393</v>
      </c>
      <c r="B89" s="3">
        <v>18.731050481056201</v>
      </c>
      <c r="C89" s="3">
        <v>22.231837790895501</v>
      </c>
      <c r="D89" s="3">
        <v>20.4347044948871</v>
      </c>
      <c r="E89" s="3">
        <v>20.800259744987802</v>
      </c>
      <c r="F89" s="3">
        <v>15.006541301932799</v>
      </c>
      <c r="G89" s="3">
        <v>40.680187346489802</v>
      </c>
      <c r="H89" s="3">
        <v>16.8945048771355</v>
      </c>
      <c r="I89" s="3">
        <v>16.331476842038398</v>
      </c>
      <c r="J89" s="3">
        <v>22.061651768342902</v>
      </c>
      <c r="K89" s="3">
        <v>16.065944500447699</v>
      </c>
      <c r="L89" s="3">
        <v>15.0929837660962</v>
      </c>
      <c r="M89" s="3">
        <v>11.8052617392937</v>
      </c>
      <c r="N89" s="3">
        <v>16.092032149437401</v>
      </c>
      <c r="O89" s="3">
        <v>28.7942908096657</v>
      </c>
      <c r="P89" s="3">
        <v>18.212794549487299</v>
      </c>
      <c r="Q89" s="3">
        <v>15.5395206151795</v>
      </c>
      <c r="R89" s="3">
        <v>23.251309429824701</v>
      </c>
      <c r="S89" s="3">
        <v>9.0178572571468703</v>
      </c>
      <c r="T89" s="3">
        <v>22.252324939201198</v>
      </c>
      <c r="U89" s="3">
        <v>21.705739983647899</v>
      </c>
      <c r="V89" s="3">
        <v>23.680451577096701</v>
      </c>
    </row>
    <row r="90" spans="1:22" x14ac:dyDescent="0.35">
      <c r="A90" s="2">
        <v>44426</v>
      </c>
      <c r="B90" s="3">
        <v>18.0370981582757</v>
      </c>
      <c r="C90" s="3">
        <v>19.779897903224999</v>
      </c>
      <c r="D90" s="3">
        <v>20.1024713044675</v>
      </c>
      <c r="E90" s="3">
        <v>20.176770110517399</v>
      </c>
      <c r="F90" s="3">
        <v>14.329951279802</v>
      </c>
      <c r="G90" s="3">
        <v>34.730954414467597</v>
      </c>
      <c r="H90" s="3">
        <v>16.176418846169199</v>
      </c>
      <c r="I90" s="3">
        <v>15.010509678013801</v>
      </c>
      <c r="J90" s="3">
        <v>20.741811779429501</v>
      </c>
      <c r="K90" s="3">
        <v>14.5237767309945</v>
      </c>
      <c r="L90" s="3">
        <v>13.137664643905399</v>
      </c>
      <c r="M90" s="3">
        <v>11.1438470656025</v>
      </c>
      <c r="N90" s="3">
        <v>15.784716651636501</v>
      </c>
      <c r="O90" s="3">
        <v>28.952317537839299</v>
      </c>
      <c r="P90" s="3">
        <v>16.7233321595299</v>
      </c>
      <c r="Q90" s="3">
        <v>15.506885334409899</v>
      </c>
      <c r="R90" s="3">
        <v>22.148650105553902</v>
      </c>
      <c r="S90" s="3">
        <v>8.3882379118185</v>
      </c>
      <c r="T90" s="3">
        <v>21.330215804680702</v>
      </c>
      <c r="U90" s="3">
        <v>21.000476450591901</v>
      </c>
      <c r="V90" s="3">
        <v>23.3446094597982</v>
      </c>
    </row>
    <row r="91" spans="1:22" x14ac:dyDescent="0.35">
      <c r="A91" s="2">
        <v>44456</v>
      </c>
      <c r="B91" s="3">
        <v>17.979159951791601</v>
      </c>
      <c r="C91" s="3">
        <v>17.722131343341601</v>
      </c>
      <c r="D91" s="3">
        <v>19.330117273070201</v>
      </c>
      <c r="E91" s="3">
        <v>20.408542303877802</v>
      </c>
      <c r="F91" s="3">
        <v>13.7604588717401</v>
      </c>
      <c r="G91" s="3">
        <v>29.37830749495</v>
      </c>
      <c r="H91" s="3">
        <v>15.892766560395099</v>
      </c>
      <c r="I91" s="3">
        <v>14.6331945276858</v>
      </c>
      <c r="J91" s="3">
        <v>19.190813240013199</v>
      </c>
      <c r="K91" s="3">
        <v>13.5337619346554</v>
      </c>
      <c r="L91" s="3">
        <v>11.5560135097393</v>
      </c>
      <c r="M91" s="3">
        <v>10.683562186063201</v>
      </c>
      <c r="N91" s="3">
        <v>14.088278876497499</v>
      </c>
      <c r="O91" s="3">
        <v>29.591617245990602</v>
      </c>
      <c r="P91" s="3">
        <v>16.386402004903101</v>
      </c>
      <c r="Q91" s="3">
        <v>15.355869524133301</v>
      </c>
      <c r="R91" s="3">
        <v>21.854911866618298</v>
      </c>
      <c r="S91" s="3">
        <v>7.7654357749481102</v>
      </c>
      <c r="T91" s="3">
        <v>20.330392803678301</v>
      </c>
      <c r="U91" s="3">
        <v>20.3968135375294</v>
      </c>
      <c r="V91" s="3">
        <v>22.631421482617501</v>
      </c>
    </row>
    <row r="92" spans="1:22" x14ac:dyDescent="0.35">
      <c r="A92" s="2">
        <v>44487</v>
      </c>
      <c r="B92" s="3">
        <v>17.819947408741601</v>
      </c>
      <c r="C92" s="3">
        <v>14.789217166422301</v>
      </c>
      <c r="D92" s="3">
        <v>19.696032592737499</v>
      </c>
      <c r="E92" s="3">
        <v>21.145416599191101</v>
      </c>
      <c r="F92" s="3">
        <v>14.062597356153899</v>
      </c>
      <c r="G92" s="3">
        <v>24.702307438942601</v>
      </c>
      <c r="H92" s="3">
        <v>15.6996346335229</v>
      </c>
      <c r="I92" s="3">
        <v>13.6063210287328</v>
      </c>
      <c r="J92" s="3">
        <v>17.749939944433802</v>
      </c>
      <c r="K92" s="3">
        <v>12.188079458488399</v>
      </c>
      <c r="L92" s="3">
        <v>10.312305582031501</v>
      </c>
      <c r="M92" s="3">
        <v>10.880118998462301</v>
      </c>
      <c r="N92" s="3">
        <v>14.1267328722671</v>
      </c>
      <c r="O92" s="3">
        <v>29.956248314163901</v>
      </c>
      <c r="P92" s="3">
        <v>16.224737629476</v>
      </c>
      <c r="Q92" s="3">
        <v>15.4073135915331</v>
      </c>
      <c r="R92" s="3">
        <v>20.995383222211501</v>
      </c>
      <c r="S92" s="3">
        <v>7.0953524264901597</v>
      </c>
      <c r="T92" s="3">
        <v>18.9196096440992</v>
      </c>
      <c r="U92" s="3">
        <v>20.1417971948919</v>
      </c>
      <c r="V92" s="3">
        <v>22.244795969771801</v>
      </c>
    </row>
    <row r="93" spans="1:22" x14ac:dyDescent="0.35">
      <c r="A93" s="2">
        <v>44518</v>
      </c>
      <c r="B93" s="3">
        <v>17.700824816776301</v>
      </c>
      <c r="C93" s="3">
        <v>12.4357288277889</v>
      </c>
      <c r="D93" s="3">
        <v>18.0633045088667</v>
      </c>
      <c r="E93" s="3">
        <v>20.403081597358899</v>
      </c>
      <c r="F93" s="3">
        <v>12.7848533301028</v>
      </c>
      <c r="G93" s="3">
        <v>18.6410505036886</v>
      </c>
      <c r="H93" s="3">
        <v>14.589602096091999</v>
      </c>
      <c r="I93" s="3">
        <v>13.645499569893399</v>
      </c>
      <c r="J93" s="3">
        <v>16.275737098534499</v>
      </c>
      <c r="K93" s="3">
        <v>10.874994311634399</v>
      </c>
      <c r="L93" s="3">
        <v>8.2435521766139495</v>
      </c>
      <c r="M93" s="3">
        <v>10.715485639627399</v>
      </c>
      <c r="N93" s="3">
        <v>17.158851890240701</v>
      </c>
      <c r="O93" s="3">
        <v>28.897251522558101</v>
      </c>
      <c r="P93" s="3">
        <v>15.550128144983301</v>
      </c>
      <c r="Q93" s="3">
        <v>15.604422781250801</v>
      </c>
      <c r="R93" s="3">
        <v>20.2902082453863</v>
      </c>
      <c r="S93" s="3">
        <v>7.3149751872458904</v>
      </c>
      <c r="T93" s="3">
        <v>19.036482451150199</v>
      </c>
      <c r="U93" s="3">
        <v>19.719532969503099</v>
      </c>
      <c r="V93" s="3">
        <v>21.197516888049801</v>
      </c>
    </row>
    <row r="94" spans="1:22" x14ac:dyDescent="0.35">
      <c r="A94" s="2">
        <v>44547</v>
      </c>
      <c r="B94" s="3">
        <v>18.356430868757499</v>
      </c>
      <c r="C94" s="3">
        <v>10.304767456444001</v>
      </c>
      <c r="D94" s="3">
        <v>17.1385322806067</v>
      </c>
      <c r="E94" s="3">
        <v>20.0146997791466</v>
      </c>
      <c r="F94" s="3">
        <v>10.5524461947448</v>
      </c>
      <c r="G94" s="3">
        <v>13.5024584966245</v>
      </c>
      <c r="H94" s="3">
        <v>15.0916243126666</v>
      </c>
      <c r="I94" s="3">
        <v>12.9295509699429</v>
      </c>
      <c r="J94" s="3">
        <v>15.654731648184001</v>
      </c>
      <c r="K94" s="3">
        <v>10.1204106563226</v>
      </c>
      <c r="L94" s="3">
        <v>7.2559840290242503</v>
      </c>
      <c r="M94" s="3">
        <v>10.3771504584901</v>
      </c>
      <c r="N94" s="3">
        <v>12.6848068054663</v>
      </c>
      <c r="O94" s="3">
        <v>28.079795065904001</v>
      </c>
      <c r="P94" s="3">
        <v>14.2408026486212</v>
      </c>
      <c r="Q94" s="3">
        <v>14.91549823655</v>
      </c>
      <c r="R94" s="3">
        <v>19.1310836535161</v>
      </c>
      <c r="S94" s="3">
        <v>7.7924289167310201</v>
      </c>
      <c r="T94" s="3">
        <v>18.0789604543439</v>
      </c>
      <c r="U94" s="3">
        <v>19.376303948335899</v>
      </c>
      <c r="V94" s="3">
        <v>19.821298003009101</v>
      </c>
    </row>
    <row r="95" spans="1:22" x14ac:dyDescent="0.35">
      <c r="A95" s="2">
        <v>44579</v>
      </c>
      <c r="B95" s="3">
        <v>17.498378058517801</v>
      </c>
      <c r="C95" s="3">
        <v>9.50394748245626</v>
      </c>
      <c r="D95" s="3">
        <v>16.901808443658101</v>
      </c>
      <c r="E95" s="3">
        <v>19.840291060470999</v>
      </c>
      <c r="F95" s="3">
        <v>10.8459262463175</v>
      </c>
      <c r="G95" s="3">
        <v>12.589315730996599</v>
      </c>
      <c r="H95" s="3">
        <v>15.3053460837894</v>
      </c>
      <c r="I95" s="3">
        <v>13.072269639118099</v>
      </c>
      <c r="J95" s="3">
        <v>15.265089506093499</v>
      </c>
      <c r="K95" s="3">
        <v>9.3313535248402193</v>
      </c>
      <c r="L95" s="3">
        <v>6.7192389000873298</v>
      </c>
      <c r="M95" s="3">
        <v>10.6115886725529</v>
      </c>
      <c r="N95" s="3">
        <v>-61.226321979938803</v>
      </c>
      <c r="O95" s="3">
        <v>29.3048654351675</v>
      </c>
      <c r="P95" s="3">
        <v>14.140250704722799</v>
      </c>
      <c r="Q95" s="3">
        <v>15.5913693392762</v>
      </c>
      <c r="R95" s="3">
        <v>19.050569248027799</v>
      </c>
      <c r="S95" s="3">
        <v>6.8442650153219198</v>
      </c>
      <c r="T95" s="3">
        <v>16.585350460720601</v>
      </c>
      <c r="U95" s="3">
        <v>17.1568446243107</v>
      </c>
      <c r="V95" s="3">
        <v>21.100978063657401</v>
      </c>
    </row>
    <row r="96" spans="1:22" x14ac:dyDescent="0.35">
      <c r="A96" s="2">
        <v>44610</v>
      </c>
      <c r="B96" s="3">
        <v>16.814931430026501</v>
      </c>
      <c r="C96" s="3">
        <v>9.5141230796242997</v>
      </c>
      <c r="D96" s="3">
        <v>17.359709920214598</v>
      </c>
      <c r="E96" s="3">
        <v>19.713320476562199</v>
      </c>
      <c r="F96" s="3">
        <v>10.475895183487401</v>
      </c>
      <c r="G96" s="3">
        <v>12.428864760243099</v>
      </c>
      <c r="H96" s="3">
        <v>15.785419438946199</v>
      </c>
      <c r="I96" s="3">
        <v>12.8045506297107</v>
      </c>
      <c r="J96" s="3">
        <v>14.9773460602333</v>
      </c>
      <c r="K96" s="3">
        <v>9.4074222302251496</v>
      </c>
      <c r="L96" s="3">
        <v>7.0753822481129802</v>
      </c>
      <c r="M96" s="3">
        <v>11.2056224351668</v>
      </c>
      <c r="N96" s="3">
        <v>-185.93501798356201</v>
      </c>
      <c r="O96" s="3">
        <v>27.272688355295099</v>
      </c>
      <c r="P96" s="3">
        <v>13.8381809811704</v>
      </c>
      <c r="Q96" s="3">
        <v>16.083945381135599</v>
      </c>
      <c r="R96" s="3">
        <v>19.253631617446601</v>
      </c>
      <c r="S96" s="3">
        <v>6.1127964060465896</v>
      </c>
      <c r="T96" s="3">
        <v>16.833093219032399</v>
      </c>
      <c r="U96" s="3">
        <v>17.097549008439</v>
      </c>
      <c r="V96" s="3">
        <v>21.422118127902799</v>
      </c>
    </row>
    <row r="97" spans="1:22" x14ac:dyDescent="0.35">
      <c r="A97" s="2">
        <v>44638</v>
      </c>
      <c r="B97" s="3">
        <v>16.322340308099101</v>
      </c>
      <c r="C97" s="3">
        <v>9.8629131433125306</v>
      </c>
      <c r="D97" s="3">
        <v>17.2868471298465</v>
      </c>
      <c r="E97" s="3">
        <v>19.024688555218901</v>
      </c>
      <c r="F97" s="3">
        <v>9.7964613138585008</v>
      </c>
      <c r="G97" s="3">
        <v>13.5074440062201</v>
      </c>
      <c r="H97" s="3">
        <v>15.913844236274</v>
      </c>
      <c r="I97" s="3">
        <v>12.326653182918101</v>
      </c>
      <c r="J97" s="3">
        <v>15.0899650598723</v>
      </c>
      <c r="K97" s="3">
        <v>9.3169890122354104</v>
      </c>
      <c r="L97" s="3">
        <v>7.0444434373367297</v>
      </c>
      <c r="M97" s="3">
        <v>11.1492096822201</v>
      </c>
      <c r="N97" s="3">
        <v>-90.302537230508904</v>
      </c>
      <c r="O97" s="3">
        <v>26.3331988756713</v>
      </c>
      <c r="P97" s="3">
        <v>12.8283510508854</v>
      </c>
      <c r="Q97" s="3">
        <v>16.231953271445501</v>
      </c>
      <c r="R97" s="3">
        <v>18.7885624503391</v>
      </c>
      <c r="S97" s="3">
        <v>5.7617989247563504</v>
      </c>
      <c r="T97" s="3">
        <v>17.248053449275901</v>
      </c>
      <c r="U97" s="3">
        <v>16.325958350625999</v>
      </c>
      <c r="V97" s="3">
        <v>21.341516472248198</v>
      </c>
    </row>
    <row r="98" spans="1:22" x14ac:dyDescent="0.35">
      <c r="A98" s="2">
        <v>44669</v>
      </c>
      <c r="B98" s="3">
        <v>15.9477360529101</v>
      </c>
      <c r="C98" s="3">
        <v>9.7695985232125206</v>
      </c>
      <c r="D98" s="3">
        <v>16.942012530212601</v>
      </c>
      <c r="E98" s="3">
        <v>18.5323109192442</v>
      </c>
      <c r="F98" s="3">
        <v>9.5091590892697706</v>
      </c>
      <c r="G98" s="3">
        <v>12.8143367947611</v>
      </c>
      <c r="H98" s="3">
        <v>15.8271241287141</v>
      </c>
      <c r="I98" s="3">
        <v>12.108429664790201</v>
      </c>
      <c r="J98" s="3">
        <v>14.9660045682273</v>
      </c>
      <c r="K98" s="3">
        <v>9.2939423630693891</v>
      </c>
      <c r="L98" s="3">
        <v>6.95980720305643</v>
      </c>
      <c r="M98" s="3">
        <v>10.8784427930895</v>
      </c>
      <c r="N98" s="3">
        <v>-79.254391305252994</v>
      </c>
      <c r="O98" s="3">
        <v>25.991526610198299</v>
      </c>
      <c r="P98" s="3">
        <v>12.644070647565</v>
      </c>
      <c r="Q98" s="3">
        <v>16.027745795700099</v>
      </c>
      <c r="R98" s="3">
        <v>18.5417821866941</v>
      </c>
      <c r="S98" s="3">
        <v>5.8264607598157099</v>
      </c>
      <c r="T98" s="3">
        <v>17.388098502395099</v>
      </c>
      <c r="U98" s="3">
        <v>16.004436847394999</v>
      </c>
      <c r="V98" s="3">
        <v>21.3468230381295</v>
      </c>
    </row>
    <row r="99" spans="1:22" x14ac:dyDescent="0.35">
      <c r="A99" s="2">
        <v>44699</v>
      </c>
      <c r="B99" s="3">
        <v>15.633933376874401</v>
      </c>
      <c r="C99" s="3">
        <v>9.4655328462779504</v>
      </c>
      <c r="D99" s="3">
        <v>16.2862734433097</v>
      </c>
      <c r="E99" s="3">
        <v>17.808710797709601</v>
      </c>
      <c r="F99" s="3">
        <v>8.74886628337571</v>
      </c>
      <c r="G99" s="3">
        <v>11.7543401775525</v>
      </c>
      <c r="H99" s="3">
        <v>15.6514306083075</v>
      </c>
      <c r="I99" s="3">
        <v>11.966110625930501</v>
      </c>
      <c r="J99" s="3">
        <v>14.424159535841</v>
      </c>
      <c r="K99" s="3">
        <v>9.2302506429812592</v>
      </c>
      <c r="L99" s="3">
        <v>6.5717855845245303</v>
      </c>
      <c r="M99" s="3">
        <v>10.5454077842725</v>
      </c>
      <c r="N99" s="3">
        <v>-69.149400826554199</v>
      </c>
      <c r="O99" s="3">
        <v>25.124638701950602</v>
      </c>
      <c r="P99" s="3">
        <v>12.509682451021501</v>
      </c>
      <c r="Q99" s="3">
        <v>15.5106921616501</v>
      </c>
      <c r="R99" s="3">
        <v>18.209889137480999</v>
      </c>
      <c r="S99" s="3">
        <v>5.4334447750324699</v>
      </c>
      <c r="T99" s="3">
        <v>16.793065719135502</v>
      </c>
      <c r="U99" s="3">
        <v>15.3114203880079</v>
      </c>
      <c r="V99" s="3">
        <v>20.3234277392663</v>
      </c>
    </row>
    <row r="100" spans="1:22" x14ac:dyDescent="0.35">
      <c r="A100" s="2">
        <v>44729</v>
      </c>
      <c r="B100" s="3">
        <v>15.834932382137</v>
      </c>
      <c r="C100" s="3">
        <v>8.2155339574291695</v>
      </c>
      <c r="D100" s="3">
        <v>15.5724901027013</v>
      </c>
      <c r="E100" s="3">
        <v>17.182029115860999</v>
      </c>
      <c r="F100" s="3">
        <v>8.2073224847705202</v>
      </c>
      <c r="G100" s="3">
        <v>11.1419723175872</v>
      </c>
      <c r="H100" s="3">
        <v>15.188531773159401</v>
      </c>
      <c r="I100" s="3">
        <v>11.658930975836901</v>
      </c>
      <c r="J100" s="3">
        <v>13.8609256402419</v>
      </c>
      <c r="K100" s="3">
        <v>8.9300255085884697</v>
      </c>
      <c r="L100" s="3">
        <v>6.3367241043252696</v>
      </c>
      <c r="M100" s="3">
        <v>10.112455412348501</v>
      </c>
      <c r="N100" s="3">
        <v>-59.039505537568402</v>
      </c>
      <c r="O100" s="3">
        <v>24.2286242247432</v>
      </c>
      <c r="P100" s="3">
        <v>12.8572710870076</v>
      </c>
      <c r="Q100" s="3">
        <v>14.8549474964332</v>
      </c>
      <c r="R100" s="3">
        <v>17.593002665502599</v>
      </c>
      <c r="S100" s="3">
        <v>5.5322974376760996</v>
      </c>
      <c r="T100" s="3">
        <v>15.995289055423401</v>
      </c>
      <c r="U100" s="3">
        <v>14.7888309032365</v>
      </c>
      <c r="V100" s="3">
        <v>19.459154706622598</v>
      </c>
    </row>
    <row r="101" spans="1:22" x14ac:dyDescent="0.35">
      <c r="A101" s="2">
        <v>44760</v>
      </c>
      <c r="B101" s="3">
        <v>15.622179401907101</v>
      </c>
      <c r="C101" s="3">
        <v>7.7120882956712702</v>
      </c>
      <c r="D101" s="3">
        <v>14.872655721258001</v>
      </c>
      <c r="E101" s="3">
        <v>16.531426550501902</v>
      </c>
      <c r="F101" s="3">
        <v>7.3120330162520002</v>
      </c>
      <c r="G101" s="3">
        <v>10.1718367510343</v>
      </c>
      <c r="H101" s="3">
        <v>14.9691483124226</v>
      </c>
      <c r="I101" s="3">
        <v>11.089186617240401</v>
      </c>
      <c r="J101" s="3">
        <v>13.5541539294112</v>
      </c>
      <c r="K101" s="3">
        <v>8.9349063223571292</v>
      </c>
      <c r="L101" s="3">
        <v>6.1565530899221503</v>
      </c>
      <c r="M101" s="3">
        <v>10.1843280940802</v>
      </c>
      <c r="N101" s="3">
        <v>-48.818009714011701</v>
      </c>
      <c r="O101" s="3">
        <v>24.554872613604601</v>
      </c>
      <c r="P101" s="3">
        <v>12.7803088013598</v>
      </c>
      <c r="Q101" s="3">
        <v>14.6116252335016</v>
      </c>
      <c r="R101" s="3">
        <v>17.286098924122101</v>
      </c>
      <c r="S101" s="3">
        <v>5.1544862472999604</v>
      </c>
      <c r="T101" s="3">
        <v>15.3907282082645</v>
      </c>
      <c r="U101" s="3">
        <v>13.9220287392711</v>
      </c>
      <c r="V101" s="3">
        <v>19.025207746406501</v>
      </c>
    </row>
    <row r="102" spans="1:22" x14ac:dyDescent="0.35">
      <c r="A102" s="2">
        <v>44791</v>
      </c>
      <c r="B102" s="3">
        <v>15.2926990075688</v>
      </c>
      <c r="C102" s="3">
        <v>7.3558354244363597</v>
      </c>
      <c r="D102" s="3">
        <v>14.9176418471668</v>
      </c>
      <c r="E102" s="3">
        <v>16.507635611491601</v>
      </c>
      <c r="F102" s="3">
        <v>7.0857367067665296</v>
      </c>
      <c r="G102" s="3">
        <v>10.0794362888752</v>
      </c>
      <c r="H102" s="3">
        <v>15.3778107575354</v>
      </c>
      <c r="I102" s="3">
        <v>11.3718127103527</v>
      </c>
      <c r="J102" s="3">
        <v>13.6351239435411</v>
      </c>
      <c r="K102" s="3">
        <v>9.1033160304741791</v>
      </c>
      <c r="L102" s="3">
        <v>6.3198227504804203</v>
      </c>
      <c r="M102" s="3">
        <v>10.341543548847699</v>
      </c>
      <c r="N102" s="3">
        <v>-37.733973103958903</v>
      </c>
      <c r="O102" s="3">
        <v>26.069005437214901</v>
      </c>
      <c r="P102" s="3">
        <v>12.313791789675401</v>
      </c>
      <c r="Q102" s="3">
        <v>15.7405814665224</v>
      </c>
      <c r="R102" s="3">
        <v>17.281189721966701</v>
      </c>
      <c r="S102" s="3">
        <v>4.9663316172938998</v>
      </c>
      <c r="T102" s="3">
        <v>15.571950712583201</v>
      </c>
      <c r="U102" s="3">
        <v>14.156233096551601</v>
      </c>
      <c r="V102" s="3">
        <v>19.158532217422799</v>
      </c>
    </row>
    <row r="103" spans="1:22" x14ac:dyDescent="0.35">
      <c r="A103" s="2">
        <v>44820</v>
      </c>
      <c r="B103" s="3">
        <v>14.610241508822799</v>
      </c>
      <c r="C103" s="3">
        <v>7.8334626569185097</v>
      </c>
      <c r="D103" s="3">
        <v>14.631159936371899</v>
      </c>
      <c r="E103" s="3">
        <v>15.594404357793501</v>
      </c>
      <c r="F103" s="3">
        <v>6.5515430272526798</v>
      </c>
      <c r="G103" s="3">
        <v>9.3627918435271003</v>
      </c>
      <c r="H103" s="3">
        <v>15.0116207995748</v>
      </c>
      <c r="I103" s="3">
        <v>10.917180256878501</v>
      </c>
      <c r="J103" s="3">
        <v>13.005491996020501</v>
      </c>
      <c r="K103" s="3">
        <v>8.7367922486025993</v>
      </c>
      <c r="L103" s="3">
        <v>6.0338088983612401</v>
      </c>
      <c r="M103" s="3">
        <v>9.6720331052238606</v>
      </c>
      <c r="N103" s="3">
        <v>-29.248034565278498</v>
      </c>
      <c r="O103" s="3">
        <v>25.567946666847099</v>
      </c>
      <c r="P103" s="3">
        <v>12.097538732279601</v>
      </c>
      <c r="Q103" s="3">
        <v>14.8805910269148</v>
      </c>
      <c r="R103" s="3">
        <v>16.840490148577398</v>
      </c>
      <c r="S103" s="3">
        <v>4.9046930523408498</v>
      </c>
      <c r="T103" s="3">
        <v>15.3590910777035</v>
      </c>
      <c r="U103" s="3">
        <v>13.536193699993699</v>
      </c>
      <c r="V103" s="3">
        <v>18.147854858620601</v>
      </c>
    </row>
    <row r="104" spans="1:22" x14ac:dyDescent="0.35">
      <c r="A104" s="2">
        <v>44852</v>
      </c>
      <c r="B104" s="3">
        <v>14.1238249680555</v>
      </c>
      <c r="C104" s="3">
        <v>7.1586653126884903</v>
      </c>
      <c r="D104" s="3">
        <v>13.597154905427701</v>
      </c>
      <c r="E104" s="3">
        <v>14.380757744929999</v>
      </c>
      <c r="F104" s="3">
        <v>6.5541982948917301</v>
      </c>
      <c r="G104" s="3">
        <v>9.2546087053227595</v>
      </c>
      <c r="H104" s="3">
        <v>14.39337067516</v>
      </c>
      <c r="I104" s="3">
        <v>10.0369476254301</v>
      </c>
      <c r="J104" s="3">
        <v>12.847856162305799</v>
      </c>
      <c r="K104" s="3">
        <v>8.7395847898261394</v>
      </c>
      <c r="L104" s="3">
        <v>6.2720302183516301</v>
      </c>
      <c r="M104" s="3">
        <v>9.6352610920976094</v>
      </c>
      <c r="N104" s="3">
        <v>-18.219635587779099</v>
      </c>
      <c r="O104" s="3">
        <v>25.231666432843301</v>
      </c>
      <c r="P104" s="3">
        <v>11.157097486784201</v>
      </c>
      <c r="Q104" s="3">
        <v>14.1650076588448</v>
      </c>
      <c r="R104" s="3">
        <v>16.2690411911776</v>
      </c>
      <c r="S104" s="3">
        <v>5.0164049786976097</v>
      </c>
      <c r="T104" s="3">
        <v>14.2670769666911</v>
      </c>
      <c r="U104" s="3">
        <v>12.5556574732786</v>
      </c>
      <c r="V104" s="3">
        <v>17.5354218798422</v>
      </c>
    </row>
    <row r="105" spans="1:22" x14ac:dyDescent="0.35">
      <c r="A105" s="2">
        <v>44883</v>
      </c>
      <c r="B105" s="3">
        <v>14.1202672784031</v>
      </c>
      <c r="C105" s="3">
        <v>5.8624672015296904</v>
      </c>
      <c r="D105" s="3">
        <v>13.3133602378342</v>
      </c>
      <c r="E105" s="3">
        <v>14.0323106552565</v>
      </c>
      <c r="F105" s="3">
        <v>6.1609067321498996</v>
      </c>
      <c r="G105" s="3">
        <v>9.9902140696126907</v>
      </c>
      <c r="H105" s="3">
        <v>14.6639002601583</v>
      </c>
      <c r="I105" s="3">
        <v>10.9028969455481</v>
      </c>
      <c r="J105" s="3">
        <v>13.6827809106345</v>
      </c>
      <c r="K105" s="3">
        <v>9.8587016134174892</v>
      </c>
      <c r="L105" s="3">
        <v>5.9311588966537903</v>
      </c>
      <c r="M105" s="3">
        <v>10.257914770355701</v>
      </c>
      <c r="N105" s="3">
        <v>-8.4227874259664208</v>
      </c>
      <c r="O105" s="3">
        <v>26.193300652547599</v>
      </c>
      <c r="P105" s="3">
        <v>11.6044486647623</v>
      </c>
      <c r="Q105" s="3">
        <v>13.798766909530499</v>
      </c>
      <c r="R105" s="3">
        <v>16.628593410024401</v>
      </c>
      <c r="S105" s="3">
        <v>4.9445778706350696</v>
      </c>
      <c r="T105" s="3">
        <v>13.8786796948564</v>
      </c>
      <c r="U105" s="3">
        <v>11.586388348449001</v>
      </c>
      <c r="V105" s="3">
        <v>16.843684804891399</v>
      </c>
    </row>
    <row r="106" spans="1:22" x14ac:dyDescent="0.35">
      <c r="A106" s="2">
        <v>44911</v>
      </c>
      <c r="B106" s="3">
        <v>14.424613003546501</v>
      </c>
      <c r="C106" s="3">
        <v>5.5041013067980398</v>
      </c>
      <c r="D106" s="3">
        <v>12.710051021862199</v>
      </c>
      <c r="E106" s="3">
        <v>13.781725228439401</v>
      </c>
      <c r="F106" s="3">
        <v>5.91960777994779</v>
      </c>
      <c r="G106" s="3">
        <v>9.2558341288874004</v>
      </c>
      <c r="H106" s="3">
        <v>14.8527030242237</v>
      </c>
      <c r="I106" s="3">
        <v>11.017154169211</v>
      </c>
      <c r="J106" s="3">
        <v>13.059116144201299</v>
      </c>
      <c r="K106" s="3">
        <v>9.7344621467227395</v>
      </c>
      <c r="L106" s="3">
        <v>5.3911677272393197</v>
      </c>
      <c r="M106" s="3">
        <v>9.9981661709323699</v>
      </c>
      <c r="N106" s="3">
        <v>1.07229426474276</v>
      </c>
      <c r="O106" s="3">
        <v>26.391254236557302</v>
      </c>
      <c r="P106" s="3">
        <v>12.2864603065719</v>
      </c>
      <c r="Q106" s="3">
        <v>12.325580962365899</v>
      </c>
      <c r="R106" s="3">
        <v>16.490258663843701</v>
      </c>
      <c r="S106" s="3">
        <v>5.0042126631215096</v>
      </c>
      <c r="T106" s="3">
        <v>13.234517580618901</v>
      </c>
      <c r="U106" s="3">
        <v>12.7088667166565</v>
      </c>
      <c r="V106" s="3">
        <v>15.3794709796337</v>
      </c>
    </row>
    <row r="107" spans="1:22" x14ac:dyDescent="0.35">
      <c r="A107" s="2">
        <v>44944</v>
      </c>
      <c r="B107" s="3">
        <v>14.8636277016669</v>
      </c>
      <c r="C107" s="3">
        <v>5.6344926877371604</v>
      </c>
      <c r="D107" s="3">
        <v>12.1764421207123</v>
      </c>
      <c r="E107" s="3">
        <v>14.79948177815</v>
      </c>
      <c r="F107" s="3">
        <v>6.2673402573814299</v>
      </c>
      <c r="G107" s="3">
        <v>10.4145719856886</v>
      </c>
      <c r="H107" s="3">
        <v>14.980244063653901</v>
      </c>
      <c r="I107" s="3">
        <v>11.5551459291132</v>
      </c>
      <c r="J107" s="3">
        <v>13.8567969619614</v>
      </c>
      <c r="K107" s="3">
        <v>10.205109612524801</v>
      </c>
      <c r="L107" s="3">
        <v>5.8456564154308603</v>
      </c>
      <c r="M107" s="3">
        <v>11.030307321089699</v>
      </c>
      <c r="N107" s="3">
        <v>6.3219244269096402</v>
      </c>
      <c r="O107" s="3">
        <v>25.917591344685601</v>
      </c>
      <c r="P107" s="3">
        <v>13.570622415237199</v>
      </c>
      <c r="Q107" s="3">
        <v>11.9058537260435</v>
      </c>
      <c r="R107" s="3">
        <v>17.149236374116199</v>
      </c>
      <c r="S107" s="3">
        <v>5.1936705782398498</v>
      </c>
      <c r="T107" s="3">
        <v>12.5633804344418</v>
      </c>
      <c r="U107" s="3">
        <v>12.3672952741762</v>
      </c>
      <c r="V107" s="3">
        <v>15.865895936357299</v>
      </c>
    </row>
    <row r="108" spans="1:22" x14ac:dyDescent="0.35">
      <c r="A108" s="2">
        <v>44974</v>
      </c>
      <c r="B108" s="3">
        <v>14.5580862713147</v>
      </c>
      <c r="C108" s="3">
        <v>6.0028967376621596</v>
      </c>
      <c r="D108" s="3">
        <v>12.424075756100001</v>
      </c>
      <c r="E108" s="3">
        <v>13.911850961606801</v>
      </c>
      <c r="F108" s="3">
        <v>5.48617661069264</v>
      </c>
      <c r="G108" s="3">
        <v>9.7030728661112509</v>
      </c>
      <c r="H108" s="3">
        <v>14.670223854254299</v>
      </c>
      <c r="I108" s="3">
        <v>12.274065953888</v>
      </c>
      <c r="J108" s="3">
        <v>14.5960320478619</v>
      </c>
      <c r="K108" s="3">
        <v>10.9065482233219</v>
      </c>
      <c r="L108" s="3">
        <v>5.7557227201510202</v>
      </c>
      <c r="M108" s="3">
        <v>10.442023720342499</v>
      </c>
      <c r="N108" s="3">
        <v>7.8635528033780702</v>
      </c>
      <c r="O108" s="3">
        <v>25.129466811403201</v>
      </c>
      <c r="P108" s="3">
        <v>12.9503391565767</v>
      </c>
      <c r="Q108" s="3">
        <v>11.973478061407899</v>
      </c>
      <c r="R108" s="3">
        <v>17.459022964790801</v>
      </c>
      <c r="S108" s="3">
        <v>4.5727793025625196</v>
      </c>
      <c r="T108" s="3">
        <v>12.5845401533704</v>
      </c>
      <c r="U108" s="3">
        <v>12.8346897112358</v>
      </c>
      <c r="V108" s="3">
        <v>15.8637741254669</v>
      </c>
    </row>
    <row r="109" spans="1:22" x14ac:dyDescent="0.35">
      <c r="A109" s="2">
        <v>45002</v>
      </c>
      <c r="B109" s="3">
        <v>14.4171889554926</v>
      </c>
      <c r="C109" s="3">
        <v>5.8289235539210198</v>
      </c>
      <c r="D109" s="3">
        <v>11.98695577943</v>
      </c>
      <c r="E109" s="3">
        <v>13.1297971496075</v>
      </c>
      <c r="F109" s="3">
        <v>5.9485996377065398</v>
      </c>
      <c r="G109" s="3">
        <v>9.3840156702996893</v>
      </c>
      <c r="H109" s="3">
        <v>14.7369647231037</v>
      </c>
      <c r="I109" s="3">
        <v>12.648542658683599</v>
      </c>
      <c r="J109" s="3">
        <v>14.451889593909</v>
      </c>
      <c r="K109" s="3">
        <v>11.2053176905576</v>
      </c>
      <c r="L109" s="3">
        <v>5.5410435216687102</v>
      </c>
      <c r="M109" s="3">
        <v>10.1421951527128</v>
      </c>
      <c r="N109" s="3">
        <v>7.6267419546798898</v>
      </c>
      <c r="O109" s="3">
        <v>23.9208114697886</v>
      </c>
      <c r="P109" s="3">
        <v>12.2650844256166</v>
      </c>
      <c r="Q109" s="3">
        <v>11.660418439947801</v>
      </c>
      <c r="R109" s="3">
        <v>17.2853522774586</v>
      </c>
      <c r="S109" s="3">
        <v>4.7166443448585502</v>
      </c>
      <c r="T109" s="3">
        <v>12.1111903800115</v>
      </c>
      <c r="U109" s="3">
        <v>12.4085350038537</v>
      </c>
      <c r="V109" s="3">
        <v>15.120088808837901</v>
      </c>
    </row>
    <row r="110" spans="1:22" x14ac:dyDescent="0.35">
      <c r="A110" s="2">
        <v>45034</v>
      </c>
      <c r="B110" s="3">
        <v>14.446947491446201</v>
      </c>
      <c r="C110" s="3">
        <v>6.1713314865865501</v>
      </c>
      <c r="D110" s="3">
        <v>12.1527988842019</v>
      </c>
      <c r="E110" s="3">
        <v>12.949551790038001</v>
      </c>
      <c r="F110" s="3">
        <v>6.0957017817883203</v>
      </c>
      <c r="G110" s="3">
        <v>9.6286396063375399</v>
      </c>
      <c r="H110" s="3">
        <v>14.6516589274702</v>
      </c>
      <c r="I110" s="3">
        <v>13.1424842405016</v>
      </c>
      <c r="J110" s="3">
        <v>14.3787833548562</v>
      </c>
      <c r="K110" s="3">
        <v>12.1107119744958</v>
      </c>
      <c r="L110" s="3">
        <v>5.7711002063340402</v>
      </c>
      <c r="M110" s="3">
        <v>10.2783595920364</v>
      </c>
      <c r="N110" s="3">
        <v>7.70126151845776</v>
      </c>
      <c r="O110" s="3">
        <v>23.7433803958907</v>
      </c>
      <c r="P110" s="3">
        <v>12.3125042623067</v>
      </c>
      <c r="Q110" s="3">
        <v>11.6043090249828</v>
      </c>
      <c r="R110" s="3">
        <v>17.302362436802799</v>
      </c>
      <c r="S110" s="3">
        <v>4.6844199770612098</v>
      </c>
      <c r="T110" s="3">
        <v>12.105497904348701</v>
      </c>
      <c r="U110" s="3">
        <v>12.882327396164699</v>
      </c>
      <c r="V110" s="3">
        <v>15.7711663131994</v>
      </c>
    </row>
    <row r="111" spans="1:22" x14ac:dyDescent="0.35">
      <c r="A111" s="2">
        <v>45064</v>
      </c>
      <c r="B111" s="3">
        <v>14.1508091816132</v>
      </c>
      <c r="C111" s="3">
        <v>6.6304597726572103</v>
      </c>
      <c r="D111" s="3">
        <v>12.059747343667</v>
      </c>
      <c r="E111" s="3">
        <v>12.776252187461999</v>
      </c>
      <c r="F111" s="3">
        <v>6.1859321448579898</v>
      </c>
      <c r="G111" s="3">
        <v>9.5723867035243604</v>
      </c>
      <c r="H111" s="3">
        <v>14.5479819940689</v>
      </c>
      <c r="I111" s="3">
        <v>13.850154492560501</v>
      </c>
      <c r="J111" s="3">
        <v>14.179198378680701</v>
      </c>
      <c r="K111" s="3">
        <v>12.2075630127457</v>
      </c>
      <c r="L111" s="3">
        <v>5.9962232560802002</v>
      </c>
      <c r="M111" s="3">
        <v>10.034912896401099</v>
      </c>
      <c r="N111" s="3">
        <v>7.4849711518269704</v>
      </c>
      <c r="O111" s="3">
        <v>23.762753261606498</v>
      </c>
      <c r="P111" s="3">
        <v>12.0347964390462</v>
      </c>
      <c r="Q111" s="3">
        <v>11.823796626537399</v>
      </c>
      <c r="R111" s="3">
        <v>17.116247616596599</v>
      </c>
      <c r="S111" s="3">
        <v>4.4733381680531403</v>
      </c>
      <c r="T111" s="3">
        <v>11.8833516757187</v>
      </c>
      <c r="U111" s="3">
        <v>13.3318328944505</v>
      </c>
      <c r="V111" s="3">
        <v>16.146652986359499</v>
      </c>
    </row>
    <row r="112" spans="1:22" x14ac:dyDescent="0.35">
      <c r="A112" s="2">
        <v>45093</v>
      </c>
      <c r="B112" s="3">
        <v>14.146563798324999</v>
      </c>
      <c r="C112" s="3">
        <v>6.8118173464810097</v>
      </c>
      <c r="D112" s="3">
        <v>13.0402822889052</v>
      </c>
      <c r="E112" s="3">
        <v>12.162666689326</v>
      </c>
      <c r="F112" s="3">
        <v>6.6344234446579797</v>
      </c>
      <c r="G112" s="3">
        <v>10.084844800824801</v>
      </c>
      <c r="H112" s="3">
        <v>14.542735678568899</v>
      </c>
      <c r="I112" s="3">
        <v>14.856464525112401</v>
      </c>
      <c r="J112" s="3">
        <v>13.7708782780714</v>
      </c>
      <c r="K112" s="3">
        <v>12.583091749791899</v>
      </c>
      <c r="L112" s="3">
        <v>6.56348049441974</v>
      </c>
      <c r="M112" s="3">
        <v>10.251566741293299</v>
      </c>
      <c r="N112" s="3">
        <v>8.0272349814124997</v>
      </c>
      <c r="O112" s="3">
        <v>24.114610385699699</v>
      </c>
      <c r="P112" s="3">
        <v>12.120489683866801</v>
      </c>
      <c r="Q112" s="3">
        <v>11.8182812115295</v>
      </c>
      <c r="R112" s="3">
        <v>17.318366678981199</v>
      </c>
      <c r="S112" s="3">
        <v>4.89004377317573</v>
      </c>
      <c r="T112" s="3">
        <v>11.8042196290906</v>
      </c>
      <c r="U112" s="3">
        <v>13.6092152708756</v>
      </c>
      <c r="V112" s="3">
        <v>16.670834518617099</v>
      </c>
    </row>
    <row r="113" spans="1:37" x14ac:dyDescent="0.35">
      <c r="A113" s="2">
        <v>45125</v>
      </c>
      <c r="B113" s="3">
        <v>13.822724917707101</v>
      </c>
      <c r="C113" s="3">
        <v>7.7114258426407503</v>
      </c>
      <c r="D113" s="3">
        <v>13.178541044697299</v>
      </c>
      <c r="E113" s="3">
        <v>11.9099591461794</v>
      </c>
      <c r="F113" s="3">
        <v>6.6498079837271504</v>
      </c>
      <c r="G113" s="3">
        <v>10.542966819473801</v>
      </c>
      <c r="H113" s="3">
        <v>14.5846278691047</v>
      </c>
      <c r="I113" s="3">
        <v>15.6973441756555</v>
      </c>
      <c r="J113" s="3">
        <v>13.412467107057299</v>
      </c>
      <c r="K113" s="3">
        <v>12.9003989719429</v>
      </c>
      <c r="L113" s="3">
        <v>6.88987768816986</v>
      </c>
      <c r="M113" s="3">
        <v>10.613958690694799</v>
      </c>
      <c r="N113" s="3">
        <v>8.0728177904755007</v>
      </c>
      <c r="O113" s="3">
        <v>24.248465008704098</v>
      </c>
      <c r="P113" s="3">
        <v>11.794770746014301</v>
      </c>
      <c r="Q113" s="3">
        <v>11.8184671447251</v>
      </c>
      <c r="R113" s="3">
        <v>17.327096768141899</v>
      </c>
      <c r="S113" s="3">
        <v>5.3761575196224403</v>
      </c>
      <c r="T113" s="3">
        <v>11.795171327770801</v>
      </c>
      <c r="U113" s="3">
        <v>13.621547328735501</v>
      </c>
      <c r="V113" s="3">
        <v>17.3701001925401</v>
      </c>
    </row>
    <row r="114" spans="1:37" x14ac:dyDescent="0.35">
      <c r="A114" s="2">
        <v>45156</v>
      </c>
      <c r="B114" s="3">
        <v>13.6801212207967</v>
      </c>
      <c r="C114" s="3">
        <v>7.8294834155050603</v>
      </c>
      <c r="D114" s="3">
        <v>13.3924293857721</v>
      </c>
      <c r="E114" s="3">
        <v>11.2777766601591</v>
      </c>
      <c r="F114" s="3">
        <v>6.7555974874825502</v>
      </c>
      <c r="G114" s="3">
        <v>10.8072036250446</v>
      </c>
      <c r="H114" s="3">
        <v>14.7379483151541</v>
      </c>
      <c r="I114" s="3">
        <v>15.7585490896801</v>
      </c>
      <c r="J114" s="3">
        <v>13.1545114531962</v>
      </c>
      <c r="K114" s="3">
        <v>12.8459959425583</v>
      </c>
      <c r="L114" s="3">
        <v>7.0171405232439197</v>
      </c>
      <c r="M114" s="3">
        <v>10.302625074509701</v>
      </c>
      <c r="N114" s="3">
        <v>7.49001405035684</v>
      </c>
      <c r="O114" s="3">
        <v>23.577698357486199</v>
      </c>
      <c r="P114" s="3">
        <v>11.541733763946</v>
      </c>
      <c r="Q114" s="3">
        <v>11.9755004739526</v>
      </c>
      <c r="R114" s="3">
        <v>17.379492774124699</v>
      </c>
      <c r="S114" s="3">
        <v>6.0455197852625702</v>
      </c>
      <c r="T114" s="3">
        <v>11.491262800297299</v>
      </c>
      <c r="U114" s="3">
        <v>14.320251337279601</v>
      </c>
      <c r="V114" s="3">
        <v>17.683149038894701</v>
      </c>
    </row>
    <row r="115" spans="1:37" x14ac:dyDescent="0.35">
      <c r="A115" s="2">
        <v>45187</v>
      </c>
      <c r="B115" s="3">
        <v>13.7967018121296</v>
      </c>
      <c r="C115" s="3">
        <v>7.9337290246760999</v>
      </c>
      <c r="D115" s="3">
        <v>13.4323946038228</v>
      </c>
      <c r="E115" s="3">
        <v>11.0812901694599</v>
      </c>
      <c r="F115" s="3">
        <v>6.9063264444283803</v>
      </c>
      <c r="G115" s="3">
        <v>11.050103340760099</v>
      </c>
      <c r="H115" s="3">
        <v>14.953893816608399</v>
      </c>
      <c r="I115" s="3">
        <v>16.363986495676802</v>
      </c>
      <c r="J115" s="3">
        <v>12.767972286771201</v>
      </c>
      <c r="K115" s="3">
        <v>13.759688250957799</v>
      </c>
      <c r="L115" s="3">
        <v>7.3180184180571803</v>
      </c>
      <c r="M115" s="3">
        <v>10.5557626008094</v>
      </c>
      <c r="N115" s="3">
        <v>7.1827344442418104</v>
      </c>
      <c r="O115" s="3">
        <v>23.9446340558491</v>
      </c>
      <c r="P115" s="3">
        <v>11.647743926361199</v>
      </c>
      <c r="Q115" s="3">
        <v>11.6490021981935</v>
      </c>
      <c r="R115" s="3">
        <v>17.418375014776501</v>
      </c>
      <c r="S115" s="3">
        <v>6.0794119311400001</v>
      </c>
      <c r="T115" s="3">
        <v>11.1206851813154</v>
      </c>
      <c r="U115" s="3">
        <v>15.3833304928238</v>
      </c>
      <c r="V115" s="3">
        <v>17.445209071234899</v>
      </c>
    </row>
    <row r="116" spans="1:37" x14ac:dyDescent="0.35">
      <c r="A116" s="2">
        <v>45217</v>
      </c>
      <c r="B116" s="3">
        <v>13.350185641103501</v>
      </c>
      <c r="C116" s="3">
        <v>7.9955941429720001</v>
      </c>
      <c r="D116" s="3">
        <v>13.2111735307624</v>
      </c>
      <c r="E116" s="3">
        <v>11.095938755296901</v>
      </c>
      <c r="F116" s="3">
        <v>7.4758587062531898</v>
      </c>
      <c r="G116" s="3">
        <v>10.683976147132499</v>
      </c>
      <c r="H116" s="3">
        <v>14.8888651125498</v>
      </c>
      <c r="I116" s="3">
        <v>16.5730195619923</v>
      </c>
      <c r="J116" s="3">
        <v>12.170819331337499</v>
      </c>
      <c r="K116" s="3">
        <v>13.688514208083101</v>
      </c>
      <c r="L116" s="3">
        <v>7.3381475592944296</v>
      </c>
      <c r="M116" s="3">
        <v>10.601508967723101</v>
      </c>
      <c r="N116" s="3">
        <v>6.73019107951027</v>
      </c>
      <c r="O116" s="3">
        <v>23.572400691821802</v>
      </c>
      <c r="P116" s="3">
        <v>11.276743200404701</v>
      </c>
      <c r="Q116" s="3">
        <v>11.342339095828899</v>
      </c>
      <c r="R116" s="3">
        <v>16.8455168502304</v>
      </c>
      <c r="S116" s="3">
        <v>6.24227391174733</v>
      </c>
      <c r="T116" s="3">
        <v>10.5996480518782</v>
      </c>
      <c r="U116" s="3">
        <v>15.2206972892787</v>
      </c>
      <c r="V116" s="3">
        <v>17.417484303479299</v>
      </c>
    </row>
    <row r="117" spans="1:37" x14ac:dyDescent="0.35">
      <c r="A117" s="2">
        <v>45247</v>
      </c>
      <c r="B117" s="3">
        <v>13.631419885119101</v>
      </c>
      <c r="C117" s="3">
        <v>8.1976271244232706</v>
      </c>
      <c r="D117" s="3">
        <v>13.2817878150657</v>
      </c>
      <c r="E117" s="3">
        <v>10.619685015424301</v>
      </c>
      <c r="F117" s="3">
        <v>7.4905205231438998</v>
      </c>
      <c r="G117" s="3">
        <v>11.834556953748599</v>
      </c>
      <c r="H117" s="3">
        <v>14.974351908864801</v>
      </c>
      <c r="I117" s="3">
        <v>17.247070441408901</v>
      </c>
      <c r="J117" s="3">
        <v>12.945413122472299</v>
      </c>
      <c r="K117" s="3">
        <v>14.0747975854317</v>
      </c>
      <c r="L117" s="3">
        <v>8.1789448865704202</v>
      </c>
      <c r="M117" s="3">
        <v>11.011749790951599</v>
      </c>
      <c r="N117" s="3">
        <v>6.74274797147695</v>
      </c>
      <c r="O117" s="3">
        <v>23.542449949724901</v>
      </c>
      <c r="P117" s="3">
        <v>11.229046249639699</v>
      </c>
      <c r="Q117" s="3">
        <v>11.681093539246501</v>
      </c>
      <c r="R117" s="3">
        <v>16.515469222984098</v>
      </c>
      <c r="S117" s="3">
        <v>5.66921348179749</v>
      </c>
      <c r="T117" s="3">
        <v>10.384227237325399</v>
      </c>
      <c r="U117" s="3">
        <v>15.4223928127481</v>
      </c>
      <c r="V117" s="3">
        <v>18.502148171661901</v>
      </c>
    </row>
    <row r="118" spans="1:37" x14ac:dyDescent="0.35">
      <c r="A118" s="2">
        <v>45278</v>
      </c>
      <c r="B118" s="3">
        <v>13.094183818868901</v>
      </c>
      <c r="C118" s="3">
        <v>8.4256566987584005</v>
      </c>
      <c r="D118" s="3">
        <v>13.573404217403199</v>
      </c>
      <c r="E118" s="3">
        <v>9.9695887758587602</v>
      </c>
      <c r="F118" s="3">
        <v>9.5771968162221306</v>
      </c>
      <c r="G118" s="3">
        <v>14.3335936255964</v>
      </c>
      <c r="H118" s="3">
        <v>15.264589230673201</v>
      </c>
      <c r="I118" s="3">
        <v>18.415198323733101</v>
      </c>
      <c r="J118" s="3">
        <v>14.159675519418</v>
      </c>
      <c r="K118" s="3">
        <v>14.8503645577009</v>
      </c>
      <c r="L118" s="3">
        <v>8.7227819352684008</v>
      </c>
      <c r="M118" s="3">
        <v>11.271171872389999</v>
      </c>
      <c r="N118" s="3">
        <v>6.3578150193629996</v>
      </c>
      <c r="O118" s="3">
        <v>25.416317580093899</v>
      </c>
      <c r="P118" s="3">
        <v>10.6772407213272</v>
      </c>
      <c r="Q118" s="3">
        <v>11.2419067045539</v>
      </c>
      <c r="R118" s="3">
        <v>16.135287497970701</v>
      </c>
      <c r="S118" s="3">
        <v>5.6091795180606203</v>
      </c>
      <c r="T118" s="3">
        <v>9.9669915327108498</v>
      </c>
      <c r="U118" s="3">
        <v>16.012969567679299</v>
      </c>
      <c r="V118" s="3">
        <v>20.227122882289901</v>
      </c>
    </row>
    <row r="119" spans="1:37" x14ac:dyDescent="0.35">
      <c r="A119" s="2">
        <v>45309</v>
      </c>
      <c r="B119" s="3">
        <v>12.608506024812399</v>
      </c>
      <c r="C119" s="3">
        <v>8.4283916500241194</v>
      </c>
      <c r="D119" s="3">
        <v>14.0184522843598</v>
      </c>
      <c r="E119" s="3">
        <v>9.9365487989943109</v>
      </c>
      <c r="F119" s="3">
        <v>8.3973258718227903</v>
      </c>
      <c r="G119" s="3">
        <v>14.6084485659305</v>
      </c>
      <c r="H119" s="3">
        <v>15.1581988568576</v>
      </c>
      <c r="I119" s="3">
        <v>18.356345837450998</v>
      </c>
      <c r="J119" s="3">
        <v>13.349873221716299</v>
      </c>
      <c r="K119" s="3">
        <v>14.3976713427798</v>
      </c>
      <c r="L119" s="3">
        <v>8.3888871833711303</v>
      </c>
      <c r="M119" s="3">
        <v>10.8420310654587</v>
      </c>
      <c r="N119" s="3">
        <v>6.42435915374171</v>
      </c>
      <c r="O119" s="3">
        <v>25.599746986338701</v>
      </c>
      <c r="P119" s="3">
        <v>9.9841502855342004</v>
      </c>
      <c r="Q119" s="3">
        <v>11.625338754834999</v>
      </c>
      <c r="R119" s="3">
        <v>15.457971217105101</v>
      </c>
      <c r="S119" s="3">
        <v>5.8243567777644101</v>
      </c>
      <c r="T119" s="3">
        <v>10.143898733400301</v>
      </c>
      <c r="U119" s="3">
        <v>16.8318833886362</v>
      </c>
      <c r="V119" s="3">
        <v>21.092953499042501</v>
      </c>
    </row>
    <row r="120" spans="1:37" x14ac:dyDescent="0.35">
      <c r="A120" s="2">
        <v>45338</v>
      </c>
      <c r="B120" s="3">
        <v>12.975757819256399</v>
      </c>
      <c r="C120" s="3">
        <v>8.9848266674002399</v>
      </c>
      <c r="D120" s="3">
        <v>14.441357666961901</v>
      </c>
      <c r="E120" s="3">
        <v>10.434961436927599</v>
      </c>
      <c r="F120" s="3">
        <v>9.0246342439575606</v>
      </c>
      <c r="G120" s="3">
        <v>15.099870593580199</v>
      </c>
      <c r="H120" s="3">
        <v>15.5498847425278</v>
      </c>
      <c r="I120" s="3">
        <v>19.5102031136961</v>
      </c>
      <c r="J120" s="3">
        <v>14.8065418224329</v>
      </c>
      <c r="K120" s="3">
        <v>16.6260372782193</v>
      </c>
      <c r="L120" s="3">
        <v>8.5268071031127004</v>
      </c>
      <c r="M120" s="3">
        <v>10.910229886389899</v>
      </c>
      <c r="N120" s="3">
        <v>6.6994419397394003</v>
      </c>
      <c r="O120" s="3">
        <v>26.390054403834601</v>
      </c>
      <c r="P120" s="3">
        <v>10.3987361731946</v>
      </c>
      <c r="Q120" s="3">
        <v>11.4621258239406</v>
      </c>
      <c r="R120" s="3">
        <v>16.0918483282551</v>
      </c>
      <c r="S120" s="3">
        <v>6.7427797154233602</v>
      </c>
      <c r="T120" s="3">
        <v>9.6177034900573801</v>
      </c>
      <c r="U120" s="3">
        <v>17.005932720817299</v>
      </c>
      <c r="V120" s="3">
        <v>21.5670792294633</v>
      </c>
    </row>
    <row r="121" spans="1:37" x14ac:dyDescent="0.35">
      <c r="A121" s="2">
        <v>45369</v>
      </c>
      <c r="B121" s="3">
        <v>13.5888588210051</v>
      </c>
      <c r="C121" s="3">
        <v>7.3455350923356697</v>
      </c>
      <c r="D121" s="3">
        <v>14.0888992026858</v>
      </c>
      <c r="E121" s="3">
        <v>10.6903517610458</v>
      </c>
      <c r="F121" s="3">
        <v>8.9608158188204605</v>
      </c>
      <c r="G121" s="3">
        <v>15.2772670196288</v>
      </c>
      <c r="H121" s="3">
        <v>15.768695958870699</v>
      </c>
      <c r="I121" s="3">
        <v>19.842090222828698</v>
      </c>
      <c r="J121" s="3">
        <v>15.8291248917558</v>
      </c>
      <c r="K121" s="3">
        <v>16.037331670538101</v>
      </c>
      <c r="L121" s="3">
        <v>8.6152537132190297</v>
      </c>
      <c r="M121" s="3">
        <v>10.6172282413423</v>
      </c>
      <c r="N121" s="3">
        <v>6.7794978905846301</v>
      </c>
      <c r="O121" s="3">
        <v>25.943280537032201</v>
      </c>
      <c r="P121" s="3">
        <v>10.476728593562701</v>
      </c>
      <c r="Q121" s="3">
        <v>11.447339181873501</v>
      </c>
      <c r="R121" s="3">
        <v>16.811984183097199</v>
      </c>
      <c r="S121" s="3">
        <v>6.4793334208060198</v>
      </c>
      <c r="T121" s="3">
        <v>9.3985313219283597</v>
      </c>
      <c r="U121" s="3">
        <v>18.639155244482701</v>
      </c>
      <c r="V121" s="3">
        <v>21.704271001232598</v>
      </c>
    </row>
    <row r="122" spans="1:37" x14ac:dyDescent="0.35">
      <c r="A122" s="2">
        <v>45398</v>
      </c>
      <c r="B122" s="3">
        <v>13.578037082626199</v>
      </c>
      <c r="C122" s="3">
        <v>7.4115865748895997</v>
      </c>
      <c r="D122" s="3">
        <v>13.882490911275999</v>
      </c>
      <c r="E122" s="3">
        <v>10.3215303498705</v>
      </c>
      <c r="F122" s="3">
        <v>8.8077662721654892</v>
      </c>
      <c r="G122" s="3">
        <v>15.0900906573049</v>
      </c>
      <c r="H122" s="3">
        <v>15.579487011777401</v>
      </c>
      <c r="I122" s="3">
        <v>19.714654946728299</v>
      </c>
      <c r="J122" s="3">
        <v>15.5516243396891</v>
      </c>
      <c r="K122" s="3">
        <v>15.5000664558106</v>
      </c>
      <c r="L122" s="3">
        <v>8.44607084523299</v>
      </c>
      <c r="M122" s="3">
        <v>10.605375988273201</v>
      </c>
      <c r="N122" s="3">
        <v>6.7028775375954801</v>
      </c>
      <c r="O122" s="3">
        <v>25.7778795411798</v>
      </c>
      <c r="P122" s="3">
        <v>10.400801480337901</v>
      </c>
      <c r="Q122" s="3">
        <v>11.274071837033301</v>
      </c>
      <c r="R122" s="3">
        <v>16.563943958203801</v>
      </c>
      <c r="S122" s="3">
        <v>6.5391496010845502</v>
      </c>
      <c r="T122" s="3">
        <v>9.3871306782149393</v>
      </c>
      <c r="U122" s="3">
        <v>18.199048736045299</v>
      </c>
      <c r="V122" s="3">
        <v>21.417188073927701</v>
      </c>
    </row>
    <row r="124" spans="1:37" x14ac:dyDescent="0.35">
      <c r="A124" s="2" t="s">
        <v>91</v>
      </c>
      <c r="B124" s="3" cm="1">
        <f t="array" ref="B124">MIN(_xlfn._xlws.FILTER(B1:B122, ISNUMBER(B1:B122)))</f>
        <v>11.158543953163701</v>
      </c>
      <c r="C124" s="3" cm="1">
        <f t="array" ref="C124">MIN(_xlfn._xlws.FILTER(C1:C122, ISNUMBER(C1:C122)))</f>
        <v>5.5041013067980398</v>
      </c>
      <c r="D124" s="3" cm="1">
        <f t="array" ref="D124">MIN(_xlfn._xlws.FILTER(D1:D122, ISNUMBER(D1:D122)))</f>
        <v>11.98695577943</v>
      </c>
      <c r="E124" s="3" cm="1">
        <f t="array" ref="E124">MIN(_xlfn._xlws.FILTER(E1:E122, ISNUMBER(E1:E122)))</f>
        <v>9.9365487989943109</v>
      </c>
      <c r="F124" s="3" cm="1">
        <f t="array" ref="F124">MIN(_xlfn._xlws.FILTER(F1:F122, ISNUMBER(F1:F122)))</f>
        <v>5.48617661069264</v>
      </c>
      <c r="G124" s="3" cm="1">
        <f t="array" ref="G124">MIN(_xlfn._xlws.FILTER(G1:G122, ISNUMBER(G1:G122)))</f>
        <v>9.2546087053227595</v>
      </c>
      <c r="H124" s="3" cm="1">
        <f t="array" ref="H124">MIN(_xlfn._xlws.FILTER(H1:H122, ISNUMBER(H1:H122)))</f>
        <v>14.39337067516</v>
      </c>
      <c r="I124" s="3" cm="1">
        <f t="array" ref="I124">MIN(_xlfn._xlws.FILTER(I1:I122, ISNUMBER(I1:I122)))</f>
        <v>10.0369476254301</v>
      </c>
      <c r="J124" s="3" cm="1">
        <f t="array" ref="J124">MIN(_xlfn._xlws.FILTER(J1:J122, ISNUMBER(J1:J122)))</f>
        <v>12.170819331337499</v>
      </c>
      <c r="K124" s="3" cm="1">
        <f t="array" ref="K124">MIN(_xlfn._xlws.FILTER(K1:K122, ISNUMBER(K1:K122)))</f>
        <v>8.3207271990922305</v>
      </c>
      <c r="L124" s="3" cm="1">
        <f t="array" ref="L124">MIN(_xlfn._xlws.FILTER(L1:L122, ISNUMBER(L1:L122)))</f>
        <v>5.3911677272393197</v>
      </c>
      <c r="M124" s="3" cm="1">
        <f t="array" ref="M124">MIN(_xlfn._xlws.FILTER(M1:M122, ISNUMBER(M1:M122)))</f>
        <v>9.6352610920976094</v>
      </c>
      <c r="N124" s="3" cm="1">
        <f t="array" ref="N124">MIN(_xlfn._xlws.FILTER(N1:N122, ISNUMBER(N1:N122)))</f>
        <v>-185.93501798356201</v>
      </c>
      <c r="O124" s="3" cm="1">
        <f t="array" ref="O124">MIN(_xlfn._xlws.FILTER(O1:O122, ISNUMBER(O1:O122)))</f>
        <v>16.409116369472301</v>
      </c>
      <c r="P124" s="3" cm="1">
        <f t="array" ref="P124">MIN(_xlfn._xlws.FILTER(P1:P122, ISNUMBER(P1:P122)))</f>
        <v>9.1762503797382902</v>
      </c>
      <c r="Q124" s="3" cm="1">
        <f t="array" ref="Q124">MIN(_xlfn._xlws.FILTER(Q1:Q122, ISNUMBER(Q1:Q122)))</f>
        <v>10.7510548049412</v>
      </c>
      <c r="R124" s="3" cm="1">
        <f t="array" ref="R124">MIN(_xlfn._xlws.FILTER(R1:R122, ISNUMBER(R1:R122)))</f>
        <v>13.8962235548337</v>
      </c>
      <c r="S124" s="3" cm="1">
        <f t="array" ref="S124">MIN(_xlfn._xlws.FILTER(S1:S122, ISNUMBER(S1:S122)))</f>
        <v>4.4733381680531403</v>
      </c>
      <c r="T124" s="3" cm="1">
        <f t="array" ref="T124">MIN(_xlfn._xlws.FILTER(T1:T122, ISNUMBER(T1:T122)))</f>
        <v>9.3871306782149393</v>
      </c>
      <c r="U124" s="3" cm="1">
        <f t="array" ref="U124">MIN(_xlfn._xlws.FILTER(U1:U122, ISNUMBER(U1:U122)))</f>
        <v>-4.7302215235906804</v>
      </c>
      <c r="V124" s="3" cm="1">
        <f t="array" ref="V124">MIN(_xlfn._xlws.FILTER(V1:V122, ISNUMBER(V1:V122)))</f>
        <v>11.166907404393401</v>
      </c>
    </row>
    <row r="125" spans="1:37" x14ac:dyDescent="0.35">
      <c r="A125" s="2" t="s">
        <v>92</v>
      </c>
      <c r="B125" s="3" cm="1">
        <f t="array" ref="B125">MAX(_xlfn._xlws.FILTER(B1:B122, ISNUMBER(B1:B122)))</f>
        <v>22.085862200462401</v>
      </c>
      <c r="C125" s="3" cm="1">
        <f t="array" ref="C125">MAX(_xlfn._xlws.FILTER(C1:C122, ISNUMBER(C1:C122)))</f>
        <v>31.556471325859601</v>
      </c>
      <c r="D125" s="3" cm="1">
        <f t="array" ref="D125">MAX(_xlfn._xlws.FILTER(D1:D122, ISNUMBER(D1:D122)))</f>
        <v>26.136657204487399</v>
      </c>
      <c r="E125" s="3" cm="1">
        <f t="array" ref="E125">MAX(_xlfn._xlws.FILTER(E1:E122, ISNUMBER(E1:E122)))</f>
        <v>25.872724920081499</v>
      </c>
      <c r="F125" s="3" cm="1">
        <f t="array" ref="F125">MAX(_xlfn._xlws.FILTER(F1:F122, ISNUMBER(F1:F122)))</f>
        <v>22.4293400423986</v>
      </c>
      <c r="G125" s="3" cm="1">
        <f t="array" ref="G125">MAX(_xlfn._xlws.FILTER(G1:G122, ISNUMBER(G1:G122)))</f>
        <v>64.612551420351195</v>
      </c>
      <c r="H125" s="3" cm="1">
        <f t="array" ref="H125">MAX(_xlfn._xlws.FILTER(H1:H122, ISNUMBER(H1:H122)))</f>
        <v>21.351979644106599</v>
      </c>
      <c r="I125" s="3" cm="1">
        <f t="array" ref="I125">MAX(_xlfn._xlws.FILTER(I1:I122, ISNUMBER(I1:I122)))</f>
        <v>19.842090222828698</v>
      </c>
      <c r="J125" s="3" cm="1">
        <f t="array" ref="J125">MAX(_xlfn._xlws.FILTER(J1:J122, ISNUMBER(J1:J122)))</f>
        <v>32.349911357891003</v>
      </c>
      <c r="K125" s="3" cm="1">
        <f t="array" ref="K125">MAX(_xlfn._xlws.FILTER(K1:K122, ISNUMBER(K1:K122)))</f>
        <v>21.325884081850401</v>
      </c>
      <c r="L125" s="3" cm="1">
        <f t="array" ref="L125">MAX(_xlfn._xlws.FILTER(L1:L122, ISNUMBER(L1:L122)))</f>
        <v>35.750870302152002</v>
      </c>
      <c r="M125" s="3" cm="1">
        <f t="array" ref="M125">MAX(_xlfn._xlws.FILTER(M1:M122, ISNUMBER(M1:M122)))</f>
        <v>18.889189246672199</v>
      </c>
      <c r="N125" s="3" cm="1">
        <f t="array" ref="N125">MAX(_xlfn._xlws.FILTER(N1:N122, ISNUMBER(N1:N122)))</f>
        <v>31.607578548602699</v>
      </c>
      <c r="O125" s="3" cm="1">
        <f t="array" ref="O125">MAX(_xlfn._xlws.FILTER(O1:O122, ISNUMBER(O1:O122)))</f>
        <v>33.956440675695603</v>
      </c>
      <c r="P125" s="3" cm="1">
        <f t="array" ref="P125">MAX(_xlfn._xlws.FILTER(P1:P122, ISNUMBER(P1:P122)))</f>
        <v>21.797015032646701</v>
      </c>
      <c r="Q125" s="3" cm="1">
        <f t="array" ref="Q125">MAX(_xlfn._xlws.FILTER(Q1:Q122, ISNUMBER(Q1:Q122)))</f>
        <v>17.943869410739001</v>
      </c>
      <c r="R125" s="3" cm="1">
        <f t="array" ref="R125">MAX(_xlfn._xlws.FILTER(R1:R122, ISNUMBER(R1:R122)))</f>
        <v>28.072496147282301</v>
      </c>
      <c r="S125" s="3" cm="1">
        <f t="array" ref="S125">MAX(_xlfn._xlws.FILTER(S1:S122, ISNUMBER(S1:S122)))</f>
        <v>13.519965788780301</v>
      </c>
      <c r="T125" s="3" cm="1">
        <f t="array" ref="T125">MAX(_xlfn._xlws.FILTER(T1:T122, ISNUMBER(T1:T122)))</f>
        <v>27.8114587953735</v>
      </c>
      <c r="U125" s="3" cm="1">
        <f t="array" ref="U125">MAX(_xlfn._xlws.FILTER(U1:U122, ISNUMBER(U1:U122)))</f>
        <v>32.239751541001702</v>
      </c>
      <c r="V125" s="3" cm="1">
        <f t="array" ref="V125">MAX(_xlfn._xlws.FILTER(V1:V122, ISNUMBER(V1:V122)))</f>
        <v>29.1404225386867</v>
      </c>
    </row>
    <row r="127" spans="1:37" x14ac:dyDescent="0.35">
      <c r="A127" s="2" t="s">
        <v>93</v>
      </c>
      <c r="B127" s="9" cm="1">
        <f t="array" ref="B127">_xlfn.PERCENTRANK.EXC(_xlfn._xlws.FILTER(B1:B122, ISNUMBER(B1:B122)),B121)</f>
        <v>0.25800000000000001</v>
      </c>
      <c r="C127" s="9" cm="1">
        <f t="array" ref="C127">_xlfn.PERCENTRANK.EXC(_xlfn._xlws.FILTER(C1:C122, ISNUMBER(C1:C122)),C121)</f>
        <v>8.1000000000000003E-2</v>
      </c>
      <c r="D127" s="9" cm="1">
        <f t="array" ref="D127">_xlfn.PERCENTRANK.EXC(_xlfn._xlws.FILTER(D1:D122, ISNUMBER(D1:D122)),D121)</f>
        <v>0.14699999999999999</v>
      </c>
      <c r="E127" s="9" cm="1">
        <f t="array" ref="E127">_xlfn.PERCENTRANK.EXC(_xlfn._xlws.FILTER(E1:E122, ISNUMBER(E1:E122)),E121)</f>
        <v>4.9000000000000002E-2</v>
      </c>
      <c r="F127" s="9" cm="1">
        <f t="array" ref="F127">_xlfn.PERCENTRANK.EXC(_xlfn._xlws.FILTER(F1:F122, ISNUMBER(F1:F122)),F121)</f>
        <v>0.18</v>
      </c>
      <c r="G127" s="9" cm="1">
        <f t="array" ref="G127">_xlfn.PERCENTRANK.EXC(_xlfn._xlws.FILTER(G1:G122, ISNUMBER(G1:G122)),G121)</f>
        <v>0.38500000000000001</v>
      </c>
      <c r="H127" s="9" cm="1">
        <f t="array" ref="H127">_xlfn.PERCENTRANK.EXC(_xlfn._xlws.FILTER(H1:H122, ISNUMBER(H1:H122)),H121)</f>
        <v>0.23699999999999999</v>
      </c>
      <c r="I127" s="9" cm="1">
        <f t="array" ref="I127">_xlfn.PERCENTRANK.EXC(_xlfn._xlws.FILTER(I1:I122, ISNUMBER(I1:I122)),I121)</f>
        <v>0.99099999999999999</v>
      </c>
      <c r="J127" s="9" cm="1">
        <f t="array" ref="J127">_xlfn.PERCENTRANK.EXC(_xlfn._xlws.FILTER(J1:J122, ISNUMBER(J1:J122)),J121)</f>
        <v>0.435</v>
      </c>
      <c r="K127" s="9" cm="1">
        <f t="array" ref="K127">_xlfn.PERCENTRANK.EXC(_xlfn._xlws.FILTER(K1:K122, ISNUMBER(K1:K122)),K121)</f>
        <v>0.88500000000000001</v>
      </c>
      <c r="L127" s="9" cm="1">
        <f t="array" ref="L127">_xlfn.PERCENTRANK.EXC(_xlfn._xlws.FILTER(L1:L122, ISNUMBER(L1:L122)),L121)</f>
        <v>0.23699999999999999</v>
      </c>
      <c r="M127" s="9" cm="1">
        <f t="array" ref="M127">_xlfn.PERCENTRANK.EXC(_xlfn._xlws.FILTER(M1:M122, ISNUMBER(M1:M122)),M121)</f>
        <v>0.17199999999999999</v>
      </c>
      <c r="N127" s="9" cm="1">
        <f t="array" ref="N127">_xlfn.PERCENTRANK.EXC(_xlfn._xlws.FILTER(N1:N122, ISNUMBER(N1:N122)),N121)</f>
        <v>0.23699999999999999</v>
      </c>
      <c r="O127" s="9" cm="1">
        <f t="array" ref="O127">_xlfn.PERCENTRANK.EXC(_xlfn._xlws.FILTER(O1:O122, ISNUMBER(O1:O122)),O121)</f>
        <v>0.79500000000000004</v>
      </c>
      <c r="P127" s="9" cm="1">
        <f t="array" ref="P127">_xlfn.PERCENTRANK.EXC(_xlfn._xlws.FILTER(P1:P122, ISNUMBER(P1:P122)),P121)</f>
        <v>0.20399999999999999</v>
      </c>
      <c r="Q127" s="9" cm="1">
        <f t="array" ref="Q127">_xlfn.PERCENTRANK.EXC(_xlfn._xlws.FILTER(Q1:Q122, ISNUMBER(Q1:Q122)),Q121)</f>
        <v>5.2999999999999999E-2</v>
      </c>
      <c r="R127" s="9" cm="1">
        <f t="array" ref="R127">_xlfn.PERCENTRANK.EXC(_xlfn._xlws.FILTER(R1:R122, ISNUMBER(R1:R122)),R121)</f>
        <v>0.45</v>
      </c>
      <c r="S127" s="9" cm="1">
        <f t="array" ref="S127">_xlfn.PERCENTRANK.EXC(_xlfn._xlws.FILTER(S1:S122, ISNUMBER(S1:S122)),S121)</f>
        <v>0.20399999999999999</v>
      </c>
      <c r="T127" s="9" cm="1">
        <f t="array" ref="T127">_xlfn.PERCENTRANK.EXC(_xlfn._xlws.FILTER(T1:T122, ISNUMBER(T1:T122)),T121)</f>
        <v>1.7000000000000001E-2</v>
      </c>
      <c r="U127" s="9" cm="1">
        <f t="array" ref="U127">_xlfn.PERCENTRANK.EXC(_xlfn._xlws.FILTER(U1:U122, ISNUMBER(U1:U122)),U121)</f>
        <v>0.67200000000000004</v>
      </c>
      <c r="V127" s="9" cm="1">
        <f t="array" ref="V127">_xlfn.PERCENTRANK.EXC(_xlfn._xlws.FILTER(V1:V122, ISNUMBER(V1:V122)),V121)</f>
        <v>0.85099999999999998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_xll.FDS(C1,"JULIAN(FMA_DIV_YLD(NTMA,-10AY,0,AM,""PORTAGG"",""MEANR"").dates)")</f>
        <v>41746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14.062410708224901</v>
      </c>
      <c r="D2" s="3" cm="1">
        <f t="array" ref="D2:D122">_xll.FDS(D1,"FMA_PE(NTMA,-10AY,0,AM,""PORTAGG"",""MEANR"")")</f>
        <v>14.6043411681681</v>
      </c>
      <c r="E2" s="3" cm="1">
        <f t="array" ref="E2:E122">_xll.FDS(E1,"FMA_PE(NTMA,-10AY,0,AM,""PORTAGG"",""MEANR"")")</f>
        <v>17.5194452958259</v>
      </c>
      <c r="F2" s="3" cm="1">
        <f t="array" ref="F2:F122">_xll.FDS(F1,"FMA_PE(NTMA,-10AY,0,AM,""PORTAGG"",""MEANR"")")</f>
        <v>14.026218391483299</v>
      </c>
      <c r="G2" s="3" cm="1">
        <f t="array" ref="G2:G122">_xll.FDS(G1,"FMA_PE(NTMA,-10AY,0,AM,""PORTAGG"",""MEANR"")")</f>
        <v>11.626834169973399</v>
      </c>
      <c r="H2" s="3" cm="1">
        <f t="array" ref="H2:H122">_xll.FDS(H1,"FMA_PE(NTMA,-10AY,0,AM,""PORTAGG"",""MEANR"")")</f>
        <v>15.580799458400801</v>
      </c>
      <c r="I2" s="3" cm="1">
        <f t="array" ref="I2:I122">_xll.FDS(I1,"FMA_PE(NTMA,-10AY,0,AM,""PORTAGG"",""MEANR"")")</f>
        <v>14.4197170612428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9.3310762550118902</v>
      </c>
      <c r="L2" s="3" cm="1">
        <f t="array" ref="L2:L122">_xll.FDS(L1,"FMA_PE(NTMA,-10AY,0,AM,""PORTAGG"",""MEANR"")")</f>
        <v>10.9932127549098</v>
      </c>
      <c r="M2" s="3" cm="1">
        <f t="array" ref="M2:M122">_xll.FDS(M1,"FMA_PE(NTMA,-10AY,0,AM,""PORTAGG"",""MEANR"")")</f>
        <v>14.1046541636676</v>
      </c>
      <c r="N2" s="3" cm="1">
        <f t="array" ref="N2:N122">_xll.FDS(N1,"FMA_PE(NTMA,-10AY,0,AM,""PORTAGG"",""MEANR"")")</f>
        <v>15.0427809729137</v>
      </c>
      <c r="O2" s="3" cm="1">
        <f t="array" ref="O2:O122">_xll.FDS(O1,"FMA_PE(NTMA,-10AY,0,AM,""PORTAGG"",""MEANR"")")</f>
        <v>15.143550600283</v>
      </c>
      <c r="P2" s="3" cm="1">
        <f t="array" ref="P2:P122">_xll.FDS(P1,"FMA_PE(NTMA,-10AY,0,AM,""PORTAGG"",""MEANR"")")</f>
        <v>8.6100134801621699</v>
      </c>
      <c r="Q2" s="3" t="e" cm="1">
        <f t="array" ref="Q2:Q122">_xll.FDS(Q1,"FMA_PE(NTMA,-10AY,0,AM,""PORTAGG"",""MEANR"")")</f>
        <v>#N/A</v>
      </c>
      <c r="R2" s="3" cm="1">
        <f t="array" ref="R2:R122">_xll.FDS(R1,"FMA_PE(NTMA,-10AY,0,AM,""PORTAGG"",""MEANR"")")</f>
        <v>14.0001434060664</v>
      </c>
      <c r="S2" s="3" cm="1">
        <f t="array" ref="S2:S122">_xll.FDS(S1,"FMA_PE(NTMA,-10AY,0,AM,""PORTAGG"",""MEANR"")")</f>
        <v>10.433674533863799</v>
      </c>
      <c r="T2" s="3" t="e" cm="1">
        <f t="array" ref="T2:T122">_xll.FDS(T1,"FMA_PE(NTMA,-10AY,0,AM,""PORTAGG"",""MEANR"")")</f>
        <v>#N/A</v>
      </c>
      <c r="U2" s="3" cm="1">
        <f t="array" ref="U2:U122">_xll.FDS(U1,"FMA_PE(NTMA,-10AY,0,AM,""PORTAGG"",""MEANR"")")</f>
        <v>11.913340996789</v>
      </c>
      <c r="V2" s="3" t="e" cm="1">
        <f t="array" ref="V2:V122">_xll.FDS(V1,"FMA_PE(NTMA,-10AY,0,AM,""PORTAGG"",""MEANR"")")</f>
        <v>#N/A</v>
      </c>
    </row>
    <row r="3" spans="1:22" x14ac:dyDescent="0.35">
      <c r="A3" s="2">
        <v>41775</v>
      </c>
      <c r="B3" s="3" t="e">
        <v>#N/A</v>
      </c>
      <c r="C3" s="3">
        <v>14.4315604402357</v>
      </c>
      <c r="D3" s="3">
        <v>14.6968339992778</v>
      </c>
      <c r="E3" s="3">
        <v>17.7728421797217</v>
      </c>
      <c r="F3" s="3">
        <v>13.5528960164679</v>
      </c>
      <c r="G3" s="3">
        <v>12.2480241629908</v>
      </c>
      <c r="H3" s="3">
        <v>15.751245705987699</v>
      </c>
      <c r="I3" s="3">
        <v>14.0234775633227</v>
      </c>
      <c r="J3" s="3" t="e">
        <v>#N/A</v>
      </c>
      <c r="K3" s="3">
        <v>9.6109462803018406</v>
      </c>
      <c r="L3" s="3">
        <v>11.1638213842764</v>
      </c>
      <c r="M3" s="3">
        <v>14.315299525481199</v>
      </c>
      <c r="N3" s="3">
        <v>15.8237738660982</v>
      </c>
      <c r="O3" s="3">
        <v>15.8014089195868</v>
      </c>
      <c r="P3" s="3">
        <v>8.5118503762441495</v>
      </c>
      <c r="Q3" s="3" t="e">
        <v>#N/A</v>
      </c>
      <c r="R3" s="3">
        <v>14.1097050926805</v>
      </c>
      <c r="S3" s="3">
        <v>10.4829715735827</v>
      </c>
      <c r="T3" s="3" t="e">
        <v>#N/A</v>
      </c>
      <c r="U3" s="3">
        <v>11.9748446455961</v>
      </c>
      <c r="V3" s="3" t="e">
        <v>#N/A</v>
      </c>
    </row>
    <row r="4" spans="1:22" x14ac:dyDescent="0.35">
      <c r="A4" s="2">
        <v>41808</v>
      </c>
      <c r="B4" s="3" t="e">
        <v>#N/A</v>
      </c>
      <c r="C4" s="3">
        <v>14.172955324897201</v>
      </c>
      <c r="D4" s="3">
        <v>13.9462076525804</v>
      </c>
      <c r="E4" s="3">
        <v>17.211817144925998</v>
      </c>
      <c r="F4" s="3">
        <v>13.7190934234193</v>
      </c>
      <c r="G4" s="3">
        <v>13.659076157155299</v>
      </c>
      <c r="H4" s="3">
        <v>15.7691809867215</v>
      </c>
      <c r="I4" s="3">
        <v>14.4123846908979</v>
      </c>
      <c r="J4" s="3" t="e">
        <v>#N/A</v>
      </c>
      <c r="K4" s="3">
        <v>9.5442432268769597</v>
      </c>
      <c r="L4" s="3">
        <v>11.6028393379463</v>
      </c>
      <c r="M4" s="3">
        <v>14.609823057577101</v>
      </c>
      <c r="N4" s="3">
        <v>10.595452213165499</v>
      </c>
      <c r="O4" s="3">
        <v>16.471409490945199</v>
      </c>
      <c r="P4" s="3">
        <v>8.8058812498635906</v>
      </c>
      <c r="Q4" s="3">
        <v>15.226485432148699</v>
      </c>
      <c r="R4" s="3">
        <v>13.954255537968599</v>
      </c>
      <c r="S4" s="3">
        <v>10.4818093327091</v>
      </c>
      <c r="T4" s="3">
        <v>14.881458773364001</v>
      </c>
      <c r="U4" s="3">
        <v>12.7374623562498</v>
      </c>
      <c r="V4" s="3" t="e">
        <v>#N/A</v>
      </c>
    </row>
    <row r="5" spans="1:22" x14ac:dyDescent="0.35">
      <c r="A5" s="2">
        <v>41838</v>
      </c>
      <c r="B5" s="3" t="e">
        <v>#N/A</v>
      </c>
      <c r="C5" s="3">
        <v>14.7368644850797</v>
      </c>
      <c r="D5" s="3">
        <v>14.706919146228399</v>
      </c>
      <c r="E5" s="3">
        <v>17.293183413329501</v>
      </c>
      <c r="F5" s="3">
        <v>13.1628708402072</v>
      </c>
      <c r="G5" s="3">
        <v>14.523996735774499</v>
      </c>
      <c r="H5" s="3">
        <v>15.6509814794757</v>
      </c>
      <c r="I5" s="3">
        <v>14.147377649344399</v>
      </c>
      <c r="J5" s="3" t="e">
        <v>#N/A</v>
      </c>
      <c r="K5" s="3">
        <v>9.8930201223499097</v>
      </c>
      <c r="L5" s="3">
        <v>11.783593586017</v>
      </c>
      <c r="M5" s="3">
        <v>14.9944857844774</v>
      </c>
      <c r="N5" s="3">
        <v>8.8582349486390797</v>
      </c>
      <c r="O5" s="3">
        <v>16.463134366113799</v>
      </c>
      <c r="P5" s="3">
        <v>8.9714376888113101</v>
      </c>
      <c r="Q5" s="3">
        <v>15.8135612087406</v>
      </c>
      <c r="R5" s="3">
        <v>14.544638685091099</v>
      </c>
      <c r="S5" s="3">
        <v>10.8905495978136</v>
      </c>
      <c r="T5" s="3">
        <v>14.930950309086199</v>
      </c>
      <c r="U5" s="3">
        <v>12.871638299736899</v>
      </c>
      <c r="V5" s="3" t="e">
        <v>#N/A</v>
      </c>
    </row>
    <row r="6" spans="1:22" x14ac:dyDescent="0.35">
      <c r="A6" s="2">
        <v>41869</v>
      </c>
      <c r="B6" s="3" t="e">
        <v>#N/A</v>
      </c>
      <c r="C6" s="3">
        <v>14.6757310797583</v>
      </c>
      <c r="D6" s="3">
        <v>14.862911202989901</v>
      </c>
      <c r="E6" s="3">
        <v>17.448171002632701</v>
      </c>
      <c r="F6" s="3">
        <v>13.3005058151361</v>
      </c>
      <c r="G6" s="3">
        <v>13.748717846717501</v>
      </c>
      <c r="H6" s="3">
        <v>15.6186664707964</v>
      </c>
      <c r="I6" s="3">
        <v>13.528909290767199</v>
      </c>
      <c r="J6" s="3" t="e">
        <v>#N/A</v>
      </c>
      <c r="K6" s="3">
        <v>10.234769299524199</v>
      </c>
      <c r="L6" s="3">
        <v>11.932074766164</v>
      </c>
      <c r="M6" s="3">
        <v>15.1129996722445</v>
      </c>
      <c r="N6" s="3">
        <v>7.8470934141351298</v>
      </c>
      <c r="O6" s="3">
        <v>16.645308882165502</v>
      </c>
      <c r="P6" s="3">
        <v>9.3225205627385996</v>
      </c>
      <c r="Q6" s="3">
        <v>16.009648369972801</v>
      </c>
      <c r="R6" s="3">
        <v>15.732026937968101</v>
      </c>
      <c r="S6" s="3">
        <v>9.9875651214016408</v>
      </c>
      <c r="T6" s="3">
        <v>14.807022304175099</v>
      </c>
      <c r="U6" s="3">
        <v>12.7231194313458</v>
      </c>
      <c r="V6" s="3" t="e">
        <v>#N/A</v>
      </c>
    </row>
    <row r="7" spans="1:22" x14ac:dyDescent="0.35">
      <c r="A7" s="2">
        <v>41900</v>
      </c>
      <c r="B7" s="3" t="e">
        <v>#N/A</v>
      </c>
      <c r="C7" s="3">
        <v>14.709257735636401</v>
      </c>
      <c r="D7" s="3">
        <v>14.7412389114529</v>
      </c>
      <c r="E7" s="3">
        <v>17.873552651171199</v>
      </c>
      <c r="F7" s="3">
        <v>13.617757799180399</v>
      </c>
      <c r="G7" s="3">
        <v>13.4341635078552</v>
      </c>
      <c r="H7" s="3">
        <v>15.6739077113115</v>
      </c>
      <c r="I7" s="3">
        <v>13.5358810008424</v>
      </c>
      <c r="J7" s="3" t="e">
        <v>#N/A</v>
      </c>
      <c r="K7" s="3">
        <v>10.270015604334599</v>
      </c>
      <c r="L7" s="3">
        <v>12.1172616850436</v>
      </c>
      <c r="M7" s="3">
        <v>15.0933493497899</v>
      </c>
      <c r="N7" s="3">
        <v>7.5140273392822596</v>
      </c>
      <c r="O7" s="3">
        <v>16.862178539895002</v>
      </c>
      <c r="P7" s="3">
        <v>8.9717377610631495</v>
      </c>
      <c r="Q7" s="3">
        <v>16.131238995094201</v>
      </c>
      <c r="R7" s="3">
        <v>15.955959733419</v>
      </c>
      <c r="S7" s="3">
        <v>9.7967078845718802</v>
      </c>
      <c r="T7" s="3">
        <v>15.4646407396082</v>
      </c>
      <c r="U7" s="3">
        <v>12.204395191512001</v>
      </c>
      <c r="V7" s="3" t="e">
        <v>#N/A</v>
      </c>
    </row>
    <row r="8" spans="1:22" x14ac:dyDescent="0.35">
      <c r="A8" s="2">
        <v>41929</v>
      </c>
      <c r="B8" s="3" t="e">
        <v>#N/A</v>
      </c>
      <c r="C8" s="3">
        <v>13.5806858426752</v>
      </c>
      <c r="D8" s="3">
        <v>14.246805258449999</v>
      </c>
      <c r="E8" s="3">
        <v>16.9901775194127</v>
      </c>
      <c r="F8" s="3">
        <v>13.2871463321465</v>
      </c>
      <c r="G8" s="3">
        <v>12.1575138530307</v>
      </c>
      <c r="H8" s="3">
        <v>15.125122775261399</v>
      </c>
      <c r="I8" s="3">
        <v>12.349411084400099</v>
      </c>
      <c r="J8" s="3" t="e">
        <v>#N/A</v>
      </c>
      <c r="K8" s="3">
        <v>9.2133281697736908</v>
      </c>
      <c r="L8" s="3">
        <v>11.6847800743585</v>
      </c>
      <c r="M8" s="3">
        <v>14.1467671411264</v>
      </c>
      <c r="N8" s="3">
        <v>6.4690636540362503</v>
      </c>
      <c r="O8" s="3">
        <v>16.020487018265399</v>
      </c>
      <c r="P8" s="3">
        <v>8.4103051799533706</v>
      </c>
      <c r="Q8" s="3">
        <v>14.5630225522606</v>
      </c>
      <c r="R8" s="3">
        <v>15.114605119652399</v>
      </c>
      <c r="S8" s="3">
        <v>9.4922451664181597</v>
      </c>
      <c r="T8" s="3">
        <v>13.168143197639001</v>
      </c>
      <c r="U8" s="3">
        <v>11.794674719944799</v>
      </c>
      <c r="V8" s="3" t="e">
        <v>#N/A</v>
      </c>
    </row>
    <row r="9" spans="1:22" x14ac:dyDescent="0.35">
      <c r="A9" s="2">
        <v>41961</v>
      </c>
      <c r="B9" s="3" t="e">
        <v>#N/A</v>
      </c>
      <c r="C9" s="3">
        <v>14.332403803319099</v>
      </c>
      <c r="D9" s="3">
        <v>14.7472079711149</v>
      </c>
      <c r="E9" s="3">
        <v>17.715594960101601</v>
      </c>
      <c r="F9" s="3">
        <v>13.403205847737</v>
      </c>
      <c r="G9" s="3">
        <v>12.104992678611399</v>
      </c>
      <c r="H9" s="3">
        <v>15.374173758841</v>
      </c>
      <c r="I9" s="3">
        <v>12.8678946333384</v>
      </c>
      <c r="J9" s="3" t="e">
        <v>#N/A</v>
      </c>
      <c r="K9" s="3">
        <v>9.7360523000488595</v>
      </c>
      <c r="L9" s="3">
        <v>11.162026702296799</v>
      </c>
      <c r="M9" s="3">
        <v>15.2930678766089</v>
      </c>
      <c r="N9" s="3">
        <v>6.4635678650464996</v>
      </c>
      <c r="O9" s="3">
        <v>17.3246652265059</v>
      </c>
      <c r="P9" s="3">
        <v>8.6872183073888802</v>
      </c>
      <c r="Q9" s="3">
        <v>15.140915691788299</v>
      </c>
      <c r="R9" s="3">
        <v>15.644211716058701</v>
      </c>
      <c r="S9" s="3">
        <v>10.1067940159607</v>
      </c>
      <c r="T9" s="3">
        <v>14.3895476286626</v>
      </c>
      <c r="U9" s="3">
        <v>11.6736275154257</v>
      </c>
      <c r="V9" s="3" t="e">
        <v>#N/A</v>
      </c>
    </row>
    <row r="10" spans="1:22" x14ac:dyDescent="0.35">
      <c r="A10" s="2">
        <v>41991</v>
      </c>
      <c r="B10" s="3" t="e">
        <v>#N/A</v>
      </c>
      <c r="C10" s="3">
        <v>13.564868530836099</v>
      </c>
      <c r="D10" s="3">
        <v>14.731835878785301</v>
      </c>
      <c r="E10" s="3">
        <v>16.777200977381899</v>
      </c>
      <c r="F10" s="3">
        <v>13.5048022268821</v>
      </c>
      <c r="G10" s="3">
        <v>12.2607336616735</v>
      </c>
      <c r="H10" s="3">
        <v>14.628184769017</v>
      </c>
      <c r="I10" s="3">
        <v>12.5513804675078</v>
      </c>
      <c r="J10" s="3" t="e">
        <v>#N/A</v>
      </c>
      <c r="K10" s="3">
        <v>9.4605748859357792</v>
      </c>
      <c r="L10" s="3">
        <v>10.766092115446799</v>
      </c>
      <c r="M10" s="3">
        <v>15.5305200781932</v>
      </c>
      <c r="N10" s="3">
        <v>5.3867765259662699</v>
      </c>
      <c r="O10" s="3">
        <v>16.591959332091001</v>
      </c>
      <c r="P10" s="3">
        <v>9.0470279270531506</v>
      </c>
      <c r="Q10" s="3">
        <v>12.375898122757199</v>
      </c>
      <c r="R10" s="3">
        <v>14.935132756501099</v>
      </c>
      <c r="S10" s="3">
        <v>10.2219624533536</v>
      </c>
      <c r="T10" s="3">
        <v>11.4565733061913</v>
      </c>
      <c r="U10" s="3">
        <v>11.475369768337</v>
      </c>
      <c r="V10" s="3" t="e">
        <v>#N/A</v>
      </c>
    </row>
    <row r="11" spans="1:22" x14ac:dyDescent="0.35">
      <c r="A11" s="2">
        <v>42020</v>
      </c>
      <c r="B11" s="3" t="e">
        <v>#N/A</v>
      </c>
      <c r="C11" s="3">
        <v>12.5753230334163</v>
      </c>
      <c r="D11" s="3">
        <v>14.820409056130201</v>
      </c>
      <c r="E11" s="3">
        <v>17.7955309724831</v>
      </c>
      <c r="F11" s="3">
        <v>12.953012820736699</v>
      </c>
      <c r="G11" s="3">
        <v>12.5582121459658</v>
      </c>
      <c r="H11" s="3">
        <v>14.998888344524801</v>
      </c>
      <c r="I11" s="3">
        <v>12.418155901791399</v>
      </c>
      <c r="J11" s="3" t="e">
        <v>#N/A</v>
      </c>
      <c r="K11" s="3">
        <v>9.3603378373959298</v>
      </c>
      <c r="L11" s="3">
        <v>11.281794360175301</v>
      </c>
      <c r="M11" s="3">
        <v>15.9447223741145</v>
      </c>
      <c r="N11" s="3">
        <v>4.2846883900128603</v>
      </c>
      <c r="O11" s="3">
        <v>17.3709722653611</v>
      </c>
      <c r="P11" s="3">
        <v>9.8144345559572397</v>
      </c>
      <c r="Q11" s="3">
        <v>13.3506664029115</v>
      </c>
      <c r="R11" s="3">
        <v>15.0887547461386</v>
      </c>
      <c r="S11" s="3">
        <v>10.7551082482589</v>
      </c>
      <c r="T11" s="3">
        <v>11.8648387486469</v>
      </c>
      <c r="U11" s="3">
        <v>12.1749285776459</v>
      </c>
      <c r="V11" s="3" t="e">
        <v>#N/A</v>
      </c>
    </row>
    <row r="12" spans="1:22" x14ac:dyDescent="0.35">
      <c r="A12" s="2">
        <v>42053</v>
      </c>
      <c r="B12" s="3" t="e">
        <v>#N/A</v>
      </c>
      <c r="C12" s="3">
        <v>13.494673998232299</v>
      </c>
      <c r="D12" s="3">
        <v>15.9186674674035</v>
      </c>
      <c r="E12" s="3">
        <v>18.3076404496382</v>
      </c>
      <c r="F12" s="3">
        <v>13.3860328393956</v>
      </c>
      <c r="G12" s="3">
        <v>13.4158930868988</v>
      </c>
      <c r="H12" s="3">
        <v>15.557232479834701</v>
      </c>
      <c r="I12" s="3">
        <v>12.811937356861501</v>
      </c>
      <c r="J12" s="3" t="e">
        <v>#N/A</v>
      </c>
      <c r="K12" s="3">
        <v>9.8090987090916499</v>
      </c>
      <c r="L12" s="3">
        <v>11.986653802026501</v>
      </c>
      <c r="M12" s="3">
        <v>16.739818423672101</v>
      </c>
      <c r="N12" s="3">
        <v>4.8898766473663704</v>
      </c>
      <c r="O12" s="3">
        <v>18.453459447255302</v>
      </c>
      <c r="P12" s="3">
        <v>10.2382600993583</v>
      </c>
      <c r="Q12" s="3">
        <v>13.9975278887764</v>
      </c>
      <c r="R12" s="3">
        <v>16.185415146021299</v>
      </c>
      <c r="S12" s="3">
        <v>10.5144338781864</v>
      </c>
      <c r="T12" s="3">
        <v>12.825333020292</v>
      </c>
      <c r="U12" s="3">
        <v>12.959681642655401</v>
      </c>
      <c r="V12" s="3" t="e">
        <v>#N/A</v>
      </c>
    </row>
    <row r="13" spans="1:22" x14ac:dyDescent="0.35">
      <c r="A13" s="2">
        <v>42081</v>
      </c>
      <c r="B13" s="3" t="e">
        <v>#N/A</v>
      </c>
      <c r="C13" s="3">
        <v>13.1240327384588</v>
      </c>
      <c r="D13" s="3">
        <v>15.8309380176908</v>
      </c>
      <c r="E13" s="3">
        <v>18.070362907297401</v>
      </c>
      <c r="F13" s="3">
        <v>13.5579588480038</v>
      </c>
      <c r="G13" s="3">
        <v>12.549718319242899</v>
      </c>
      <c r="H13" s="3">
        <v>15.6321162582892</v>
      </c>
      <c r="I13" s="3">
        <v>12.83365083502</v>
      </c>
      <c r="J13" s="3" t="e">
        <v>#N/A</v>
      </c>
      <c r="K13" s="3">
        <v>10.050070100975001</v>
      </c>
      <c r="L13" s="3">
        <v>12.716071900566799</v>
      </c>
      <c r="M13" s="3">
        <v>16.5401237823664</v>
      </c>
      <c r="N13" s="3">
        <v>4.5777887977873597</v>
      </c>
      <c r="O13" s="3">
        <v>18.1448014212394</v>
      </c>
      <c r="P13" s="3">
        <v>10.114410786608399</v>
      </c>
      <c r="Q13" s="3">
        <v>12.818803129258299</v>
      </c>
      <c r="R13" s="3">
        <v>15.1558208527231</v>
      </c>
      <c r="S13" s="3">
        <v>9.8032621552501809</v>
      </c>
      <c r="T13" s="3">
        <v>11.4423248259491</v>
      </c>
      <c r="U13" s="3">
        <v>11.7275478955052</v>
      </c>
      <c r="V13" s="3" t="e">
        <v>#N/A</v>
      </c>
    </row>
    <row r="14" spans="1:22" x14ac:dyDescent="0.35">
      <c r="A14" s="2">
        <v>42111</v>
      </c>
      <c r="B14" s="3" t="e">
        <v>#N/A</v>
      </c>
      <c r="C14" s="3">
        <v>13.867739629769099</v>
      </c>
      <c r="D14" s="3">
        <v>15.8883925537022</v>
      </c>
      <c r="E14" s="3">
        <v>18.314946143807401</v>
      </c>
      <c r="F14" s="3">
        <v>14.6864361891926</v>
      </c>
      <c r="G14" s="3">
        <v>12.1838625177633</v>
      </c>
      <c r="H14" s="3">
        <v>16.071099061346899</v>
      </c>
      <c r="I14" s="3">
        <v>12.573247004797601</v>
      </c>
      <c r="J14" s="3" t="e">
        <v>#N/A</v>
      </c>
      <c r="K14" s="3">
        <v>10.336854109559299</v>
      </c>
      <c r="L14" s="3">
        <v>13.755969944237499</v>
      </c>
      <c r="M14" s="3">
        <v>17.5328329731406</v>
      </c>
      <c r="N14" s="3">
        <v>5.0917834405753899</v>
      </c>
      <c r="O14" s="3">
        <v>17.9890809828313</v>
      </c>
      <c r="P14" s="3">
        <v>12.248908704386301</v>
      </c>
      <c r="Q14" s="3">
        <v>13.308492723342001</v>
      </c>
      <c r="R14" s="3">
        <v>15.468643111452201</v>
      </c>
      <c r="S14" s="3">
        <v>10.0604018131133</v>
      </c>
      <c r="T14" s="3">
        <v>13.7690440242599</v>
      </c>
      <c r="U14" s="3">
        <v>13.501956169342799</v>
      </c>
      <c r="V14" s="3" t="e">
        <v>#N/A</v>
      </c>
    </row>
    <row r="15" spans="1:22" x14ac:dyDescent="0.35">
      <c r="A15" s="2">
        <v>42142</v>
      </c>
      <c r="B15" s="3" t="e">
        <v>#N/A</v>
      </c>
      <c r="C15" s="3">
        <v>14.374032384916299</v>
      </c>
      <c r="D15" s="3">
        <v>15.295915788012699</v>
      </c>
      <c r="E15" s="3">
        <v>18.394956206523599</v>
      </c>
      <c r="F15" s="3">
        <v>14.636153293254701</v>
      </c>
      <c r="G15" s="3">
        <v>13.4230435573634</v>
      </c>
      <c r="H15" s="3">
        <v>15.9001980097143</v>
      </c>
      <c r="I15" s="3">
        <v>12.7782032673238</v>
      </c>
      <c r="J15" s="3" t="e">
        <v>#N/A</v>
      </c>
      <c r="K15" s="3">
        <v>9.8847066917417603</v>
      </c>
      <c r="L15" s="3">
        <v>14.0915998883542</v>
      </c>
      <c r="M15" s="3">
        <v>17.1504602978112</v>
      </c>
      <c r="N15" s="3">
        <v>5.0414527485565896</v>
      </c>
      <c r="O15" s="3">
        <v>17.500469029596001</v>
      </c>
      <c r="P15" s="3">
        <v>11.850723502158701</v>
      </c>
      <c r="Q15" s="3">
        <v>13.705768524554401</v>
      </c>
      <c r="R15" s="3">
        <v>15.403323040726599</v>
      </c>
      <c r="S15" s="3">
        <v>10.871435055354301</v>
      </c>
      <c r="T15" s="3">
        <v>13.912954225906701</v>
      </c>
      <c r="U15" s="3">
        <v>12.974803420945999</v>
      </c>
      <c r="V15" s="3" t="e">
        <v>#N/A</v>
      </c>
    </row>
    <row r="16" spans="1:22" x14ac:dyDescent="0.35">
      <c r="A16" s="2">
        <v>42173</v>
      </c>
      <c r="B16" s="3" t="e">
        <v>#N/A</v>
      </c>
      <c r="C16" s="3">
        <v>13.6590711444061</v>
      </c>
      <c r="D16" s="3">
        <v>14.5002434282901</v>
      </c>
      <c r="E16" s="3">
        <v>17.508344266780998</v>
      </c>
      <c r="F16" s="3">
        <v>13.34890807707</v>
      </c>
      <c r="G16" s="3">
        <v>14.074816124364499</v>
      </c>
      <c r="H16" s="3">
        <v>15.2593818667855</v>
      </c>
      <c r="I16" s="3">
        <v>12.423248473994899</v>
      </c>
      <c r="J16" s="3" t="e">
        <v>#N/A</v>
      </c>
      <c r="K16" s="3">
        <v>9.4704132684012308</v>
      </c>
      <c r="L16" s="3">
        <v>13.4362761271369</v>
      </c>
      <c r="M16" s="3">
        <v>15.945893491231301</v>
      </c>
      <c r="N16" s="3">
        <v>4.9783798108403996</v>
      </c>
      <c r="O16" s="3">
        <v>17.204929279784999</v>
      </c>
      <c r="P16" s="3">
        <v>11.062398159283299</v>
      </c>
      <c r="Q16" s="3">
        <v>13.1146954832892</v>
      </c>
      <c r="R16" s="3">
        <v>15.2857779874383</v>
      </c>
      <c r="S16" s="3">
        <v>9.9390705515342503</v>
      </c>
      <c r="T16" s="3">
        <v>12.9593506983145</v>
      </c>
      <c r="U16" s="3">
        <v>13.807534284275899</v>
      </c>
      <c r="V16" s="3" t="e">
        <v>#N/A</v>
      </c>
    </row>
    <row r="17" spans="1:22" x14ac:dyDescent="0.35">
      <c r="A17" s="2">
        <v>42202</v>
      </c>
      <c r="B17" s="3" t="e">
        <v>#N/A</v>
      </c>
      <c r="C17" s="3">
        <v>12.7734638523555</v>
      </c>
      <c r="D17" s="3">
        <v>14.348156337603999</v>
      </c>
      <c r="E17" s="3">
        <v>17.637735206429699</v>
      </c>
      <c r="F17" s="3">
        <v>13.1774719615709</v>
      </c>
      <c r="G17" s="3">
        <v>12.8493209920303</v>
      </c>
      <c r="H17" s="3">
        <v>15.3194632032196</v>
      </c>
      <c r="I17" s="3">
        <v>12.2436583707326</v>
      </c>
      <c r="J17" s="3" t="e">
        <v>#N/A</v>
      </c>
      <c r="K17" s="3">
        <v>9.5677528546038602</v>
      </c>
      <c r="L17" s="3">
        <v>12.7887925747973</v>
      </c>
      <c r="M17" s="3">
        <v>16.451837535698399</v>
      </c>
      <c r="N17" s="3">
        <v>4.75837588541639</v>
      </c>
      <c r="O17" s="3">
        <v>18.726093278428301</v>
      </c>
      <c r="P17" s="3">
        <v>10.007510327188401</v>
      </c>
      <c r="Q17" s="3">
        <v>13.422466832272599</v>
      </c>
      <c r="R17" s="3">
        <v>15.102112939508499</v>
      </c>
      <c r="S17" s="3">
        <v>9.9828309355173204</v>
      </c>
      <c r="T17" s="3">
        <v>12.986024869343</v>
      </c>
      <c r="U17" s="3">
        <v>14.7774800002214</v>
      </c>
      <c r="V17" s="3" t="e">
        <v>#N/A</v>
      </c>
    </row>
    <row r="18" spans="1:22" x14ac:dyDescent="0.35">
      <c r="A18" s="2">
        <v>42234</v>
      </c>
      <c r="B18" s="3" t="e">
        <v>#N/A</v>
      </c>
      <c r="C18" s="3">
        <v>12.549952397210999</v>
      </c>
      <c r="D18" s="3">
        <v>13.5486311638824</v>
      </c>
      <c r="E18" s="3">
        <v>17.1357930353022</v>
      </c>
      <c r="F18" s="3">
        <v>12.570005431559901</v>
      </c>
      <c r="G18" s="3">
        <v>11.369247671744599</v>
      </c>
      <c r="H18" s="3">
        <v>13.880184099503399</v>
      </c>
      <c r="I18" s="3">
        <v>11.390089458053399</v>
      </c>
      <c r="J18" s="3" t="e">
        <v>#N/A</v>
      </c>
      <c r="K18" s="3">
        <v>9.4151478798523591</v>
      </c>
      <c r="L18" s="3">
        <v>11.3014082860028</v>
      </c>
      <c r="M18" s="3">
        <v>15.3486074083949</v>
      </c>
      <c r="N18" s="3">
        <v>4.7255608586168201</v>
      </c>
      <c r="O18" s="3">
        <v>18.828633539039298</v>
      </c>
      <c r="P18" s="3">
        <v>9.3969928632589301</v>
      </c>
      <c r="Q18" s="3">
        <v>12.8666587463514</v>
      </c>
      <c r="R18" s="3">
        <v>14.0150626230546</v>
      </c>
      <c r="S18" s="3">
        <v>9.0224891635294107</v>
      </c>
      <c r="T18" s="3">
        <v>11.6540497734614</v>
      </c>
      <c r="U18" s="3">
        <v>14.1290161373395</v>
      </c>
      <c r="V18" s="3" t="e">
        <v>#N/A</v>
      </c>
    </row>
    <row r="19" spans="1:22" x14ac:dyDescent="0.35">
      <c r="A19" s="2">
        <v>42265</v>
      </c>
      <c r="B19" s="3" t="e">
        <v>#N/A</v>
      </c>
      <c r="C19" s="3">
        <v>12.652623854556801</v>
      </c>
      <c r="D19" s="3">
        <v>13.3549831638735</v>
      </c>
      <c r="E19" s="3">
        <v>16.753965896367902</v>
      </c>
      <c r="F19" s="3">
        <v>12.4376572200725</v>
      </c>
      <c r="G19" s="3">
        <v>11.3634821629682</v>
      </c>
      <c r="H19" s="3">
        <v>15.158311674625001</v>
      </c>
      <c r="I19" s="3">
        <v>11.949505909656001</v>
      </c>
      <c r="J19" s="3" t="e">
        <v>#N/A</v>
      </c>
      <c r="K19" s="3">
        <v>9.7305271593123202</v>
      </c>
      <c r="L19" s="3">
        <v>11.214525359466499</v>
      </c>
      <c r="M19" s="3">
        <v>15.3946759068989</v>
      </c>
      <c r="N19" s="3">
        <v>4.3086743456225998</v>
      </c>
      <c r="O19" s="3">
        <v>17.674077782418699</v>
      </c>
      <c r="P19" s="3">
        <v>9.0466066086154395</v>
      </c>
      <c r="Q19" s="3">
        <v>12.6773699049401</v>
      </c>
      <c r="R19" s="3">
        <v>14.227059059229701</v>
      </c>
      <c r="S19" s="3">
        <v>8.9247545811199593</v>
      </c>
      <c r="T19" s="3">
        <v>11.958781268897299</v>
      </c>
      <c r="U19" s="3">
        <v>13.6649795580947</v>
      </c>
      <c r="V19" s="3" t="e">
        <v>#N/A</v>
      </c>
    </row>
    <row r="20" spans="1:22" x14ac:dyDescent="0.35">
      <c r="A20" s="2">
        <v>42293</v>
      </c>
      <c r="B20" s="3" t="e">
        <v>#N/A</v>
      </c>
      <c r="C20" s="3">
        <v>12.7583820365659</v>
      </c>
      <c r="D20" s="3">
        <v>14.1388277530701</v>
      </c>
      <c r="E20" s="3">
        <v>16.630193846106199</v>
      </c>
      <c r="F20" s="3">
        <v>12.3589868380789</v>
      </c>
      <c r="G20" s="3">
        <v>11.7100919261543</v>
      </c>
      <c r="H20" s="3">
        <v>15.5891162205449</v>
      </c>
      <c r="I20" s="3">
        <v>12.1406770818321</v>
      </c>
      <c r="J20" s="3" t="e">
        <v>#N/A</v>
      </c>
      <c r="K20" s="3">
        <v>10.108533718503701</v>
      </c>
      <c r="L20" s="3">
        <v>11.1263738571113</v>
      </c>
      <c r="M20" s="3">
        <v>16.053290597635701</v>
      </c>
      <c r="N20" s="3">
        <v>4.3966523210101798</v>
      </c>
      <c r="O20" s="3">
        <v>17.852860920682101</v>
      </c>
      <c r="P20" s="3">
        <v>9.6136706607797908</v>
      </c>
      <c r="Q20" s="3">
        <v>12.866551119714901</v>
      </c>
      <c r="R20" s="3">
        <v>14.467053560870299</v>
      </c>
      <c r="S20" s="3">
        <v>9.2499347895779298</v>
      </c>
      <c r="T20" s="3">
        <v>12.2140115123307</v>
      </c>
      <c r="U20" s="3">
        <v>15.4968099536097</v>
      </c>
      <c r="V20" s="3">
        <v>12.796116734631999</v>
      </c>
    </row>
    <row r="21" spans="1:22" x14ac:dyDescent="0.35">
      <c r="A21" s="2">
        <v>42326</v>
      </c>
      <c r="B21" s="3" t="e">
        <v>#N/A</v>
      </c>
      <c r="C21" s="3">
        <v>13.446485861316701</v>
      </c>
      <c r="D21" s="3">
        <v>14.1423111661184</v>
      </c>
      <c r="E21" s="3">
        <v>15.718884071745901</v>
      </c>
      <c r="F21" s="3">
        <v>11.905251082863</v>
      </c>
      <c r="G21" s="3">
        <v>7.8569163232568204</v>
      </c>
      <c r="H21" s="3">
        <v>15.0223184251631</v>
      </c>
      <c r="I21" s="3">
        <v>11.8773205504821</v>
      </c>
      <c r="J21" s="3" t="e">
        <v>#N/A</v>
      </c>
      <c r="K21" s="3">
        <v>10.059801037327301</v>
      </c>
      <c r="L21" s="3">
        <v>11.095492220910399</v>
      </c>
      <c r="M21" s="3">
        <v>15.218067437998601</v>
      </c>
      <c r="N21" s="3">
        <v>4.0699480166227699</v>
      </c>
      <c r="O21" s="3">
        <v>16.891115033332301</v>
      </c>
      <c r="P21" s="3">
        <v>9.3913527242018606</v>
      </c>
      <c r="Q21" s="3">
        <v>11.904360080069001</v>
      </c>
      <c r="R21" s="3">
        <v>13.690976932453401</v>
      </c>
      <c r="S21" s="3">
        <v>9.3872652397851404</v>
      </c>
      <c r="T21" s="3">
        <v>10.5739327222479</v>
      </c>
      <c r="U21" s="3">
        <v>14.5389867307254</v>
      </c>
      <c r="V21" s="3">
        <v>12.165485120380801</v>
      </c>
    </row>
    <row r="22" spans="1:22" x14ac:dyDescent="0.35">
      <c r="A22" s="2">
        <v>42356</v>
      </c>
      <c r="B22" s="3" t="e">
        <v>#N/A</v>
      </c>
      <c r="C22" s="3">
        <v>12.4852486540555</v>
      </c>
      <c r="D22" s="3">
        <v>14.0397328530258</v>
      </c>
      <c r="E22" s="3">
        <v>16.009176218135099</v>
      </c>
      <c r="F22" s="3">
        <v>11.941863410913101</v>
      </c>
      <c r="G22" s="3">
        <v>7.3058311390138604</v>
      </c>
      <c r="H22" s="3">
        <v>15.217337924472201</v>
      </c>
      <c r="I22" s="3">
        <v>11.6785129964465</v>
      </c>
      <c r="J22" s="3" t="e">
        <v>#N/A</v>
      </c>
      <c r="K22" s="3">
        <v>10.021261127959299</v>
      </c>
      <c r="L22" s="3">
        <v>10.5095466481496</v>
      </c>
      <c r="M22" s="3">
        <v>14.133966033507701</v>
      </c>
      <c r="N22" s="3">
        <v>4.74261252576005</v>
      </c>
      <c r="O22" s="3">
        <v>17.072725177895599</v>
      </c>
      <c r="P22" s="3">
        <v>9.2420017903217992</v>
      </c>
      <c r="Q22" s="3">
        <v>10.1023022231707</v>
      </c>
      <c r="R22" s="3">
        <v>12.568872757787799</v>
      </c>
      <c r="S22" s="3">
        <v>8.2479675777609796</v>
      </c>
      <c r="T22" s="3">
        <v>10.6569439235031</v>
      </c>
      <c r="U22" s="3">
        <v>11.6654600575256</v>
      </c>
      <c r="V22" s="3">
        <v>12.886082450716801</v>
      </c>
    </row>
    <row r="23" spans="1:22" x14ac:dyDescent="0.35">
      <c r="A23" s="2">
        <v>42384</v>
      </c>
      <c r="B23" s="3" t="e">
        <v>#N/A</v>
      </c>
      <c r="C23" s="3">
        <v>11.5708546926815</v>
      </c>
      <c r="D23" s="3">
        <v>14.3103003184466</v>
      </c>
      <c r="E23" s="3">
        <v>14.896474576014599</v>
      </c>
      <c r="F23" s="3">
        <v>12.0031391766976</v>
      </c>
      <c r="G23" s="3">
        <v>10.607624882152299</v>
      </c>
      <c r="H23" s="3">
        <v>14.963235743199499</v>
      </c>
      <c r="I23" s="3">
        <v>11.1120194237939</v>
      </c>
      <c r="J23" s="3">
        <v>16.2156675150474</v>
      </c>
      <c r="K23" s="3">
        <v>9.7722260768204805</v>
      </c>
      <c r="L23" s="3">
        <v>9.5308073147160393</v>
      </c>
      <c r="M23" s="3">
        <v>12.822597081444099</v>
      </c>
      <c r="N23" s="3">
        <v>9.4476815667246097</v>
      </c>
      <c r="O23" s="3">
        <v>16.373673583609602</v>
      </c>
      <c r="P23" s="3">
        <v>8.9188218606735798</v>
      </c>
      <c r="Q23" s="3">
        <v>10.2101735179562</v>
      </c>
      <c r="R23" s="3">
        <v>12.3748589665589</v>
      </c>
      <c r="S23" s="3">
        <v>7.9940638672775597</v>
      </c>
      <c r="T23" s="3">
        <v>10.5068222604021</v>
      </c>
      <c r="U23" s="3" t="e">
        <v>#N/A</v>
      </c>
      <c r="V23" s="3">
        <v>11.1533004555651</v>
      </c>
    </row>
    <row r="24" spans="1:22" x14ac:dyDescent="0.35">
      <c r="A24" s="2">
        <v>42418</v>
      </c>
      <c r="B24" s="3" t="e">
        <v>#N/A</v>
      </c>
      <c r="C24" s="3">
        <v>12.5247859704169</v>
      </c>
      <c r="D24" s="3">
        <v>15.1959827105945</v>
      </c>
      <c r="E24" s="3">
        <v>15.6433513097908</v>
      </c>
      <c r="F24" s="3">
        <v>13.1675273006104</v>
      </c>
      <c r="G24" s="3">
        <v>13.5544063325345</v>
      </c>
      <c r="H24" s="3">
        <v>15.565948282889501</v>
      </c>
      <c r="I24" s="3">
        <v>12.171744864396601</v>
      </c>
      <c r="J24" s="3">
        <v>17.5173828244804</v>
      </c>
      <c r="K24" s="3">
        <v>10.303649005821599</v>
      </c>
      <c r="L24" s="3">
        <v>10.7776997590663</v>
      </c>
      <c r="M24" s="3">
        <v>14.435711303264</v>
      </c>
      <c r="N24" s="3">
        <v>8.4788714780407304</v>
      </c>
      <c r="O24" s="3">
        <v>16.513579104263499</v>
      </c>
      <c r="P24" s="3">
        <v>9.0447766722767504</v>
      </c>
      <c r="Q24" s="3">
        <v>11.501110819435301</v>
      </c>
      <c r="R24" s="3">
        <v>13.3262210652127</v>
      </c>
      <c r="S24" s="3">
        <v>8.3328301681522206</v>
      </c>
      <c r="T24" s="3">
        <v>10.8744842922359</v>
      </c>
      <c r="U24" s="3">
        <v>14.255581559281699</v>
      </c>
      <c r="V24" s="3">
        <v>11.606234077775399</v>
      </c>
    </row>
    <row r="25" spans="1:22" x14ac:dyDescent="0.35">
      <c r="A25" s="2">
        <v>42447</v>
      </c>
      <c r="B25" s="3" t="e">
        <v>#N/A</v>
      </c>
      <c r="C25" s="3">
        <v>13.184069989488099</v>
      </c>
      <c r="D25" s="3">
        <v>15.4047494903116</v>
      </c>
      <c r="E25" s="3">
        <v>16.696609514173499</v>
      </c>
      <c r="F25" s="3">
        <v>13.4990758861871</v>
      </c>
      <c r="G25" s="3">
        <v>15.632999408339099</v>
      </c>
      <c r="H25" s="3">
        <v>16.134172410989301</v>
      </c>
      <c r="I25" s="3">
        <v>12.8889414181528</v>
      </c>
      <c r="J25" s="3">
        <v>18.429869671676801</v>
      </c>
      <c r="K25" s="3">
        <v>10.659205535557</v>
      </c>
      <c r="L25" s="3">
        <v>13.25225293497</v>
      </c>
      <c r="M25" s="3">
        <v>15.200260865736601</v>
      </c>
      <c r="N25" s="3">
        <v>8.3889702805485307</v>
      </c>
      <c r="O25" s="3">
        <v>17.112604389299499</v>
      </c>
      <c r="P25" s="3">
        <v>10.013693326734399</v>
      </c>
      <c r="Q25" s="3">
        <v>12.1761635537777</v>
      </c>
      <c r="R25" s="3">
        <v>14.4472508465625</v>
      </c>
      <c r="S25" s="3">
        <v>9.2820998003545405</v>
      </c>
      <c r="T25" s="3">
        <v>12.5149723748218</v>
      </c>
      <c r="U25" s="3">
        <v>14.5578946984045</v>
      </c>
      <c r="V25" s="3">
        <v>12.8751927136001</v>
      </c>
    </row>
    <row r="26" spans="1:22" x14ac:dyDescent="0.35">
      <c r="A26" s="2">
        <v>42478</v>
      </c>
      <c r="B26" s="3" t="e">
        <v>#N/A</v>
      </c>
      <c r="C26" s="3">
        <v>13.478997103957701</v>
      </c>
      <c r="D26" s="3">
        <v>15.069490377749799</v>
      </c>
      <c r="E26" s="3">
        <v>16.6488119293167</v>
      </c>
      <c r="F26" s="3">
        <v>13.168693991556101</v>
      </c>
      <c r="G26" s="3">
        <v>15.4602156217752</v>
      </c>
      <c r="H26" s="3">
        <v>16.164957969424499</v>
      </c>
      <c r="I26" s="3">
        <v>12.7030090147985</v>
      </c>
      <c r="J26" s="3">
        <v>19.2766920760609</v>
      </c>
      <c r="K26" s="3">
        <v>10.6424473527054</v>
      </c>
      <c r="L26" s="3">
        <v>13.857646316155099</v>
      </c>
      <c r="M26" s="3">
        <v>15.2095201803025</v>
      </c>
      <c r="N26" s="3">
        <v>10.0494049416862</v>
      </c>
      <c r="O26" s="3">
        <v>17.550043659868201</v>
      </c>
      <c r="P26" s="3">
        <v>10.3478245467224</v>
      </c>
      <c r="Q26" s="3">
        <v>12.2422125058341</v>
      </c>
      <c r="R26" s="3">
        <v>14.409543138461199</v>
      </c>
      <c r="S26" s="3">
        <v>9.4225432362829604</v>
      </c>
      <c r="T26" s="3">
        <v>13.275616953770699</v>
      </c>
      <c r="U26" s="3">
        <v>12.724235432055099</v>
      </c>
      <c r="V26" s="3">
        <v>12.793050116223901</v>
      </c>
    </row>
    <row r="27" spans="1:22" x14ac:dyDescent="0.35">
      <c r="A27" s="2">
        <v>42508</v>
      </c>
      <c r="B27" s="3" t="e">
        <v>#N/A</v>
      </c>
      <c r="C27" s="3">
        <v>13.5044981275088</v>
      </c>
      <c r="D27" s="3">
        <v>14.3511496104757</v>
      </c>
      <c r="E27" s="3">
        <v>16.588241831388</v>
      </c>
      <c r="F27" s="3">
        <v>12.0912195866779</v>
      </c>
      <c r="G27" s="3">
        <v>14.8529710392714</v>
      </c>
      <c r="H27" s="3">
        <v>15.464362850012501</v>
      </c>
      <c r="I27" s="3">
        <v>12.134630800471999</v>
      </c>
      <c r="J27" s="3">
        <v>19.429968443033999</v>
      </c>
      <c r="K27" s="3">
        <v>9.8360058352084803</v>
      </c>
      <c r="L27" s="3">
        <v>12.5177936228782</v>
      </c>
      <c r="M27" s="3">
        <v>14.07041547459</v>
      </c>
      <c r="N27" s="3">
        <v>10.73902671442</v>
      </c>
      <c r="O27" s="3">
        <v>17.3660359082069</v>
      </c>
      <c r="P27" s="3">
        <v>9.5865809648292899</v>
      </c>
      <c r="Q27" s="3">
        <v>11.6812715955601</v>
      </c>
      <c r="R27" s="3">
        <v>14.359543898433699</v>
      </c>
      <c r="S27" s="3">
        <v>8.45301973793533</v>
      </c>
      <c r="T27" s="3">
        <v>12.582277540207199</v>
      </c>
      <c r="U27" s="3">
        <v>12.823122414418</v>
      </c>
      <c r="V27" s="3">
        <v>13.6533540203889</v>
      </c>
    </row>
    <row r="28" spans="1:22" x14ac:dyDescent="0.35">
      <c r="A28" s="2">
        <v>42538</v>
      </c>
      <c r="B28" s="3" t="e">
        <v>#N/A</v>
      </c>
      <c r="C28" s="3">
        <v>13.709973936325399</v>
      </c>
      <c r="D28" s="3">
        <v>14.885359132280101</v>
      </c>
      <c r="E28" s="3">
        <v>17.177274544287599</v>
      </c>
      <c r="F28" s="3">
        <v>11.549435145548101</v>
      </c>
      <c r="G28" s="3">
        <v>14.0697438389687</v>
      </c>
      <c r="H28" s="3">
        <v>15.955441102855399</v>
      </c>
      <c r="I28" s="3">
        <v>12.9619669784579</v>
      </c>
      <c r="J28" s="3">
        <v>18.316955237272001</v>
      </c>
      <c r="K28" s="3">
        <v>9.8383794022789797</v>
      </c>
      <c r="L28" s="3">
        <v>12.077242438135499</v>
      </c>
      <c r="M28" s="3">
        <v>14.450268925122</v>
      </c>
      <c r="N28" s="3">
        <v>9.1381943424034997</v>
      </c>
      <c r="O28" s="3">
        <v>17.521122375316999</v>
      </c>
      <c r="P28" s="3">
        <v>10.4893483015346</v>
      </c>
      <c r="Q28" s="3">
        <v>11.6985473208104</v>
      </c>
      <c r="R28" s="3">
        <v>14.528627930816601</v>
      </c>
      <c r="S28" s="3">
        <v>8.1618370031191994</v>
      </c>
      <c r="T28" s="3">
        <v>12.2049712234254</v>
      </c>
      <c r="U28" s="3">
        <v>12.302618208181499</v>
      </c>
      <c r="V28" s="3">
        <v>13.6959097475837</v>
      </c>
    </row>
    <row r="29" spans="1:22" x14ac:dyDescent="0.35">
      <c r="A29" s="2">
        <v>42569</v>
      </c>
      <c r="B29" s="3">
        <v>13.8500814876954</v>
      </c>
      <c r="C29" s="3">
        <v>15.191268262738401</v>
      </c>
      <c r="D29" s="3">
        <v>16.0442284404321</v>
      </c>
      <c r="E29" s="3">
        <v>17.884090630214299</v>
      </c>
      <c r="F29" s="3">
        <v>11.6213160376057</v>
      </c>
      <c r="G29" s="3">
        <v>14.5138539676257</v>
      </c>
      <c r="H29" s="3">
        <v>16.4986704556128</v>
      </c>
      <c r="I29" s="3">
        <v>13.589618660057999</v>
      </c>
      <c r="J29" s="3">
        <v>18.572850104365099</v>
      </c>
      <c r="K29" s="3">
        <v>10.1326183996587</v>
      </c>
      <c r="L29" s="3">
        <v>13.549337575904399</v>
      </c>
      <c r="M29" s="3">
        <v>15.3072662567147</v>
      </c>
      <c r="N29" s="3">
        <v>9.0373230565564295</v>
      </c>
      <c r="O29" s="3">
        <v>18.018884718099201</v>
      </c>
      <c r="P29" s="3">
        <v>11.459537482859201</v>
      </c>
      <c r="Q29" s="3">
        <v>12.5555126964517</v>
      </c>
      <c r="R29" s="3">
        <v>15.190495996890601</v>
      </c>
      <c r="S29" s="3">
        <v>8.2853243384765705</v>
      </c>
      <c r="T29" s="3">
        <v>13.033714888645999</v>
      </c>
      <c r="U29" s="3">
        <v>12.643485346246299</v>
      </c>
      <c r="V29" s="3">
        <v>13.670756727517899</v>
      </c>
    </row>
    <row r="30" spans="1:22" x14ac:dyDescent="0.35">
      <c r="A30" s="2">
        <v>42600</v>
      </c>
      <c r="B30" s="3">
        <v>14.0454728586081</v>
      </c>
      <c r="C30" s="3">
        <v>15.7353417373858</v>
      </c>
      <c r="D30" s="3">
        <v>16.956228067632399</v>
      </c>
      <c r="E30" s="3">
        <v>18.136611038645999</v>
      </c>
      <c r="F30" s="3">
        <v>12.2432199577924</v>
      </c>
      <c r="G30" s="3">
        <v>14.551183815340201</v>
      </c>
      <c r="H30" s="3">
        <v>16.770466716450201</v>
      </c>
      <c r="I30" s="3">
        <v>13.7357701439455</v>
      </c>
      <c r="J30" s="3">
        <v>18.872677106365799</v>
      </c>
      <c r="K30" s="3">
        <v>10.182926292340101</v>
      </c>
      <c r="L30" s="3">
        <v>14.125715427738299</v>
      </c>
      <c r="M30" s="3">
        <v>15.9405716364233</v>
      </c>
      <c r="N30" s="3">
        <v>8.6696429579799297</v>
      </c>
      <c r="O30" s="3">
        <v>18.151762923232202</v>
      </c>
      <c r="P30" s="3">
        <v>12.160173347238899</v>
      </c>
      <c r="Q30" s="3">
        <v>13.649377289990801</v>
      </c>
      <c r="R30" s="3">
        <v>15.3820594574746</v>
      </c>
      <c r="S30" s="3">
        <v>8.4457529777511802</v>
      </c>
      <c r="T30" s="3">
        <v>12.6695453452161</v>
      </c>
      <c r="U30" s="3">
        <v>11.7570469034642</v>
      </c>
      <c r="V30" s="3">
        <v>12.6780899964933</v>
      </c>
    </row>
    <row r="31" spans="1:22" x14ac:dyDescent="0.35">
      <c r="A31" s="2">
        <v>42629</v>
      </c>
      <c r="B31" s="3">
        <v>13.562384701350499</v>
      </c>
      <c r="C31" s="3">
        <v>15.247102359392899</v>
      </c>
      <c r="D31" s="3">
        <v>15.9658513865682</v>
      </c>
      <c r="E31" s="3">
        <v>16.908144947319801</v>
      </c>
      <c r="F31" s="3">
        <v>11.625558692562601</v>
      </c>
      <c r="G31" s="3">
        <v>13.4189748108841</v>
      </c>
      <c r="H31" s="3">
        <v>16.624086234162601</v>
      </c>
      <c r="I31" s="3">
        <v>13.1988542166652</v>
      </c>
      <c r="J31" s="3">
        <v>17.3958530698151</v>
      </c>
      <c r="K31" s="3">
        <v>9.9132607664766308</v>
      </c>
      <c r="L31" s="3">
        <v>13.488544963793901</v>
      </c>
      <c r="M31" s="3">
        <v>14.7711168732811</v>
      </c>
      <c r="N31" s="3">
        <v>8.3777071454600804</v>
      </c>
      <c r="O31" s="3">
        <v>17.954075006841499</v>
      </c>
      <c r="P31" s="3">
        <v>12.2988138479536</v>
      </c>
      <c r="Q31" s="3">
        <v>12.848798894257801</v>
      </c>
      <c r="R31" s="3">
        <v>14.507645025528101</v>
      </c>
      <c r="S31" s="3">
        <v>8.2455665342078994</v>
      </c>
      <c r="T31" s="3">
        <v>12.1977333338052</v>
      </c>
      <c r="U31" s="3">
        <v>11.397269523568101</v>
      </c>
      <c r="V31" s="3">
        <v>12.524358474674299</v>
      </c>
    </row>
    <row r="32" spans="1:22" x14ac:dyDescent="0.35">
      <c r="A32" s="2">
        <v>42661</v>
      </c>
      <c r="B32" s="3">
        <v>13.764880148101099</v>
      </c>
      <c r="C32" s="3">
        <v>16.267516780703701</v>
      </c>
      <c r="D32" s="3">
        <v>16.544462839750999</v>
      </c>
      <c r="E32" s="3">
        <v>16.768359964214799</v>
      </c>
      <c r="F32" s="3">
        <v>11.502994599230201</v>
      </c>
      <c r="G32" s="3">
        <v>12.456564776193201</v>
      </c>
      <c r="H32" s="3">
        <v>16.792646149933201</v>
      </c>
      <c r="I32" s="3">
        <v>13.5922491155385</v>
      </c>
      <c r="J32" s="3">
        <v>18.1418369445656</v>
      </c>
      <c r="K32" s="3">
        <v>10.069761832364801</v>
      </c>
      <c r="L32" s="3">
        <v>14.735848578073</v>
      </c>
      <c r="M32" s="3">
        <v>14.5311574480051</v>
      </c>
      <c r="N32" s="3">
        <v>9.0123658700338396</v>
      </c>
      <c r="O32" s="3">
        <v>17.667538720148599</v>
      </c>
      <c r="P32" s="3">
        <v>12.321129644372901</v>
      </c>
      <c r="Q32" s="3">
        <v>12.9913093303261</v>
      </c>
      <c r="R32" s="3">
        <v>14.451014111526099</v>
      </c>
      <c r="S32" s="3">
        <v>8.2925066318294807</v>
      </c>
      <c r="T32" s="3">
        <v>12.042871573663501</v>
      </c>
      <c r="U32" s="3">
        <v>13.261659734300199</v>
      </c>
      <c r="V32" s="3">
        <v>11.234425758432501</v>
      </c>
    </row>
    <row r="33" spans="1:22" x14ac:dyDescent="0.35">
      <c r="A33" s="2">
        <v>42692</v>
      </c>
      <c r="B33" s="3">
        <v>14.0313431092834</v>
      </c>
      <c r="C33" s="3">
        <v>15.954840620503299</v>
      </c>
      <c r="D33" s="3">
        <v>15.0530850150279</v>
      </c>
      <c r="E33" s="3">
        <v>15.6750338745644</v>
      </c>
      <c r="F33" s="3">
        <v>11.217325686978</v>
      </c>
      <c r="G33" s="3">
        <v>11.4716384611003</v>
      </c>
      <c r="H33" s="3">
        <v>16.2427690873619</v>
      </c>
      <c r="I33" s="3">
        <v>12.911205537991099</v>
      </c>
      <c r="J33" s="3">
        <v>16.437604885084799</v>
      </c>
      <c r="K33" s="3">
        <v>9.5950279989476197</v>
      </c>
      <c r="L33" s="3">
        <v>13.518888323193201</v>
      </c>
      <c r="M33" s="3">
        <v>14.1292526890315</v>
      </c>
      <c r="N33" s="3">
        <v>9.2222469615257907</v>
      </c>
      <c r="O33" s="3">
        <v>16.080473081784501</v>
      </c>
      <c r="P33" s="3">
        <v>11.7359416747636</v>
      </c>
      <c r="Q33" s="3">
        <v>12.1909818873993</v>
      </c>
      <c r="R33" s="3">
        <v>14.393284909991101</v>
      </c>
      <c r="S33" s="3">
        <v>7.7007445744419103</v>
      </c>
      <c r="T33" s="3">
        <v>11.495405362568601</v>
      </c>
      <c r="U33" s="3">
        <v>12.4861295106295</v>
      </c>
      <c r="V33" s="3">
        <v>13.5497003298933</v>
      </c>
    </row>
    <row r="34" spans="1:22" x14ac:dyDescent="0.35">
      <c r="A34" s="2">
        <v>42720</v>
      </c>
      <c r="B34" s="3">
        <v>13.4695228843264</v>
      </c>
      <c r="C34" s="3">
        <v>15.665080684367</v>
      </c>
      <c r="D34" s="3">
        <v>14.9042692846219</v>
      </c>
      <c r="E34" s="3">
        <v>15.3236870913936</v>
      </c>
      <c r="F34" s="3">
        <v>11.991941598366701</v>
      </c>
      <c r="G34" s="3">
        <v>11.1911605333532</v>
      </c>
      <c r="H34" s="3">
        <v>16.419910240357002</v>
      </c>
      <c r="I34" s="3">
        <v>13.1080060729486</v>
      </c>
      <c r="J34" s="3">
        <v>16.204673501588601</v>
      </c>
      <c r="K34" s="3">
        <v>9.9099001483214106</v>
      </c>
      <c r="L34" s="3">
        <v>12.4236942129327</v>
      </c>
      <c r="M34" s="3">
        <v>13.9818903557459</v>
      </c>
      <c r="N34" s="3">
        <v>9.2245387908428391</v>
      </c>
      <c r="O34" s="3">
        <v>16.277187471778401</v>
      </c>
      <c r="P34" s="3">
        <v>11.4209222150253</v>
      </c>
      <c r="Q34" s="3">
        <v>12.9373656813778</v>
      </c>
      <c r="R34" s="3">
        <v>14.748042482912799</v>
      </c>
      <c r="S34" s="3">
        <v>7.6892170741421504</v>
      </c>
      <c r="T34" s="3">
        <v>11.6151234202061</v>
      </c>
      <c r="U34" s="3">
        <v>12.5433861743713</v>
      </c>
      <c r="V34" s="3">
        <v>14.0389781159944</v>
      </c>
    </row>
    <row r="35" spans="1:22" x14ac:dyDescent="0.35">
      <c r="A35" s="2">
        <v>42753</v>
      </c>
      <c r="B35" s="3">
        <v>13.1889353920264</v>
      </c>
      <c r="C35" s="3">
        <v>15.723128713911599</v>
      </c>
      <c r="D35" s="3">
        <v>15.1815024657897</v>
      </c>
      <c r="E35" s="3">
        <v>16.485060087421001</v>
      </c>
      <c r="F35" s="3">
        <v>11.7594358256357</v>
      </c>
      <c r="G35" s="3">
        <v>12.2562920199997</v>
      </c>
      <c r="H35" s="3">
        <v>16.538534412456698</v>
      </c>
      <c r="I35" s="3">
        <v>12.9536429430142</v>
      </c>
      <c r="J35" s="3">
        <v>16.130065419887099</v>
      </c>
      <c r="K35" s="3">
        <v>9.7806646998858007</v>
      </c>
      <c r="L35" s="3">
        <v>13.245329319683499</v>
      </c>
      <c r="M35" s="3">
        <v>15.1678898693864</v>
      </c>
      <c r="N35" s="3">
        <v>9.1812973089046199</v>
      </c>
      <c r="O35" s="3">
        <v>16.672549844547898</v>
      </c>
      <c r="P35" s="3">
        <v>11.8207267876339</v>
      </c>
      <c r="Q35" s="3">
        <v>13.789728049786101</v>
      </c>
      <c r="R35" s="3">
        <v>14.9424999216996</v>
      </c>
      <c r="S35" s="3">
        <v>8.0872452071345204</v>
      </c>
      <c r="T35" s="3">
        <v>12.216567857796701</v>
      </c>
      <c r="U35" s="3">
        <v>12.4644920843474</v>
      </c>
      <c r="V35" s="3">
        <v>14.133783366217401</v>
      </c>
    </row>
    <row r="36" spans="1:22" x14ac:dyDescent="0.35">
      <c r="A36" s="2">
        <v>42783</v>
      </c>
      <c r="B36" s="3">
        <v>13.054612987103599</v>
      </c>
      <c r="C36" s="3">
        <v>16.069168147163001</v>
      </c>
      <c r="D36" s="3">
        <v>15.178641282232901</v>
      </c>
      <c r="E36" s="3">
        <v>16.570267557586199</v>
      </c>
      <c r="F36" s="3">
        <v>12.7806344595362</v>
      </c>
      <c r="G36" s="3">
        <v>13.4655797606889</v>
      </c>
      <c r="H36" s="3">
        <v>16.750022549419398</v>
      </c>
      <c r="I36" s="3">
        <v>13.1436216730994</v>
      </c>
      <c r="J36" s="3">
        <v>16.383931448004098</v>
      </c>
      <c r="K36" s="3">
        <v>9.4222816926571102</v>
      </c>
      <c r="L36" s="3">
        <v>13.782728460162099</v>
      </c>
      <c r="M36" s="3">
        <v>15.4141570739356</v>
      </c>
      <c r="N36" s="3">
        <v>8.8421372946583308</v>
      </c>
      <c r="O36" s="3">
        <v>17.660149788318598</v>
      </c>
      <c r="P36" s="3">
        <v>12.401214650503601</v>
      </c>
      <c r="Q36" s="3">
        <v>13.440986779686099</v>
      </c>
      <c r="R36" s="3">
        <v>15.081129595503199</v>
      </c>
      <c r="S36" s="3">
        <v>8.6423529837716</v>
      </c>
      <c r="T36" s="3">
        <v>12.41047611544</v>
      </c>
      <c r="U36" s="3">
        <v>13.273691408818101</v>
      </c>
      <c r="V36" s="3">
        <v>14.422016624063399</v>
      </c>
    </row>
    <row r="37" spans="1:22" x14ac:dyDescent="0.35">
      <c r="A37" s="2">
        <v>42811</v>
      </c>
      <c r="B37" s="3">
        <v>13.2259543670698</v>
      </c>
      <c r="C37" s="3">
        <v>16.505195898517702</v>
      </c>
      <c r="D37" s="3">
        <v>15.404798837338801</v>
      </c>
      <c r="E37" s="3">
        <v>16.9618716545775</v>
      </c>
      <c r="F37" s="3">
        <v>12.7590001173423</v>
      </c>
      <c r="G37" s="3">
        <v>13.214772209906</v>
      </c>
      <c r="H37" s="3">
        <v>16.9690536941558</v>
      </c>
      <c r="I37" s="3">
        <v>13.270569265497199</v>
      </c>
      <c r="J37" s="3">
        <v>16.932167318216798</v>
      </c>
      <c r="K37" s="3">
        <v>9.7759631895264594</v>
      </c>
      <c r="L37" s="3">
        <v>12.7093886976668</v>
      </c>
      <c r="M37" s="3">
        <v>16.1972505903599</v>
      </c>
      <c r="N37" s="3">
        <v>9.2209031299117701</v>
      </c>
      <c r="O37" s="3">
        <v>17.9922840093869</v>
      </c>
      <c r="P37" s="3">
        <v>12.6646871436865</v>
      </c>
      <c r="Q37" s="3">
        <v>12.7918310245181</v>
      </c>
      <c r="R37" s="3">
        <v>14.9080257090736</v>
      </c>
      <c r="S37" s="3">
        <v>8.5534895904818899</v>
      </c>
      <c r="T37" s="3">
        <v>11.9461344128287</v>
      </c>
      <c r="U37" s="3">
        <v>13.1172401789193</v>
      </c>
      <c r="V37" s="3">
        <v>14.1316002272573</v>
      </c>
    </row>
    <row r="38" spans="1:22" x14ac:dyDescent="0.35">
      <c r="A38" s="2">
        <v>42843</v>
      </c>
      <c r="B38" s="3">
        <v>13.403437070849</v>
      </c>
      <c r="C38" s="3">
        <v>17.264380720628601</v>
      </c>
      <c r="D38" s="3">
        <v>15.283000195115701</v>
      </c>
      <c r="E38" s="3">
        <v>17.3989015167123</v>
      </c>
      <c r="F38" s="3">
        <v>12.349062008135499</v>
      </c>
      <c r="G38" s="3">
        <v>11.860776859743501</v>
      </c>
      <c r="H38" s="3">
        <v>16.799559337244698</v>
      </c>
      <c r="I38" s="3">
        <v>12.9910875332393</v>
      </c>
      <c r="J38" s="3">
        <v>16.833138976602999</v>
      </c>
      <c r="K38" s="3">
        <v>9.1832542265810595</v>
      </c>
      <c r="L38" s="3">
        <v>12.507086182613801</v>
      </c>
      <c r="M38" s="3">
        <v>15.9170518898142</v>
      </c>
      <c r="N38" s="3">
        <v>10.6673554260559</v>
      </c>
      <c r="O38" s="3">
        <v>17.814568504473399</v>
      </c>
      <c r="P38" s="3">
        <v>12.309715412928901</v>
      </c>
      <c r="Q38" s="3">
        <v>13.102005398182399</v>
      </c>
      <c r="R38" s="3">
        <v>14.919459218716201</v>
      </c>
      <c r="S38" s="3">
        <v>8.4462452972215303</v>
      </c>
      <c r="T38" s="3">
        <v>11.9918389086298</v>
      </c>
      <c r="U38" s="3">
        <v>13.9425614030947</v>
      </c>
      <c r="V38" s="3">
        <v>13.6413305725552</v>
      </c>
    </row>
    <row r="39" spans="1:22" x14ac:dyDescent="0.35">
      <c r="A39" s="2">
        <v>42873</v>
      </c>
      <c r="B39" s="3">
        <v>13.238337921602501</v>
      </c>
      <c r="C39" s="3">
        <v>16.971752499770901</v>
      </c>
      <c r="D39" s="3">
        <v>15.4461331757233</v>
      </c>
      <c r="E39" s="3">
        <v>17.186898621205</v>
      </c>
      <c r="F39" s="3">
        <v>12.237684688024901</v>
      </c>
      <c r="G39" s="3">
        <v>11.794877553707799</v>
      </c>
      <c r="H39" s="3">
        <v>16.9539681092504</v>
      </c>
      <c r="I39" s="3">
        <v>13.276812645287</v>
      </c>
      <c r="J39" s="3">
        <v>16.281207208775498</v>
      </c>
      <c r="K39" s="3">
        <v>9.3857119700072396</v>
      </c>
      <c r="L39" s="3">
        <v>11.8686182503686</v>
      </c>
      <c r="M39" s="3">
        <v>16.173676125164899</v>
      </c>
      <c r="N39" s="3">
        <v>13.468024179451</v>
      </c>
      <c r="O39" s="3">
        <v>18.1576806914514</v>
      </c>
      <c r="P39" s="3">
        <v>12.8257507511508</v>
      </c>
      <c r="Q39" s="3">
        <v>13.033841023646501</v>
      </c>
      <c r="R39" s="3">
        <v>14.5157279335103</v>
      </c>
      <c r="S39" s="3">
        <v>8.5715315500000209</v>
      </c>
      <c r="T39" s="3">
        <v>11.7582731383624</v>
      </c>
      <c r="U39" s="3">
        <v>14.4539238657438</v>
      </c>
      <c r="V39" s="3">
        <v>13.5259757975097</v>
      </c>
    </row>
    <row r="40" spans="1:22" x14ac:dyDescent="0.35">
      <c r="A40" s="2">
        <v>42902</v>
      </c>
      <c r="B40" s="3">
        <v>13.816750780704499</v>
      </c>
      <c r="C40" s="3">
        <v>16.9358473728911</v>
      </c>
      <c r="D40" s="3">
        <v>15.5107161334012</v>
      </c>
      <c r="E40" s="3">
        <v>17.622362563232301</v>
      </c>
      <c r="F40" s="3">
        <v>12.359607098777699</v>
      </c>
      <c r="G40" s="3">
        <v>11.594108486103501</v>
      </c>
      <c r="H40" s="3">
        <v>16.719702507701399</v>
      </c>
      <c r="I40" s="3">
        <v>13.5651308531688</v>
      </c>
      <c r="J40" s="3">
        <v>16.5833787565935</v>
      </c>
      <c r="K40" s="3">
        <v>9.5030127386633705</v>
      </c>
      <c r="L40" s="3">
        <v>11.7907034186402</v>
      </c>
      <c r="M40" s="3">
        <v>14.8929044470493</v>
      </c>
      <c r="N40" s="3">
        <v>12.886668957406901</v>
      </c>
      <c r="O40" s="3">
        <v>18.098667273940499</v>
      </c>
      <c r="P40" s="3">
        <v>12.8239964790709</v>
      </c>
      <c r="Q40" s="3">
        <v>12.2972789935589</v>
      </c>
      <c r="R40" s="3">
        <v>14.851146376535301</v>
      </c>
      <c r="S40" s="3">
        <v>8.5600521827454692</v>
      </c>
      <c r="T40" s="3">
        <v>11.324910242205799</v>
      </c>
      <c r="U40" s="3">
        <v>14.6605478033657</v>
      </c>
      <c r="V40" s="3">
        <v>13.5872037708754</v>
      </c>
    </row>
    <row r="41" spans="1:22" x14ac:dyDescent="0.35">
      <c r="A41" s="2">
        <v>42934</v>
      </c>
      <c r="B41" s="3">
        <v>14.0085338040852</v>
      </c>
      <c r="C41" s="3">
        <v>17.708171513311001</v>
      </c>
      <c r="D41" s="3">
        <v>15.6855455652657</v>
      </c>
      <c r="E41" s="3">
        <v>16.835205181098001</v>
      </c>
      <c r="F41" s="3">
        <v>12.714425665602</v>
      </c>
      <c r="G41" s="3">
        <v>12.2716513453534</v>
      </c>
      <c r="H41" s="3">
        <v>16.283672871188099</v>
      </c>
      <c r="I41" s="3">
        <v>14.0717158862387</v>
      </c>
      <c r="J41" s="3">
        <v>17.187337120195401</v>
      </c>
      <c r="K41" s="3">
        <v>9.6158052822443292</v>
      </c>
      <c r="L41" s="3">
        <v>12.340568547746599</v>
      </c>
      <c r="M41" s="3">
        <v>15.4605465620225</v>
      </c>
      <c r="N41" s="3">
        <v>13.088495167562099</v>
      </c>
      <c r="O41" s="3">
        <v>18.5878572000492</v>
      </c>
      <c r="P41" s="3">
        <v>13.319532130409099</v>
      </c>
      <c r="Q41" s="3">
        <v>12.307331019487901</v>
      </c>
      <c r="R41" s="3">
        <v>14.594746337412699</v>
      </c>
      <c r="S41" s="3">
        <v>8.8898553668985301</v>
      </c>
      <c r="T41" s="3">
        <v>11.6753635514892</v>
      </c>
      <c r="U41" s="3">
        <v>14.535596879718099</v>
      </c>
      <c r="V41" s="3">
        <v>14.487173914234701</v>
      </c>
    </row>
    <row r="42" spans="1:22" x14ac:dyDescent="0.35">
      <c r="A42" s="2">
        <v>42965</v>
      </c>
      <c r="B42" s="3">
        <v>13.935452134058</v>
      </c>
      <c r="C42" s="3">
        <v>18.117424917808702</v>
      </c>
      <c r="D42" s="3">
        <v>15.715625657137</v>
      </c>
      <c r="E42" s="3">
        <v>16.5463325916675</v>
      </c>
      <c r="F42" s="3">
        <v>12.470770005033399</v>
      </c>
      <c r="G42" s="3">
        <v>12.9317477577759</v>
      </c>
      <c r="H42" s="3">
        <v>16.376761633286101</v>
      </c>
      <c r="I42" s="3">
        <v>13.8171545960909</v>
      </c>
      <c r="J42" s="3">
        <v>17.112856145064899</v>
      </c>
      <c r="K42" s="3">
        <v>9.1259189505791394</v>
      </c>
      <c r="L42" s="3">
        <v>13.050214659632401</v>
      </c>
      <c r="M42" s="3">
        <v>15.7457476742512</v>
      </c>
      <c r="N42" s="3">
        <v>12.279136269500899</v>
      </c>
      <c r="O42" s="3">
        <v>18.613069586264402</v>
      </c>
      <c r="P42" s="3">
        <v>13.430602022275901</v>
      </c>
      <c r="Q42" s="3">
        <v>12.101783107213</v>
      </c>
      <c r="R42" s="3">
        <v>14.6650443118385</v>
      </c>
      <c r="S42" s="3">
        <v>8.5442057780707295</v>
      </c>
      <c r="T42" s="3">
        <v>11.6590966084659</v>
      </c>
      <c r="U42" s="3">
        <v>15.685843095716899</v>
      </c>
      <c r="V42" s="3">
        <v>13.8046839068964</v>
      </c>
    </row>
    <row r="43" spans="1:22" x14ac:dyDescent="0.35">
      <c r="A43" s="2">
        <v>42996</v>
      </c>
      <c r="B43" s="3">
        <v>14.3515332092693</v>
      </c>
      <c r="C43" s="3">
        <v>18.914325939895701</v>
      </c>
      <c r="D43" s="3">
        <v>15.421907539567099</v>
      </c>
      <c r="E43" s="3">
        <v>17.316604635240601</v>
      </c>
      <c r="F43" s="3">
        <v>12.498388692409</v>
      </c>
      <c r="G43" s="3">
        <v>13.0588524066511</v>
      </c>
      <c r="H43" s="3">
        <v>16.487816695972001</v>
      </c>
      <c r="I43" s="3">
        <v>13.902375277930499</v>
      </c>
      <c r="J43" s="3">
        <v>16.831655952548498</v>
      </c>
      <c r="K43" s="3">
        <v>9.3072348864494092</v>
      </c>
      <c r="L43" s="3">
        <v>14.1869819131977</v>
      </c>
      <c r="M43" s="3">
        <v>15.120184565082001</v>
      </c>
      <c r="N43" s="3">
        <v>10.7958556177964</v>
      </c>
      <c r="O43" s="3">
        <v>19.030789468231202</v>
      </c>
      <c r="P43" s="3">
        <v>13.762993070701</v>
      </c>
      <c r="Q43" s="3">
        <v>10.7367937031044</v>
      </c>
      <c r="R43" s="3">
        <v>15.5289407415219</v>
      </c>
      <c r="S43" s="3">
        <v>8.3494492086029002</v>
      </c>
      <c r="T43" s="3">
        <v>11.223993389086001</v>
      </c>
      <c r="U43" s="3">
        <v>16.011250881118698</v>
      </c>
      <c r="V43" s="3">
        <v>13.9978070061469</v>
      </c>
    </row>
    <row r="44" spans="1:22" x14ac:dyDescent="0.35">
      <c r="A44" s="2">
        <v>43026</v>
      </c>
      <c r="B44" s="3">
        <v>14.428349414019401</v>
      </c>
      <c r="C44" s="3">
        <v>15.424094049825101</v>
      </c>
      <c r="D44" s="3">
        <v>15.5895183999253</v>
      </c>
      <c r="E44" s="3">
        <v>18.0340163861494</v>
      </c>
      <c r="F44" s="3">
        <v>12.1802352945094</v>
      </c>
      <c r="G44" s="3">
        <v>13.111247311106</v>
      </c>
      <c r="H44" s="3">
        <v>16.050245613563501</v>
      </c>
      <c r="I44" s="3">
        <v>13.733474699861601</v>
      </c>
      <c r="J44" s="3">
        <v>16.270899294883499</v>
      </c>
      <c r="K44" s="3">
        <v>9.4316752456433193</v>
      </c>
      <c r="L44" s="3">
        <v>14.0575407521914</v>
      </c>
      <c r="M44" s="3">
        <v>15.541511990001</v>
      </c>
      <c r="N44" s="3">
        <v>12.1737623179358</v>
      </c>
      <c r="O44" s="3">
        <v>18.781836103723499</v>
      </c>
      <c r="P44" s="3">
        <v>13.9421446584811</v>
      </c>
      <c r="Q44" s="3">
        <v>10.7183107540422</v>
      </c>
      <c r="R44" s="3">
        <v>15.6855450608913</v>
      </c>
      <c r="S44" s="3">
        <v>8.2146235200736708</v>
      </c>
      <c r="T44" s="3">
        <v>11.466032073956899</v>
      </c>
      <c r="U44" s="3">
        <v>16.128572221112002</v>
      </c>
      <c r="V44" s="3">
        <v>12.9129385238212</v>
      </c>
    </row>
    <row r="45" spans="1:22" x14ac:dyDescent="0.35">
      <c r="A45" s="2">
        <v>43056</v>
      </c>
      <c r="B45" s="3">
        <v>14.699470642324201</v>
      </c>
      <c r="C45" s="3">
        <v>14.0315338900356</v>
      </c>
      <c r="D45" s="3">
        <v>15.463208990324301</v>
      </c>
      <c r="E45" s="3">
        <v>17.462116307397501</v>
      </c>
      <c r="F45" s="3">
        <v>11.7850066070095</v>
      </c>
      <c r="G45" s="3">
        <v>12.727703125383901</v>
      </c>
      <c r="H45" s="3">
        <v>15.587678558459</v>
      </c>
      <c r="I45" s="3">
        <v>13.711595577834901</v>
      </c>
      <c r="J45" s="3">
        <v>15.712425643239399</v>
      </c>
      <c r="K45" s="3">
        <v>9.3872187052698095</v>
      </c>
      <c r="L45" s="3">
        <v>13.155124467106999</v>
      </c>
      <c r="M45" s="3">
        <v>15.903473334590601</v>
      </c>
      <c r="N45" s="3">
        <v>11.404304740912901</v>
      </c>
      <c r="O45" s="3">
        <v>18.708040797051002</v>
      </c>
      <c r="P45" s="3">
        <v>14.0043025221278</v>
      </c>
      <c r="Q45" s="3">
        <v>10.863134153454499</v>
      </c>
      <c r="R45" s="3">
        <v>15.650890113063101</v>
      </c>
      <c r="S45" s="3">
        <v>8.0163882995898099</v>
      </c>
      <c r="T45" s="3">
        <v>10.7581234967223</v>
      </c>
      <c r="U45" s="3">
        <v>17.058099963963901</v>
      </c>
      <c r="V45" s="3">
        <v>12.956894792662499</v>
      </c>
    </row>
    <row r="46" spans="1:22" x14ac:dyDescent="0.35">
      <c r="A46" s="2">
        <v>43087</v>
      </c>
      <c r="B46" s="3">
        <v>13.7153256863033</v>
      </c>
      <c r="C46" s="3">
        <v>14.3214740086263</v>
      </c>
      <c r="D46" s="3">
        <v>15.3803292282368</v>
      </c>
      <c r="E46" s="3">
        <v>17.375336412824101</v>
      </c>
      <c r="F46" s="3">
        <v>11.897094077209999</v>
      </c>
      <c r="G46" s="3">
        <v>12.4679197616924</v>
      </c>
      <c r="H46" s="3">
        <v>16.051242133454501</v>
      </c>
      <c r="I46" s="3">
        <v>13.1256555158315</v>
      </c>
      <c r="J46" s="3">
        <v>15.8904345173486</v>
      </c>
      <c r="K46" s="3">
        <v>9.1452616778609208</v>
      </c>
      <c r="L46" s="3">
        <v>13.0041138162905</v>
      </c>
      <c r="M46" s="3">
        <v>14.6107773450727</v>
      </c>
      <c r="N46" s="3">
        <v>14.0690279514581</v>
      </c>
      <c r="O46" s="3">
        <v>18.756010476365098</v>
      </c>
      <c r="P46" s="3">
        <v>13.2597691222051</v>
      </c>
      <c r="Q46" s="3">
        <v>11.4284280320538</v>
      </c>
      <c r="R46" s="3">
        <v>15.654659687715499</v>
      </c>
      <c r="S46" s="3">
        <v>7.9185499311082799</v>
      </c>
      <c r="T46" s="3">
        <v>10.8721979491861</v>
      </c>
      <c r="U46" s="3">
        <v>18.358392943730902</v>
      </c>
      <c r="V46" s="3">
        <v>13.2931168580969</v>
      </c>
    </row>
    <row r="47" spans="1:22" x14ac:dyDescent="0.35">
      <c r="A47" s="2">
        <v>43118</v>
      </c>
      <c r="B47" s="3">
        <v>14.335165069388101</v>
      </c>
      <c r="C47" s="3">
        <v>14.726723912552799</v>
      </c>
      <c r="D47" s="3">
        <v>16.026849716291</v>
      </c>
      <c r="E47" s="3">
        <v>17.964493492730298</v>
      </c>
      <c r="F47" s="3">
        <v>12.7309265495627</v>
      </c>
      <c r="G47" s="3">
        <v>14.251628532859</v>
      </c>
      <c r="H47" s="3">
        <v>16.627800881161999</v>
      </c>
      <c r="I47" s="3">
        <v>13.7835155483865</v>
      </c>
      <c r="J47" s="3">
        <v>16.109408459052599</v>
      </c>
      <c r="K47" s="3">
        <v>9.2815982938274608</v>
      </c>
      <c r="L47" s="3">
        <v>13.718480535804201</v>
      </c>
      <c r="M47" s="3">
        <v>15.3651424781296</v>
      </c>
      <c r="N47" s="3">
        <v>14.2584913455454</v>
      </c>
      <c r="O47" s="3">
        <v>19.3071586971618</v>
      </c>
      <c r="P47" s="3">
        <v>14.1295922698895</v>
      </c>
      <c r="Q47" s="3">
        <v>12.3636834472046</v>
      </c>
      <c r="R47" s="3">
        <v>16.416002351577401</v>
      </c>
      <c r="S47" s="3">
        <v>8.2702137508059099</v>
      </c>
      <c r="T47" s="3">
        <v>11.644076371031099</v>
      </c>
      <c r="U47" s="3">
        <v>20.6442421710167</v>
      </c>
      <c r="V47" s="3">
        <v>14.033201614463</v>
      </c>
    </row>
    <row r="48" spans="1:22" x14ac:dyDescent="0.35">
      <c r="A48" s="2">
        <v>43147</v>
      </c>
      <c r="B48" s="3">
        <v>13.1143327651753</v>
      </c>
      <c r="C48" s="3">
        <v>14.231952067522</v>
      </c>
      <c r="D48" s="3">
        <v>15.5600733089094</v>
      </c>
      <c r="E48" s="3">
        <v>17.256360210078501</v>
      </c>
      <c r="F48" s="3">
        <v>11.6770508966233</v>
      </c>
      <c r="G48" s="3">
        <v>13.2815173767912</v>
      </c>
      <c r="H48" s="3">
        <v>16.6663377362033</v>
      </c>
      <c r="I48" s="3">
        <v>12.989389894606401</v>
      </c>
      <c r="J48" s="3">
        <v>15.7355495642054</v>
      </c>
      <c r="K48" s="3">
        <v>8.97438295611793</v>
      </c>
      <c r="L48" s="3">
        <v>13.5797682108525</v>
      </c>
      <c r="M48" s="3">
        <v>15.264436468158699</v>
      </c>
      <c r="N48" s="3">
        <v>14.3804543639045</v>
      </c>
      <c r="O48" s="3">
        <v>18.3976652615247</v>
      </c>
      <c r="P48" s="3">
        <v>13.4314898757804</v>
      </c>
      <c r="Q48" s="3">
        <v>11.6819665172141</v>
      </c>
      <c r="R48" s="3">
        <v>16.041934377783299</v>
      </c>
      <c r="S48" s="3">
        <v>8.0900156144235993</v>
      </c>
      <c r="T48" s="3">
        <v>11.2272114129561</v>
      </c>
      <c r="U48" s="3">
        <v>19.700167374615202</v>
      </c>
      <c r="V48" s="3">
        <v>13.715963094036301</v>
      </c>
    </row>
    <row r="49" spans="1:22" x14ac:dyDescent="0.35">
      <c r="A49" s="2">
        <v>43175</v>
      </c>
      <c r="B49" s="3">
        <v>13.243683569041201</v>
      </c>
      <c r="C49" s="3">
        <v>14.015908448046201</v>
      </c>
      <c r="D49" s="3">
        <v>14.621411647965999</v>
      </c>
      <c r="E49" s="3">
        <v>16.731887606414201</v>
      </c>
      <c r="F49" s="3">
        <v>11.1015815826714</v>
      </c>
      <c r="G49" s="3">
        <v>13.4279812850603</v>
      </c>
      <c r="H49" s="3">
        <v>16.362588712895299</v>
      </c>
      <c r="I49" s="3">
        <v>13.733939211796301</v>
      </c>
      <c r="J49" s="3">
        <v>15.269817430833401</v>
      </c>
      <c r="K49" s="3">
        <v>9.1777532930157406</v>
      </c>
      <c r="L49" s="3">
        <v>12.887074092629501</v>
      </c>
      <c r="M49" s="3">
        <v>15.8367840354714</v>
      </c>
      <c r="N49" s="3">
        <v>13.877660086016601</v>
      </c>
      <c r="O49" s="3">
        <v>17.9436520385328</v>
      </c>
      <c r="P49" s="3">
        <v>13.6568229888411</v>
      </c>
      <c r="Q49" s="3">
        <v>11.267425061821401</v>
      </c>
      <c r="R49" s="3">
        <v>15.6676018028088</v>
      </c>
      <c r="S49" s="3">
        <v>7.9484178828191698</v>
      </c>
      <c r="T49" s="3">
        <v>10.994847851793899</v>
      </c>
      <c r="U49" s="3">
        <v>20.907149697553098</v>
      </c>
      <c r="V49" s="3">
        <v>14.5244247633374</v>
      </c>
    </row>
    <row r="50" spans="1:22" x14ac:dyDescent="0.35">
      <c r="A50" s="2">
        <v>43208</v>
      </c>
      <c r="B50" s="3">
        <v>12.292058783060099</v>
      </c>
      <c r="C50" s="3">
        <v>14.031632494044</v>
      </c>
      <c r="D50" s="3">
        <v>14.890671415457801</v>
      </c>
      <c r="E50" s="3">
        <v>15.8128110975785</v>
      </c>
      <c r="F50" s="3">
        <v>11.512323857427701</v>
      </c>
      <c r="G50" s="3">
        <v>14.0972181071017</v>
      </c>
      <c r="H50" s="3">
        <v>16.558314666331601</v>
      </c>
      <c r="I50" s="3">
        <v>13.382266481416099</v>
      </c>
      <c r="J50" s="3">
        <v>15.8707352684645</v>
      </c>
      <c r="K50" s="3">
        <v>9.0450837995555595</v>
      </c>
      <c r="L50" s="3">
        <v>12.8729471062538</v>
      </c>
      <c r="M50" s="3">
        <v>15.480560052700501</v>
      </c>
      <c r="N50" s="3">
        <v>14.906987833516901</v>
      </c>
      <c r="O50" s="3">
        <v>18.330501881437101</v>
      </c>
      <c r="P50" s="3">
        <v>12.3596288954231</v>
      </c>
      <c r="Q50" s="3">
        <v>11.5270884358979</v>
      </c>
      <c r="R50" s="3">
        <v>15.1568187437693</v>
      </c>
      <c r="S50" s="3">
        <v>7.4683986985708302</v>
      </c>
      <c r="T50" s="3">
        <v>11.349600758206799</v>
      </c>
      <c r="U50" s="3">
        <v>21.0044741977439</v>
      </c>
      <c r="V50" s="3">
        <v>14.973236701594001</v>
      </c>
    </row>
    <row r="51" spans="1:22" x14ac:dyDescent="0.35">
      <c r="A51" s="2">
        <v>43238</v>
      </c>
      <c r="B51" s="3">
        <v>11.9740349862006</v>
      </c>
      <c r="C51" s="3">
        <v>13.179023948407</v>
      </c>
      <c r="D51" s="3">
        <v>13.095954434011301</v>
      </c>
      <c r="E51" s="3">
        <v>15.9244370465379</v>
      </c>
      <c r="F51" s="3">
        <v>11.0864390485645</v>
      </c>
      <c r="G51" s="3">
        <v>13.4952712774455</v>
      </c>
      <c r="H51" s="3">
        <v>16.305077711695699</v>
      </c>
      <c r="I51" s="3">
        <v>13.433982222220401</v>
      </c>
      <c r="J51" s="3">
        <v>14.4524531575218</v>
      </c>
      <c r="K51" s="3">
        <v>8.7787908447691496</v>
      </c>
      <c r="L51" s="3">
        <v>12.0190293524675</v>
      </c>
      <c r="M51" s="3">
        <v>14.6569392329188</v>
      </c>
      <c r="N51" s="3">
        <v>13.6726870060997</v>
      </c>
      <c r="O51" s="3">
        <v>17.9041888385877</v>
      </c>
      <c r="P51" s="3">
        <v>12.6935125900652</v>
      </c>
      <c r="Q51" s="3">
        <v>11.2761461153949</v>
      </c>
      <c r="R51" s="3">
        <v>15.351356326588</v>
      </c>
      <c r="S51" s="3">
        <v>6.7291145030928998</v>
      </c>
      <c r="T51" s="3">
        <v>10.554333989287599</v>
      </c>
      <c r="U51" s="3">
        <v>20.6333389676332</v>
      </c>
      <c r="V51" s="3">
        <v>14.804680296983401</v>
      </c>
    </row>
    <row r="52" spans="1:22" x14ac:dyDescent="0.35">
      <c r="A52" s="2">
        <v>43269</v>
      </c>
      <c r="B52" s="3">
        <v>11.648335153919399</v>
      </c>
      <c r="C52" s="3">
        <v>11.947778915474199</v>
      </c>
      <c r="D52" s="3">
        <v>13.3803618181155</v>
      </c>
      <c r="E52" s="3">
        <v>15.4827021777207</v>
      </c>
      <c r="F52" s="3">
        <v>10.456896704269999</v>
      </c>
      <c r="G52" s="3">
        <v>13.7814960300083</v>
      </c>
      <c r="H52" s="3">
        <v>15.926554225452</v>
      </c>
      <c r="I52" s="3">
        <v>13.648137109978</v>
      </c>
      <c r="J52" s="3">
        <v>14.747972718462499</v>
      </c>
      <c r="K52" s="3">
        <v>8.6358211140308097</v>
      </c>
      <c r="L52" s="3">
        <v>10.2434812741258</v>
      </c>
      <c r="M52" s="3">
        <v>14.134235304357601</v>
      </c>
      <c r="N52" s="3">
        <v>15.041694690762199</v>
      </c>
      <c r="O52" s="3">
        <v>18.705255722208399</v>
      </c>
      <c r="P52" s="3">
        <v>12.542147227222101</v>
      </c>
      <c r="Q52" s="3">
        <v>11.370724246724601</v>
      </c>
      <c r="R52" s="3">
        <v>14.590349439666999</v>
      </c>
      <c r="S52" s="3">
        <v>6.1357710984617801</v>
      </c>
      <c r="T52" s="3">
        <v>10.855209869505099</v>
      </c>
      <c r="U52" s="3">
        <v>17.991196742407102</v>
      </c>
      <c r="V52" s="3">
        <v>15.027174550003499</v>
      </c>
    </row>
    <row r="53" spans="1:22" x14ac:dyDescent="0.35">
      <c r="A53" s="2">
        <v>43299</v>
      </c>
      <c r="B53" s="3">
        <v>10.445982130662401</v>
      </c>
      <c r="C53" s="3">
        <v>11.7160089387129</v>
      </c>
      <c r="D53" s="3">
        <v>12.823351400693401</v>
      </c>
      <c r="E53" s="3">
        <v>15.2016328632377</v>
      </c>
      <c r="F53" s="3">
        <v>10.4123032539981</v>
      </c>
      <c r="G53" s="3">
        <v>13.416871629686399</v>
      </c>
      <c r="H53" s="3">
        <v>15.968412392237999</v>
      </c>
      <c r="I53" s="3">
        <v>13.2433548878869</v>
      </c>
      <c r="J53" s="3">
        <v>15.5609438654737</v>
      </c>
      <c r="K53" s="3">
        <v>8.3377654604101004</v>
      </c>
      <c r="L53" s="3">
        <v>10.9243893319184</v>
      </c>
      <c r="M53" s="3">
        <v>13.8024063227321</v>
      </c>
      <c r="N53" s="3">
        <v>14.82297768305</v>
      </c>
      <c r="O53" s="3">
        <v>18.597641370621702</v>
      </c>
      <c r="P53" s="3">
        <v>11.7616693599289</v>
      </c>
      <c r="Q53" s="3">
        <v>11.555802921625199</v>
      </c>
      <c r="R53" s="3">
        <v>14.1524485810217</v>
      </c>
      <c r="S53" s="3">
        <v>5.97164557694507</v>
      </c>
      <c r="T53" s="3">
        <v>11.2417111447383</v>
      </c>
      <c r="U53" s="3">
        <v>17.2170630380384</v>
      </c>
      <c r="V53" s="3">
        <v>15.179461032354601</v>
      </c>
    </row>
    <row r="54" spans="1:22" x14ac:dyDescent="0.35">
      <c r="A54" s="2">
        <v>43329</v>
      </c>
      <c r="B54" s="3">
        <v>9.7144969607334293</v>
      </c>
      <c r="C54" s="3">
        <v>11.6411822874633</v>
      </c>
      <c r="D54" s="3">
        <v>13.132455957962501</v>
      </c>
      <c r="E54" s="3">
        <v>15.328140825278901</v>
      </c>
      <c r="F54" s="3">
        <v>10.732316639894201</v>
      </c>
      <c r="G54" s="3">
        <v>13.4283440399409</v>
      </c>
      <c r="H54" s="3">
        <v>16.3186510963851</v>
      </c>
      <c r="I54" s="3">
        <v>13.148077261621101</v>
      </c>
      <c r="J54" s="3">
        <v>14.9109619486944</v>
      </c>
      <c r="K54" s="3">
        <v>8.0866063778695594</v>
      </c>
      <c r="L54" s="3">
        <v>10.736088553665899</v>
      </c>
      <c r="M54" s="3">
        <v>13.11048765822</v>
      </c>
      <c r="N54" s="3">
        <v>14.2531734448244</v>
      </c>
      <c r="O54" s="3">
        <v>19.688277752854901</v>
      </c>
      <c r="P54" s="3">
        <v>11.1052413725712</v>
      </c>
      <c r="Q54" s="3">
        <v>11.9207790361592</v>
      </c>
      <c r="R54" s="3">
        <v>14.535384362520601</v>
      </c>
      <c r="S54" s="3">
        <v>5.7146868654186704</v>
      </c>
      <c r="T54" s="3">
        <v>11.1049123000374</v>
      </c>
      <c r="U54" s="3">
        <v>17.761617469111599</v>
      </c>
      <c r="V54" s="3">
        <v>13.8447906864698</v>
      </c>
    </row>
    <row r="55" spans="1:22" x14ac:dyDescent="0.35">
      <c r="A55" s="2">
        <v>43361</v>
      </c>
      <c r="B55" s="3">
        <v>10.067154678092701</v>
      </c>
      <c r="C55" s="3">
        <v>11.879896369914</v>
      </c>
      <c r="D55" s="3">
        <v>12.998194244334799</v>
      </c>
      <c r="E55" s="3">
        <v>14.054824703142399</v>
      </c>
      <c r="F55" s="3">
        <v>10.550090333576801</v>
      </c>
      <c r="G55" s="3">
        <v>12.593417903421001</v>
      </c>
      <c r="H55" s="3">
        <v>16.3885227353483</v>
      </c>
      <c r="I55" s="3">
        <v>12.9700894850659</v>
      </c>
      <c r="J55" s="3">
        <v>15.191327309026301</v>
      </c>
      <c r="K55" s="3">
        <v>8.2644569810625708</v>
      </c>
      <c r="L55" s="3">
        <v>10.635115255760599</v>
      </c>
      <c r="M55" s="3">
        <v>12.9715892709598</v>
      </c>
      <c r="N55" s="3">
        <v>14.4094263351812</v>
      </c>
      <c r="O55" s="3">
        <v>19.232489794825401</v>
      </c>
      <c r="P55" s="3">
        <v>10.799439445839701</v>
      </c>
      <c r="Q55" s="3">
        <v>12.402265986235401</v>
      </c>
      <c r="R55" s="3">
        <v>14.9766764493233</v>
      </c>
      <c r="S55" s="3">
        <v>5.9084826396493604</v>
      </c>
      <c r="T55" s="3">
        <v>11.8897961209712</v>
      </c>
      <c r="U55" s="3">
        <v>17.554100202479699</v>
      </c>
      <c r="V55" s="3">
        <v>13.4701244453101</v>
      </c>
    </row>
    <row r="56" spans="1:22" x14ac:dyDescent="0.35">
      <c r="A56" s="2">
        <v>43391</v>
      </c>
      <c r="B56" s="3">
        <v>9.2550075934733407</v>
      </c>
      <c r="C56" s="3">
        <v>15.089157279564599</v>
      </c>
      <c r="D56" s="3">
        <v>13.052087714856301</v>
      </c>
      <c r="E56" s="3">
        <v>13.8983602270742</v>
      </c>
      <c r="F56" s="3">
        <v>10.4135924176577</v>
      </c>
      <c r="G56" s="3">
        <v>12.9302339477243</v>
      </c>
      <c r="H56" s="3">
        <v>15.806102698926299</v>
      </c>
      <c r="I56" s="3">
        <v>12.096876946036399</v>
      </c>
      <c r="J56" s="3">
        <v>14.2042431930932</v>
      </c>
      <c r="K56" s="3">
        <v>7.7836593754189503</v>
      </c>
      <c r="L56" s="3">
        <v>11.036149063882901</v>
      </c>
      <c r="M56" s="3">
        <v>11.9663231527822</v>
      </c>
      <c r="N56" s="3">
        <v>12.3104115769749</v>
      </c>
      <c r="O56" s="3">
        <v>17.3953634246595</v>
      </c>
      <c r="P56" s="3">
        <v>9.9996544066568394</v>
      </c>
      <c r="Q56" s="3">
        <v>12.6894354007422</v>
      </c>
      <c r="R56" s="3">
        <v>14.3827594033602</v>
      </c>
      <c r="S56" s="3">
        <v>6.1077261956728996</v>
      </c>
      <c r="T56" s="3">
        <v>11.553919116985099</v>
      </c>
      <c r="U56" s="3">
        <v>15.204023829718899</v>
      </c>
      <c r="V56" s="3">
        <v>13.692357521664</v>
      </c>
    </row>
    <row r="57" spans="1:22" x14ac:dyDescent="0.35">
      <c r="A57" s="2">
        <v>43420</v>
      </c>
      <c r="B57" s="3">
        <v>9.9906432182509199</v>
      </c>
      <c r="C57" s="3">
        <v>15.207856551723401</v>
      </c>
      <c r="D57" s="3">
        <v>13.803255185015001</v>
      </c>
      <c r="E57" s="3">
        <v>13.595036610523101</v>
      </c>
      <c r="F57" s="3">
        <v>10.213591555841999</v>
      </c>
      <c r="G57" s="3">
        <v>13.4482288539223</v>
      </c>
      <c r="H57" s="3">
        <v>15.749035252578899</v>
      </c>
      <c r="I57" s="3">
        <v>12.3712633829761</v>
      </c>
      <c r="J57" s="3">
        <v>12.6782107168808</v>
      </c>
      <c r="K57" s="3">
        <v>7.9283485329800998</v>
      </c>
      <c r="L57" s="3">
        <v>11.6392221047282</v>
      </c>
      <c r="M57" s="3">
        <v>12.395115463659099</v>
      </c>
      <c r="N57" s="3">
        <v>11.846133644733801</v>
      </c>
      <c r="O57" s="3">
        <v>18.024461226899302</v>
      </c>
      <c r="P57" s="3">
        <v>10.5343507902325</v>
      </c>
      <c r="Q57" s="3">
        <v>12.812483997434001</v>
      </c>
      <c r="R57" s="3">
        <v>14.0359657358717</v>
      </c>
      <c r="S57" s="3">
        <v>5.7431571023134298</v>
      </c>
      <c r="T57" s="3">
        <v>11.954992322459301</v>
      </c>
      <c r="U57" s="3">
        <v>14.9332846220441</v>
      </c>
      <c r="V57" s="3">
        <v>13.4814615291411</v>
      </c>
    </row>
    <row r="58" spans="1:22" x14ac:dyDescent="0.35">
      <c r="A58" s="2">
        <v>43452</v>
      </c>
      <c r="B58" s="3">
        <v>9.8064952875102893</v>
      </c>
      <c r="C58" s="3">
        <v>14.5626285834608</v>
      </c>
      <c r="D58" s="3">
        <v>13.913890316184499</v>
      </c>
      <c r="E58" s="3">
        <v>14.725094816831801</v>
      </c>
      <c r="F58" s="3">
        <v>10.8221549882721</v>
      </c>
      <c r="G58" s="3">
        <v>13.211454457498199</v>
      </c>
      <c r="H58" s="3">
        <v>15.483571944094299</v>
      </c>
      <c r="I58" s="3">
        <v>12.349260915115901</v>
      </c>
      <c r="J58" s="3">
        <v>12.302128249456601</v>
      </c>
      <c r="K58" s="3">
        <v>8.2626857496897603</v>
      </c>
      <c r="L58" s="3">
        <v>11.3836574158909</v>
      </c>
      <c r="M58" s="3">
        <v>12.2737113808634</v>
      </c>
      <c r="N58" s="3">
        <v>11.9694655790629</v>
      </c>
      <c r="O58" s="3">
        <v>18.201308894388202</v>
      </c>
      <c r="P58" s="3">
        <v>10.293745676256799</v>
      </c>
      <c r="Q58" s="3">
        <v>13.123180066483201</v>
      </c>
      <c r="R58" s="3">
        <v>13.6249220116611</v>
      </c>
      <c r="S58" s="3">
        <v>5.93007994360784</v>
      </c>
      <c r="T58" s="3">
        <v>11.105741493491699</v>
      </c>
      <c r="U58" s="3">
        <v>15.457673668964</v>
      </c>
      <c r="V58" s="3">
        <v>14.542024592086699</v>
      </c>
    </row>
    <row r="59" spans="1:22" x14ac:dyDescent="0.35">
      <c r="A59" s="2">
        <v>43483</v>
      </c>
      <c r="B59" s="3">
        <v>9.9543641660457904</v>
      </c>
      <c r="C59" s="3">
        <v>15.772756421814</v>
      </c>
      <c r="D59" s="3">
        <v>14.803838550902499</v>
      </c>
      <c r="E59" s="3">
        <v>15.858385387757799</v>
      </c>
      <c r="F59" s="3">
        <v>11.065217634150899</v>
      </c>
      <c r="G59" s="3">
        <v>14.6503471410212</v>
      </c>
      <c r="H59" s="3">
        <v>16.233846216597801</v>
      </c>
      <c r="I59" s="3">
        <v>13.204054552689101</v>
      </c>
      <c r="J59" s="3">
        <v>13.2860260255047</v>
      </c>
      <c r="K59" s="3">
        <v>9.1490788010210995</v>
      </c>
      <c r="L59" s="3">
        <v>13.0276428193818</v>
      </c>
      <c r="M59" s="3">
        <v>13.0676196012146</v>
      </c>
      <c r="N59" s="3">
        <v>11.0947906387435</v>
      </c>
      <c r="O59" s="3">
        <v>17.9892849709342</v>
      </c>
      <c r="P59" s="3">
        <v>10.8077454420081</v>
      </c>
      <c r="Q59" s="3">
        <v>13.542839290755399</v>
      </c>
      <c r="R59" s="3">
        <v>13.923708817546601</v>
      </c>
      <c r="S59" s="3">
        <v>6.8422878964991902</v>
      </c>
      <c r="T59" s="3">
        <v>10.8262752635315</v>
      </c>
      <c r="U59" s="3">
        <v>14.9438139911432</v>
      </c>
      <c r="V59" s="3">
        <v>15.6531124061922</v>
      </c>
    </row>
    <row r="60" spans="1:22" x14ac:dyDescent="0.35">
      <c r="A60" s="2">
        <v>43511</v>
      </c>
      <c r="B60" s="3">
        <v>10.459888108971199</v>
      </c>
      <c r="C60" s="3">
        <v>15.773685073739999</v>
      </c>
      <c r="D60" s="3">
        <v>14.223448076515499</v>
      </c>
      <c r="E60" s="3">
        <v>15.3677099764411</v>
      </c>
      <c r="F60" s="3">
        <v>10.712038310637199</v>
      </c>
      <c r="G60" s="3">
        <v>15.779154459717001</v>
      </c>
      <c r="H60" s="3">
        <v>16.293314114497001</v>
      </c>
      <c r="I60" s="3">
        <v>13.7862903264593</v>
      </c>
      <c r="J60" s="3">
        <v>12.928469850610901</v>
      </c>
      <c r="K60" s="3">
        <v>10.1781563561422</v>
      </c>
      <c r="L60" s="3">
        <v>12.83136675503</v>
      </c>
      <c r="M60" s="3">
        <v>12.8299629799796</v>
      </c>
      <c r="N60" s="3">
        <v>11.813108669113999</v>
      </c>
      <c r="O60" s="3">
        <v>17.959219248402199</v>
      </c>
      <c r="P60" s="3">
        <v>11.098750881305399</v>
      </c>
      <c r="Q60" s="3">
        <v>12.430337952331101</v>
      </c>
      <c r="R60" s="3">
        <v>14.646452914220699</v>
      </c>
      <c r="S60" s="3">
        <v>7.0856706904964604</v>
      </c>
      <c r="T60" s="3">
        <v>10.8327181709897</v>
      </c>
      <c r="U60" s="3">
        <v>16.1410749445884</v>
      </c>
      <c r="V60" s="3">
        <v>16.200037602032499</v>
      </c>
    </row>
    <row r="61" spans="1:22" x14ac:dyDescent="0.35">
      <c r="A61" s="2">
        <v>43542</v>
      </c>
      <c r="B61" s="3">
        <v>11.723690676855201</v>
      </c>
      <c r="C61" s="3">
        <v>15.4144729532977</v>
      </c>
      <c r="D61" s="3">
        <v>14.6981215338116</v>
      </c>
      <c r="E61" s="3">
        <v>15.166935889677999</v>
      </c>
      <c r="F61" s="3">
        <v>11.218766612446201</v>
      </c>
      <c r="G61" s="3">
        <v>15.6590838820012</v>
      </c>
      <c r="H61" s="3">
        <v>16.509965677392</v>
      </c>
      <c r="I61" s="3">
        <v>14.5717017234604</v>
      </c>
      <c r="J61" s="3">
        <v>12.718873308982801</v>
      </c>
      <c r="K61" s="3">
        <v>10.5638165566713</v>
      </c>
      <c r="L61" s="3">
        <v>12.7076660414531</v>
      </c>
      <c r="M61" s="3">
        <v>13.0722642743898</v>
      </c>
      <c r="N61" s="3">
        <v>13.1966071234925</v>
      </c>
      <c r="O61" s="3">
        <v>18.920410556096598</v>
      </c>
      <c r="P61" s="3">
        <v>11.8760783240943</v>
      </c>
      <c r="Q61" s="3">
        <v>12.467711878562501</v>
      </c>
      <c r="R61" s="3">
        <v>14.6591343939612</v>
      </c>
      <c r="S61" s="3">
        <v>7.2886392808097904</v>
      </c>
      <c r="T61" s="3">
        <v>11.9232803310653</v>
      </c>
      <c r="U61" s="3">
        <v>17.648595624465699</v>
      </c>
      <c r="V61" s="3">
        <v>16.3121427851558</v>
      </c>
    </row>
    <row r="62" spans="1:22" x14ac:dyDescent="0.35">
      <c r="A62" s="2">
        <v>43573</v>
      </c>
      <c r="B62" s="3">
        <v>12.2838449241526</v>
      </c>
      <c r="C62" s="3">
        <v>14.9971785616152</v>
      </c>
      <c r="D62" s="3">
        <v>14.3603079477299</v>
      </c>
      <c r="E62" s="3">
        <v>15.1253483193641</v>
      </c>
      <c r="F62" s="3">
        <v>11.2715579161568</v>
      </c>
      <c r="G62" s="3">
        <v>14.8471684299111</v>
      </c>
      <c r="H62" s="3">
        <v>15.886128288178901</v>
      </c>
      <c r="I62" s="3">
        <v>15.2193563899875</v>
      </c>
      <c r="J62" s="3">
        <v>13.7279920295697</v>
      </c>
      <c r="K62" s="3">
        <v>11.172799381472201</v>
      </c>
      <c r="L62" s="3">
        <v>11.455917539348899</v>
      </c>
      <c r="M62" s="3">
        <v>13.803545833932301</v>
      </c>
      <c r="N62" s="3">
        <v>13.925104375976399</v>
      </c>
      <c r="O62" s="3">
        <v>18.945474135822302</v>
      </c>
      <c r="P62" s="3">
        <v>12.241287622405901</v>
      </c>
      <c r="Q62" s="3">
        <v>12.996264474402899</v>
      </c>
      <c r="R62" s="3">
        <v>15.1135884698721</v>
      </c>
      <c r="S62" s="3">
        <v>6.3108014727481798</v>
      </c>
      <c r="T62" s="3">
        <v>12.2003979170539</v>
      </c>
      <c r="U62" s="3">
        <v>17.773878102720701</v>
      </c>
      <c r="V62" s="3">
        <v>17.360288191718698</v>
      </c>
    </row>
    <row r="63" spans="1:22" x14ac:dyDescent="0.35">
      <c r="A63" s="2">
        <v>43602</v>
      </c>
      <c r="B63" s="3">
        <v>10.977877025763799</v>
      </c>
      <c r="C63" s="3">
        <v>14.0430244522927</v>
      </c>
      <c r="D63" s="3">
        <v>12.454380680105601</v>
      </c>
      <c r="E63" s="3">
        <v>14.790747795765901</v>
      </c>
      <c r="F63" s="3">
        <v>10.2025090768732</v>
      </c>
      <c r="G63" s="3">
        <v>13.053540498367701</v>
      </c>
      <c r="H63" s="3">
        <v>15.653263020486399</v>
      </c>
      <c r="I63" s="3">
        <v>14.320059198635001</v>
      </c>
      <c r="J63" s="3">
        <v>13.055113439203501</v>
      </c>
      <c r="K63" s="3">
        <v>10.542423573008101</v>
      </c>
      <c r="L63" s="3">
        <v>11.1313852348888</v>
      </c>
      <c r="M63" s="3">
        <v>13.063869667124999</v>
      </c>
      <c r="N63" s="3">
        <v>12.6883136870056</v>
      </c>
      <c r="O63" s="3">
        <v>18.402363815603099</v>
      </c>
      <c r="P63" s="3">
        <v>11.1872336235728</v>
      </c>
      <c r="Q63" s="3">
        <v>12.170677221670999</v>
      </c>
      <c r="R63" s="3">
        <v>14.563005895975801</v>
      </c>
      <c r="S63" s="3">
        <v>5.6004920778188696</v>
      </c>
      <c r="T63" s="3">
        <v>10.787377731115001</v>
      </c>
      <c r="U63" s="3">
        <v>17.498752645336999</v>
      </c>
      <c r="V63" s="3">
        <v>16.1392026692534</v>
      </c>
    </row>
    <row r="64" spans="1:22" x14ac:dyDescent="0.35">
      <c r="A64" s="2">
        <v>43634</v>
      </c>
      <c r="B64" s="3">
        <v>11.3777948194271</v>
      </c>
      <c r="C64" s="3">
        <v>14.674504541566399</v>
      </c>
      <c r="D64" s="3">
        <v>13.803264313722201</v>
      </c>
      <c r="E64" s="3">
        <v>15.295294921226001</v>
      </c>
      <c r="F64" s="3">
        <v>10.7527010424594</v>
      </c>
      <c r="G64" s="3">
        <v>13.294520500622999</v>
      </c>
      <c r="H64" s="3">
        <v>16.554045027766801</v>
      </c>
      <c r="I64" s="3">
        <v>14.695523584885899</v>
      </c>
      <c r="J64" s="3">
        <v>12.934605974136201</v>
      </c>
      <c r="K64" s="3">
        <v>10.9148167494057</v>
      </c>
      <c r="L64" s="3">
        <v>12.3597267921045</v>
      </c>
      <c r="M64" s="3">
        <v>13.300840836788799</v>
      </c>
      <c r="N64" s="3">
        <v>13.799355861056799</v>
      </c>
      <c r="O64" s="3">
        <v>18.770637096146601</v>
      </c>
      <c r="P64" s="3">
        <v>11.177779589168001</v>
      </c>
      <c r="Q64" s="3">
        <v>13.043820676493601</v>
      </c>
      <c r="R64" s="3">
        <v>15.3770670003706</v>
      </c>
      <c r="S64" s="3">
        <v>6.1634699138546596</v>
      </c>
      <c r="T64" s="3">
        <v>11.5619026781663</v>
      </c>
      <c r="U64" s="3">
        <v>16.442060460231101</v>
      </c>
      <c r="V64" s="3">
        <v>16.972108594001099</v>
      </c>
    </row>
    <row r="65" spans="1:22" x14ac:dyDescent="0.35">
      <c r="A65" s="2">
        <v>43664</v>
      </c>
      <c r="B65" s="3">
        <v>11.422163389224201</v>
      </c>
      <c r="C65" s="3">
        <v>15.0631653242987</v>
      </c>
      <c r="D65" s="3">
        <v>14.9410450442389</v>
      </c>
      <c r="E65" s="3">
        <v>15.7728967367027</v>
      </c>
      <c r="F65" s="3">
        <v>10.739913106081801</v>
      </c>
      <c r="G65" s="3">
        <v>15.0203413571521</v>
      </c>
      <c r="H65" s="3">
        <v>16.4398766853019</v>
      </c>
      <c r="I65" s="3">
        <v>14.9787726054271</v>
      </c>
      <c r="J65" s="3">
        <v>12.6609431051022</v>
      </c>
      <c r="K65" s="3">
        <v>11.1291516273632</v>
      </c>
      <c r="L65" s="3">
        <v>12.7748244506018</v>
      </c>
      <c r="M65" s="3">
        <v>13.077832939656</v>
      </c>
      <c r="N65" s="3">
        <v>14.069141939888899</v>
      </c>
      <c r="O65" s="3">
        <v>18.590574375900498</v>
      </c>
      <c r="P65" s="3">
        <v>11.390098480709399</v>
      </c>
      <c r="Q65" s="3">
        <v>13.311523448767201</v>
      </c>
      <c r="R65" s="3">
        <v>15.7356392666009</v>
      </c>
      <c r="S65" s="3">
        <v>6.53234600002272</v>
      </c>
      <c r="T65" s="3">
        <v>11.994637614362899</v>
      </c>
      <c r="U65" s="3">
        <v>15.6833232488219</v>
      </c>
      <c r="V65" s="3">
        <v>17.1015511075292</v>
      </c>
    </row>
    <row r="66" spans="1:22" x14ac:dyDescent="0.35">
      <c r="A66" s="2">
        <v>43693</v>
      </c>
      <c r="B66" s="3">
        <v>11.2678838894478</v>
      </c>
      <c r="C66" s="3">
        <v>13.7387071413672</v>
      </c>
      <c r="D66" s="3">
        <v>14.574340030120901</v>
      </c>
      <c r="E66" s="3">
        <v>14.4740634155702</v>
      </c>
      <c r="F66" s="3">
        <v>9.4626546271749401</v>
      </c>
      <c r="G66" s="3">
        <v>14.2741982351796</v>
      </c>
      <c r="H66" s="3">
        <v>15.9913060269472</v>
      </c>
      <c r="I66" s="3">
        <v>14.4137134113431</v>
      </c>
      <c r="J66" s="3">
        <v>12.192904261638001</v>
      </c>
      <c r="K66" s="3">
        <v>10.517547271779</v>
      </c>
      <c r="L66" s="3">
        <v>12.4260365531287</v>
      </c>
      <c r="M66" s="3">
        <v>11.878757456210399</v>
      </c>
      <c r="N66" s="3">
        <v>12.164780977455401</v>
      </c>
      <c r="O66" s="3">
        <v>18.1370501294622</v>
      </c>
      <c r="P66" s="3">
        <v>10.853249109922199</v>
      </c>
      <c r="Q66" s="3">
        <v>12.166805947056501</v>
      </c>
      <c r="R66" s="3">
        <v>15.1225410171399</v>
      </c>
      <c r="S66" s="3">
        <v>6.2578921680085902</v>
      </c>
      <c r="T66" s="3">
        <v>12.221615194967301</v>
      </c>
      <c r="U66" s="3">
        <v>14.2170749537527</v>
      </c>
      <c r="V66" s="3">
        <v>16.846133304645001</v>
      </c>
    </row>
    <row r="67" spans="1:22" x14ac:dyDescent="0.35">
      <c r="A67" s="2">
        <v>43726</v>
      </c>
      <c r="B67" s="3">
        <v>11.8783639529731</v>
      </c>
      <c r="C67" s="3">
        <v>15.106822893227999</v>
      </c>
      <c r="D67" s="3">
        <v>14.7092511413243</v>
      </c>
      <c r="E67" s="3">
        <v>14.010970707790801</v>
      </c>
      <c r="F67" s="3">
        <v>10.0518611707112</v>
      </c>
      <c r="G67" s="3">
        <v>14.054276167598999</v>
      </c>
      <c r="H67" s="3">
        <v>16.1058576460943</v>
      </c>
      <c r="I67" s="3">
        <v>15.2593103465578</v>
      </c>
      <c r="J67" s="3">
        <v>13.4500739231877</v>
      </c>
      <c r="K67" s="3">
        <v>11.0590406920416</v>
      </c>
      <c r="L67" s="3">
        <v>12.925922574467201</v>
      </c>
      <c r="M67" s="3">
        <v>12.1281775610921</v>
      </c>
      <c r="N67" s="3">
        <v>13.9346366942407</v>
      </c>
      <c r="O67" s="3">
        <v>17.8545594840025</v>
      </c>
      <c r="P67" s="3">
        <v>11.480047160888899</v>
      </c>
      <c r="Q67" s="3">
        <v>13.4875036376243</v>
      </c>
      <c r="R67" s="3">
        <v>15.427750966167901</v>
      </c>
      <c r="S67" s="3">
        <v>6.4096109643833703</v>
      </c>
      <c r="T67" s="3">
        <v>12.9920015600898</v>
      </c>
      <c r="U67" s="3">
        <v>14.282882784304901</v>
      </c>
      <c r="V67" s="3">
        <v>16.597520933668701</v>
      </c>
    </row>
    <row r="68" spans="1:22" x14ac:dyDescent="0.35">
      <c r="A68" s="2">
        <v>43756</v>
      </c>
      <c r="B68" s="3">
        <v>11.5975497512794</v>
      </c>
      <c r="C68" s="3">
        <v>15.649384841697399</v>
      </c>
      <c r="D68" s="3">
        <v>14.517157236019401</v>
      </c>
      <c r="E68" s="3">
        <v>13.9117496762281</v>
      </c>
      <c r="F68" s="3">
        <v>9.9011210827287393</v>
      </c>
      <c r="G68" s="3">
        <v>13.8364767726986</v>
      </c>
      <c r="H68" s="3">
        <v>15.7819143971986</v>
      </c>
      <c r="I68" s="3">
        <v>15.290702097013501</v>
      </c>
      <c r="J68" s="3">
        <v>13.641162779981901</v>
      </c>
      <c r="K68" s="3">
        <v>10.911203731450399</v>
      </c>
      <c r="L68" s="3">
        <v>13.081915588657001</v>
      </c>
      <c r="M68" s="3">
        <v>11.787954109555701</v>
      </c>
      <c r="N68" s="3">
        <v>11.9214824866763</v>
      </c>
      <c r="O68" s="3">
        <v>18.6166600731407</v>
      </c>
      <c r="P68" s="3">
        <v>11.159752648428899</v>
      </c>
      <c r="Q68" s="3">
        <v>13.642523036102199</v>
      </c>
      <c r="R68" s="3">
        <v>15.478646179800901</v>
      </c>
      <c r="S68" s="3">
        <v>6.0657334589903904</v>
      </c>
      <c r="T68" s="3">
        <v>13.214365476473301</v>
      </c>
      <c r="U68" s="3">
        <v>14.2598339482787</v>
      </c>
      <c r="V68" s="3">
        <v>16.1450996170033</v>
      </c>
    </row>
    <row r="69" spans="1:22" x14ac:dyDescent="0.35">
      <c r="A69" s="2">
        <v>43787</v>
      </c>
      <c r="B69" s="3">
        <v>11.543027755242001</v>
      </c>
      <c r="C69" s="3">
        <v>14.2837321796005</v>
      </c>
      <c r="D69" s="3">
        <v>14.650324470326799</v>
      </c>
      <c r="E69" s="3">
        <v>13.938954392814299</v>
      </c>
      <c r="F69" s="3">
        <v>10.2729519383432</v>
      </c>
      <c r="G69" s="3">
        <v>13.7995621807124</v>
      </c>
      <c r="H69" s="3">
        <v>16.116655774438499</v>
      </c>
      <c r="I69" s="3">
        <v>15.740863251439601</v>
      </c>
      <c r="J69" s="3">
        <v>13.6893469179576</v>
      </c>
      <c r="K69" s="3">
        <v>11.528697873650399</v>
      </c>
      <c r="L69" s="3">
        <v>13.338833896043299</v>
      </c>
      <c r="M69" s="3">
        <v>11.870247549663601</v>
      </c>
      <c r="N69" s="3">
        <v>11.7501640604107</v>
      </c>
      <c r="O69" s="3">
        <v>19.098897258263602</v>
      </c>
      <c r="P69" s="3">
        <v>11.23150246807</v>
      </c>
      <c r="Q69" s="3">
        <v>13.2210676211205</v>
      </c>
      <c r="R69" s="3">
        <v>15.7470278910169</v>
      </c>
      <c r="S69" s="3">
        <v>6.3378274628011297</v>
      </c>
      <c r="T69" s="3">
        <v>13.225589931374</v>
      </c>
      <c r="U69" s="3">
        <v>14.9139675869335</v>
      </c>
      <c r="V69" s="3">
        <v>16.511640565898102</v>
      </c>
    </row>
    <row r="70" spans="1:22" x14ac:dyDescent="0.35">
      <c r="A70" s="2">
        <v>43817</v>
      </c>
      <c r="B70" s="3">
        <v>12.560847466046001</v>
      </c>
      <c r="C70" s="3">
        <v>13.5247965451696</v>
      </c>
      <c r="D70" s="3">
        <v>15.1384493625013</v>
      </c>
      <c r="E70" s="3">
        <v>14.0142819793536</v>
      </c>
      <c r="F70" s="3">
        <v>10.1359199726149</v>
      </c>
      <c r="G70" s="3">
        <v>14.264168335410099</v>
      </c>
      <c r="H70" s="3">
        <v>16.192240123561401</v>
      </c>
      <c r="I70" s="3">
        <v>16.045439096412402</v>
      </c>
      <c r="J70" s="3">
        <v>14.3080965609243</v>
      </c>
      <c r="K70" s="3">
        <v>11.483026347461101</v>
      </c>
      <c r="L70" s="3">
        <v>14.291047451183699</v>
      </c>
      <c r="M70" s="3">
        <v>12.5257392043924</v>
      </c>
      <c r="N70" s="3">
        <v>11.3393381485793</v>
      </c>
      <c r="O70" s="3">
        <v>19.264359043773201</v>
      </c>
      <c r="P70" s="3">
        <v>12.248336230148499</v>
      </c>
      <c r="Q70" s="3">
        <v>13.7171819784842</v>
      </c>
      <c r="R70" s="3">
        <v>15.2068630163688</v>
      </c>
      <c r="S70" s="3">
        <v>6.3457653367309899</v>
      </c>
      <c r="T70" s="3">
        <v>13.8445021097038</v>
      </c>
      <c r="U70" s="3">
        <v>14.185298243738099</v>
      </c>
      <c r="V70" s="3">
        <v>16.791331510498701</v>
      </c>
    </row>
    <row r="71" spans="1:22" x14ac:dyDescent="0.35">
      <c r="A71" s="2">
        <v>43847</v>
      </c>
      <c r="B71" s="3">
        <v>12.9020584914627</v>
      </c>
      <c r="C71" s="3">
        <v>13.985696638624001</v>
      </c>
      <c r="D71" s="3">
        <v>15.679994344294499</v>
      </c>
      <c r="E71" s="3">
        <v>13.780371802883201</v>
      </c>
      <c r="F71" s="3">
        <v>10.5717929834379</v>
      </c>
      <c r="G71" s="3">
        <v>14.7198818080244</v>
      </c>
      <c r="H71" s="3">
        <v>16.016311075374901</v>
      </c>
      <c r="I71" s="3">
        <v>15.580492475238399</v>
      </c>
      <c r="J71" s="3">
        <v>14.5844558903935</v>
      </c>
      <c r="K71" s="3">
        <v>11.6335862765296</v>
      </c>
      <c r="L71" s="3">
        <v>14.6322177786826</v>
      </c>
      <c r="M71" s="3">
        <v>12.436078768279501</v>
      </c>
      <c r="N71" s="3">
        <v>11.2966647254422</v>
      </c>
      <c r="O71" s="3">
        <v>19.434313306745899</v>
      </c>
      <c r="P71" s="3">
        <v>12.640668861289001</v>
      </c>
      <c r="Q71" s="3">
        <v>14.2186545133171</v>
      </c>
      <c r="R71" s="3">
        <v>15.7376733832686</v>
      </c>
      <c r="S71" s="3">
        <v>6.7701497287388701</v>
      </c>
      <c r="T71" s="3">
        <v>13.8579964019212</v>
      </c>
      <c r="U71" s="3">
        <v>13.9092949750972</v>
      </c>
      <c r="V71" s="3">
        <v>17.264298048898201</v>
      </c>
    </row>
    <row r="72" spans="1:22" x14ac:dyDescent="0.35">
      <c r="A72" s="2">
        <v>43879</v>
      </c>
      <c r="B72" s="3">
        <v>12.725447840417001</v>
      </c>
      <c r="C72" s="3">
        <v>12.837666681139901</v>
      </c>
      <c r="D72" s="3">
        <v>14.485699615070599</v>
      </c>
      <c r="E72" s="3">
        <v>13.0916628172454</v>
      </c>
      <c r="F72" s="3">
        <v>10.7390077704919</v>
      </c>
      <c r="G72" s="3">
        <v>14.430113861018301</v>
      </c>
      <c r="H72" s="3">
        <v>15.504804230523799</v>
      </c>
      <c r="I72" s="3">
        <v>14.9014506955477</v>
      </c>
      <c r="J72" s="3">
        <v>14.355430507361501</v>
      </c>
      <c r="K72" s="3">
        <v>11.340314141288699</v>
      </c>
      <c r="L72" s="3">
        <v>14.104011391818201</v>
      </c>
      <c r="M72" s="3">
        <v>12.036805016518301</v>
      </c>
      <c r="N72" s="3">
        <v>10.9552580160874</v>
      </c>
      <c r="O72" s="3">
        <v>19.0472388408039</v>
      </c>
      <c r="P72" s="3">
        <v>12.423699776906799</v>
      </c>
      <c r="Q72" s="3">
        <v>13.0079259482272</v>
      </c>
      <c r="R72" s="3">
        <v>15.257875611780101</v>
      </c>
      <c r="S72" s="3">
        <v>6.5877363219665002</v>
      </c>
      <c r="T72" s="3">
        <v>12.7922314800277</v>
      </c>
      <c r="U72" s="3">
        <v>13.280383494638899</v>
      </c>
      <c r="V72" s="3">
        <v>15.7494230433691</v>
      </c>
    </row>
    <row r="73" spans="1:22" x14ac:dyDescent="0.35">
      <c r="A73" s="2">
        <v>43908</v>
      </c>
      <c r="B73" s="3">
        <v>11.462181781762</v>
      </c>
      <c r="C73" s="3">
        <v>8.0777082523357304</v>
      </c>
      <c r="D73" s="3">
        <v>9.9928287921284404</v>
      </c>
      <c r="E73" s="3">
        <v>9.8852895334917008</v>
      </c>
      <c r="F73" s="3">
        <v>7.7271589527288196</v>
      </c>
      <c r="G73" s="3">
        <v>9.9267540064068207</v>
      </c>
      <c r="H73" s="3">
        <v>13.143568273224</v>
      </c>
      <c r="I73" s="3">
        <v>12.185940272202799</v>
      </c>
      <c r="J73" s="3">
        <v>10.8618477051292</v>
      </c>
      <c r="K73" s="3">
        <v>8.2336921741003106</v>
      </c>
      <c r="L73" s="3">
        <v>9.2811862615182399</v>
      </c>
      <c r="M73" s="3">
        <v>7.4624088644493103</v>
      </c>
      <c r="N73" s="3">
        <v>5.5490797134834002</v>
      </c>
      <c r="O73" s="3">
        <v>13.705332322651801</v>
      </c>
      <c r="P73" s="3">
        <v>10.408062658605701</v>
      </c>
      <c r="Q73" s="3">
        <v>11.7262539365635</v>
      </c>
      <c r="R73" s="3">
        <v>11.598583605628701</v>
      </c>
      <c r="S73" s="3">
        <v>4.8851562277171796</v>
      </c>
      <c r="T73" s="3">
        <v>8.5907595462481599</v>
      </c>
      <c r="U73" s="3">
        <v>11.435133214330399</v>
      </c>
      <c r="V73" s="3">
        <v>13.382169171618401</v>
      </c>
    </row>
    <row r="74" spans="1:22" x14ac:dyDescent="0.35">
      <c r="A74" s="2">
        <v>43938</v>
      </c>
      <c r="B74" s="3">
        <v>12.4502700806043</v>
      </c>
      <c r="C74" s="3">
        <v>11.154332722363201</v>
      </c>
      <c r="D74" s="3">
        <v>10.9903121327939</v>
      </c>
      <c r="E74" s="3">
        <v>11.4917876882462</v>
      </c>
      <c r="F74" s="3">
        <v>10.6565415860334</v>
      </c>
      <c r="G74" s="3">
        <v>11.8247854993459</v>
      </c>
      <c r="H74" s="3">
        <v>15.897267989474001</v>
      </c>
      <c r="I74" s="3">
        <v>14.801503327932901</v>
      </c>
      <c r="J74" s="3">
        <v>11.6704633114022</v>
      </c>
      <c r="K74" s="3">
        <v>10.8174979091606</v>
      </c>
      <c r="L74" s="3">
        <v>12.3430738461965</v>
      </c>
      <c r="M74" s="3">
        <v>9.6174972014522808</v>
      </c>
      <c r="N74" s="3">
        <v>8.3490981196602991</v>
      </c>
      <c r="O74" s="3">
        <v>16.684094734227401</v>
      </c>
      <c r="P74" s="3">
        <v>12.358192929323099</v>
      </c>
      <c r="Q74" s="3">
        <v>12.303747234785799</v>
      </c>
      <c r="R74" s="3">
        <v>15.056628183375</v>
      </c>
      <c r="S74" s="3">
        <v>5.8896394117039996</v>
      </c>
      <c r="T74" s="3">
        <v>14.137032497944899</v>
      </c>
      <c r="U74" s="3">
        <v>13.8378111994015</v>
      </c>
      <c r="V74" s="3">
        <v>15.792094028655701</v>
      </c>
    </row>
    <row r="75" spans="1:22" x14ac:dyDescent="0.35">
      <c r="A75" s="2">
        <v>43969</v>
      </c>
      <c r="B75" s="3">
        <v>13.1504491414927</v>
      </c>
      <c r="C75" s="3">
        <v>12.791893809089499</v>
      </c>
      <c r="D75" s="3">
        <v>12.2118712683064</v>
      </c>
      <c r="E75" s="3">
        <v>12.7660143935259</v>
      </c>
      <c r="F75" s="3">
        <v>11.898235484550501</v>
      </c>
      <c r="G75" s="3">
        <v>15.130943205755599</v>
      </c>
      <c r="H75" s="3">
        <v>16.403497294105499</v>
      </c>
      <c r="I75" s="3">
        <v>15.1203028629984</v>
      </c>
      <c r="J75" s="3">
        <v>14.9829353868049</v>
      </c>
      <c r="K75" s="3">
        <v>11.556406369762</v>
      </c>
      <c r="L75" s="3">
        <v>15.299644831157</v>
      </c>
      <c r="M75" s="3">
        <v>10.553444523415401</v>
      </c>
      <c r="N75" s="3">
        <v>10.022396461045901</v>
      </c>
      <c r="O75" s="3">
        <v>17.843069893133102</v>
      </c>
      <c r="P75" s="3">
        <v>12.816531970588199</v>
      </c>
      <c r="Q75" s="3">
        <v>13.7443655735223</v>
      </c>
      <c r="R75" s="3">
        <v>17.7926697754129</v>
      </c>
      <c r="S75" s="3">
        <v>6.9457479844844201</v>
      </c>
      <c r="T75" s="3">
        <v>15.6217180308774</v>
      </c>
      <c r="U75" s="3">
        <v>14.006367136247601</v>
      </c>
      <c r="V75" s="3">
        <v>18.2949541982242</v>
      </c>
    </row>
    <row r="76" spans="1:22" x14ac:dyDescent="0.35">
      <c r="A76" s="2">
        <v>44000</v>
      </c>
      <c r="B76" s="3">
        <v>13.873824598352099</v>
      </c>
      <c r="C76" s="3">
        <v>14.61390291739</v>
      </c>
      <c r="D76" s="3">
        <v>15.7806317483727</v>
      </c>
      <c r="E76" s="3">
        <v>15.7629629239471</v>
      </c>
      <c r="F76" s="3">
        <v>13.1170218006691</v>
      </c>
      <c r="G76" s="3">
        <v>18.098223682950699</v>
      </c>
      <c r="H76" s="3">
        <v>18.9620236206779</v>
      </c>
      <c r="I76" s="3">
        <v>16.200647511964299</v>
      </c>
      <c r="J76" s="3">
        <v>16.641088891094402</v>
      </c>
      <c r="K76" s="3">
        <v>12.5962430262946</v>
      </c>
      <c r="L76" s="3">
        <v>18.290631169349599</v>
      </c>
      <c r="M76" s="3">
        <v>11.196385809169101</v>
      </c>
      <c r="N76" s="3">
        <v>13.829309068685999</v>
      </c>
      <c r="O76" s="3">
        <v>21.5320750008689</v>
      </c>
      <c r="P76" s="3">
        <v>13.950049451885301</v>
      </c>
      <c r="Q76" s="3">
        <v>14.7275830750282</v>
      </c>
      <c r="R76" s="3">
        <v>19.470014733779202</v>
      </c>
      <c r="S76" s="3">
        <v>8.3243325579003304</v>
      </c>
      <c r="T76" s="3">
        <v>17.372493983174198</v>
      </c>
      <c r="U76" s="3">
        <v>15.2404493302395</v>
      </c>
      <c r="V76" s="3">
        <v>19.541491012761</v>
      </c>
    </row>
    <row r="77" spans="1:22" x14ac:dyDescent="0.35">
      <c r="A77" s="2">
        <v>44029</v>
      </c>
      <c r="B77" s="3">
        <v>15.5474247235553</v>
      </c>
      <c r="C77" s="3">
        <v>14.8657337919573</v>
      </c>
      <c r="D77" s="3">
        <v>16.362347789231801</v>
      </c>
      <c r="E77" s="3">
        <v>15.282710709994699</v>
      </c>
      <c r="F77" s="3">
        <v>12.4628728812645</v>
      </c>
      <c r="G77" s="3">
        <v>19.504638806921101</v>
      </c>
      <c r="H77" s="3">
        <v>19.679463158299001</v>
      </c>
      <c r="I77" s="3">
        <v>16.707248204894999</v>
      </c>
      <c r="J77" s="3">
        <v>16.445129866511699</v>
      </c>
      <c r="K77" s="3">
        <v>12.7464513921212</v>
      </c>
      <c r="L77" s="3">
        <v>27.0725321875275</v>
      </c>
      <c r="M77" s="3">
        <v>11.8627075697222</v>
      </c>
      <c r="N77" s="3">
        <v>13.2454751922578</v>
      </c>
      <c r="O77" s="3">
        <v>23.336294938745699</v>
      </c>
      <c r="P77" s="3">
        <v>14.804288972299499</v>
      </c>
      <c r="Q77" s="3">
        <v>15.0764675781205</v>
      </c>
      <c r="R77" s="3">
        <v>19.322814280204401</v>
      </c>
      <c r="S77" s="3">
        <v>8.3844340208484205</v>
      </c>
      <c r="T77" s="3">
        <v>16.394857699796201</v>
      </c>
      <c r="U77" s="3">
        <v>15.2095458217463</v>
      </c>
      <c r="V77" s="3">
        <v>19.714264060304501</v>
      </c>
    </row>
    <row r="78" spans="1:22" x14ac:dyDescent="0.35">
      <c r="A78" s="2">
        <v>44061</v>
      </c>
      <c r="B78" s="3">
        <v>16.286043030456</v>
      </c>
      <c r="C78" s="3">
        <v>16.1326994043871</v>
      </c>
      <c r="D78" s="3">
        <v>17.027573511388098</v>
      </c>
      <c r="E78" s="3">
        <v>16.571970184382302</v>
      </c>
      <c r="F78" s="3">
        <v>12.7206581508854</v>
      </c>
      <c r="G78" s="3">
        <v>23.178702973599201</v>
      </c>
      <c r="H78" s="3">
        <v>18.852724157119301</v>
      </c>
      <c r="I78" s="3">
        <v>16.6575208590382</v>
      </c>
      <c r="J78" s="3">
        <v>17.687347733707401</v>
      </c>
      <c r="K78" s="3">
        <v>13.0295820869938</v>
      </c>
      <c r="L78" s="3">
        <v>25.2455298779008</v>
      </c>
      <c r="M78" s="3">
        <v>11.3922663042125</v>
      </c>
      <c r="N78" s="3">
        <v>12.2232223337052</v>
      </c>
      <c r="O78" s="3">
        <v>23.742541467450401</v>
      </c>
      <c r="P78" s="3">
        <v>15.139503599003699</v>
      </c>
      <c r="Q78" s="3">
        <v>15.6770369783221</v>
      </c>
      <c r="R78" s="3">
        <v>19.454278745522</v>
      </c>
      <c r="S78" s="3">
        <v>7.7128693404333699</v>
      </c>
      <c r="T78" s="3">
        <v>13.746406720071001</v>
      </c>
      <c r="U78" s="3">
        <v>14.3964890584495</v>
      </c>
      <c r="V78" s="3">
        <v>20.220270829832</v>
      </c>
    </row>
    <row r="79" spans="1:22" x14ac:dyDescent="0.35">
      <c r="A79" s="2">
        <v>44092</v>
      </c>
      <c r="B79" s="3">
        <v>16.213096950291799</v>
      </c>
      <c r="C79" s="3">
        <v>14.4088126228677</v>
      </c>
      <c r="D79" s="3">
        <v>15.6504314974454</v>
      </c>
      <c r="E79" s="3">
        <v>15.819539676895101</v>
      </c>
      <c r="F79" s="3">
        <v>11.6640740578863</v>
      </c>
      <c r="G79" s="3">
        <v>21.864344483663501</v>
      </c>
      <c r="H79" s="3">
        <v>17.508566428689001</v>
      </c>
      <c r="I79" s="3">
        <v>15.711967038190201</v>
      </c>
      <c r="J79" s="3">
        <v>15.1787519290358</v>
      </c>
      <c r="K79" s="3">
        <v>12.895955347074301</v>
      </c>
      <c r="L79" s="3">
        <v>19.199160370167</v>
      </c>
      <c r="M79" s="3">
        <v>10.7247719053036</v>
      </c>
      <c r="N79" s="3">
        <v>12.4163762693107</v>
      </c>
      <c r="O79" s="3">
        <v>23.255606748087299</v>
      </c>
      <c r="P79" s="3">
        <v>14.9194460316549</v>
      </c>
      <c r="Q79" s="3">
        <v>15.247506802076099</v>
      </c>
      <c r="R79" s="3">
        <v>18.919066521411299</v>
      </c>
      <c r="S79" s="3">
        <v>7.5064638782929602</v>
      </c>
      <c r="T79" s="3">
        <v>13.950757057532201</v>
      </c>
      <c r="U79" s="3">
        <v>15.488422092053201</v>
      </c>
      <c r="V79" s="3">
        <v>21.778468504007702</v>
      </c>
    </row>
    <row r="80" spans="1:22" x14ac:dyDescent="0.35">
      <c r="A80" s="2">
        <v>44120</v>
      </c>
      <c r="B80" s="3">
        <v>16.172778486197998</v>
      </c>
      <c r="C80" s="3">
        <v>13.8335592185958</v>
      </c>
      <c r="D80" s="3">
        <v>15.762589001960199</v>
      </c>
      <c r="E80" s="3">
        <v>15.6184206049659</v>
      </c>
      <c r="F80" s="3">
        <v>11.4433091392916</v>
      </c>
      <c r="G80" s="3">
        <v>18.403791164012699</v>
      </c>
      <c r="H80" s="3">
        <v>17.3128085966129</v>
      </c>
      <c r="I80" s="3">
        <v>15.1067419502397</v>
      </c>
      <c r="J80" s="3">
        <v>14.9053397056832</v>
      </c>
      <c r="K80" s="3">
        <v>12.116461828296501</v>
      </c>
      <c r="L80" s="3">
        <v>16.4628399138061</v>
      </c>
      <c r="M80" s="3">
        <v>10.3877447243218</v>
      </c>
      <c r="N80" s="3">
        <v>10.1575611700297</v>
      </c>
      <c r="O80" s="3">
        <v>22.7736252921197</v>
      </c>
      <c r="P80" s="3">
        <v>15.4399231331334</v>
      </c>
      <c r="Q80" s="3">
        <v>15.529769341409599</v>
      </c>
      <c r="R80" s="3">
        <v>17.795792576543001</v>
      </c>
      <c r="S80" s="3">
        <v>7.6869967149718796</v>
      </c>
      <c r="T80" s="3">
        <v>12.3332910888812</v>
      </c>
      <c r="U80" s="3">
        <v>15.5158470090955</v>
      </c>
      <c r="V80" s="3">
        <v>21.625095217254199</v>
      </c>
    </row>
    <row r="81" spans="1:22" x14ac:dyDescent="0.35">
      <c r="A81" s="2">
        <v>44153</v>
      </c>
      <c r="B81" s="3">
        <v>16.030267902500299</v>
      </c>
      <c r="C81" s="3">
        <v>15.027036966722999</v>
      </c>
      <c r="D81" s="3">
        <v>17.391241945654301</v>
      </c>
      <c r="E81" s="3">
        <v>17.865647540789201</v>
      </c>
      <c r="F81" s="3">
        <v>13.6665063444499</v>
      </c>
      <c r="G81" s="3">
        <v>17.449147983808601</v>
      </c>
      <c r="H81" s="3">
        <v>16.514170367946299</v>
      </c>
      <c r="I81" s="3">
        <v>15.5531125756217</v>
      </c>
      <c r="J81" s="3">
        <v>15.6883699053485</v>
      </c>
      <c r="K81" s="3">
        <v>12.5387716349084</v>
      </c>
      <c r="L81" s="3">
        <v>14.5721754461381</v>
      </c>
      <c r="M81" s="3">
        <v>10.5141251520753</v>
      </c>
      <c r="N81" s="3">
        <v>10.9872983088199</v>
      </c>
      <c r="O81" s="3">
        <v>22.9530784320586</v>
      </c>
      <c r="P81" s="3">
        <v>14.9452768434055</v>
      </c>
      <c r="Q81" s="3">
        <v>15.224839230476499</v>
      </c>
      <c r="R81" s="3">
        <v>18.719385241401898</v>
      </c>
      <c r="S81" s="3">
        <v>8.1350118905913895</v>
      </c>
      <c r="T81" s="3">
        <v>15.947190125720599</v>
      </c>
      <c r="U81" s="3">
        <v>15.215220666011399</v>
      </c>
      <c r="V81" s="3">
        <v>20.1971747161049</v>
      </c>
    </row>
    <row r="82" spans="1:22" x14ac:dyDescent="0.35">
      <c r="A82" s="2">
        <v>44183</v>
      </c>
      <c r="B82" s="3">
        <v>16.568436842996299</v>
      </c>
      <c r="C82" s="3">
        <v>14.0874692973831</v>
      </c>
      <c r="D82" s="3">
        <v>18.5803221824636</v>
      </c>
      <c r="E82" s="3">
        <v>16.9528066473462</v>
      </c>
      <c r="F82" s="3">
        <v>13.4457447505586</v>
      </c>
      <c r="G82" s="3">
        <v>15.6606336528097</v>
      </c>
      <c r="H82" s="3">
        <v>15.3470234092752</v>
      </c>
      <c r="I82" s="3">
        <v>15.607485383599499</v>
      </c>
      <c r="J82" s="3">
        <v>15.325074877776</v>
      </c>
      <c r="K82" s="3">
        <v>13.179974387296101</v>
      </c>
      <c r="L82" s="3">
        <v>13.400365563808499</v>
      </c>
      <c r="M82" s="3">
        <v>10.1328408832742</v>
      </c>
      <c r="N82" s="3">
        <v>12.3676551289527</v>
      </c>
      <c r="O82" s="3">
        <v>24.205900299381401</v>
      </c>
      <c r="P82" s="3">
        <v>15.529730442949401</v>
      </c>
      <c r="Q82" s="3">
        <v>14.3315133225311</v>
      </c>
      <c r="R82" s="3">
        <v>19.380283200720399</v>
      </c>
      <c r="S82" s="3">
        <v>7.8093586932384902</v>
      </c>
      <c r="T82" s="3">
        <v>15.4945525453735</v>
      </c>
      <c r="U82" s="3">
        <v>16.124594690516801</v>
      </c>
      <c r="V82" s="3">
        <v>19.386051836503899</v>
      </c>
    </row>
    <row r="83" spans="1:22" x14ac:dyDescent="0.35">
      <c r="A83" s="2">
        <v>44211</v>
      </c>
      <c r="B83" s="3">
        <v>17.957530438875899</v>
      </c>
      <c r="C83" s="3">
        <v>14.830911752052099</v>
      </c>
      <c r="D83" s="3">
        <v>18.2113381960109</v>
      </c>
      <c r="E83" s="3">
        <v>16.725632188473298</v>
      </c>
      <c r="F83" s="3">
        <v>13.7805030779914</v>
      </c>
      <c r="G83" s="3">
        <v>14.218281194106799</v>
      </c>
      <c r="H83" s="3">
        <v>14.7756016665756</v>
      </c>
      <c r="I83" s="3">
        <v>16.633223596456801</v>
      </c>
      <c r="J83" s="3">
        <v>15.262409014711899</v>
      </c>
      <c r="K83" s="3">
        <v>14.3910101920901</v>
      </c>
      <c r="L83" s="3">
        <v>12.0594979215086</v>
      </c>
      <c r="M83" s="3">
        <v>9.8834668885505508</v>
      </c>
      <c r="N83" s="3">
        <v>11.298424098029701</v>
      </c>
      <c r="O83" s="3">
        <v>24.3330271687907</v>
      </c>
      <c r="P83" s="3">
        <v>16.731788867968</v>
      </c>
      <c r="Q83" s="3">
        <v>14.5416431230183</v>
      </c>
      <c r="R83" s="3">
        <v>19.9129479354119</v>
      </c>
      <c r="S83" s="3">
        <v>7.8337100526554</v>
      </c>
      <c r="T83" s="3">
        <v>15.698211401304301</v>
      </c>
      <c r="U83" s="3">
        <v>17.3865489076084</v>
      </c>
      <c r="V83" s="3">
        <v>19.191286400062602</v>
      </c>
    </row>
    <row r="84" spans="1:22" x14ac:dyDescent="0.35">
      <c r="A84" s="2">
        <v>44245</v>
      </c>
      <c r="B84" s="3">
        <v>18.821692186411699</v>
      </c>
      <c r="C84" s="3">
        <v>14.2908470845805</v>
      </c>
      <c r="D84" s="3">
        <v>17.1328056857996</v>
      </c>
      <c r="E84" s="3">
        <v>15.855003701695299</v>
      </c>
      <c r="F84" s="3">
        <v>11.159534540828201</v>
      </c>
      <c r="G84" s="3">
        <v>15.470806659548501</v>
      </c>
      <c r="H84" s="3">
        <v>13.993574007082501</v>
      </c>
      <c r="I84" s="3">
        <v>16.316080146622699</v>
      </c>
      <c r="J84" s="3">
        <v>14.3768043458979</v>
      </c>
      <c r="K84" s="3">
        <v>13.706905161712299</v>
      </c>
      <c r="L84" s="3">
        <v>11.0289260773339</v>
      </c>
      <c r="M84" s="3">
        <v>10.294952850793999</v>
      </c>
      <c r="N84" s="3">
        <v>11.971096783427299</v>
      </c>
      <c r="O84" s="3">
        <v>23.7243816882503</v>
      </c>
      <c r="P84" s="3">
        <v>18.575770694607701</v>
      </c>
      <c r="Q84" s="3">
        <v>13.4700859950704</v>
      </c>
      <c r="R84" s="3">
        <v>19.320517933554399</v>
      </c>
      <c r="S84" s="3">
        <v>7.3436934656939696</v>
      </c>
      <c r="T84" s="3">
        <v>15.114117991493</v>
      </c>
      <c r="U84" s="3">
        <v>17.192129145073299</v>
      </c>
      <c r="V84" s="3">
        <v>18.459512438655199</v>
      </c>
    </row>
    <row r="85" spans="1:22" x14ac:dyDescent="0.35">
      <c r="A85" s="2">
        <v>44273</v>
      </c>
      <c r="B85" s="3">
        <v>16.437579492222302</v>
      </c>
      <c r="C85" s="3">
        <v>14.873688838288899</v>
      </c>
      <c r="D85" s="3">
        <v>17.0187660638335</v>
      </c>
      <c r="E85" s="3">
        <v>15.341621425843799</v>
      </c>
      <c r="F85" s="3">
        <v>11.600987049887699</v>
      </c>
      <c r="G85" s="3">
        <v>14.2359194621749</v>
      </c>
      <c r="H85" s="3">
        <v>14.488625958239901</v>
      </c>
      <c r="I85" s="3">
        <v>15.605873543386201</v>
      </c>
      <c r="J85" s="3">
        <v>15.072205049330799</v>
      </c>
      <c r="K85" s="3">
        <v>13.333591491828599</v>
      </c>
      <c r="L85" s="3">
        <v>9.5201589223725396</v>
      </c>
      <c r="M85" s="3">
        <v>10.0930924690905</v>
      </c>
      <c r="N85" s="3">
        <v>12.0580752752458</v>
      </c>
      <c r="O85" s="3">
        <v>22.6940260831892</v>
      </c>
      <c r="P85" s="3">
        <v>16.765617228343899</v>
      </c>
      <c r="Q85" s="3">
        <v>13.4922349382203</v>
      </c>
      <c r="R85" s="3">
        <v>19.6065550837511</v>
      </c>
      <c r="S85" s="3">
        <v>7.3896776656114902</v>
      </c>
      <c r="T85" s="3">
        <v>15.372698631683701</v>
      </c>
      <c r="U85" s="3">
        <v>16.890496653696601</v>
      </c>
      <c r="V85" s="3">
        <v>18.688598960407202</v>
      </c>
    </row>
    <row r="86" spans="1:22" x14ac:dyDescent="0.35">
      <c r="A86" s="2">
        <v>44302</v>
      </c>
      <c r="B86" s="3">
        <v>15.719506074041201</v>
      </c>
      <c r="C86" s="3">
        <v>14.0510490757204</v>
      </c>
      <c r="D86" s="3">
        <v>16.268224755173801</v>
      </c>
      <c r="E86" s="3">
        <v>14.8190651259918</v>
      </c>
      <c r="F86" s="3">
        <v>11.9333792253029</v>
      </c>
      <c r="G86" s="3">
        <v>12.10119114448</v>
      </c>
      <c r="H86" s="3">
        <v>14.319598589123</v>
      </c>
      <c r="I86" s="3">
        <v>15.299351379040299</v>
      </c>
      <c r="J86" s="3">
        <v>15.277269153647801</v>
      </c>
      <c r="K86" s="3">
        <v>13.1922994711031</v>
      </c>
      <c r="L86" s="3">
        <v>9.2722368616765305</v>
      </c>
      <c r="M86" s="3">
        <v>10.0238365084778</v>
      </c>
      <c r="N86" s="3">
        <v>12.7088553448569</v>
      </c>
      <c r="O86" s="3">
        <v>22.433577272274601</v>
      </c>
      <c r="P86" s="3">
        <v>16.051641309870998</v>
      </c>
      <c r="Q86" s="3">
        <v>13.995408431439399</v>
      </c>
      <c r="R86" s="3">
        <v>18.872519933586901</v>
      </c>
      <c r="S86" s="3">
        <v>6.3514421086001303</v>
      </c>
      <c r="T86" s="3">
        <v>14.1706649499181</v>
      </c>
      <c r="U86" s="3">
        <v>17.0728022060303</v>
      </c>
      <c r="V86" s="3">
        <v>19.040071515890599</v>
      </c>
    </row>
    <row r="87" spans="1:22" x14ac:dyDescent="0.35">
      <c r="A87" s="2">
        <v>44334</v>
      </c>
      <c r="B87" s="3">
        <v>16.3151553479311</v>
      </c>
      <c r="C87" s="3">
        <v>11.2960809286855</v>
      </c>
      <c r="D87" s="3">
        <v>15.3642584451097</v>
      </c>
      <c r="E87" s="3">
        <v>14.5815713916804</v>
      </c>
      <c r="F87" s="3">
        <v>12.860469634534599</v>
      </c>
      <c r="G87" s="3">
        <v>11.795988685945</v>
      </c>
      <c r="H87" s="3">
        <v>14.0331415904813</v>
      </c>
      <c r="I87" s="3">
        <v>13.172010879288401</v>
      </c>
      <c r="J87" s="3">
        <v>14.9253713868695</v>
      </c>
      <c r="K87" s="3">
        <v>11.187709285641199</v>
      </c>
      <c r="L87" s="3">
        <v>9.0366462054190198</v>
      </c>
      <c r="M87" s="3">
        <v>9.7049191955040293</v>
      </c>
      <c r="N87" s="3">
        <v>8.57877950141288</v>
      </c>
      <c r="O87" s="3">
        <v>22.769030867874999</v>
      </c>
      <c r="P87" s="3">
        <v>15.379614768269301</v>
      </c>
      <c r="Q87" s="3">
        <v>13.8812600440257</v>
      </c>
      <c r="R87" s="3">
        <v>17.7257120973963</v>
      </c>
      <c r="S87" s="3">
        <v>6.3466812749986596</v>
      </c>
      <c r="T87" s="3">
        <v>14.3134684444406</v>
      </c>
      <c r="U87" s="3">
        <v>16.3466147409146</v>
      </c>
      <c r="V87" s="3">
        <v>19.140045263101399</v>
      </c>
    </row>
    <row r="88" spans="1:22" x14ac:dyDescent="0.35">
      <c r="A88" s="2">
        <v>44365</v>
      </c>
      <c r="B88" s="3">
        <v>16.266167702431002</v>
      </c>
      <c r="C88" s="3">
        <v>11.2624654593054</v>
      </c>
      <c r="D88" s="3">
        <v>15.155413933816201</v>
      </c>
      <c r="E88" s="3">
        <v>16.284761673354399</v>
      </c>
      <c r="F88" s="3">
        <v>12.4912749891195</v>
      </c>
      <c r="G88" s="3">
        <v>8.6461557462087395</v>
      </c>
      <c r="H88" s="3">
        <v>14.060905175409401</v>
      </c>
      <c r="I88" s="3">
        <v>13.7980811756152</v>
      </c>
      <c r="J88" s="3">
        <v>15.0939013027873</v>
      </c>
      <c r="K88" s="3">
        <v>11.302178808261999</v>
      </c>
      <c r="L88" s="3">
        <v>9.3601867200571007</v>
      </c>
      <c r="M88" s="3">
        <v>9.4177049007135007</v>
      </c>
      <c r="N88" s="3">
        <v>12.5071131953639</v>
      </c>
      <c r="O88" s="3">
        <v>23.260979923627598</v>
      </c>
      <c r="P88" s="3">
        <v>15.8752840596428</v>
      </c>
      <c r="Q88" s="3">
        <v>13.5269807528396</v>
      </c>
      <c r="R88" s="3">
        <v>17.808485114277399</v>
      </c>
      <c r="S88" s="3">
        <v>5.8482402830358398</v>
      </c>
      <c r="T88" s="3">
        <v>15.0821755500173</v>
      </c>
      <c r="U88" s="3">
        <v>18.1707510460575</v>
      </c>
      <c r="V88" s="3">
        <v>19.425936913794999</v>
      </c>
    </row>
    <row r="89" spans="1:22" x14ac:dyDescent="0.35">
      <c r="A89" s="2">
        <v>44393</v>
      </c>
      <c r="B89" s="3">
        <v>16.032627888545498</v>
      </c>
      <c r="C89" s="3">
        <v>10.4340183518187</v>
      </c>
      <c r="D89" s="3">
        <v>14.7523808831676</v>
      </c>
      <c r="E89" s="3">
        <v>15.6402556902057</v>
      </c>
      <c r="F89" s="3">
        <v>11.942361250269199</v>
      </c>
      <c r="G89" s="3">
        <v>9.1905238115404302</v>
      </c>
      <c r="H89" s="3">
        <v>13.545053633471699</v>
      </c>
      <c r="I89" s="3">
        <v>13.945085711569201</v>
      </c>
      <c r="J89" s="3">
        <v>14.5646574741557</v>
      </c>
      <c r="K89" s="3">
        <v>11.0730234981278</v>
      </c>
      <c r="L89" s="3">
        <v>8.7667037079701693</v>
      </c>
      <c r="M89" s="3">
        <v>9.35801533578387</v>
      </c>
      <c r="N89" s="3">
        <v>11.3282204794127</v>
      </c>
      <c r="O89" s="3">
        <v>23.180376447290801</v>
      </c>
      <c r="P89" s="3">
        <v>15.2610127781074</v>
      </c>
      <c r="Q89" s="3">
        <v>13.0227591643071</v>
      </c>
      <c r="R89" s="3">
        <v>17.1232057802351</v>
      </c>
      <c r="S89" s="3">
        <v>5.5372213949462203</v>
      </c>
      <c r="T89" s="3">
        <v>14.287565391537401</v>
      </c>
      <c r="U89" s="3">
        <v>16.717662184587098</v>
      </c>
      <c r="V89" s="3">
        <v>18.974580190217601</v>
      </c>
    </row>
    <row r="90" spans="1:22" x14ac:dyDescent="0.35">
      <c r="A90" s="2">
        <v>44426</v>
      </c>
      <c r="B90" s="3">
        <v>15.2402711500199</v>
      </c>
      <c r="C90" s="3">
        <v>10.0973430180057</v>
      </c>
      <c r="D90" s="3">
        <v>15.2254994904987</v>
      </c>
      <c r="E90" s="3">
        <v>15.247449016537001</v>
      </c>
      <c r="F90" s="3">
        <v>11.9580542354533</v>
      </c>
      <c r="G90" s="3">
        <v>8.6697915182575507</v>
      </c>
      <c r="H90" s="3">
        <v>13.567333867831101</v>
      </c>
      <c r="I90" s="3">
        <v>12.778490865890101</v>
      </c>
      <c r="J90" s="3">
        <v>14.599074806459001</v>
      </c>
      <c r="K90" s="3">
        <v>10.266890377970499</v>
      </c>
      <c r="L90" s="3">
        <v>7.7935575016584604</v>
      </c>
      <c r="M90" s="3">
        <v>9.0632619162530599</v>
      </c>
      <c r="N90" s="3">
        <v>11.003859235884599</v>
      </c>
      <c r="O90" s="3">
        <v>23.789324469572801</v>
      </c>
      <c r="P90" s="3">
        <v>13.446946437361801</v>
      </c>
      <c r="Q90" s="3">
        <v>13.4476637028857</v>
      </c>
      <c r="R90" s="3">
        <v>16.8574270693315</v>
      </c>
      <c r="S90" s="3">
        <v>5.4864798645039103</v>
      </c>
      <c r="T90" s="3">
        <v>14.617359930658299</v>
      </c>
      <c r="U90" s="3">
        <v>16.426192201240799</v>
      </c>
      <c r="V90" s="3">
        <v>19.1754391406519</v>
      </c>
    </row>
    <row r="91" spans="1:22" x14ac:dyDescent="0.35">
      <c r="A91" s="2">
        <v>44456</v>
      </c>
      <c r="B91" s="3">
        <v>15.3326887551888</v>
      </c>
      <c r="C91" s="3">
        <v>10.2725741032038</v>
      </c>
      <c r="D91" s="3">
        <v>14.9087212125894</v>
      </c>
      <c r="E91" s="3">
        <v>15.755173666623101</v>
      </c>
      <c r="F91" s="3">
        <v>11.4559438611636</v>
      </c>
      <c r="G91" s="3">
        <v>8.8790743485224599</v>
      </c>
      <c r="H91" s="3">
        <v>14.126964362875899</v>
      </c>
      <c r="I91" s="3">
        <v>13.124589461266099</v>
      </c>
      <c r="J91" s="3">
        <v>13.974487991017799</v>
      </c>
      <c r="K91" s="3">
        <v>10.288222713367601</v>
      </c>
      <c r="L91" s="3">
        <v>7.5110468931919199</v>
      </c>
      <c r="M91" s="3">
        <v>8.8228516645144897</v>
      </c>
      <c r="N91" s="3">
        <v>10.5023214659166</v>
      </c>
      <c r="O91" s="3">
        <v>24.767843810885701</v>
      </c>
      <c r="P91" s="3">
        <v>13.456772670024399</v>
      </c>
      <c r="Q91" s="3">
        <v>13.2319191044104</v>
      </c>
      <c r="R91" s="3">
        <v>17.515295223171702</v>
      </c>
      <c r="S91" s="3">
        <v>5.2632990198250198</v>
      </c>
      <c r="T91" s="3">
        <v>14.747824152788199</v>
      </c>
      <c r="U91" s="3">
        <v>16.144281229217398</v>
      </c>
      <c r="V91" s="3">
        <v>18.957864058351301</v>
      </c>
    </row>
    <row r="92" spans="1:22" x14ac:dyDescent="0.35">
      <c r="A92" s="2">
        <v>44487</v>
      </c>
      <c r="B92" s="3">
        <v>15.2687099479172</v>
      </c>
      <c r="C92" s="3">
        <v>9.0954076649781008</v>
      </c>
      <c r="D92" s="3">
        <v>15.9560528123715</v>
      </c>
      <c r="E92" s="3">
        <v>16.717335495378499</v>
      </c>
      <c r="F92" s="3">
        <v>12.2286040549216</v>
      </c>
      <c r="G92" s="3">
        <v>10.101198004079</v>
      </c>
      <c r="H92" s="3">
        <v>14.735865888968499</v>
      </c>
      <c r="I92" s="3">
        <v>12.584915579513</v>
      </c>
      <c r="J92" s="3">
        <v>14.191981312857401</v>
      </c>
      <c r="K92" s="3">
        <v>9.9862770149878308</v>
      </c>
      <c r="L92" s="3">
        <v>8.0377872668180093</v>
      </c>
      <c r="M92" s="3">
        <v>9.5726618856350605</v>
      </c>
      <c r="N92" s="3">
        <v>10.3676357916124</v>
      </c>
      <c r="O92" s="3">
        <v>25.073086712638101</v>
      </c>
      <c r="P92" s="3">
        <v>13.6284158091914</v>
      </c>
      <c r="Q92" s="3">
        <v>13.3827099552327</v>
      </c>
      <c r="R92" s="3">
        <v>17.451477751098999</v>
      </c>
      <c r="S92" s="3">
        <v>5.0997824920085701</v>
      </c>
      <c r="T92" s="3">
        <v>14.5934149791916</v>
      </c>
      <c r="U92" s="3">
        <v>16.168081762442299</v>
      </c>
      <c r="V92" s="3">
        <v>19.1402567779108</v>
      </c>
    </row>
    <row r="93" spans="1:22" x14ac:dyDescent="0.35">
      <c r="A93" s="2">
        <v>44518</v>
      </c>
      <c r="B93" s="3">
        <v>15.0751451294717</v>
      </c>
      <c r="C93" s="3">
        <v>9.2300980228840199</v>
      </c>
      <c r="D93" s="3">
        <v>15.092147143867599</v>
      </c>
      <c r="E93" s="3">
        <v>16.101854322414301</v>
      </c>
      <c r="F93" s="3">
        <v>11.340539337885501</v>
      </c>
      <c r="G93" s="3">
        <v>9.6682539589929792</v>
      </c>
      <c r="H93" s="3">
        <v>14.2839964007467</v>
      </c>
      <c r="I93" s="3">
        <v>13.491621298915399</v>
      </c>
      <c r="J93" s="3">
        <v>13.3682779520986</v>
      </c>
      <c r="K93" s="3">
        <v>9.9710586536630501</v>
      </c>
      <c r="L93" s="3">
        <v>7.2579404552009903</v>
      </c>
      <c r="M93" s="3">
        <v>9.7146514008706895</v>
      </c>
      <c r="N93" s="3">
        <v>11.6198953328957</v>
      </c>
      <c r="O93" s="3">
        <v>23.7137810346149</v>
      </c>
      <c r="P93" s="3">
        <v>13.324057450016101</v>
      </c>
      <c r="Q93" s="3">
        <v>13.662130628273699</v>
      </c>
      <c r="R93" s="3">
        <v>17.562061445422199</v>
      </c>
      <c r="S93" s="3">
        <v>5.9173426422059201</v>
      </c>
      <c r="T93" s="3">
        <v>16.075909900974001</v>
      </c>
      <c r="U93" s="3">
        <v>15.9826282455548</v>
      </c>
      <c r="V93" s="3">
        <v>18.700358631924701</v>
      </c>
    </row>
    <row r="94" spans="1:22" x14ac:dyDescent="0.35">
      <c r="A94" s="2">
        <v>44547</v>
      </c>
      <c r="B94" s="3">
        <v>15.482824382826101</v>
      </c>
      <c r="C94" s="3">
        <v>9.6068645824196306</v>
      </c>
      <c r="D94" s="3">
        <v>14.7347311023853</v>
      </c>
      <c r="E94" s="3">
        <v>15.5604807924772</v>
      </c>
      <c r="F94" s="3">
        <v>10.1231538951755</v>
      </c>
      <c r="G94" s="3">
        <v>9.6362068133023993</v>
      </c>
      <c r="H94" s="3">
        <v>15.0721590594282</v>
      </c>
      <c r="I94" s="3">
        <v>13.4026451493806</v>
      </c>
      <c r="J94" s="3">
        <v>13.657026218124001</v>
      </c>
      <c r="K94" s="3">
        <v>10.359279132944</v>
      </c>
      <c r="L94" s="3">
        <v>7.8992086443930498</v>
      </c>
      <c r="M94" s="3">
        <v>9.5780549749465695</v>
      </c>
      <c r="N94" s="3">
        <v>9.5798237260431893</v>
      </c>
      <c r="O94" s="3">
        <v>22.756959441479399</v>
      </c>
      <c r="P94" s="3">
        <v>12.382252121713201</v>
      </c>
      <c r="Q94" s="3">
        <v>13.144334564970601</v>
      </c>
      <c r="R94" s="3">
        <v>17.108911868016101</v>
      </c>
      <c r="S94" s="3">
        <v>6.48543394975834</v>
      </c>
      <c r="T94" s="3">
        <v>16.505792946027</v>
      </c>
      <c r="U94" s="3">
        <v>16.7478559525211</v>
      </c>
      <c r="V94" s="3">
        <v>17.7405564060413</v>
      </c>
    </row>
    <row r="95" spans="1:22" x14ac:dyDescent="0.35">
      <c r="A95" s="2">
        <v>44579</v>
      </c>
      <c r="B95" s="3">
        <v>14.7390001722724</v>
      </c>
      <c r="C95" s="3">
        <v>9.7824335198863697</v>
      </c>
      <c r="D95" s="3">
        <v>14.7143291210967</v>
      </c>
      <c r="E95" s="3">
        <v>15.3623332627298</v>
      </c>
      <c r="F95" s="3">
        <v>10.749667602023001</v>
      </c>
      <c r="G95" s="3">
        <v>11.458424604499299</v>
      </c>
      <c r="H95" s="3">
        <v>15.4704575394827</v>
      </c>
      <c r="I95" s="3">
        <v>13.3811843769424</v>
      </c>
      <c r="J95" s="3">
        <v>13.808978291698899</v>
      </c>
      <c r="K95" s="3">
        <v>9.7618643234114</v>
      </c>
      <c r="L95" s="3">
        <v>7.8824210550867999</v>
      </c>
      <c r="M95" s="3">
        <v>9.7990351900788095</v>
      </c>
      <c r="N95" s="3">
        <v>10.160453186305499</v>
      </c>
      <c r="O95" s="3">
        <v>23.705679418267199</v>
      </c>
      <c r="P95" s="3">
        <v>12.467040692981399</v>
      </c>
      <c r="Q95" s="3">
        <v>13.9525318785132</v>
      </c>
      <c r="R95" s="3">
        <v>17.324127973366998</v>
      </c>
      <c r="S95" s="3">
        <v>5.4489741505427203</v>
      </c>
      <c r="T95" s="3">
        <v>15.4382073883679</v>
      </c>
      <c r="U95" s="3">
        <v>15.0733441929224</v>
      </c>
      <c r="V95" s="3">
        <v>19.106996261552698</v>
      </c>
    </row>
    <row r="96" spans="1:22" x14ac:dyDescent="0.35">
      <c r="A96" s="2">
        <v>44610</v>
      </c>
      <c r="B96" s="3">
        <v>13.989506481295001</v>
      </c>
      <c r="C96" s="3">
        <v>9.9592406675836802</v>
      </c>
      <c r="D96" s="3">
        <v>15.308968232140399</v>
      </c>
      <c r="E96" s="3">
        <v>15.330597624359999</v>
      </c>
      <c r="F96" s="3">
        <v>9.8199972448932602</v>
      </c>
      <c r="G96" s="3">
        <v>11.0342329764983</v>
      </c>
      <c r="H96" s="3">
        <v>15.6406716713714</v>
      </c>
      <c r="I96" s="3">
        <v>12.873153854448001</v>
      </c>
      <c r="J96" s="3">
        <v>13.440342705882699</v>
      </c>
      <c r="K96" s="3">
        <v>9.4774063867524792</v>
      </c>
      <c r="L96" s="3">
        <v>8.0243731100935101</v>
      </c>
      <c r="M96" s="3">
        <v>10.0537203757874</v>
      </c>
      <c r="N96" s="3">
        <v>10.201557210517301</v>
      </c>
      <c r="O96" s="3">
        <v>22.066176862684699</v>
      </c>
      <c r="P96" s="3">
        <v>12.098406864485399</v>
      </c>
      <c r="Q96" s="3">
        <v>13.6645929212682</v>
      </c>
      <c r="R96" s="3">
        <v>17.630051944652699</v>
      </c>
      <c r="S96" s="3">
        <v>4.5816878324000196</v>
      </c>
      <c r="T96" s="3">
        <v>15.738886612864899</v>
      </c>
      <c r="U96" s="3">
        <v>15.124678839990199</v>
      </c>
      <c r="V96" s="3">
        <v>19.071884793887801</v>
      </c>
    </row>
    <row r="97" spans="1:22" x14ac:dyDescent="0.35">
      <c r="A97" s="2">
        <v>44638</v>
      </c>
      <c r="B97" s="3">
        <v>12.8872802246549</v>
      </c>
      <c r="C97" s="3">
        <v>9.6206481860499604</v>
      </c>
      <c r="D97" s="3">
        <v>14.8480003880689</v>
      </c>
      <c r="E97" s="3">
        <v>14.4255732345078</v>
      </c>
      <c r="F97" s="3">
        <v>9.3489995979185903</v>
      </c>
      <c r="G97" s="3">
        <v>11.530039651911901</v>
      </c>
      <c r="H97" s="3">
        <v>15.328967973475599</v>
      </c>
      <c r="I97" s="3">
        <v>12.3289352019337</v>
      </c>
      <c r="J97" s="3">
        <v>14.095407963071599</v>
      </c>
      <c r="K97" s="3">
        <v>9.3297643948044104</v>
      </c>
      <c r="L97" s="3">
        <v>7.8304191283424904</v>
      </c>
      <c r="M97" s="3">
        <v>10.0479948889872</v>
      </c>
      <c r="N97" s="3">
        <v>9.72878723858339</v>
      </c>
      <c r="O97" s="3">
        <v>21.902347326594001</v>
      </c>
      <c r="P97" s="3">
        <v>10.632230537498099</v>
      </c>
      <c r="Q97" s="3">
        <v>14.1950607397659</v>
      </c>
      <c r="R97" s="3">
        <v>17.049169786828301</v>
      </c>
      <c r="S97" s="3">
        <v>4.6487742624964703</v>
      </c>
      <c r="T97" s="3">
        <v>15.989184283962301</v>
      </c>
      <c r="U97" s="3">
        <v>14.368764991312601</v>
      </c>
      <c r="V97" s="3">
        <v>19.133487798727899</v>
      </c>
    </row>
    <row r="98" spans="1:22" x14ac:dyDescent="0.35">
      <c r="A98" s="2">
        <v>44669</v>
      </c>
      <c r="B98" s="3">
        <v>12.568331656323499</v>
      </c>
      <c r="C98" s="3">
        <v>9.4434004544778691</v>
      </c>
      <c r="D98" s="3">
        <v>14.4025214514973</v>
      </c>
      <c r="E98" s="3">
        <v>14.203565312904001</v>
      </c>
      <c r="F98" s="3">
        <v>8.6987106223113795</v>
      </c>
      <c r="G98" s="3">
        <v>9.9537783335797307</v>
      </c>
      <c r="H98" s="3">
        <v>14.9953333647597</v>
      </c>
      <c r="I98" s="3">
        <v>11.619206810040801</v>
      </c>
      <c r="J98" s="3">
        <v>13.75460171534</v>
      </c>
      <c r="K98" s="3">
        <v>9.0730229729805103</v>
      </c>
      <c r="L98" s="3">
        <v>7.3972036866774697</v>
      </c>
      <c r="M98" s="3">
        <v>9.4314816195616693</v>
      </c>
      <c r="N98" s="3">
        <v>10.289732644210099</v>
      </c>
      <c r="O98" s="3">
        <v>21.864101186111402</v>
      </c>
      <c r="P98" s="3">
        <v>10.5679328465179</v>
      </c>
      <c r="Q98" s="3">
        <v>14.073384383780899</v>
      </c>
      <c r="R98" s="3">
        <v>16.6036219311564</v>
      </c>
      <c r="S98" s="3">
        <v>5.1733569229389502</v>
      </c>
      <c r="T98" s="3">
        <v>16.449101102361901</v>
      </c>
      <c r="U98" s="3">
        <v>13.7075236715953</v>
      </c>
      <c r="V98" s="3">
        <v>19.591705292692499</v>
      </c>
    </row>
    <row r="99" spans="1:22" x14ac:dyDescent="0.35">
      <c r="A99" s="2">
        <v>44699</v>
      </c>
      <c r="B99" s="3">
        <v>12.4243605614804</v>
      </c>
      <c r="C99" s="3">
        <v>8.7578750873987694</v>
      </c>
      <c r="D99" s="3">
        <v>13.443156967782301</v>
      </c>
      <c r="E99" s="3">
        <v>13.181913037582399</v>
      </c>
      <c r="F99" s="3">
        <v>6.9857220928217103</v>
      </c>
      <c r="G99" s="3">
        <v>7.9390273075515303</v>
      </c>
      <c r="H99" s="3">
        <v>14.5118700748867</v>
      </c>
      <c r="I99" s="3">
        <v>11.470150787048601</v>
      </c>
      <c r="J99" s="3">
        <v>12.4992218384034</v>
      </c>
      <c r="K99" s="3">
        <v>8.8694590973085603</v>
      </c>
      <c r="L99" s="3">
        <v>6.4129631337693302</v>
      </c>
      <c r="M99" s="3">
        <v>8.8837525066273209</v>
      </c>
      <c r="N99" s="3">
        <v>9.0885495349567904</v>
      </c>
      <c r="O99" s="3">
        <v>20.437730268240099</v>
      </c>
      <c r="P99" s="3">
        <v>10.567746478350101</v>
      </c>
      <c r="Q99" s="3">
        <v>13.058374826146</v>
      </c>
      <c r="R99" s="3">
        <v>16.102169328662299</v>
      </c>
      <c r="S99" s="3">
        <v>4.3834621792595199</v>
      </c>
      <c r="T99" s="3">
        <v>14.8133834344329</v>
      </c>
      <c r="U99" s="3">
        <v>12.287904801188599</v>
      </c>
      <c r="V99" s="3">
        <v>17.233197835881899</v>
      </c>
    </row>
    <row r="100" spans="1:22" x14ac:dyDescent="0.35">
      <c r="A100" s="2">
        <v>44729</v>
      </c>
      <c r="B100" s="3">
        <v>13.3180506462609</v>
      </c>
      <c r="C100" s="3">
        <v>6.6390669256522798</v>
      </c>
      <c r="D100" s="3">
        <v>12.643966769854799</v>
      </c>
      <c r="E100" s="3">
        <v>12.873465898159001</v>
      </c>
      <c r="F100" s="3">
        <v>6.5039768762477301</v>
      </c>
      <c r="G100" s="3">
        <v>7.5827141187593998</v>
      </c>
      <c r="H100" s="3">
        <v>13.580182058217799</v>
      </c>
      <c r="I100" s="3">
        <v>10.9266469774608</v>
      </c>
      <c r="J100" s="3">
        <v>11.5797363470021</v>
      </c>
      <c r="K100" s="3">
        <v>8.2244236200916507</v>
      </c>
      <c r="L100" s="3">
        <v>6.0266875380198002</v>
      </c>
      <c r="M100" s="3">
        <v>8.2950298553537607</v>
      </c>
      <c r="N100" s="3">
        <v>8.3670002768591303</v>
      </c>
      <c r="O100" s="3">
        <v>19.349140741523499</v>
      </c>
      <c r="P100" s="3">
        <v>11.511916967152899</v>
      </c>
      <c r="Q100" s="3">
        <v>12.107538837557801</v>
      </c>
      <c r="R100" s="3">
        <v>15.145723705199799</v>
      </c>
      <c r="S100" s="3">
        <v>4.8242697996498602</v>
      </c>
      <c r="T100" s="3">
        <v>13.4235947805851</v>
      </c>
      <c r="U100" s="3">
        <v>11.856890936035899</v>
      </c>
      <c r="V100" s="3">
        <v>15.985251248677701</v>
      </c>
    </row>
    <row r="101" spans="1:22" x14ac:dyDescent="0.35">
      <c r="A101" s="2">
        <v>44760</v>
      </c>
      <c r="B101" s="3">
        <v>13.183555750143301</v>
      </c>
      <c r="C101" s="3">
        <v>6.4384354647536703</v>
      </c>
      <c r="D101" s="3">
        <v>12.164362530234699</v>
      </c>
      <c r="E101" s="3">
        <v>12.608036801289799</v>
      </c>
      <c r="F101" s="3">
        <v>5.9401083724026504</v>
      </c>
      <c r="G101" s="3">
        <v>6.9201978419435903</v>
      </c>
      <c r="H101" s="3">
        <v>13.329710257721199</v>
      </c>
      <c r="I101" s="3">
        <v>10.312251416475601</v>
      </c>
      <c r="J101" s="3">
        <v>11.4560218092101</v>
      </c>
      <c r="K101" s="3">
        <v>8.3753652006411095</v>
      </c>
      <c r="L101" s="3">
        <v>5.9002940570097104</v>
      </c>
      <c r="M101" s="3">
        <v>8.6842197662283809</v>
      </c>
      <c r="N101" s="3">
        <v>7.5855142594954099</v>
      </c>
      <c r="O101" s="3">
        <v>20.654264262077501</v>
      </c>
      <c r="P101" s="3">
        <v>11.3647857927093</v>
      </c>
      <c r="Q101" s="3">
        <v>12.3041571621443</v>
      </c>
      <c r="R101" s="3">
        <v>14.9680083947007</v>
      </c>
      <c r="S101" s="3">
        <v>4.2517997673714101</v>
      </c>
      <c r="T101" s="3">
        <v>12.7988625752785</v>
      </c>
      <c r="U101" s="3">
        <v>10.8134419400205</v>
      </c>
      <c r="V101" s="3">
        <v>15.793308436385299</v>
      </c>
    </row>
    <row r="102" spans="1:22" x14ac:dyDescent="0.35">
      <c r="A102" s="2">
        <v>44791</v>
      </c>
      <c r="B102" s="3">
        <v>12.819196440758599</v>
      </c>
      <c r="C102" s="3">
        <v>6.6040652506851396</v>
      </c>
      <c r="D102" s="3">
        <v>12.940156364680099</v>
      </c>
      <c r="E102" s="3">
        <v>13.2161902221596</v>
      </c>
      <c r="F102" s="3">
        <v>6.3271568674226701</v>
      </c>
      <c r="G102" s="3">
        <v>7.7673316235446501</v>
      </c>
      <c r="H102" s="3">
        <v>14.0520613609657</v>
      </c>
      <c r="I102" s="3">
        <v>11.2403566032549</v>
      </c>
      <c r="J102" s="3">
        <v>11.9028443633681</v>
      </c>
      <c r="K102" s="3">
        <v>8.8263395995533003</v>
      </c>
      <c r="L102" s="3">
        <v>6.5126990956107704</v>
      </c>
      <c r="M102" s="3">
        <v>8.9173777879399498</v>
      </c>
      <c r="N102" s="3">
        <v>8.3491301669437501</v>
      </c>
      <c r="O102" s="3">
        <v>23.0030004404857</v>
      </c>
      <c r="P102" s="3">
        <v>10.6829600729004</v>
      </c>
      <c r="Q102" s="3">
        <v>14.2862437500818</v>
      </c>
      <c r="R102" s="3">
        <v>15.576807472569</v>
      </c>
      <c r="S102" s="3">
        <v>4.51332429693141</v>
      </c>
      <c r="T102" s="3">
        <v>13.4900280427998</v>
      </c>
      <c r="U102" s="3">
        <v>11.5758040082319</v>
      </c>
      <c r="V102" s="3">
        <v>16.638819489689698</v>
      </c>
    </row>
    <row r="103" spans="1:22" x14ac:dyDescent="0.35">
      <c r="A103" s="2">
        <v>44820</v>
      </c>
      <c r="B103" s="3">
        <v>12.0341359889663</v>
      </c>
      <c r="C103" s="3">
        <v>7.6281062546440097</v>
      </c>
      <c r="D103" s="3">
        <v>13.090843760466599</v>
      </c>
      <c r="E103" s="3">
        <v>12.6621450093606</v>
      </c>
      <c r="F103" s="3">
        <v>5.7969857700435998</v>
      </c>
      <c r="G103" s="3">
        <v>7.8227149592955296</v>
      </c>
      <c r="H103" s="3">
        <v>13.5097501647192</v>
      </c>
      <c r="I103" s="3">
        <v>10.815590888965501</v>
      </c>
      <c r="J103" s="3">
        <v>11.3029183887808</v>
      </c>
      <c r="K103" s="3">
        <v>8.5452536708297107</v>
      </c>
      <c r="L103" s="3">
        <v>6.3880106389455502</v>
      </c>
      <c r="M103" s="3">
        <v>8.1234282494537595</v>
      </c>
      <c r="N103" s="3">
        <v>6.8448797304289597</v>
      </c>
      <c r="O103" s="3">
        <v>22.224421825056599</v>
      </c>
      <c r="P103" s="3">
        <v>10.452374775773199</v>
      </c>
      <c r="Q103" s="3">
        <v>13.198202280393501</v>
      </c>
      <c r="R103" s="3">
        <v>15.397232848781</v>
      </c>
      <c r="S103" s="3">
        <v>4.7208943472090903</v>
      </c>
      <c r="T103" s="3">
        <v>13.365147096456001</v>
      </c>
      <c r="U103" s="3">
        <v>11.1087595782273</v>
      </c>
      <c r="V103" s="3">
        <v>15.4504867703768</v>
      </c>
    </row>
    <row r="104" spans="1:22" x14ac:dyDescent="0.35">
      <c r="A104" s="2">
        <v>44852</v>
      </c>
      <c r="B104" s="3">
        <v>11.673802253160201</v>
      </c>
      <c r="C104" s="3">
        <v>7.2092601939266103</v>
      </c>
      <c r="D104" s="3">
        <v>12.2912744117274</v>
      </c>
      <c r="E104" s="3">
        <v>11.817018491135199</v>
      </c>
      <c r="F104" s="3">
        <v>6.5584555397813702</v>
      </c>
      <c r="G104" s="3">
        <v>8.4075435084035792</v>
      </c>
      <c r="H104" s="3">
        <v>12.750070019208501</v>
      </c>
      <c r="I104" s="3">
        <v>10.293961092317501</v>
      </c>
      <c r="J104" s="3">
        <v>11.570436386715601</v>
      </c>
      <c r="K104" s="3">
        <v>9.0012168178330896</v>
      </c>
      <c r="L104" s="3">
        <v>7.0450233834313796</v>
      </c>
      <c r="M104" s="3">
        <v>8.3084598118741493</v>
      </c>
      <c r="N104" s="3">
        <v>6.9817856660606799</v>
      </c>
      <c r="O104" s="3">
        <v>21.708896842776898</v>
      </c>
      <c r="P104" s="3">
        <v>9.4797184582600007</v>
      </c>
      <c r="Q104" s="3">
        <v>12.5981953455907</v>
      </c>
      <c r="R104" s="3">
        <v>15.117222602693801</v>
      </c>
      <c r="S104" s="3">
        <v>4.9082055917596197</v>
      </c>
      <c r="T104" s="3">
        <v>12.4507658470661</v>
      </c>
      <c r="U104" s="3">
        <v>10.5805383169861</v>
      </c>
      <c r="V104" s="3">
        <v>15.4312614443815</v>
      </c>
    </row>
    <row r="105" spans="1:22" x14ac:dyDescent="0.35">
      <c r="A105" s="2">
        <v>44883</v>
      </c>
      <c r="B105" s="3">
        <v>11.772516442700899</v>
      </c>
      <c r="C105" s="3">
        <v>6.8860712517204199</v>
      </c>
      <c r="D105" s="3">
        <v>12.6020397841632</v>
      </c>
      <c r="E105" s="3">
        <v>12.032786222966299</v>
      </c>
      <c r="F105" s="3">
        <v>7.2337154507055503</v>
      </c>
      <c r="G105" s="3">
        <v>9.6579686735337198</v>
      </c>
      <c r="H105" s="3">
        <v>13.105139137012999</v>
      </c>
      <c r="I105" s="3">
        <v>12.4610059184536</v>
      </c>
      <c r="J105" s="3">
        <v>12.601092732109899</v>
      </c>
      <c r="K105" s="3">
        <v>10.6267059587984</v>
      </c>
      <c r="L105" s="3">
        <v>6.8271766974498602</v>
      </c>
      <c r="M105" s="3">
        <v>8.9809962892189503</v>
      </c>
      <c r="N105" s="3">
        <v>6.7889567814407004</v>
      </c>
      <c r="O105" s="3">
        <v>22.390081844183399</v>
      </c>
      <c r="P105" s="3">
        <v>10.046577235237301</v>
      </c>
      <c r="Q105" s="3">
        <v>12.639232483208</v>
      </c>
      <c r="R105" s="3">
        <v>15.5600871417349</v>
      </c>
      <c r="S105" s="3">
        <v>5.2411127122420798</v>
      </c>
      <c r="T105" s="3">
        <v>12.3806320222815</v>
      </c>
      <c r="U105" s="3">
        <v>10.2294442644407</v>
      </c>
      <c r="V105" s="3">
        <v>14.9950842314284</v>
      </c>
    </row>
    <row r="106" spans="1:22" x14ac:dyDescent="0.35">
      <c r="A106" s="2">
        <v>44911</v>
      </c>
      <c r="B106" s="3">
        <v>12.0845050286597</v>
      </c>
      <c r="C106" s="3">
        <v>7.1617608133890096</v>
      </c>
      <c r="D106" s="3">
        <v>12.377093502262699</v>
      </c>
      <c r="E106" s="3">
        <v>12.2988405154081</v>
      </c>
      <c r="F106" s="3">
        <v>7.24508507107931</v>
      </c>
      <c r="G106" s="3">
        <v>9.1086324625003705</v>
      </c>
      <c r="H106" s="3">
        <v>13.435640923702699</v>
      </c>
      <c r="I106" s="3">
        <v>12.7887995532808</v>
      </c>
      <c r="J106" s="3">
        <v>11.954340776111399</v>
      </c>
      <c r="K106" s="3">
        <v>10.8319607225355</v>
      </c>
      <c r="L106" s="3">
        <v>6.4823799187462203</v>
      </c>
      <c r="M106" s="3">
        <v>8.7819781829988894</v>
      </c>
      <c r="N106" s="3">
        <v>6.6454297137606204</v>
      </c>
      <c r="O106" s="3">
        <v>22.340641180560599</v>
      </c>
      <c r="P106" s="3">
        <v>10.759785307812299</v>
      </c>
      <c r="Q106" s="3">
        <v>11.5021569341794</v>
      </c>
      <c r="R106" s="3">
        <v>15.508483092110099</v>
      </c>
      <c r="S106" s="3">
        <v>5.5463024128175498</v>
      </c>
      <c r="T106" s="3">
        <v>12.1546246042866</v>
      </c>
      <c r="U106" s="3">
        <v>11.434909722112801</v>
      </c>
      <c r="V106" s="3">
        <v>14.061247120341401</v>
      </c>
    </row>
    <row r="107" spans="1:22" x14ac:dyDescent="0.35">
      <c r="A107" s="2">
        <v>44944</v>
      </c>
      <c r="B107" s="3">
        <v>12.4848508153813</v>
      </c>
      <c r="C107" s="3">
        <v>7.3986675012235104</v>
      </c>
      <c r="D107" s="3">
        <v>12.0208121642967</v>
      </c>
      <c r="E107" s="3">
        <v>13.476617938466299</v>
      </c>
      <c r="F107" s="3">
        <v>7.9834212079163898</v>
      </c>
      <c r="G107" s="3">
        <v>10.353060270036799</v>
      </c>
      <c r="H107" s="3">
        <v>13.577039868282</v>
      </c>
      <c r="I107" s="3">
        <v>13.825523331402501</v>
      </c>
      <c r="J107" s="3">
        <v>12.746085613150999</v>
      </c>
      <c r="K107" s="3">
        <v>11.397439119437299</v>
      </c>
      <c r="L107" s="3">
        <v>7.10847286216665</v>
      </c>
      <c r="M107" s="3">
        <v>9.4925392021301995</v>
      </c>
      <c r="N107" s="3">
        <v>6.4732158548274699</v>
      </c>
      <c r="O107" s="3">
        <v>21.8540284205734</v>
      </c>
      <c r="P107" s="3">
        <v>11.7086589505797</v>
      </c>
      <c r="Q107" s="3">
        <v>11.083166456040299</v>
      </c>
      <c r="R107" s="3">
        <v>15.9988530239435</v>
      </c>
      <c r="S107" s="3">
        <v>5.5516864233184302</v>
      </c>
      <c r="T107" s="3">
        <v>12.1621022107333</v>
      </c>
      <c r="U107" s="3">
        <v>11.6355458337702</v>
      </c>
      <c r="V107" s="3">
        <v>14.8217715212716</v>
      </c>
    </row>
    <row r="108" spans="1:22" x14ac:dyDescent="0.35">
      <c r="A108" s="2">
        <v>44974</v>
      </c>
      <c r="B108" s="3">
        <v>12.1787946481614</v>
      </c>
      <c r="C108" s="3">
        <v>7.8572977149195697</v>
      </c>
      <c r="D108" s="3">
        <v>12.2161095790901</v>
      </c>
      <c r="E108" s="3">
        <v>12.627123845242499</v>
      </c>
      <c r="F108" s="3">
        <v>7.7094093084703497</v>
      </c>
      <c r="G108" s="3">
        <v>9.6074757212807302</v>
      </c>
      <c r="H108" s="3">
        <v>13.336567315933101</v>
      </c>
      <c r="I108" s="3">
        <v>14.3073336881433</v>
      </c>
      <c r="J108" s="3">
        <v>12.835861019057401</v>
      </c>
      <c r="K108" s="3">
        <v>12.7552557205022</v>
      </c>
      <c r="L108" s="3">
        <v>7.0953236656219003</v>
      </c>
      <c r="M108" s="3">
        <v>9.0785290050355307</v>
      </c>
      <c r="N108" s="3">
        <v>7.8927025073083499</v>
      </c>
      <c r="O108" s="3">
        <v>20.9841355089705</v>
      </c>
      <c r="P108" s="3">
        <v>11.1830020280221</v>
      </c>
      <c r="Q108" s="3">
        <v>11.1677464538976</v>
      </c>
      <c r="R108" s="3">
        <v>15.8946070673442</v>
      </c>
      <c r="S108" s="3">
        <v>4.9850011897952102</v>
      </c>
      <c r="T108" s="3">
        <v>12.089346951515701</v>
      </c>
      <c r="U108" s="3">
        <v>12.368639391659199</v>
      </c>
      <c r="V108" s="3">
        <v>15.1325059427569</v>
      </c>
    </row>
    <row r="109" spans="1:22" x14ac:dyDescent="0.35">
      <c r="A109" s="2">
        <v>45002</v>
      </c>
      <c r="B109" s="3">
        <v>11.748668563535199</v>
      </c>
      <c r="C109" s="3">
        <v>7.2901418148475798</v>
      </c>
      <c r="D109" s="3">
        <v>11.607479598763801</v>
      </c>
      <c r="E109" s="3">
        <v>11.581105243943099</v>
      </c>
      <c r="F109" s="3">
        <v>6.8257653789744603</v>
      </c>
      <c r="G109" s="3">
        <v>9.3728541166169492</v>
      </c>
      <c r="H109" s="3">
        <v>12.9302363982569</v>
      </c>
      <c r="I109" s="3">
        <v>14.6095715695911</v>
      </c>
      <c r="J109" s="3">
        <v>12.2692559633194</v>
      </c>
      <c r="K109" s="3">
        <v>12.886404347818999</v>
      </c>
      <c r="L109" s="3">
        <v>6.4738315802430204</v>
      </c>
      <c r="M109" s="3">
        <v>8.4150821246218008</v>
      </c>
      <c r="N109" s="3">
        <v>6.9385317876190298</v>
      </c>
      <c r="O109" s="3">
        <v>19.813190633378198</v>
      </c>
      <c r="P109" s="3">
        <v>10.495738295912</v>
      </c>
      <c r="Q109" s="3">
        <v>10.491192537864301</v>
      </c>
      <c r="R109" s="3">
        <v>15.336692249120199</v>
      </c>
      <c r="S109" s="3">
        <v>4.9877307925887804</v>
      </c>
      <c r="T109" s="3">
        <v>10.8822992430503</v>
      </c>
      <c r="U109" s="3">
        <v>12.437178942415301</v>
      </c>
      <c r="V109" s="3">
        <v>13.9400490441394</v>
      </c>
    </row>
    <row r="110" spans="1:22" x14ac:dyDescent="0.35">
      <c r="A110" s="2">
        <v>45034</v>
      </c>
      <c r="B110" s="3">
        <v>12.527907461448001</v>
      </c>
      <c r="C110" s="3">
        <v>7.9507850894408696</v>
      </c>
      <c r="D110" s="3">
        <v>12.1711466307768</v>
      </c>
      <c r="E110" s="3">
        <v>11.342284502223199</v>
      </c>
      <c r="F110" s="3">
        <v>7.2487955241278703</v>
      </c>
      <c r="G110" s="3">
        <v>9.9831880798679808</v>
      </c>
      <c r="H110" s="3">
        <v>13.1656433410446</v>
      </c>
      <c r="I110" s="3">
        <v>15.020576801335601</v>
      </c>
      <c r="J110" s="3">
        <v>12.589995532808601</v>
      </c>
      <c r="K110" s="3">
        <v>14.1939567084393</v>
      </c>
      <c r="L110" s="3">
        <v>6.9030188539008499</v>
      </c>
      <c r="M110" s="3">
        <v>9.3162902490513098</v>
      </c>
      <c r="N110" s="3">
        <v>7.4014495915834697</v>
      </c>
      <c r="O110" s="3">
        <v>20.217853906265599</v>
      </c>
      <c r="P110" s="3">
        <v>11.046148251162499</v>
      </c>
      <c r="Q110" s="3">
        <v>10.607599175718301</v>
      </c>
      <c r="R110" s="3">
        <v>15.808335473182</v>
      </c>
      <c r="S110" s="3">
        <v>4.6963756238625196</v>
      </c>
      <c r="T110" s="3">
        <v>11.3146713659015</v>
      </c>
      <c r="U110" s="3">
        <v>13.7462983761815</v>
      </c>
      <c r="V110" s="3">
        <v>16.223624059801701</v>
      </c>
    </row>
    <row r="111" spans="1:22" x14ac:dyDescent="0.35">
      <c r="A111" s="2">
        <v>45064</v>
      </c>
      <c r="B111" s="3">
        <v>12.015816619757601</v>
      </c>
      <c r="C111" s="3">
        <v>8.5682246340354098</v>
      </c>
      <c r="D111" s="3">
        <v>11.7966422757267</v>
      </c>
      <c r="E111" s="3">
        <v>11.242860578359499</v>
      </c>
      <c r="F111" s="3">
        <v>7.2321675981000197</v>
      </c>
      <c r="G111" s="3">
        <v>9.4113572126831304</v>
      </c>
      <c r="H111" s="3">
        <v>13.172940567112899</v>
      </c>
      <c r="I111" s="3">
        <v>15.698190860109699</v>
      </c>
      <c r="J111" s="3">
        <v>12.4335611712246</v>
      </c>
      <c r="K111" s="3">
        <v>12.9820868652525</v>
      </c>
      <c r="L111" s="3">
        <v>7.1452187489272596</v>
      </c>
      <c r="M111" s="3">
        <v>8.7865409985576708</v>
      </c>
      <c r="N111" s="3">
        <v>6.9370327364203002</v>
      </c>
      <c r="O111" s="3">
        <v>20.741048009999801</v>
      </c>
      <c r="P111" s="3">
        <v>10.4733057113925</v>
      </c>
      <c r="Q111" s="3">
        <v>11.345258433288899</v>
      </c>
      <c r="R111" s="3">
        <v>15.4529588347032</v>
      </c>
      <c r="S111" s="3">
        <v>4.0528974902970702</v>
      </c>
      <c r="T111" s="3">
        <v>11.0234395208669</v>
      </c>
      <c r="U111" s="3">
        <v>14.3607315351806</v>
      </c>
      <c r="V111" s="3">
        <v>16.6717640339841</v>
      </c>
    </row>
    <row r="112" spans="1:22" x14ac:dyDescent="0.35">
      <c r="A112" s="2">
        <v>45093</v>
      </c>
      <c r="B112" s="3">
        <v>12.2176610438714</v>
      </c>
      <c r="C112" s="3">
        <v>8.4159884131471792</v>
      </c>
      <c r="D112" s="3">
        <v>13.5428488199623</v>
      </c>
      <c r="E112" s="3">
        <v>10.228604085975</v>
      </c>
      <c r="F112" s="3">
        <v>8.1547837191994894</v>
      </c>
      <c r="G112" s="3">
        <v>10.1732105113177</v>
      </c>
      <c r="H112" s="3">
        <v>13.3232780386065</v>
      </c>
      <c r="I112" s="3">
        <v>16.6111482723189</v>
      </c>
      <c r="J112" s="3">
        <v>12.0537663321798</v>
      </c>
      <c r="K112" s="3">
        <v>12.700109603755401</v>
      </c>
      <c r="L112" s="3">
        <v>7.8312970527375603</v>
      </c>
      <c r="M112" s="3">
        <v>9.4315920743331407</v>
      </c>
      <c r="N112" s="3">
        <v>8.0737037574993291</v>
      </c>
      <c r="O112" s="3">
        <v>21.667550047293801</v>
      </c>
      <c r="P112" s="3">
        <v>10.8141684331317</v>
      </c>
      <c r="Q112" s="3">
        <v>11.231356362982</v>
      </c>
      <c r="R112" s="3">
        <v>15.934940422382899</v>
      </c>
      <c r="S112" s="3">
        <v>4.9188863883091702</v>
      </c>
      <c r="T112" s="3">
        <v>11.1444175022158</v>
      </c>
      <c r="U112" s="3">
        <v>14.092028245338501</v>
      </c>
      <c r="V112" s="3">
        <v>17.096043223063699</v>
      </c>
    </row>
    <row r="113" spans="1:37" x14ac:dyDescent="0.35">
      <c r="A113" s="2">
        <v>45125</v>
      </c>
      <c r="B113" s="3">
        <v>11.790513758308601</v>
      </c>
      <c r="C113" s="3">
        <v>9.3683463939883893</v>
      </c>
      <c r="D113" s="3">
        <v>13.4868324084494</v>
      </c>
      <c r="E113" s="3">
        <v>10.1928664124697</v>
      </c>
      <c r="F113" s="3">
        <v>8.0920199096573899</v>
      </c>
      <c r="G113" s="3">
        <v>10.4968855430321</v>
      </c>
      <c r="H113" s="3">
        <v>13.462166512504499</v>
      </c>
      <c r="I113" s="3">
        <v>16.690961463206499</v>
      </c>
      <c r="J113" s="3">
        <v>11.8769791380151</v>
      </c>
      <c r="K113" s="3">
        <v>12.056828250611501</v>
      </c>
      <c r="L113" s="3">
        <v>7.84442386917876</v>
      </c>
      <c r="M113" s="3">
        <v>9.9686469116782401</v>
      </c>
      <c r="N113" s="3">
        <v>8.14352428759587</v>
      </c>
      <c r="O113" s="3">
        <v>21.799330455524199</v>
      </c>
      <c r="P113" s="3">
        <v>10.306693373408001</v>
      </c>
      <c r="Q113" s="3">
        <v>11.186632261391001</v>
      </c>
      <c r="R113" s="3">
        <v>15.868788498368</v>
      </c>
      <c r="S113" s="3">
        <v>5.45549465383582</v>
      </c>
      <c r="T113" s="3">
        <v>11.4458574160669</v>
      </c>
      <c r="U113" s="3">
        <v>13.7252441662606</v>
      </c>
      <c r="V113" s="3">
        <v>17.572923985293901</v>
      </c>
    </row>
    <row r="114" spans="1:37" x14ac:dyDescent="0.35">
      <c r="A114" s="2">
        <v>45156</v>
      </c>
      <c r="B114" s="3">
        <v>11.693005519368</v>
      </c>
      <c r="C114" s="3">
        <v>9.1132573910013495</v>
      </c>
      <c r="D114" s="3">
        <v>13.448688300027699</v>
      </c>
      <c r="E114" s="3">
        <v>9.5404231192593301</v>
      </c>
      <c r="F114" s="3">
        <v>8.0645984402055593</v>
      </c>
      <c r="G114" s="3">
        <v>10.246695181435999</v>
      </c>
      <c r="H114" s="3">
        <v>13.710048844562101</v>
      </c>
      <c r="I114" s="3">
        <v>15.747465777766299</v>
      </c>
      <c r="J114" s="3">
        <v>11.7311199168835</v>
      </c>
      <c r="K114" s="3">
        <v>11.0704133876981</v>
      </c>
      <c r="L114" s="3">
        <v>7.8516845035114402</v>
      </c>
      <c r="M114" s="3">
        <v>9.3694323905362893</v>
      </c>
      <c r="N114" s="3">
        <v>7.2902107282254898</v>
      </c>
      <c r="O114" s="3">
        <v>20.670377193516099</v>
      </c>
      <c r="P114" s="3">
        <v>10.0229167664953</v>
      </c>
      <c r="Q114" s="3">
        <v>11.3329025335136</v>
      </c>
      <c r="R114" s="3">
        <v>15.71861527191</v>
      </c>
      <c r="S114" s="3">
        <v>5.9786973137029404</v>
      </c>
      <c r="T114" s="3">
        <v>11.3021917973215</v>
      </c>
      <c r="U114" s="3">
        <v>13.995650265941499</v>
      </c>
      <c r="V114" s="3">
        <v>17.176583662808</v>
      </c>
    </row>
    <row r="115" spans="1:37" x14ac:dyDescent="0.35">
      <c r="A115" s="2">
        <v>45187</v>
      </c>
      <c r="B115" s="3">
        <v>11.8082542901819</v>
      </c>
      <c r="C115" s="3">
        <v>8.8781677743528693</v>
      </c>
      <c r="D115" s="3">
        <v>13.2261718988144</v>
      </c>
      <c r="E115" s="3">
        <v>9.6020493824788602</v>
      </c>
      <c r="F115" s="3">
        <v>8.0022718903015804</v>
      </c>
      <c r="G115" s="3">
        <v>10.165073359625101</v>
      </c>
      <c r="H115" s="3">
        <v>13.860789604845699</v>
      </c>
      <c r="I115" s="3">
        <v>15.6842852884725</v>
      </c>
      <c r="J115" s="3">
        <v>11.4961060117601</v>
      </c>
      <c r="K115" s="3">
        <v>11.189189426858499</v>
      </c>
      <c r="L115" s="3">
        <v>7.9168952660580301</v>
      </c>
      <c r="M115" s="3">
        <v>9.49076724604212</v>
      </c>
      <c r="N115" s="3">
        <v>6.8947875373171303</v>
      </c>
      <c r="O115" s="3">
        <v>21.080063363538098</v>
      </c>
      <c r="P115" s="3">
        <v>10.145524762401401</v>
      </c>
      <c r="Q115" s="3">
        <v>10.8460142145147</v>
      </c>
      <c r="R115" s="3">
        <v>15.7138710498721</v>
      </c>
      <c r="S115" s="3">
        <v>5.6129302510157304</v>
      </c>
      <c r="T115" s="3">
        <v>11.0000210203929</v>
      </c>
      <c r="U115" s="3">
        <v>14.546528998368499</v>
      </c>
      <c r="V115" s="3">
        <v>16.2173428031535</v>
      </c>
    </row>
    <row r="116" spans="1:37" x14ac:dyDescent="0.35">
      <c r="A116" s="2">
        <v>45217</v>
      </c>
      <c r="B116" s="3">
        <v>11.3056952220975</v>
      </c>
      <c r="C116" s="3">
        <v>8.6688336586768795</v>
      </c>
      <c r="D116" s="3">
        <v>12.7354981468783</v>
      </c>
      <c r="E116" s="3">
        <v>9.8631228956701396</v>
      </c>
      <c r="F116" s="3">
        <v>8.4972264625411</v>
      </c>
      <c r="G116" s="3">
        <v>9.5915892347012406</v>
      </c>
      <c r="H116" s="3">
        <v>13.657236176881501</v>
      </c>
      <c r="I116" s="3">
        <v>15.2533847240505</v>
      </c>
      <c r="J116" s="3">
        <v>11.0233081178666</v>
      </c>
      <c r="K116" s="3">
        <v>10.420048179693101</v>
      </c>
      <c r="L116" s="3">
        <v>7.4700563342016002</v>
      </c>
      <c r="M116" s="3">
        <v>9.3769239763849992</v>
      </c>
      <c r="N116" s="3">
        <v>6.52552075273534</v>
      </c>
      <c r="O116" s="3">
        <v>20.5043975505912</v>
      </c>
      <c r="P116" s="3">
        <v>9.7324090941947894</v>
      </c>
      <c r="Q116" s="3">
        <v>10.450569563293699</v>
      </c>
      <c r="R116" s="3">
        <v>14.753682350814101</v>
      </c>
      <c r="S116" s="3">
        <v>5.53700263122815</v>
      </c>
      <c r="T116" s="3">
        <v>10.233594756686699</v>
      </c>
      <c r="U116" s="3">
        <v>13.4847140804281</v>
      </c>
      <c r="V116" s="3">
        <v>15.705674210257399</v>
      </c>
    </row>
    <row r="117" spans="1:37" x14ac:dyDescent="0.35">
      <c r="A117" s="2">
        <v>45247</v>
      </c>
      <c r="B117" s="3">
        <v>11.6252946229709</v>
      </c>
      <c r="C117" s="3">
        <v>8.7521428036780904</v>
      </c>
      <c r="D117" s="3">
        <v>12.4619562823093</v>
      </c>
      <c r="E117" s="3">
        <v>9.5861409124400101</v>
      </c>
      <c r="F117" s="3">
        <v>8.3314696394217709</v>
      </c>
      <c r="G117" s="3">
        <v>10.071345973911599</v>
      </c>
      <c r="H117" s="3">
        <v>13.668504231905001</v>
      </c>
      <c r="I117" s="3">
        <v>15.6426661760194</v>
      </c>
      <c r="J117" s="3">
        <v>11.932439126372399</v>
      </c>
      <c r="K117" s="3">
        <v>10.150227341265801</v>
      </c>
      <c r="L117" s="3">
        <v>8.1163734897659392</v>
      </c>
      <c r="M117" s="3">
        <v>9.7048092791039995</v>
      </c>
      <c r="N117" s="3">
        <v>6.7990294341301798</v>
      </c>
      <c r="O117" s="3">
        <v>20.378829935589</v>
      </c>
      <c r="P117" s="3">
        <v>9.7011186023437208</v>
      </c>
      <c r="Q117" s="3">
        <v>10.7528516656098</v>
      </c>
      <c r="R117" s="3">
        <v>14.6301911850141</v>
      </c>
      <c r="S117" s="3">
        <v>4.8595874158041701</v>
      </c>
      <c r="T117" s="3">
        <v>10.387093880301601</v>
      </c>
      <c r="U117" s="3">
        <v>13.9193567228888</v>
      </c>
      <c r="V117" s="3">
        <v>16.439180609115599</v>
      </c>
    </row>
    <row r="118" spans="1:37" x14ac:dyDescent="0.35">
      <c r="A118" s="2">
        <v>45278</v>
      </c>
      <c r="B118" s="3">
        <v>11.1122167077441</v>
      </c>
      <c r="C118" s="3">
        <v>8.0190098446914604</v>
      </c>
      <c r="D118" s="3">
        <v>12.5645952962737</v>
      </c>
      <c r="E118" s="3">
        <v>9.3403634473196906</v>
      </c>
      <c r="F118" s="3">
        <v>9.0718537981513503</v>
      </c>
      <c r="G118" s="3">
        <v>11.637825705052901</v>
      </c>
      <c r="H118" s="3">
        <v>13.779616423857201</v>
      </c>
      <c r="I118" s="3">
        <v>15.9791125490644</v>
      </c>
      <c r="J118" s="3">
        <v>13.098134831096999</v>
      </c>
      <c r="K118" s="3">
        <v>10.1426844678323</v>
      </c>
      <c r="L118" s="3">
        <v>8.0664640773388001</v>
      </c>
      <c r="M118" s="3">
        <v>9.7394647912748304</v>
      </c>
      <c r="N118" s="3">
        <v>6.6422138757695004</v>
      </c>
      <c r="O118" s="3">
        <v>21.824317900035201</v>
      </c>
      <c r="P118" s="3">
        <v>9.2328633738292591</v>
      </c>
      <c r="Q118" s="3">
        <v>10.2723370080645</v>
      </c>
      <c r="R118" s="3">
        <v>14.367162510907599</v>
      </c>
      <c r="S118" s="3">
        <v>4.6243850987044004</v>
      </c>
      <c r="T118" s="3">
        <v>10.2548246201774</v>
      </c>
      <c r="U118" s="3">
        <v>13.895422928826299</v>
      </c>
      <c r="V118" s="3">
        <v>17.510863938904301</v>
      </c>
    </row>
    <row r="119" spans="1:37" x14ac:dyDescent="0.35">
      <c r="A119" s="2">
        <v>45309</v>
      </c>
      <c r="B119" s="3">
        <v>10.735266359235199</v>
      </c>
      <c r="C119" s="3">
        <v>7.8376050252993501</v>
      </c>
      <c r="D119" s="3">
        <v>12.8676983679374</v>
      </c>
      <c r="E119" s="3">
        <v>9.3542874535762799</v>
      </c>
      <c r="F119" s="3">
        <v>8.0111463122225803</v>
      </c>
      <c r="G119" s="3">
        <v>11.184038761316501</v>
      </c>
      <c r="H119" s="3">
        <v>13.642651505969599</v>
      </c>
      <c r="I119" s="3">
        <v>15.3471409986232</v>
      </c>
      <c r="J119" s="3">
        <v>12.270307951821399</v>
      </c>
      <c r="K119" s="3">
        <v>9.4598765032746801</v>
      </c>
      <c r="L119" s="3">
        <v>7.7208002149268404</v>
      </c>
      <c r="M119" s="3">
        <v>9.2519291476921506</v>
      </c>
      <c r="N119" s="3">
        <v>6.7665809369108301</v>
      </c>
      <c r="O119" s="3">
        <v>21.874345556362801</v>
      </c>
      <c r="P119" s="3">
        <v>8.60367941495808</v>
      </c>
      <c r="Q119" s="3">
        <v>10.7332498920387</v>
      </c>
      <c r="R119" s="3">
        <v>14.1597807821065</v>
      </c>
      <c r="S119" s="3">
        <v>4.7141682816815802</v>
      </c>
      <c r="T119" s="3">
        <v>10.542264174489</v>
      </c>
      <c r="U119" s="3">
        <v>14.4968430772928</v>
      </c>
      <c r="V119" s="3">
        <v>18.2108127598656</v>
      </c>
    </row>
    <row r="120" spans="1:37" x14ac:dyDescent="0.35">
      <c r="A120" s="2">
        <v>45338</v>
      </c>
      <c r="B120" s="3">
        <v>11.0467688345325</v>
      </c>
      <c r="C120" s="3">
        <v>8.3930066076571794</v>
      </c>
      <c r="D120" s="3">
        <v>13.1863916300724</v>
      </c>
      <c r="E120" s="3">
        <v>9.8503361740692998</v>
      </c>
      <c r="F120" s="3">
        <v>9.0744408842916506</v>
      </c>
      <c r="G120" s="3">
        <v>11.9521816945428</v>
      </c>
      <c r="H120" s="3">
        <v>14.051502919041599</v>
      </c>
      <c r="I120" s="3">
        <v>16.3409521425836</v>
      </c>
      <c r="J120" s="3">
        <v>12.880107704341199</v>
      </c>
      <c r="K120" s="3">
        <v>10.4602769276907</v>
      </c>
      <c r="L120" s="3">
        <v>8.0997996446238201</v>
      </c>
      <c r="M120" s="3">
        <v>9.4073328579303208</v>
      </c>
      <c r="N120" s="3">
        <v>7.0129160051630102</v>
      </c>
      <c r="O120" s="3">
        <v>22.603022919117301</v>
      </c>
      <c r="P120" s="3">
        <v>9.0457095753990799</v>
      </c>
      <c r="Q120" s="3">
        <v>10.554757092560401</v>
      </c>
      <c r="R120" s="3">
        <v>14.339743180004501</v>
      </c>
      <c r="S120" s="3">
        <v>5.3434517258968999</v>
      </c>
      <c r="T120" s="3">
        <v>10.2362120002613</v>
      </c>
      <c r="U120" s="3">
        <v>14.7789865777616</v>
      </c>
      <c r="V120" s="3">
        <v>18.843988547236201</v>
      </c>
    </row>
    <row r="121" spans="1:37" x14ac:dyDescent="0.35">
      <c r="A121" s="2">
        <v>45369</v>
      </c>
      <c r="B121" s="3">
        <v>11.861012228159201</v>
      </c>
      <c r="C121" s="3">
        <v>8.0867350480056093</v>
      </c>
      <c r="D121" s="3">
        <v>13.066791136024801</v>
      </c>
      <c r="E121" s="3">
        <v>10.165328659008701</v>
      </c>
      <c r="F121" s="3">
        <v>9.1599944722443798</v>
      </c>
      <c r="G121" s="3">
        <v>12.9497375724784</v>
      </c>
      <c r="H121" s="3">
        <v>14.0666296001364</v>
      </c>
      <c r="I121" s="3">
        <v>17.273509959914598</v>
      </c>
      <c r="J121" s="3">
        <v>12.512010877976101</v>
      </c>
      <c r="K121" s="3">
        <v>10.5116115922022</v>
      </c>
      <c r="L121" s="3">
        <v>7.9273266008618801</v>
      </c>
      <c r="M121" s="3">
        <v>9.1700655341205</v>
      </c>
      <c r="N121" s="3">
        <v>7.08788872766028</v>
      </c>
      <c r="O121" s="3">
        <v>22.063273144920899</v>
      </c>
      <c r="P121" s="3">
        <v>9.3680368438169008</v>
      </c>
      <c r="Q121" s="3">
        <v>10.517577342459701</v>
      </c>
      <c r="R121" s="3">
        <v>14.3664101410308</v>
      </c>
      <c r="S121" s="3">
        <v>4.8830264243740604</v>
      </c>
      <c r="T121" s="3">
        <v>9.6073110256969798</v>
      </c>
      <c r="U121" s="3">
        <v>16.198197071136601</v>
      </c>
      <c r="V121" s="3">
        <v>18.483308710822701</v>
      </c>
    </row>
    <row r="122" spans="1:37" x14ac:dyDescent="0.35">
      <c r="A122" s="2">
        <v>45398</v>
      </c>
      <c r="B122" s="3">
        <v>12.1761115883368</v>
      </c>
      <c r="C122" s="3">
        <v>7.8207740987381396</v>
      </c>
      <c r="D122" s="3">
        <v>12.578613482361</v>
      </c>
      <c r="E122" s="3">
        <v>8.8223539686339301</v>
      </c>
      <c r="F122" s="3">
        <v>8.5155402337568802</v>
      </c>
      <c r="G122" s="3">
        <v>12.7618678679894</v>
      </c>
      <c r="H122" s="3">
        <v>13.848848432519601</v>
      </c>
      <c r="I122" s="3">
        <v>17.3002902418175</v>
      </c>
      <c r="J122" s="3">
        <v>12.4018039262755</v>
      </c>
      <c r="K122" s="3">
        <v>10.2084010963625</v>
      </c>
      <c r="L122" s="3">
        <v>7.5405884757194102</v>
      </c>
      <c r="M122" s="3">
        <v>9.3826865879243897</v>
      </c>
      <c r="N122" s="3">
        <v>6.76078642551676</v>
      </c>
      <c r="O122" s="3">
        <v>22.331485252846502</v>
      </c>
      <c r="P122" s="3">
        <v>9.3237341550997996</v>
      </c>
      <c r="Q122" s="3">
        <v>10.168568583405101</v>
      </c>
      <c r="R122" s="3">
        <v>14.141229344070799</v>
      </c>
      <c r="S122" s="3">
        <v>5.3949236640788998</v>
      </c>
      <c r="T122" s="3">
        <v>9.4392245991906503</v>
      </c>
      <c r="U122" s="3">
        <v>15.406591134017701</v>
      </c>
      <c r="V122" s="3">
        <v>18.165364667242699</v>
      </c>
    </row>
    <row r="124" spans="1:37" x14ac:dyDescent="0.35">
      <c r="A124" s="2" t="s">
        <v>91</v>
      </c>
      <c r="B124" s="3" cm="1">
        <f t="array" ref="B124">MIN(_xlfn._xlws.FILTER(B1:B122, ISNUMBER(B1:B122)))</f>
        <v>9.2550075934733407</v>
      </c>
      <c r="C124" s="3" cm="1">
        <f t="array" ref="C124">MIN(_xlfn._xlws.FILTER(C1:C122, ISNUMBER(C1:C122)))</f>
        <v>6.4384354647536703</v>
      </c>
      <c r="D124" s="3" cm="1">
        <f t="array" ref="D124">MIN(_xlfn._xlws.FILTER(D1:D122, ISNUMBER(D1:D122)))</f>
        <v>9.9928287921284404</v>
      </c>
      <c r="E124" s="3" cm="1">
        <f t="array" ref="E124">MIN(_xlfn._xlws.FILTER(E1:E122, ISNUMBER(E1:E122)))</f>
        <v>8.8223539686339301</v>
      </c>
      <c r="F124" s="3" cm="1">
        <f t="array" ref="F124">MIN(_xlfn._xlws.FILTER(F1:F122, ISNUMBER(F1:F122)))</f>
        <v>5.7969857700435998</v>
      </c>
      <c r="G124" s="3" cm="1">
        <f t="array" ref="G124">MIN(_xlfn._xlws.FILTER(G1:G122, ISNUMBER(G1:G122)))</f>
        <v>6.9201978419435903</v>
      </c>
      <c r="H124" s="3" cm="1">
        <f t="array" ref="H124">MIN(_xlfn._xlws.FILTER(H1:H122, ISNUMBER(H1:H122)))</f>
        <v>12.750070019208501</v>
      </c>
      <c r="I124" s="3" cm="1">
        <f t="array" ref="I124">MIN(_xlfn._xlws.FILTER(I1:I122, ISNUMBER(I1:I122)))</f>
        <v>10.293961092317501</v>
      </c>
      <c r="J124" s="3" cm="1">
        <f t="array" ref="J124">MIN(_xlfn._xlws.FILTER(J1:J122, ISNUMBER(J1:J122)))</f>
        <v>10.8618477051292</v>
      </c>
      <c r="K124" s="3" cm="1">
        <f t="array" ref="K124">MIN(_xlfn._xlws.FILTER(K1:K122, ISNUMBER(K1:K122)))</f>
        <v>7.7836593754189503</v>
      </c>
      <c r="L124" s="3" cm="1">
        <f t="array" ref="L124">MIN(_xlfn._xlws.FILTER(L1:L122, ISNUMBER(L1:L122)))</f>
        <v>5.9002940570097104</v>
      </c>
      <c r="M124" s="3" cm="1">
        <f t="array" ref="M124">MIN(_xlfn._xlws.FILTER(M1:M122, ISNUMBER(M1:M122)))</f>
        <v>7.4624088644493103</v>
      </c>
      <c r="N124" s="3" cm="1">
        <f t="array" ref="N124">MIN(_xlfn._xlws.FILTER(N1:N122, ISNUMBER(N1:N122)))</f>
        <v>4.0699480166227699</v>
      </c>
      <c r="O124" s="3" cm="1">
        <f t="array" ref="O124">MIN(_xlfn._xlws.FILTER(O1:O122, ISNUMBER(O1:O122)))</f>
        <v>13.705332322651801</v>
      </c>
      <c r="P124" s="3" cm="1">
        <f t="array" ref="P124">MIN(_xlfn._xlws.FILTER(P1:P122, ISNUMBER(P1:P122)))</f>
        <v>8.4103051799533706</v>
      </c>
      <c r="Q124" s="3" cm="1">
        <f t="array" ref="Q124">MIN(_xlfn._xlws.FILTER(Q1:Q122, ISNUMBER(Q1:Q122)))</f>
        <v>10.1023022231707</v>
      </c>
      <c r="R124" s="3" cm="1">
        <f t="array" ref="R124">MIN(_xlfn._xlws.FILTER(R1:R122, ISNUMBER(R1:R122)))</f>
        <v>11.598583605628701</v>
      </c>
      <c r="S124" s="3" cm="1">
        <f t="array" ref="S124">MIN(_xlfn._xlws.FILTER(S1:S122, ISNUMBER(S1:S122)))</f>
        <v>4.0528974902970702</v>
      </c>
      <c r="T124" s="3" cm="1">
        <f t="array" ref="T124">MIN(_xlfn._xlws.FILTER(T1:T122, ISNUMBER(T1:T122)))</f>
        <v>8.5907595462481599</v>
      </c>
      <c r="U124" s="3" cm="1">
        <f t="array" ref="U124">MIN(_xlfn._xlws.FILTER(U1:U122, ISNUMBER(U1:U122)))</f>
        <v>10.2294442644407</v>
      </c>
      <c r="V124" s="3" cm="1">
        <f t="array" ref="V124">MIN(_xlfn._xlws.FILTER(V1:V122, ISNUMBER(V1:V122)))</f>
        <v>11.1533004555651</v>
      </c>
    </row>
    <row r="125" spans="1:37" x14ac:dyDescent="0.35">
      <c r="A125" s="2" t="s">
        <v>92</v>
      </c>
      <c r="B125" s="3" cm="1">
        <f t="array" ref="B125">MAX(_xlfn._xlws.FILTER(B1:B122, ISNUMBER(B1:B122)))</f>
        <v>18.821692186411699</v>
      </c>
      <c r="C125" s="3" cm="1">
        <f t="array" ref="C125">MAX(_xlfn._xlws.FILTER(C1:C122, ISNUMBER(C1:C122)))</f>
        <v>18.914325939895701</v>
      </c>
      <c r="D125" s="3" cm="1">
        <f t="array" ref="D125">MAX(_xlfn._xlws.FILTER(D1:D122, ISNUMBER(D1:D122)))</f>
        <v>18.5803221824636</v>
      </c>
      <c r="E125" s="3" cm="1">
        <f t="array" ref="E125">MAX(_xlfn._xlws.FILTER(E1:E122, ISNUMBER(E1:E122)))</f>
        <v>18.394956206523599</v>
      </c>
      <c r="F125" s="3" cm="1">
        <f t="array" ref="F125">MAX(_xlfn._xlws.FILTER(F1:F122, ISNUMBER(F1:F122)))</f>
        <v>14.6864361891926</v>
      </c>
      <c r="G125" s="3" cm="1">
        <f t="array" ref="G125">MAX(_xlfn._xlws.FILTER(G1:G122, ISNUMBER(G1:G122)))</f>
        <v>23.178702973599201</v>
      </c>
      <c r="H125" s="3" cm="1">
        <f t="array" ref="H125">MAX(_xlfn._xlws.FILTER(H1:H122, ISNUMBER(H1:H122)))</f>
        <v>19.679463158299001</v>
      </c>
      <c r="I125" s="3" cm="1">
        <f t="array" ref="I125">MAX(_xlfn._xlws.FILTER(I1:I122, ISNUMBER(I1:I122)))</f>
        <v>17.3002902418175</v>
      </c>
      <c r="J125" s="3" cm="1">
        <f t="array" ref="J125">MAX(_xlfn._xlws.FILTER(J1:J122, ISNUMBER(J1:J122)))</f>
        <v>19.429968443033999</v>
      </c>
      <c r="K125" s="3" cm="1">
        <f t="array" ref="K125">MAX(_xlfn._xlws.FILTER(K1:K122, ISNUMBER(K1:K122)))</f>
        <v>14.3910101920901</v>
      </c>
      <c r="L125" s="3" cm="1">
        <f t="array" ref="L125">MAX(_xlfn._xlws.FILTER(L1:L122, ISNUMBER(L1:L122)))</f>
        <v>27.0725321875275</v>
      </c>
      <c r="M125" s="3" cm="1">
        <f t="array" ref="M125">MAX(_xlfn._xlws.FILTER(M1:M122, ISNUMBER(M1:M122)))</f>
        <v>17.5328329731406</v>
      </c>
      <c r="N125" s="3" cm="1">
        <f t="array" ref="N125">MAX(_xlfn._xlws.FILTER(N1:N122, ISNUMBER(N1:N122)))</f>
        <v>15.8237738660982</v>
      </c>
      <c r="O125" s="3" cm="1">
        <f t="array" ref="O125">MAX(_xlfn._xlws.FILTER(O1:O122, ISNUMBER(O1:O122)))</f>
        <v>25.073086712638101</v>
      </c>
      <c r="P125" s="3" cm="1">
        <f t="array" ref="P125">MAX(_xlfn._xlws.FILTER(P1:P122, ISNUMBER(P1:P122)))</f>
        <v>18.575770694607701</v>
      </c>
      <c r="Q125" s="3" cm="1">
        <f t="array" ref="Q125">MAX(_xlfn._xlws.FILTER(Q1:Q122, ISNUMBER(Q1:Q122)))</f>
        <v>16.131238995094201</v>
      </c>
      <c r="R125" s="3" cm="1">
        <f t="array" ref="R125">MAX(_xlfn._xlws.FILTER(R1:R122, ISNUMBER(R1:R122)))</f>
        <v>19.9129479354119</v>
      </c>
      <c r="S125" s="3" cm="1">
        <f t="array" ref="S125">MAX(_xlfn._xlws.FILTER(S1:S122, ISNUMBER(S1:S122)))</f>
        <v>10.8905495978136</v>
      </c>
      <c r="T125" s="3" cm="1">
        <f t="array" ref="T125">MAX(_xlfn._xlws.FILTER(T1:T122, ISNUMBER(T1:T122)))</f>
        <v>17.372493983174198</v>
      </c>
      <c r="U125" s="3" cm="1">
        <f t="array" ref="U125">MAX(_xlfn._xlws.FILTER(U1:U122, ISNUMBER(U1:U122)))</f>
        <v>21.0044741977439</v>
      </c>
      <c r="V125" s="3" cm="1">
        <f t="array" ref="V125">MAX(_xlfn._xlws.FILTER(V1:V122, ISNUMBER(V1:V122)))</f>
        <v>21.778468504007702</v>
      </c>
    </row>
    <row r="127" spans="1:37" x14ac:dyDescent="0.35">
      <c r="A127" s="2" t="s">
        <v>93</v>
      </c>
      <c r="B127" s="9" cm="1">
        <f t="array" ref="B127">_xlfn.PERCENTRANK.EXC(_xlfn._xlws.FILTER(B1:B122, ISNUMBER(B1:B122)),B122)</f>
        <v>0.36799999999999999</v>
      </c>
      <c r="C127" s="9" cm="1">
        <f t="array" ref="C127">_xlfn.PERCENTRANK.EXC(_xlfn._xlws.FILTER(C1:C122, ISNUMBER(C1:C122)),C122)</f>
        <v>8.1000000000000003E-2</v>
      </c>
      <c r="D127" s="9" cm="1">
        <f t="array" ref="D127">_xlfn.PERCENTRANK.EXC(_xlfn._xlws.FILTER(D1:D122, ISNUMBER(D1:D122)),D122)</f>
        <v>0.122</v>
      </c>
      <c r="E127" s="9" cm="1">
        <f t="array" ref="E127">_xlfn.PERCENTRANK.EXC(_xlfn._xlws.FILTER(E1:E122, ISNUMBER(E1:E122)),E122)</f>
        <v>8.0000000000000002E-3</v>
      </c>
      <c r="F127" s="9" cm="1">
        <f t="array" ref="F127">_xlfn.PERCENTRANK.EXC(_xlfn._xlws.FILTER(F1:F122, ISNUMBER(F1:F122)),F122)</f>
        <v>0.18</v>
      </c>
      <c r="G127" s="9" cm="1">
        <f t="array" ref="G127">_xlfn.PERCENTRANK.EXC(_xlfn._xlws.FILTER(G1:G122, ISNUMBER(G1:G122)),G122)</f>
        <v>0.51600000000000001</v>
      </c>
      <c r="H127" s="9" cm="1">
        <f t="array" ref="H127">_xlfn.PERCENTRANK.EXC(_xlfn._xlws.FILTER(H1:H122, ISNUMBER(H1:H122)),H122)</f>
        <v>0.18</v>
      </c>
      <c r="I127" s="9" cm="1">
        <f t="array" ref="I127">_xlfn.PERCENTRANK.EXC(_xlfn._xlws.FILTER(I1:I122, ISNUMBER(I1:I122)),I122)</f>
        <v>0.99099999999999999</v>
      </c>
      <c r="J127" s="9" cm="1">
        <f t="array" ref="J127">_xlfn.PERCENTRANK.EXC(_xlfn._xlws.FILTER(J1:J122, ISNUMBER(J1:J122)),J122)</f>
        <v>0.188</v>
      </c>
      <c r="K127" s="9" cm="1">
        <f t="array" ref="K127">_xlfn.PERCENTRANK.EXC(_xlfn._xlws.FILTER(K1:K122, ISNUMBER(K1:K122)),K122)</f>
        <v>0.57299999999999995</v>
      </c>
      <c r="L127" s="9" cm="1">
        <f t="array" ref="L127">_xlfn.PERCENTRANK.EXC(_xlfn._xlws.FILTER(L1:L122, ISNUMBER(L1:L122)),L122)</f>
        <v>0.14699999999999999</v>
      </c>
      <c r="M127" s="9" cm="1">
        <f t="array" ref="M127">_xlfn.PERCENTRANK.EXC(_xlfn._xlws.FILTER(M1:M122, ISNUMBER(M1:M122)),M122)</f>
        <v>0.17199999999999999</v>
      </c>
      <c r="N127" s="9" cm="1">
        <f t="array" ref="N127">_xlfn.PERCENTRANK.EXC(_xlfn._xlws.FILTER(N1:N122, ISNUMBER(N1:N122)),N122)</f>
        <v>0.17199999999999999</v>
      </c>
      <c r="O127" s="9" cm="1">
        <f t="array" ref="O127">_xlfn.PERCENTRANK.EXC(_xlfn._xlws.FILTER(O1:O122, ISNUMBER(O1:O122)),O122)</f>
        <v>0.80300000000000005</v>
      </c>
      <c r="P127" s="9" cm="1">
        <f t="array" ref="P127">_xlfn.PERCENTRANK.EXC(_xlfn._xlws.FILTER(P1:P122, ISNUMBER(P1:P122)),P122)</f>
        <v>0.13900000000000001</v>
      </c>
      <c r="Q127" s="9" cm="1">
        <f t="array" ref="Q127">_xlfn.PERCENTRANK.EXC(_xlfn._xlws.FILTER(Q1:Q122, ISNUMBER(Q1:Q122)),Q122)</f>
        <v>1.6E-2</v>
      </c>
      <c r="R127" s="9" cm="1">
        <f t="array" ref="R127">_xlfn.PERCENTRANK.EXC(_xlfn._xlws.FILTER(R1:R122, ISNUMBER(R1:R122)),R122)</f>
        <v>0.106</v>
      </c>
      <c r="S127" s="9" cm="1">
        <f t="array" ref="S127">_xlfn.PERCENTRANK.EXC(_xlfn._xlws.FILTER(S1:S122, ISNUMBER(S1:S122)),S122)</f>
        <v>0.19600000000000001</v>
      </c>
      <c r="T127" s="9" cm="1">
        <f t="array" ref="T127">_xlfn.PERCENTRANK.EXC(_xlfn._xlws.FILTER(T1:T122, ISNUMBER(T1:T122)),T122)</f>
        <v>1.6E-2</v>
      </c>
      <c r="U127" s="9" cm="1">
        <f t="array" ref="U127">_xlfn.PERCENTRANK.EXC(_xlfn._xlws.FILTER(U1:U122, ISNUMBER(U1:U122)),U122)</f>
        <v>0.67700000000000005</v>
      </c>
      <c r="V127" s="9" cm="1">
        <f t="array" ref="V127">_xlfn.PERCENTRANK.EXC(_xlfn._xlws.FILTER(V1:V122, ISNUMBER(V1:V122)),V122)</f>
        <v>0.74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22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35">
      <c r="A2" s="2" cm="1">
        <f t="array" ref="A2:A122">_xll.FDS(C1,"JULIAN(FMA_DIV_YLD(NTMA,-10AY,0,AM,""PORTAGG"",""MEANR"").dates)")</f>
        <v>41746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3.0325411480993898</v>
      </c>
      <c r="D2" s="3" cm="1">
        <f t="array" ref="D2:D122">_xll.FDS(D1,"FMA_DIV_YLD(NTMA,-10AY,0,AM,""PORTAGG"",""MEANR"")")</f>
        <v>2.4994961450213902</v>
      </c>
      <c r="E2" s="3" cm="1">
        <f t="array" ref="E2:E122">_xll.FDS(E1,"FMA_DIV_YLD(NTMA,-10AY,0,AM,""PORTAGG"",""MEANR"")")</f>
        <v>2.1213665884784598</v>
      </c>
      <c r="F2" s="3" cm="1">
        <f t="array" ref="F2:F122">_xll.FDS(F1,"FMA_DIV_YLD(NTMA,-10AY,0,AM,""PORTAGG"",""MEANR"")")</f>
        <v>3.8349388881731699</v>
      </c>
      <c r="G2" s="3" cm="1">
        <f t="array" ref="G2:G122">_xll.FDS(G1,"FMA_DIV_YLD(NTMA,-10AY,0,AM,""PORTAGG"",""MEANR"")")</f>
        <v>2.6286726618382898</v>
      </c>
      <c r="H2" s="3" cm="1">
        <f t="array" ref="H2:H122">_xll.FDS(H1,"FMA_DIV_YLD(NTMA,-10AY,0,AM,""PORTAGG"",""MEANR"")")</f>
        <v>3.1488286384325601</v>
      </c>
      <c r="I2" s="3" cm="1">
        <f t="array" ref="I2:I122">_xll.FDS(I1,"FMA_DIV_YLD(NTMA,-10AY,0,AM,""PORTAGG"",""MEANR"")")</f>
        <v>3.2353567189142498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1.28461707646279</v>
      </c>
      <c r="L2" s="3" cm="1">
        <f t="array" ref="L2:L122">_xll.FDS(L1,"FMA_DIV_YLD(NTMA,-10AY,0,AM,""PORTAGG"",""MEANR"")")</f>
        <v>4.1148481037841904</v>
      </c>
      <c r="M2" s="3" cm="1">
        <f t="array" ref="M2:M122">_xll.FDS(M1,"FMA_DIV_YLD(NTMA,-10AY,0,AM,""PORTAGG"",""MEANR"")")</f>
        <v>3.4476984610210901</v>
      </c>
      <c r="N2" s="3" cm="1">
        <f t="array" ref="N2:N122">_xll.FDS(N1,"FMA_DIV_YLD(NTMA,-10AY,0,AM,""PORTAGG"",""MEANR"")")</f>
        <v>2.4100935721054499</v>
      </c>
      <c r="O2" s="3" cm="1">
        <f t="array" ref="O2:O122">_xll.FDS(O1,"FMA_DIV_YLD(NTMA,-10AY,0,AM,""PORTAGG"",""MEANR"")")</f>
        <v>1.64861265370369</v>
      </c>
      <c r="P2" s="3" cm="1">
        <f t="array" ref="P2:P122">_xll.FDS(P1,"FMA_DIV_YLD(NTMA,-10AY,0,AM,""PORTAGG"",""MEANR"")")</f>
        <v>3.7306222699028502</v>
      </c>
      <c r="Q2" s="3" t="e" cm="1">
        <f t="array" ref="Q2:Q122">_xll.FDS(Q1,"FMA_DIV_YLD(NTMA,-10AY,0,AM,""PORTAGG"",""MEANR"")")</f>
        <v>#N/A</v>
      </c>
      <c r="R2" s="3" cm="1">
        <f t="array" ref="R2:R122">_xll.FDS(R1,"FMA_DIV_YLD(NTMA,-10AY,0,AM,""PORTAGG"",""MEANR"")")</f>
        <v>3.7602425335102998</v>
      </c>
      <c r="S2" s="3" cm="1">
        <f t="array" ref="S2:S122">_xll.FDS(S1,"FMA_DIV_YLD(NTMA,-10AY,0,AM,""PORTAGG"",""MEANR"")")</f>
        <v>2.8855095899101602</v>
      </c>
      <c r="T2" s="3" t="e" cm="1">
        <f t="array" ref="T2:T122">_xll.FDS(T1,"FMA_DIV_YLD(NTMA,-10AY,0,AM,""PORTAGG"",""MEANR"")")</f>
        <v>#N/A</v>
      </c>
      <c r="U2" s="3" cm="1">
        <f t="array" ref="U2:U122">_xll.FDS(U1,"FMA_DIV_YLD(NTMA,-10AY,0,AM,""PORTAGG"",""MEANR"")")</f>
        <v>3.5200057640271001</v>
      </c>
      <c r="V2" s="3" t="e" cm="1">
        <f t="array" ref="V2:V122">_xll.FDS(V1,"FMA_DIV_YLD(NTMA,-10AY,0,AM,""PORTAGG"",""MEANR"")")</f>
        <v>#N/A</v>
      </c>
    </row>
    <row r="3" spans="1:22" x14ac:dyDescent="0.35">
      <c r="A3" s="2">
        <v>41775</v>
      </c>
      <c r="B3" s="3" t="e">
        <v>#N/A</v>
      </c>
      <c r="C3" s="3">
        <v>3.0058752920971998</v>
      </c>
      <c r="D3" s="3">
        <v>2.4544294169875598</v>
      </c>
      <c r="E3" s="3">
        <v>2.05965679379878</v>
      </c>
      <c r="F3" s="3">
        <v>3.94290269087</v>
      </c>
      <c r="G3" s="3">
        <v>2.3755769615255602</v>
      </c>
      <c r="H3" s="3">
        <v>3.0897558290460601</v>
      </c>
      <c r="I3" s="3">
        <v>3.2745103735038099</v>
      </c>
      <c r="J3" s="3" t="e">
        <v>#N/A</v>
      </c>
      <c r="K3" s="3">
        <v>1.24624785897797</v>
      </c>
      <c r="L3" s="3">
        <v>4.0091285680020103</v>
      </c>
      <c r="M3" s="3">
        <v>3.4020327738835401</v>
      </c>
      <c r="N3" s="3">
        <v>2.33179796179743</v>
      </c>
      <c r="O3" s="3">
        <v>1.63608335057507</v>
      </c>
      <c r="P3" s="3">
        <v>3.78291205087594</v>
      </c>
      <c r="Q3" s="3" t="e">
        <v>#N/A</v>
      </c>
      <c r="R3" s="3">
        <v>3.7668041539688799</v>
      </c>
      <c r="S3" s="3">
        <v>2.9721688534191499</v>
      </c>
      <c r="T3" s="3" t="e">
        <v>#N/A</v>
      </c>
      <c r="U3" s="3">
        <v>3.49412409445649</v>
      </c>
      <c r="V3" s="3" t="e">
        <v>#N/A</v>
      </c>
    </row>
    <row r="4" spans="1:22" x14ac:dyDescent="0.35">
      <c r="A4" s="2">
        <v>41808</v>
      </c>
      <c r="B4" s="3" t="e">
        <v>#N/A</v>
      </c>
      <c r="C4" s="3">
        <v>3.0763156840974699</v>
      </c>
      <c r="D4" s="3">
        <v>2.6008664574129701</v>
      </c>
      <c r="E4" s="3">
        <v>2.2163125492967399</v>
      </c>
      <c r="F4" s="3">
        <v>3.9479650222657199</v>
      </c>
      <c r="G4" s="3">
        <v>2.1958374616315299</v>
      </c>
      <c r="H4" s="3">
        <v>3.1104403949690198</v>
      </c>
      <c r="I4" s="3">
        <v>3.16071324392421</v>
      </c>
      <c r="J4" s="3" t="e">
        <v>#N/A</v>
      </c>
      <c r="K4" s="3">
        <v>1.2747060906069001</v>
      </c>
      <c r="L4" s="3">
        <v>3.9448937165169</v>
      </c>
      <c r="M4" s="3">
        <v>3.3272565191608101</v>
      </c>
      <c r="N4" s="3">
        <v>1.8427068591826701</v>
      </c>
      <c r="O4" s="3">
        <v>1.55550447451378</v>
      </c>
      <c r="P4" s="3">
        <v>3.6656830966632299</v>
      </c>
      <c r="Q4" s="3">
        <v>4.06968524604346</v>
      </c>
      <c r="R4" s="3">
        <v>5.5216292198136703</v>
      </c>
      <c r="S4" s="3">
        <v>2.9583975459217702</v>
      </c>
      <c r="T4" s="3">
        <v>2.6144041280905301</v>
      </c>
      <c r="U4" s="3">
        <v>3.0321613249054802</v>
      </c>
      <c r="V4" s="3" t="e">
        <v>#N/A</v>
      </c>
    </row>
    <row r="5" spans="1:22" x14ac:dyDescent="0.35">
      <c r="A5" s="2">
        <v>41838</v>
      </c>
      <c r="B5" s="3" t="e">
        <v>#N/A</v>
      </c>
      <c r="C5" s="3">
        <v>3.1041175394385299</v>
      </c>
      <c r="D5" s="3">
        <v>2.52984351128715</v>
      </c>
      <c r="E5" s="3">
        <v>2.0811316517159901</v>
      </c>
      <c r="F5" s="3">
        <v>4.1085637119195004</v>
      </c>
      <c r="G5" s="3">
        <v>2.2353025953819499</v>
      </c>
      <c r="H5" s="3">
        <v>3.1633567624087799</v>
      </c>
      <c r="I5" s="3">
        <v>3.15631724494546</v>
      </c>
      <c r="J5" s="3" t="e">
        <v>#N/A</v>
      </c>
      <c r="K5" s="3">
        <v>1.2843169844696301</v>
      </c>
      <c r="L5" s="3">
        <v>3.7721534909077001</v>
      </c>
      <c r="M5" s="3">
        <v>3.2523965896896998</v>
      </c>
      <c r="N5" s="3">
        <v>2.08721824855684</v>
      </c>
      <c r="O5" s="3">
        <v>1.58928133863583</v>
      </c>
      <c r="P5" s="3">
        <v>3.6165379749234301</v>
      </c>
      <c r="Q5" s="3">
        <v>3.9419261004038799</v>
      </c>
      <c r="R5" s="3">
        <v>5.5387451472003004</v>
      </c>
      <c r="S5" s="3">
        <v>2.6956427860356</v>
      </c>
      <c r="T5" s="3">
        <v>2.5650205002804198</v>
      </c>
      <c r="U5" s="3">
        <v>3.47747513251527</v>
      </c>
      <c r="V5" s="3" t="e">
        <v>#N/A</v>
      </c>
    </row>
    <row r="6" spans="1:22" x14ac:dyDescent="0.35">
      <c r="A6" s="2">
        <v>41869</v>
      </c>
      <c r="B6" s="3" t="e">
        <v>#N/A</v>
      </c>
      <c r="C6" s="3">
        <v>3.0543458663563299</v>
      </c>
      <c r="D6" s="3">
        <v>2.5052330021025799</v>
      </c>
      <c r="E6" s="3">
        <v>2.0411474654643702</v>
      </c>
      <c r="F6" s="3">
        <v>4.0870912611962096</v>
      </c>
      <c r="G6" s="3">
        <v>2.1427367653216001</v>
      </c>
      <c r="H6" s="3">
        <v>3.1594803258776101</v>
      </c>
      <c r="I6" s="3">
        <v>3.30047071477231</v>
      </c>
      <c r="J6" s="3" t="e">
        <v>#N/A</v>
      </c>
      <c r="K6" s="3">
        <v>1.2860277789130199</v>
      </c>
      <c r="L6" s="3">
        <v>3.7459322858703299</v>
      </c>
      <c r="M6" s="3">
        <v>3.2612286814036602</v>
      </c>
      <c r="N6" s="3">
        <v>2.1663532196232098</v>
      </c>
      <c r="O6" s="3">
        <v>1.57859482197715</v>
      </c>
      <c r="P6" s="3">
        <v>3.4712154373040098</v>
      </c>
      <c r="Q6" s="3">
        <v>3.9361364321799299</v>
      </c>
      <c r="R6" s="3">
        <v>3.4410508320948598</v>
      </c>
      <c r="S6" s="3">
        <v>3.1516687855354601</v>
      </c>
      <c r="T6" s="3">
        <v>2.6094514559544</v>
      </c>
      <c r="U6" s="3">
        <v>3.4020207285236399</v>
      </c>
      <c r="V6" s="3" t="e">
        <v>#N/A</v>
      </c>
    </row>
    <row r="7" spans="1:22" x14ac:dyDescent="0.35">
      <c r="A7" s="2">
        <v>41900</v>
      </c>
      <c r="B7" s="3" t="e">
        <v>#N/A</v>
      </c>
      <c r="C7" s="3">
        <v>3.0226736299331902</v>
      </c>
      <c r="D7" s="3">
        <v>2.50547728601321</v>
      </c>
      <c r="E7" s="3">
        <v>1.9416629504845</v>
      </c>
      <c r="F7" s="3">
        <v>4.1272162692761096</v>
      </c>
      <c r="G7" s="3">
        <v>2.1242378581299901</v>
      </c>
      <c r="H7" s="3">
        <v>3.2047094395339899</v>
      </c>
      <c r="I7" s="3">
        <v>3.3206021216388901</v>
      </c>
      <c r="J7" s="3" t="e">
        <v>#N/A</v>
      </c>
      <c r="K7" s="3">
        <v>1.3234426836700699</v>
      </c>
      <c r="L7" s="3">
        <v>3.6932416638971399</v>
      </c>
      <c r="M7" s="3">
        <v>3.3248921399474902</v>
      </c>
      <c r="N7" s="3">
        <v>2.2630375824764899</v>
      </c>
      <c r="O7" s="3">
        <v>1.54364807846554</v>
      </c>
      <c r="P7" s="3">
        <v>3.59441472744306</v>
      </c>
      <c r="Q7" s="3">
        <v>3.86898543263165</v>
      </c>
      <c r="R7" s="3">
        <v>3.3441754883886201</v>
      </c>
      <c r="S7" s="3">
        <v>3.12130167393983</v>
      </c>
      <c r="T7" s="3">
        <v>2.45325623499691</v>
      </c>
      <c r="U7" s="3">
        <v>3.3533470351334702</v>
      </c>
      <c r="V7" s="3" t="e">
        <v>#N/A</v>
      </c>
    </row>
    <row r="8" spans="1:22" x14ac:dyDescent="0.35">
      <c r="A8" s="2">
        <v>41929</v>
      </c>
      <c r="B8" s="3" t="e">
        <v>#N/A</v>
      </c>
      <c r="C8" s="3">
        <v>3.2811253944899099</v>
      </c>
      <c r="D8" s="3">
        <v>2.60702712127026</v>
      </c>
      <c r="E8" s="3">
        <v>2.28279379222315</v>
      </c>
      <c r="F8" s="3">
        <v>4.1300977537963597</v>
      </c>
      <c r="G8" s="3">
        <v>2.3013715275717601</v>
      </c>
      <c r="H8" s="3">
        <v>3.3203995597340401</v>
      </c>
      <c r="I8" s="3">
        <v>3.6827748534918201</v>
      </c>
      <c r="J8" s="3" t="e">
        <v>#N/A</v>
      </c>
      <c r="K8" s="3">
        <v>1.48631790400145</v>
      </c>
      <c r="L8" s="3">
        <v>3.7253599865036602</v>
      </c>
      <c r="M8" s="3">
        <v>3.5614450505851298</v>
      </c>
      <c r="N8" s="3">
        <v>2.6180227764780302</v>
      </c>
      <c r="O8" s="3">
        <v>1.6521342227938101</v>
      </c>
      <c r="P8" s="3">
        <v>3.8114294405407101</v>
      </c>
      <c r="Q8" s="3">
        <v>4.2541850887783799</v>
      </c>
      <c r="R8" s="3">
        <v>3.49028728665879</v>
      </c>
      <c r="S8" s="3">
        <v>3.1542206400144899</v>
      </c>
      <c r="T8" s="3">
        <v>2.9218611673558699</v>
      </c>
      <c r="U8" s="3">
        <v>2.9590830381710198</v>
      </c>
      <c r="V8" s="3" t="e">
        <v>#N/A</v>
      </c>
    </row>
    <row r="9" spans="1:22" x14ac:dyDescent="0.35">
      <c r="A9" s="2">
        <v>41961</v>
      </c>
      <c r="B9" s="3" t="e">
        <v>#N/A</v>
      </c>
      <c r="C9" s="3">
        <v>2.9620045226091198</v>
      </c>
      <c r="D9" s="3">
        <v>2.5251247783137898</v>
      </c>
      <c r="E9" s="3">
        <v>2.1592644166679702</v>
      </c>
      <c r="F9" s="3">
        <v>3.9589359410927401</v>
      </c>
      <c r="G9" s="3">
        <v>2.2347156596088502</v>
      </c>
      <c r="H9" s="3">
        <v>3.2316266775039</v>
      </c>
      <c r="I9" s="3">
        <v>3.48731214798023</v>
      </c>
      <c r="J9" s="3" t="e">
        <v>#N/A</v>
      </c>
      <c r="K9" s="3">
        <v>1.4009065272607899</v>
      </c>
      <c r="L9" s="3">
        <v>3.9114316706220098</v>
      </c>
      <c r="M9" s="3">
        <v>3.28566586666083</v>
      </c>
      <c r="N9" s="3">
        <v>2.69491621676231</v>
      </c>
      <c r="O9" s="3">
        <v>1.5376720778751201</v>
      </c>
      <c r="P9" s="3">
        <v>3.716877742496</v>
      </c>
      <c r="Q9" s="3">
        <v>4.0107734374342696</v>
      </c>
      <c r="R9" s="3">
        <v>3.3380319034719199</v>
      </c>
      <c r="S9" s="3">
        <v>2.8840846147074402</v>
      </c>
      <c r="T9" s="3">
        <v>2.8716205712325502</v>
      </c>
      <c r="U9" s="3">
        <v>2.9514270326946899</v>
      </c>
      <c r="V9" s="3" t="e">
        <v>#N/A</v>
      </c>
    </row>
    <row r="10" spans="1:22" x14ac:dyDescent="0.35">
      <c r="A10" s="2">
        <v>41991</v>
      </c>
      <c r="B10" s="3" t="e">
        <v>#N/A</v>
      </c>
      <c r="C10" s="3">
        <v>3.1644770352327498</v>
      </c>
      <c r="D10" s="3">
        <v>2.5139636812402499</v>
      </c>
      <c r="E10" s="3">
        <v>2.2117721768554901</v>
      </c>
      <c r="F10" s="3">
        <v>4.0020548320901703</v>
      </c>
      <c r="G10" s="3">
        <v>2.1695061386823702</v>
      </c>
      <c r="H10" s="3">
        <v>3.4255811238273499</v>
      </c>
      <c r="I10" s="3">
        <v>3.5351951118311602</v>
      </c>
      <c r="J10" s="3" t="e">
        <v>#N/A</v>
      </c>
      <c r="K10" s="3">
        <v>1.43176977441192</v>
      </c>
      <c r="L10" s="3">
        <v>4.3474525747893003</v>
      </c>
      <c r="M10" s="3">
        <v>3.3528234146226898</v>
      </c>
      <c r="N10" s="3">
        <v>2.9173118151183699</v>
      </c>
      <c r="O10" s="3">
        <v>1.6076557230748201</v>
      </c>
      <c r="P10" s="3">
        <v>3.5237748345725302</v>
      </c>
      <c r="Q10" s="3">
        <v>4.8584987356711604</v>
      </c>
      <c r="R10" s="3">
        <v>3.4648625719355799</v>
      </c>
      <c r="S10" s="3">
        <v>2.8083657365324299</v>
      </c>
      <c r="T10" s="3">
        <v>3.5945897767877502</v>
      </c>
      <c r="U10" s="3">
        <v>3.42021413364255</v>
      </c>
      <c r="V10" s="3" t="e">
        <v>#N/A</v>
      </c>
    </row>
    <row r="11" spans="1:22" x14ac:dyDescent="0.35">
      <c r="A11" s="2">
        <v>42020</v>
      </c>
      <c r="B11" s="3" t="e">
        <v>#N/A</v>
      </c>
      <c r="C11" s="3">
        <v>3.3035409795614199</v>
      </c>
      <c r="D11" s="3">
        <v>2.5247196595775701</v>
      </c>
      <c r="E11" s="3">
        <v>2.0944308429980998</v>
      </c>
      <c r="F11" s="3">
        <v>4.1490033430902002</v>
      </c>
      <c r="G11" s="3">
        <v>2.2673173962659501</v>
      </c>
      <c r="H11" s="3">
        <v>3.3372215655325701</v>
      </c>
      <c r="I11" s="3">
        <v>3.5484243328216398</v>
      </c>
      <c r="J11" s="3" t="e">
        <v>#N/A</v>
      </c>
      <c r="K11" s="3">
        <v>1.54913530451921</v>
      </c>
      <c r="L11" s="3">
        <v>4.1227751683696399</v>
      </c>
      <c r="M11" s="3">
        <v>3.3375218042841301</v>
      </c>
      <c r="N11" s="3">
        <v>3.6089996986210102</v>
      </c>
      <c r="O11" s="3">
        <v>1.5395682249662199</v>
      </c>
      <c r="P11" s="3">
        <v>3.2412769163917998</v>
      </c>
      <c r="Q11" s="3">
        <v>4.7043842919610199</v>
      </c>
      <c r="R11" s="3">
        <v>3.4091255026678402</v>
      </c>
      <c r="S11" s="3">
        <v>2.71527275766391</v>
      </c>
      <c r="T11" s="3">
        <v>3.3924615258386499</v>
      </c>
      <c r="U11" s="3">
        <v>3.0245542913202601</v>
      </c>
      <c r="V11" s="3" t="e">
        <v>#N/A</v>
      </c>
    </row>
    <row r="12" spans="1:22" x14ac:dyDescent="0.35">
      <c r="A12" s="2">
        <v>42053</v>
      </c>
      <c r="B12" s="3" t="e">
        <v>#N/A</v>
      </c>
      <c r="C12" s="3">
        <v>3.1290954594042701</v>
      </c>
      <c r="D12" s="3">
        <v>2.33145033493299</v>
      </c>
      <c r="E12" s="3">
        <v>1.9511492431651101</v>
      </c>
      <c r="F12" s="3">
        <v>3.7922656664768999</v>
      </c>
      <c r="G12" s="3">
        <v>2.1336994984231898</v>
      </c>
      <c r="H12" s="3">
        <v>3.2078255497893799</v>
      </c>
      <c r="I12" s="3">
        <v>3.40943912321507</v>
      </c>
      <c r="J12" s="3" t="e">
        <v>#N/A</v>
      </c>
      <c r="K12" s="3">
        <v>1.58727725522256</v>
      </c>
      <c r="L12" s="3">
        <v>3.95890856327014</v>
      </c>
      <c r="M12" s="3">
        <v>3.1145345619655802</v>
      </c>
      <c r="N12" s="3">
        <v>3.3491021319673102</v>
      </c>
      <c r="O12" s="3">
        <v>1.46565948923129</v>
      </c>
      <c r="P12" s="3">
        <v>3.1031494074613399</v>
      </c>
      <c r="Q12" s="3">
        <v>4.1008784698484</v>
      </c>
      <c r="R12" s="3">
        <v>3.14789005605039</v>
      </c>
      <c r="S12" s="3">
        <v>2.8746389908973899</v>
      </c>
      <c r="T12" s="3">
        <v>3.3993238011828502</v>
      </c>
      <c r="U12" s="3">
        <v>2.9593529045616802</v>
      </c>
      <c r="V12" s="3" t="e">
        <v>#N/A</v>
      </c>
    </row>
    <row r="13" spans="1:22" x14ac:dyDescent="0.35">
      <c r="A13" s="2">
        <v>42081</v>
      </c>
      <c r="B13" s="3" t="e">
        <v>#N/A</v>
      </c>
      <c r="C13" s="3">
        <v>3.3150474410616</v>
      </c>
      <c r="D13" s="3">
        <v>2.32283391420698</v>
      </c>
      <c r="E13" s="3">
        <v>1.93308490876128</v>
      </c>
      <c r="F13" s="3">
        <v>3.7342095800813699</v>
      </c>
      <c r="G13" s="3">
        <v>2.3561932619327299</v>
      </c>
      <c r="H13" s="3">
        <v>3.21927024065696</v>
      </c>
      <c r="I13" s="3">
        <v>3.42879923556543</v>
      </c>
      <c r="J13" s="3" t="e">
        <v>#N/A</v>
      </c>
      <c r="K13" s="3">
        <v>1.5344231163769899</v>
      </c>
      <c r="L13" s="3">
        <v>3.9392665048728799</v>
      </c>
      <c r="M13" s="3">
        <v>3.07592978067572</v>
      </c>
      <c r="N13" s="3">
        <v>3.5883382589071502</v>
      </c>
      <c r="O13" s="3">
        <v>1.49964214444625</v>
      </c>
      <c r="P13" s="3">
        <v>3.1227083117968899</v>
      </c>
      <c r="Q13" s="3">
        <v>4.5334005356807401</v>
      </c>
      <c r="R13" s="3">
        <v>3.3928260933027801</v>
      </c>
      <c r="S13" s="3">
        <v>3.03370639379381</v>
      </c>
      <c r="T13" s="3">
        <v>3.8247280190017001</v>
      </c>
      <c r="U13" s="3">
        <v>3.06197019815305</v>
      </c>
      <c r="V13" s="3" t="e">
        <v>#N/A</v>
      </c>
    </row>
    <row r="14" spans="1:22" x14ac:dyDescent="0.35">
      <c r="A14" s="2">
        <v>42111</v>
      </c>
      <c r="B14" s="3" t="e">
        <v>#N/A</v>
      </c>
      <c r="C14" s="3">
        <v>3.1443979582139798</v>
      </c>
      <c r="D14" s="3">
        <v>2.3159552601545501</v>
      </c>
      <c r="E14" s="3">
        <v>1.8897046528460699</v>
      </c>
      <c r="F14" s="3">
        <v>3.3651248096534498</v>
      </c>
      <c r="G14" s="3">
        <v>2.2434406326926499</v>
      </c>
      <c r="H14" s="3">
        <v>3.1195520229851401</v>
      </c>
      <c r="I14" s="3">
        <v>3.6076021471034698</v>
      </c>
      <c r="J14" s="3" t="e">
        <v>#N/A</v>
      </c>
      <c r="K14" s="3">
        <v>1.48909781654516</v>
      </c>
      <c r="L14" s="3">
        <v>3.6556080388674301</v>
      </c>
      <c r="M14" s="3">
        <v>2.9724597688257801</v>
      </c>
      <c r="N14" s="3">
        <v>3.6615434066878398</v>
      </c>
      <c r="O14" s="3">
        <v>1.53819667528978</v>
      </c>
      <c r="P14" s="3">
        <v>2.5260241774465801</v>
      </c>
      <c r="Q14" s="3">
        <v>4.5346212589666601</v>
      </c>
      <c r="R14" s="3">
        <v>3.3157578090850901</v>
      </c>
      <c r="S14" s="3">
        <v>2.9299002443361202</v>
      </c>
      <c r="T14" s="3">
        <v>3.1271381853020999</v>
      </c>
      <c r="U14" s="3">
        <v>2.9328245283079499</v>
      </c>
      <c r="V14" s="3" t="e">
        <v>#N/A</v>
      </c>
    </row>
    <row r="15" spans="1:22" x14ac:dyDescent="0.35">
      <c r="A15" s="2">
        <v>42142</v>
      </c>
      <c r="B15" s="3" t="e">
        <v>#N/A</v>
      </c>
      <c r="C15" s="3">
        <v>3.1477762175139499</v>
      </c>
      <c r="D15" s="3">
        <v>2.3597183896655798</v>
      </c>
      <c r="E15" s="3">
        <v>1.8956557115908701</v>
      </c>
      <c r="F15" s="3">
        <v>3.3248376725881701</v>
      </c>
      <c r="G15" s="3">
        <v>1.8938945357442101</v>
      </c>
      <c r="H15" s="3">
        <v>3.1375907557550402</v>
      </c>
      <c r="I15" s="3">
        <v>3.72329145904098</v>
      </c>
      <c r="J15" s="3" t="e">
        <v>#N/A</v>
      </c>
      <c r="K15" s="3">
        <v>1.5763262745287101</v>
      </c>
      <c r="L15" s="3">
        <v>3.6331268542677702</v>
      </c>
      <c r="M15" s="3">
        <v>3.0761298430969801</v>
      </c>
      <c r="N15" s="3">
        <v>3.2181282348285598</v>
      </c>
      <c r="O15" s="3">
        <v>1.6385988394441999</v>
      </c>
      <c r="P15" s="3">
        <v>2.58501427666936</v>
      </c>
      <c r="Q15" s="3">
        <v>4.4754696910623997</v>
      </c>
      <c r="R15" s="3">
        <v>3.40924598711555</v>
      </c>
      <c r="S15" s="3">
        <v>2.7206334259936402</v>
      </c>
      <c r="T15" s="3">
        <v>3.21810869973292</v>
      </c>
      <c r="U15" s="3">
        <v>2.8278364880495701</v>
      </c>
      <c r="V15" s="3" t="e">
        <v>#N/A</v>
      </c>
    </row>
    <row r="16" spans="1:22" x14ac:dyDescent="0.35">
      <c r="A16" s="2">
        <v>42173</v>
      </c>
      <c r="B16" s="3" t="e">
        <v>#N/A</v>
      </c>
      <c r="C16" s="3">
        <v>3.4196237696668299</v>
      </c>
      <c r="D16" s="3">
        <v>2.4767987594280698</v>
      </c>
      <c r="E16" s="3">
        <v>1.97215305968349</v>
      </c>
      <c r="F16" s="3">
        <v>3.6130655648965</v>
      </c>
      <c r="G16" s="3">
        <v>2.01167366673906</v>
      </c>
      <c r="H16" s="3">
        <v>3.2694540350379899</v>
      </c>
      <c r="I16" s="3">
        <v>3.8830957517735598</v>
      </c>
      <c r="J16" s="3" t="e">
        <v>#N/A</v>
      </c>
      <c r="K16" s="3">
        <v>1.6753191692056799</v>
      </c>
      <c r="L16" s="3">
        <v>3.8461579704814102</v>
      </c>
      <c r="M16" s="3">
        <v>3.2450175439429998</v>
      </c>
      <c r="N16" s="3">
        <v>3.9649102913641698</v>
      </c>
      <c r="O16" s="3">
        <v>1.69150548786999</v>
      </c>
      <c r="P16" s="3">
        <v>2.7746897208161001</v>
      </c>
      <c r="Q16" s="3">
        <v>4.6729020301739501</v>
      </c>
      <c r="R16" s="3">
        <v>3.42973937437471</v>
      </c>
      <c r="S16" s="3">
        <v>3.01838784120813</v>
      </c>
      <c r="T16" s="3">
        <v>3.4775952111534001</v>
      </c>
      <c r="U16" s="3">
        <v>2.7737910102555401</v>
      </c>
      <c r="V16" s="3" t="e">
        <v>#N/A</v>
      </c>
    </row>
    <row r="17" spans="1:22" x14ac:dyDescent="0.35">
      <c r="A17" s="2">
        <v>42202</v>
      </c>
      <c r="B17" s="3" t="e">
        <v>#N/A</v>
      </c>
      <c r="C17" s="3">
        <v>3.5360453629784998</v>
      </c>
      <c r="D17" s="3">
        <v>2.47296445936021</v>
      </c>
      <c r="E17" s="3">
        <v>1.9007533175320299</v>
      </c>
      <c r="F17" s="3">
        <v>3.57303210067652</v>
      </c>
      <c r="G17" s="3">
        <v>2.0338537227040798</v>
      </c>
      <c r="H17" s="3">
        <v>3.2683893986633499</v>
      </c>
      <c r="I17" s="3">
        <v>4.0078229641340704</v>
      </c>
      <c r="J17" s="3" t="e">
        <v>#N/A</v>
      </c>
      <c r="K17" s="3">
        <v>1.6913977626286101</v>
      </c>
      <c r="L17" s="3">
        <v>3.8557444239640701</v>
      </c>
      <c r="M17" s="3">
        <v>3.1485990969174198</v>
      </c>
      <c r="N17" s="3">
        <v>3.3061786063529102</v>
      </c>
      <c r="O17" s="3">
        <v>1.53796708356432</v>
      </c>
      <c r="P17" s="3">
        <v>3.0581130056613701</v>
      </c>
      <c r="Q17" s="3">
        <v>4.6352944494028998</v>
      </c>
      <c r="R17" s="3">
        <v>3.4714943718376201</v>
      </c>
      <c r="S17" s="3">
        <v>3.0074584426300301</v>
      </c>
      <c r="T17" s="3">
        <v>3.51118904742777</v>
      </c>
      <c r="U17" s="3">
        <v>4.1481561947958099</v>
      </c>
      <c r="V17" s="3" t="e">
        <v>#N/A</v>
      </c>
    </row>
    <row r="18" spans="1:22" x14ac:dyDescent="0.35">
      <c r="A18" s="2">
        <v>42234</v>
      </c>
      <c r="B18" s="3" t="e">
        <v>#N/A</v>
      </c>
      <c r="C18" s="3">
        <v>3.63361490157568</v>
      </c>
      <c r="D18" s="3">
        <v>2.6884919768961399</v>
      </c>
      <c r="E18" s="3">
        <v>1.97595082121509</v>
      </c>
      <c r="F18" s="3">
        <v>3.6933931369406201</v>
      </c>
      <c r="G18" s="3">
        <v>2.3217065540578798</v>
      </c>
      <c r="H18" s="3">
        <v>3.5749450866783201</v>
      </c>
      <c r="I18" s="3">
        <v>4.3587107418512296</v>
      </c>
      <c r="J18" s="3" t="e">
        <v>#N/A</v>
      </c>
      <c r="K18" s="3">
        <v>1.8211997889676399</v>
      </c>
      <c r="L18" s="3">
        <v>4.07902085823922</v>
      </c>
      <c r="M18" s="3">
        <v>3.3304872416377198</v>
      </c>
      <c r="N18" s="3">
        <v>4.0467116738193898</v>
      </c>
      <c r="O18" s="3">
        <v>1.5556463427591301</v>
      </c>
      <c r="P18" s="3">
        <v>3.26286709709475</v>
      </c>
      <c r="Q18" s="3">
        <v>4.8611299346162102</v>
      </c>
      <c r="R18" s="3">
        <v>3.6885767800267799</v>
      </c>
      <c r="S18" s="3">
        <v>3.2724247537673099</v>
      </c>
      <c r="T18" s="3">
        <v>3.8286200530910599</v>
      </c>
      <c r="U18" s="3">
        <v>3.9058284817901301</v>
      </c>
      <c r="V18" s="3" t="e">
        <v>#N/A</v>
      </c>
    </row>
    <row r="19" spans="1:22" x14ac:dyDescent="0.35">
      <c r="A19" s="2">
        <v>42265</v>
      </c>
      <c r="B19" s="3" t="e">
        <v>#N/A</v>
      </c>
      <c r="C19" s="3">
        <v>3.6046762032105102</v>
      </c>
      <c r="D19" s="3">
        <v>2.7396644210077299</v>
      </c>
      <c r="E19" s="3">
        <v>2.0263410669231701</v>
      </c>
      <c r="F19" s="3">
        <v>3.59036772114754</v>
      </c>
      <c r="G19" s="3">
        <v>2.5046233298040499</v>
      </c>
      <c r="H19" s="3">
        <v>3.3225185498988101</v>
      </c>
      <c r="I19" s="3">
        <v>4.2055365808519403</v>
      </c>
      <c r="J19" s="3" t="e">
        <v>#N/A</v>
      </c>
      <c r="K19" s="3">
        <v>1.7869367690251201</v>
      </c>
      <c r="L19" s="3">
        <v>4.2831712150471803</v>
      </c>
      <c r="M19" s="3">
        <v>3.37710235713593</v>
      </c>
      <c r="N19" s="3">
        <v>3.1140436051301399</v>
      </c>
      <c r="O19" s="3">
        <v>1.6651335203623701</v>
      </c>
      <c r="P19" s="3">
        <v>3.3916023558919202</v>
      </c>
      <c r="Q19" s="3">
        <v>4.9615921910980898</v>
      </c>
      <c r="R19" s="3">
        <v>3.6147836376820299</v>
      </c>
      <c r="S19" s="3">
        <v>3.38292748832137</v>
      </c>
      <c r="T19" s="3">
        <v>4.0556289594144497</v>
      </c>
      <c r="U19" s="3">
        <v>3.5992645635679499</v>
      </c>
      <c r="V19" s="3" t="e">
        <v>#N/A</v>
      </c>
    </row>
    <row r="20" spans="1:22" x14ac:dyDescent="0.35">
      <c r="A20" s="2">
        <v>42293</v>
      </c>
      <c r="B20" s="3" t="e">
        <v>#N/A</v>
      </c>
      <c r="C20" s="3">
        <v>3.7195187219528698</v>
      </c>
      <c r="D20" s="3">
        <v>2.6111266890542102</v>
      </c>
      <c r="E20" s="3">
        <v>1.99029194756113</v>
      </c>
      <c r="F20" s="3">
        <v>3.6758408115639898</v>
      </c>
      <c r="G20" s="3">
        <v>2.4030289858953902</v>
      </c>
      <c r="H20" s="3">
        <v>3.2366875677010198</v>
      </c>
      <c r="I20" s="3">
        <v>4.1179438535048201</v>
      </c>
      <c r="J20" s="3" t="e">
        <v>#N/A</v>
      </c>
      <c r="K20" s="3">
        <v>1.7198835248528599</v>
      </c>
      <c r="L20" s="3">
        <v>4.0531914441436596</v>
      </c>
      <c r="M20" s="3">
        <v>3.24861361788119</v>
      </c>
      <c r="N20" s="3">
        <v>2.8855669707653999</v>
      </c>
      <c r="O20" s="3">
        <v>1.6454535073194001</v>
      </c>
      <c r="P20" s="3">
        <v>3.17887791743179</v>
      </c>
      <c r="Q20" s="3">
        <v>4.8262956953372198</v>
      </c>
      <c r="R20" s="3">
        <v>3.5672991401388501</v>
      </c>
      <c r="S20" s="3">
        <v>3.1998832291087602</v>
      </c>
      <c r="T20" s="3">
        <v>3.8348708339682598</v>
      </c>
      <c r="U20" s="3">
        <v>3.02964857633873</v>
      </c>
      <c r="V20" s="3">
        <v>4.2942004761369104</v>
      </c>
    </row>
    <row r="21" spans="1:22" x14ac:dyDescent="0.35">
      <c r="A21" s="2">
        <v>42326</v>
      </c>
      <c r="B21" s="3" t="e">
        <v>#N/A</v>
      </c>
      <c r="C21" s="3">
        <v>3.7024974644369899</v>
      </c>
      <c r="D21" s="3">
        <v>2.5686310289233001</v>
      </c>
      <c r="E21" s="3">
        <v>2.0668154504249401</v>
      </c>
      <c r="F21" s="3">
        <v>3.9179400507278399</v>
      </c>
      <c r="G21" s="3">
        <v>2.31042703470031</v>
      </c>
      <c r="H21" s="3">
        <v>3.3402345398762598</v>
      </c>
      <c r="I21" s="3">
        <v>4.2239218749708503</v>
      </c>
      <c r="J21" s="3" t="e">
        <v>#N/A</v>
      </c>
      <c r="K21" s="3">
        <v>1.8854777956439399</v>
      </c>
      <c r="L21" s="3">
        <v>3.9660573501831098</v>
      </c>
      <c r="M21" s="3">
        <v>3.3539646254800699</v>
      </c>
      <c r="N21" s="3">
        <v>3.1134229942628999</v>
      </c>
      <c r="O21" s="3">
        <v>1.76702697575017</v>
      </c>
      <c r="P21" s="3">
        <v>3.24713287457425</v>
      </c>
      <c r="Q21" s="3">
        <v>5.2234424917333104</v>
      </c>
      <c r="R21" s="3">
        <v>3.6741569737970501</v>
      </c>
      <c r="S21" s="3">
        <v>3.1830088832125401</v>
      </c>
      <c r="T21" s="3">
        <v>4.45333786768155</v>
      </c>
      <c r="U21" s="3">
        <v>2.9933340728687199</v>
      </c>
      <c r="V21" s="3">
        <v>4.7474794885666798</v>
      </c>
    </row>
    <row r="22" spans="1:22" x14ac:dyDescent="0.35">
      <c r="A22" s="2">
        <v>42356</v>
      </c>
      <c r="B22" s="3" t="e">
        <v>#N/A</v>
      </c>
      <c r="C22" s="3">
        <v>3.7712079525740898</v>
      </c>
      <c r="D22" s="3">
        <v>2.5617049981484898</v>
      </c>
      <c r="E22" s="3">
        <v>1.9754161038243701</v>
      </c>
      <c r="F22" s="3">
        <v>4.0901652198817002</v>
      </c>
      <c r="G22" s="3">
        <v>2.75456909060969</v>
      </c>
      <c r="H22" s="3">
        <v>3.3235866396576399</v>
      </c>
      <c r="I22" s="3">
        <v>4.2334881559170903</v>
      </c>
      <c r="J22" s="3" t="e">
        <v>#N/A</v>
      </c>
      <c r="K22" s="3">
        <v>1.9165642001774601</v>
      </c>
      <c r="L22" s="3">
        <v>4.1398548938658601</v>
      </c>
      <c r="M22" s="3">
        <v>3.58487063692347</v>
      </c>
      <c r="N22" s="3">
        <v>2.90757794228433</v>
      </c>
      <c r="O22" s="3">
        <v>1.7323469340001301</v>
      </c>
      <c r="P22" s="3">
        <v>3.2990744193657102</v>
      </c>
      <c r="Q22" s="3">
        <v>5.6889853193065099</v>
      </c>
      <c r="R22" s="3">
        <v>3.9141872357079599</v>
      </c>
      <c r="S22" s="3">
        <v>3.5901794549817501</v>
      </c>
      <c r="T22" s="3">
        <v>4.1620814253444296</v>
      </c>
      <c r="U22" s="3">
        <v>2.7430848179073299</v>
      </c>
      <c r="V22" s="3">
        <v>4.6184134358914397</v>
      </c>
    </row>
    <row r="23" spans="1:22" x14ac:dyDescent="0.35">
      <c r="A23" s="2">
        <v>42384</v>
      </c>
      <c r="B23" s="3" t="e">
        <v>#N/A</v>
      </c>
      <c r="C23" s="3">
        <v>4.0605441452487101</v>
      </c>
      <c r="D23" s="3">
        <v>2.5316515232537902</v>
      </c>
      <c r="E23" s="3">
        <v>2.1241938907098299</v>
      </c>
      <c r="F23" s="3">
        <v>4.3126924967721898</v>
      </c>
      <c r="G23" s="3">
        <v>2.9204538946071699</v>
      </c>
      <c r="H23" s="3">
        <v>3.3660149057184001</v>
      </c>
      <c r="I23" s="3">
        <v>4.61372359480547</v>
      </c>
      <c r="J23" s="3">
        <v>2.2152256421802399</v>
      </c>
      <c r="K23" s="3">
        <v>2.0575792823074299</v>
      </c>
      <c r="L23" s="3">
        <v>4.8644741474138602</v>
      </c>
      <c r="M23" s="3">
        <v>3.8091145769437502</v>
      </c>
      <c r="N23" s="3">
        <v>2.8647289209870199</v>
      </c>
      <c r="O23" s="3">
        <v>1.78421548997246</v>
      </c>
      <c r="P23" s="3">
        <v>3.2813053230097902</v>
      </c>
      <c r="Q23" s="3">
        <v>6.0882499239157504</v>
      </c>
      <c r="R23" s="3">
        <v>3.9013079503937602</v>
      </c>
      <c r="S23" s="3">
        <v>3.66665378374499</v>
      </c>
      <c r="T23" s="3">
        <v>4.7115053779576499</v>
      </c>
      <c r="U23" s="3" t="e">
        <v>#N/A</v>
      </c>
      <c r="V23" s="3">
        <v>5.3123729790977201</v>
      </c>
    </row>
    <row r="24" spans="1:22" x14ac:dyDescent="0.35">
      <c r="A24" s="2">
        <v>42418</v>
      </c>
      <c r="B24" s="3" t="e">
        <v>#N/A</v>
      </c>
      <c r="C24" s="3">
        <v>3.6616745762799199</v>
      </c>
      <c r="D24" s="3">
        <v>2.3773970389998502</v>
      </c>
      <c r="E24" s="3">
        <v>1.9740246463682001</v>
      </c>
      <c r="F24" s="3">
        <v>4.0033007209905698</v>
      </c>
      <c r="G24" s="3">
        <v>2.5170020360297798</v>
      </c>
      <c r="H24" s="3">
        <v>3.18950085814192</v>
      </c>
      <c r="I24" s="3">
        <v>4.3158819086691604</v>
      </c>
      <c r="J24" s="3">
        <v>2.145584934031</v>
      </c>
      <c r="K24" s="3">
        <v>1.95187084248715</v>
      </c>
      <c r="L24" s="3">
        <v>4.2779561210614503</v>
      </c>
      <c r="M24" s="3">
        <v>3.4351187601310098</v>
      </c>
      <c r="N24" s="3">
        <v>2.7619412327778901</v>
      </c>
      <c r="O24" s="3">
        <v>1.83146365778959</v>
      </c>
      <c r="P24" s="3">
        <v>3.24668182844237</v>
      </c>
      <c r="Q24" s="3">
        <v>5.2333695253556103</v>
      </c>
      <c r="R24" s="3">
        <v>3.6622722918438302</v>
      </c>
      <c r="S24" s="3">
        <v>3.5453539987639102</v>
      </c>
      <c r="T24" s="3">
        <v>4.4916376870245101</v>
      </c>
      <c r="U24" s="3" t="e">
        <v>#N/A</v>
      </c>
      <c r="V24" s="3">
        <v>5.2056499967574901</v>
      </c>
    </row>
    <row r="25" spans="1:22" x14ac:dyDescent="0.35">
      <c r="A25" s="2">
        <v>42447</v>
      </c>
      <c r="B25" s="3" t="e">
        <v>#N/A</v>
      </c>
      <c r="C25" s="3">
        <v>3.3846167792406598</v>
      </c>
      <c r="D25" s="3">
        <v>2.3348353773077499</v>
      </c>
      <c r="E25" s="3">
        <v>1.7932233203465</v>
      </c>
      <c r="F25" s="3">
        <v>3.6926264294831599</v>
      </c>
      <c r="G25" s="3">
        <v>2.0934778907672</v>
      </c>
      <c r="H25" s="3">
        <v>3.0618937698734499</v>
      </c>
      <c r="I25" s="3">
        <v>4.0662935605891697</v>
      </c>
      <c r="J25" s="3">
        <v>2.08036202878744</v>
      </c>
      <c r="K25" s="3">
        <v>1.9019415364044301</v>
      </c>
      <c r="L25" s="3">
        <v>3.2741605700834802</v>
      </c>
      <c r="M25" s="3">
        <v>3.2328467375162901</v>
      </c>
      <c r="N25" s="3">
        <v>3.4456676717580801</v>
      </c>
      <c r="O25" s="3">
        <v>1.7492940246392299</v>
      </c>
      <c r="P25" s="3">
        <v>2.9760956884859402</v>
      </c>
      <c r="Q25" s="3">
        <v>4.1915145933830402</v>
      </c>
      <c r="R25" s="3">
        <v>3.4091290784610599</v>
      </c>
      <c r="S25" s="3">
        <v>3.09951135672876</v>
      </c>
      <c r="T25" s="3">
        <v>3.9439104446109399</v>
      </c>
      <c r="U25" s="3">
        <v>2.72272928974773</v>
      </c>
      <c r="V25" s="3">
        <v>4.6243307956003497</v>
      </c>
    </row>
    <row r="26" spans="1:22" x14ac:dyDescent="0.35">
      <c r="A26" s="2">
        <v>42478</v>
      </c>
      <c r="B26" s="3" t="e">
        <v>#N/A</v>
      </c>
      <c r="C26" s="3">
        <v>3.4544638414121098</v>
      </c>
      <c r="D26" s="3">
        <v>2.3811381212924698</v>
      </c>
      <c r="E26" s="3">
        <v>1.79318705403262</v>
      </c>
      <c r="F26" s="3">
        <v>3.6106809085185101</v>
      </c>
      <c r="G26" s="3">
        <v>1.96436437329925</v>
      </c>
      <c r="H26" s="3">
        <v>3.05920821481994</v>
      </c>
      <c r="I26" s="3">
        <v>4.2576094579586297</v>
      </c>
      <c r="J26" s="3">
        <v>2.0778191200406</v>
      </c>
      <c r="K26" s="3">
        <v>1.9037048457819801</v>
      </c>
      <c r="L26" s="3">
        <v>3.1489028320366499</v>
      </c>
      <c r="M26" s="3">
        <v>3.1990546744108901</v>
      </c>
      <c r="N26" s="3">
        <v>3.0513857072456401</v>
      </c>
      <c r="O26" s="3">
        <v>1.6944440923953299</v>
      </c>
      <c r="P26" s="3">
        <v>2.8521402664345401</v>
      </c>
      <c r="Q26" s="3">
        <v>4.23889333435495</v>
      </c>
      <c r="R26" s="3">
        <v>3.3909376512591902</v>
      </c>
      <c r="S26" s="3">
        <v>3.14671990831995</v>
      </c>
      <c r="T26" s="3">
        <v>3.87446608235902</v>
      </c>
      <c r="U26" s="3">
        <v>3.1105212994991698</v>
      </c>
      <c r="V26" s="3">
        <v>4.5938724304449003</v>
      </c>
    </row>
    <row r="27" spans="1:22" x14ac:dyDescent="0.35">
      <c r="A27" s="2">
        <v>42508</v>
      </c>
      <c r="B27" s="3" t="e">
        <v>#N/A</v>
      </c>
      <c r="C27" s="3">
        <v>3.3021143390585501</v>
      </c>
      <c r="D27" s="3">
        <v>2.4757483311581598</v>
      </c>
      <c r="E27" s="3">
        <v>1.72861157439962</v>
      </c>
      <c r="F27" s="3">
        <v>3.8234158093917299</v>
      </c>
      <c r="G27" s="3">
        <v>1.74241236835348</v>
      </c>
      <c r="H27" s="3">
        <v>3.2072064334649402</v>
      </c>
      <c r="I27" s="3">
        <v>4.52746704517073</v>
      </c>
      <c r="J27" s="3">
        <v>2.0928014271567501</v>
      </c>
      <c r="K27" s="3">
        <v>2.0055361598266499</v>
      </c>
      <c r="L27" s="3">
        <v>3.37162498393461</v>
      </c>
      <c r="M27" s="3">
        <v>3.4027797331168199</v>
      </c>
      <c r="N27" s="3">
        <v>2.33648198802622</v>
      </c>
      <c r="O27" s="3">
        <v>1.6947114117537601</v>
      </c>
      <c r="P27" s="3">
        <v>3.0587403544186298</v>
      </c>
      <c r="Q27" s="3">
        <v>4.2690135814940602</v>
      </c>
      <c r="R27" s="3">
        <v>3.4093587181131801</v>
      </c>
      <c r="S27" s="3">
        <v>3.4809271948294001</v>
      </c>
      <c r="T27" s="3">
        <v>4.2054732410080797</v>
      </c>
      <c r="U27" s="3">
        <v>3.14487474839181</v>
      </c>
      <c r="V27" s="3">
        <v>4.1159213840613704</v>
      </c>
    </row>
    <row r="28" spans="1:22" x14ac:dyDescent="0.35">
      <c r="A28" s="2">
        <v>42538</v>
      </c>
      <c r="B28" s="3" t="e">
        <v>#N/A</v>
      </c>
      <c r="C28" s="3">
        <v>3.25989540417901</v>
      </c>
      <c r="D28" s="3">
        <v>2.3766010283033099</v>
      </c>
      <c r="E28" s="3">
        <v>1.6790820728257001</v>
      </c>
      <c r="F28" s="3">
        <v>3.93404441754884</v>
      </c>
      <c r="G28" s="3">
        <v>1.8117220544533299</v>
      </c>
      <c r="H28" s="3">
        <v>3.1102132479003299</v>
      </c>
      <c r="I28" s="3">
        <v>4.2253434326288399</v>
      </c>
      <c r="J28" s="3">
        <v>2.1370522691691001</v>
      </c>
      <c r="K28" s="3">
        <v>1.9879372813893501</v>
      </c>
      <c r="L28" s="3">
        <v>3.45663343874052</v>
      </c>
      <c r="M28" s="3">
        <v>3.1843818636069101</v>
      </c>
      <c r="N28" s="3">
        <v>2.72675923679299</v>
      </c>
      <c r="O28" s="3">
        <v>1.6155434107975599</v>
      </c>
      <c r="P28" s="3">
        <v>2.6965323775767001</v>
      </c>
      <c r="Q28" s="3">
        <v>4.27164876486514</v>
      </c>
      <c r="R28" s="3">
        <v>3.3461148302913801</v>
      </c>
      <c r="S28" s="3">
        <v>3.63977515425848</v>
      </c>
      <c r="T28" s="3">
        <v>4.0535390541824503</v>
      </c>
      <c r="U28" s="3">
        <v>3.2552239561672698</v>
      </c>
      <c r="V28" s="3">
        <v>4.0993327882474402</v>
      </c>
    </row>
    <row r="29" spans="1:22" x14ac:dyDescent="0.35">
      <c r="A29" s="2">
        <v>42569</v>
      </c>
      <c r="B29" s="3">
        <v>2.1974416232099898</v>
      </c>
      <c r="C29" s="3">
        <v>2.89036370989326</v>
      </c>
      <c r="D29" s="3">
        <v>2.2146218031274199</v>
      </c>
      <c r="E29" s="3">
        <v>1.64355510425708</v>
      </c>
      <c r="F29" s="3">
        <v>3.6692653008150198</v>
      </c>
      <c r="G29" s="3">
        <v>1.7085768267422901</v>
      </c>
      <c r="H29" s="3">
        <v>2.9992216440472799</v>
      </c>
      <c r="I29" s="3">
        <v>4.0581546944501197</v>
      </c>
      <c r="J29" s="3">
        <v>2.0682049996953999</v>
      </c>
      <c r="K29" s="3">
        <v>1.9263664633775599</v>
      </c>
      <c r="L29" s="3">
        <v>2.97005655617098</v>
      </c>
      <c r="M29" s="3">
        <v>2.9927544936066401</v>
      </c>
      <c r="N29" s="3">
        <v>2.9243751290266502</v>
      </c>
      <c r="O29" s="3">
        <v>1.55701585034278</v>
      </c>
      <c r="P29" s="3">
        <v>2.4609621879826098</v>
      </c>
      <c r="Q29" s="3">
        <v>4.0039237590531602</v>
      </c>
      <c r="R29" s="3">
        <v>3.2025244347216399</v>
      </c>
      <c r="S29" s="3">
        <v>3.5832262194536901</v>
      </c>
      <c r="T29" s="3">
        <v>3.8102367525099101</v>
      </c>
      <c r="U29" s="3">
        <v>3.0819587866517102</v>
      </c>
      <c r="V29" s="3">
        <v>4.1647123548543297</v>
      </c>
    </row>
    <row r="30" spans="1:22" x14ac:dyDescent="0.35">
      <c r="A30" s="2">
        <v>42600</v>
      </c>
      <c r="B30" s="3">
        <v>2.1759154555634499</v>
      </c>
      <c r="C30" s="3">
        <v>2.8690681167275298</v>
      </c>
      <c r="D30" s="3">
        <v>2.1265679305963001</v>
      </c>
      <c r="E30" s="3">
        <v>1.6035586784870901</v>
      </c>
      <c r="F30" s="3">
        <v>3.5124471921870599</v>
      </c>
      <c r="G30" s="3">
        <v>1.42840370503676</v>
      </c>
      <c r="H30" s="3">
        <v>2.9320524118395901</v>
      </c>
      <c r="I30" s="3">
        <v>4.0324840986860897</v>
      </c>
      <c r="J30" s="3">
        <v>2.0203809831598698</v>
      </c>
      <c r="K30" s="3">
        <v>1.87022663327799</v>
      </c>
      <c r="L30" s="3">
        <v>2.9912789769316501</v>
      </c>
      <c r="M30" s="3">
        <v>2.9284295770785</v>
      </c>
      <c r="N30" s="3">
        <v>2.9218631488368998</v>
      </c>
      <c r="O30" s="3">
        <v>1.5404236231675399</v>
      </c>
      <c r="P30" s="3">
        <v>2.3157491057293602</v>
      </c>
      <c r="Q30" s="3">
        <v>3.63019925312924</v>
      </c>
      <c r="R30" s="3">
        <v>3.1085324814986599</v>
      </c>
      <c r="S30" s="3">
        <v>3.4626138558358202</v>
      </c>
      <c r="T30" s="3">
        <v>3.7280945271101702</v>
      </c>
      <c r="U30" s="3">
        <v>3.0127217013176799</v>
      </c>
      <c r="V30" s="3">
        <v>4.5280914520443902</v>
      </c>
    </row>
    <row r="31" spans="1:22" x14ac:dyDescent="0.35">
      <c r="A31" s="2">
        <v>42629</v>
      </c>
      <c r="B31" s="3">
        <v>2.2611991999075598</v>
      </c>
      <c r="C31" s="3">
        <v>3.1099542787694001</v>
      </c>
      <c r="D31" s="3">
        <v>2.2631283220079501</v>
      </c>
      <c r="E31" s="3">
        <v>1.6810120959146999</v>
      </c>
      <c r="F31" s="3">
        <v>3.6326552745165599</v>
      </c>
      <c r="G31" s="3">
        <v>1.5509695948703399</v>
      </c>
      <c r="H31" s="3">
        <v>2.9777991501423902</v>
      </c>
      <c r="I31" s="3">
        <v>4.1915547385484899</v>
      </c>
      <c r="J31" s="3">
        <v>2.13176132181579</v>
      </c>
      <c r="K31" s="3">
        <v>1.9266884731845699</v>
      </c>
      <c r="L31" s="3">
        <v>3.18530084219748</v>
      </c>
      <c r="M31" s="3">
        <v>3.1389667739111</v>
      </c>
      <c r="N31" s="3">
        <v>3.3428007106985</v>
      </c>
      <c r="O31" s="3">
        <v>1.52569252940205</v>
      </c>
      <c r="P31" s="3">
        <v>2.27162205088033</v>
      </c>
      <c r="Q31" s="3">
        <v>3.9173108825674401</v>
      </c>
      <c r="R31" s="3">
        <v>3.2985990146859101</v>
      </c>
      <c r="S31" s="3">
        <v>3.6137362848474601</v>
      </c>
      <c r="T31" s="3">
        <v>3.68677146082804</v>
      </c>
      <c r="U31" s="3">
        <v>3.2893424141555698</v>
      </c>
      <c r="V31" s="3">
        <v>4.65766096999669</v>
      </c>
    </row>
    <row r="32" spans="1:22" x14ac:dyDescent="0.35">
      <c r="A32" s="2">
        <v>42661</v>
      </c>
      <c r="B32" s="3">
        <v>2.27292640970022</v>
      </c>
      <c r="C32" s="3">
        <v>2.71688780408493</v>
      </c>
      <c r="D32" s="3">
        <v>2.2335194495425399</v>
      </c>
      <c r="E32" s="3">
        <v>1.6514575616788301</v>
      </c>
      <c r="F32" s="3">
        <v>3.4672141713376901</v>
      </c>
      <c r="G32" s="3">
        <v>1.5536920307734601</v>
      </c>
      <c r="H32" s="3">
        <v>2.9422509667925398</v>
      </c>
      <c r="I32" s="3">
        <v>4.0183371891681503</v>
      </c>
      <c r="J32" s="3">
        <v>2.0774639995113802</v>
      </c>
      <c r="K32" s="3">
        <v>1.9133379043922201</v>
      </c>
      <c r="L32" s="3">
        <v>2.8949424299328501</v>
      </c>
      <c r="M32" s="3">
        <v>3.2493485185891502</v>
      </c>
      <c r="N32" s="3">
        <v>2.9686051179747999</v>
      </c>
      <c r="O32" s="3">
        <v>1.54678836927439</v>
      </c>
      <c r="P32" s="3">
        <v>2.2584078676739101</v>
      </c>
      <c r="Q32" s="3">
        <v>3.9098284025585301</v>
      </c>
      <c r="R32" s="3">
        <v>3.3342832928016599</v>
      </c>
      <c r="S32" s="3">
        <v>3.5951458222086101</v>
      </c>
      <c r="T32" s="3">
        <v>3.75136215509281</v>
      </c>
      <c r="U32" s="3">
        <v>2.5945105522683098</v>
      </c>
      <c r="V32" s="3">
        <v>5.07773013456982</v>
      </c>
    </row>
    <row r="33" spans="1:22" x14ac:dyDescent="0.35">
      <c r="A33" s="2">
        <v>42692</v>
      </c>
      <c r="B33" s="3">
        <v>2.2168696486789998</v>
      </c>
      <c r="C33" s="3">
        <v>2.8534223225678601</v>
      </c>
      <c r="D33" s="3">
        <v>2.4363827283035602</v>
      </c>
      <c r="E33" s="3">
        <v>1.75394645974115</v>
      </c>
      <c r="F33" s="3">
        <v>3.40957523336054</v>
      </c>
      <c r="G33" s="3">
        <v>1.97437753366867</v>
      </c>
      <c r="H33" s="3">
        <v>3.0399072649896399</v>
      </c>
      <c r="I33" s="3">
        <v>4.2329219414079198</v>
      </c>
      <c r="J33" s="3">
        <v>2.3324352379542201</v>
      </c>
      <c r="K33" s="3">
        <v>2.0053390584459101</v>
      </c>
      <c r="L33" s="3">
        <v>3.1581801816522099</v>
      </c>
      <c r="M33" s="3">
        <v>3.3275920835634301</v>
      </c>
      <c r="N33" s="3">
        <v>2.85477613468777</v>
      </c>
      <c r="O33" s="3">
        <v>1.7166781652257701</v>
      </c>
      <c r="P33" s="3">
        <v>2.3550565292454602</v>
      </c>
      <c r="Q33" s="3">
        <v>4.1974664713929499</v>
      </c>
      <c r="R33" s="3">
        <v>3.3337405048907001</v>
      </c>
      <c r="S33" s="3">
        <v>3.7584653705880799</v>
      </c>
      <c r="T33" s="3">
        <v>3.9860882788774101</v>
      </c>
      <c r="U33" s="3">
        <v>2.6668246643624398</v>
      </c>
      <c r="V33" s="3">
        <v>4.1648959332079496</v>
      </c>
    </row>
    <row r="34" spans="1:22" x14ac:dyDescent="0.35">
      <c r="A34" s="2">
        <v>42720</v>
      </c>
      <c r="B34" s="3">
        <v>2.2789822113157499</v>
      </c>
      <c r="C34" s="3">
        <v>2.8802066212078801</v>
      </c>
      <c r="D34" s="3">
        <v>2.4859176999063299</v>
      </c>
      <c r="E34" s="3">
        <v>1.7661870478272099</v>
      </c>
      <c r="F34" s="3">
        <v>3.0758802689109102</v>
      </c>
      <c r="G34" s="3">
        <v>2.2039052879121499</v>
      </c>
      <c r="H34" s="3">
        <v>3.0165171194647602</v>
      </c>
      <c r="I34" s="3">
        <v>4.14792243247906</v>
      </c>
      <c r="J34" s="3">
        <v>2.38284145827238</v>
      </c>
      <c r="K34" s="3">
        <v>1.9415663379408601</v>
      </c>
      <c r="L34" s="3">
        <v>3.5931534031918302</v>
      </c>
      <c r="M34" s="3">
        <v>3.3762573934721898</v>
      </c>
      <c r="N34" s="3">
        <v>2.85507827577969</v>
      </c>
      <c r="O34" s="3">
        <v>1.6822225682893399</v>
      </c>
      <c r="P34" s="3">
        <v>2.40592195731818</v>
      </c>
      <c r="Q34" s="3">
        <v>3.9609028140871798</v>
      </c>
      <c r="R34" s="3">
        <v>3.2536857591006898</v>
      </c>
      <c r="S34" s="3">
        <v>3.7909143740479001</v>
      </c>
      <c r="T34" s="3">
        <v>4.1369359874592302</v>
      </c>
      <c r="U34" s="3">
        <v>2.9062129360116602</v>
      </c>
      <c r="V34" s="3">
        <v>3.89082145041814</v>
      </c>
    </row>
    <row r="35" spans="1:22" x14ac:dyDescent="0.35">
      <c r="A35" s="2">
        <v>42753</v>
      </c>
      <c r="B35" s="3">
        <v>2.2952764775141601</v>
      </c>
      <c r="C35" s="3">
        <v>2.9265473235070201</v>
      </c>
      <c r="D35" s="3">
        <v>2.43651554174965</v>
      </c>
      <c r="E35" s="3">
        <v>1.67474226475345</v>
      </c>
      <c r="F35" s="3">
        <v>2.86724565646273</v>
      </c>
      <c r="G35" s="3">
        <v>2.2041840668314401</v>
      </c>
      <c r="H35" s="3">
        <v>3.0145446537279401</v>
      </c>
      <c r="I35" s="3">
        <v>4.2154648548180997</v>
      </c>
      <c r="J35" s="3">
        <v>2.3692349082792599</v>
      </c>
      <c r="K35" s="3">
        <v>1.95607203347295</v>
      </c>
      <c r="L35" s="3">
        <v>3.3673083628754301</v>
      </c>
      <c r="M35" s="3">
        <v>3.1312701113869599</v>
      </c>
      <c r="N35" s="3">
        <v>2.9087229558882801</v>
      </c>
      <c r="O35" s="3">
        <v>1.65647127090136</v>
      </c>
      <c r="P35" s="3">
        <v>2.3481173588753799</v>
      </c>
      <c r="Q35" s="3">
        <v>3.5886977935604398</v>
      </c>
      <c r="R35" s="3">
        <v>3.1934195837305901</v>
      </c>
      <c r="S35" s="3">
        <v>3.6526944083739399</v>
      </c>
      <c r="T35" s="3">
        <v>3.9771805557097299</v>
      </c>
      <c r="U35" s="3">
        <v>2.89456241881118</v>
      </c>
      <c r="V35" s="3">
        <v>3.8932707878337101</v>
      </c>
    </row>
    <row r="36" spans="1:22" x14ac:dyDescent="0.35">
      <c r="A36" s="2">
        <v>42783</v>
      </c>
      <c r="B36" s="3">
        <v>2.3306679916217501</v>
      </c>
      <c r="C36" s="3">
        <v>2.7625215001552199</v>
      </c>
      <c r="D36" s="3">
        <v>2.43035077752489</v>
      </c>
      <c r="E36" s="3">
        <v>1.6430239389044901</v>
      </c>
      <c r="F36" s="3">
        <v>2.6191874617357001</v>
      </c>
      <c r="G36" s="3">
        <v>1.9819816233429299</v>
      </c>
      <c r="H36" s="3">
        <v>2.97325093281369</v>
      </c>
      <c r="I36" s="3">
        <v>4.0709110149791998</v>
      </c>
      <c r="J36" s="3">
        <v>2.3769274610656099</v>
      </c>
      <c r="K36" s="3">
        <v>1.9328518583148999</v>
      </c>
      <c r="L36" s="3">
        <v>3.31815526873272</v>
      </c>
      <c r="M36" s="3">
        <v>3.1656591715800899</v>
      </c>
      <c r="N36" s="3">
        <v>3.0741073716859302</v>
      </c>
      <c r="O36" s="3">
        <v>1.5982912410880801</v>
      </c>
      <c r="P36" s="3">
        <v>2.24090422027</v>
      </c>
      <c r="Q36" s="3">
        <v>3.7247364154762401</v>
      </c>
      <c r="R36" s="3">
        <v>3.1043520290364102</v>
      </c>
      <c r="S36" s="3">
        <v>3.4892645904130499</v>
      </c>
      <c r="T36" s="3">
        <v>4.0486547456581699</v>
      </c>
      <c r="U36" s="3">
        <v>3.0555663774770299</v>
      </c>
      <c r="V36" s="3">
        <v>3.7622985000747802</v>
      </c>
    </row>
    <row r="37" spans="1:22" x14ac:dyDescent="0.35">
      <c r="A37" s="2">
        <v>42811</v>
      </c>
      <c r="B37" s="3">
        <v>2.3067432509076902</v>
      </c>
      <c r="C37" s="3">
        <v>2.6407864267267298</v>
      </c>
      <c r="D37" s="3">
        <v>2.4256885527710899</v>
      </c>
      <c r="E37" s="3">
        <v>1.63853808504665</v>
      </c>
      <c r="F37" s="3">
        <v>2.3601520644671101</v>
      </c>
      <c r="G37" s="3">
        <v>2.1375872280280701</v>
      </c>
      <c r="H37" s="3">
        <v>2.9484578407957098</v>
      </c>
      <c r="I37" s="3">
        <v>4.0813397180580004</v>
      </c>
      <c r="J37" s="3">
        <v>2.3721527464043599</v>
      </c>
      <c r="K37" s="3">
        <v>1.86638642799833</v>
      </c>
      <c r="L37" s="3">
        <v>3.6343308778012</v>
      </c>
      <c r="M37" s="3">
        <v>3.12570567291269</v>
      </c>
      <c r="N37" s="3">
        <v>2.9753131844425802</v>
      </c>
      <c r="O37" s="3">
        <v>1.54784383746729</v>
      </c>
      <c r="P37" s="3">
        <v>2.1895725387954998</v>
      </c>
      <c r="Q37" s="3">
        <v>3.85666512334892</v>
      </c>
      <c r="R37" s="3">
        <v>3.1567142470988299</v>
      </c>
      <c r="S37" s="3">
        <v>3.5267135537233898</v>
      </c>
      <c r="T37" s="3">
        <v>4.1846782273263603</v>
      </c>
      <c r="U37" s="3">
        <v>2.9990710541441001</v>
      </c>
      <c r="V37" s="3">
        <v>3.9702016138771801</v>
      </c>
    </row>
    <row r="38" spans="1:22" x14ac:dyDescent="0.35">
      <c r="A38" s="2">
        <v>42843</v>
      </c>
      <c r="B38" s="3">
        <v>2.27359196151441</v>
      </c>
      <c r="C38" s="3">
        <v>2.4696696308387001</v>
      </c>
      <c r="D38" s="3">
        <v>2.4547799348430099</v>
      </c>
      <c r="E38" s="3">
        <v>1.5965119579965701</v>
      </c>
      <c r="F38" s="3">
        <v>2.5381768746342099</v>
      </c>
      <c r="G38" s="3">
        <v>2.08520998467842</v>
      </c>
      <c r="H38" s="3">
        <v>2.9873037667485298</v>
      </c>
      <c r="I38" s="3">
        <v>4.1529720643554002</v>
      </c>
      <c r="J38" s="3">
        <v>2.3934846395526401</v>
      </c>
      <c r="K38" s="3">
        <v>1.95525132250209</v>
      </c>
      <c r="L38" s="3">
        <v>3.6584935538823702</v>
      </c>
      <c r="M38" s="3">
        <v>3.1494827511158099</v>
      </c>
      <c r="N38" s="3">
        <v>2.6393248266740001</v>
      </c>
      <c r="O38" s="3">
        <v>1.58516257005447</v>
      </c>
      <c r="P38" s="3">
        <v>2.3068386997257502</v>
      </c>
      <c r="Q38" s="3">
        <v>3.8367961109608699</v>
      </c>
      <c r="R38" s="3">
        <v>3.13856485185033</v>
      </c>
      <c r="S38" s="3">
        <v>3.5998110693679499</v>
      </c>
      <c r="T38" s="3">
        <v>4.0230270583857299</v>
      </c>
      <c r="U38" s="3">
        <v>2.6506580360032701</v>
      </c>
      <c r="V38" s="3">
        <v>4.0487010511602302</v>
      </c>
    </row>
    <row r="39" spans="1:22" x14ac:dyDescent="0.35">
      <c r="A39" s="2">
        <v>42873</v>
      </c>
      <c r="B39" s="3">
        <v>2.2506506190237698</v>
      </c>
      <c r="C39" s="3">
        <v>2.4718269723600002</v>
      </c>
      <c r="D39" s="3">
        <v>2.53424999551493</v>
      </c>
      <c r="E39" s="3">
        <v>1.5930604365366801</v>
      </c>
      <c r="F39" s="3">
        <v>2.53305777882407</v>
      </c>
      <c r="G39" s="3">
        <v>2.24748546516363</v>
      </c>
      <c r="H39" s="3">
        <v>2.9721780765006001</v>
      </c>
      <c r="I39" s="3">
        <v>4.0882991249271603</v>
      </c>
      <c r="J39" s="3">
        <v>2.4351751977214899</v>
      </c>
      <c r="K39" s="3">
        <v>1.82993718542798</v>
      </c>
      <c r="L39" s="3">
        <v>3.8730260324080201</v>
      </c>
      <c r="M39" s="3">
        <v>3.0598180295821198</v>
      </c>
      <c r="N39" s="3">
        <v>2.6147107129014699</v>
      </c>
      <c r="O39" s="3">
        <v>1.59499629272597</v>
      </c>
      <c r="P39" s="3">
        <v>2.2222898242495899</v>
      </c>
      <c r="Q39" s="3">
        <v>3.8965623305929</v>
      </c>
      <c r="R39" s="3">
        <v>3.2189555073823302</v>
      </c>
      <c r="S39" s="3">
        <v>3.7025095423806702</v>
      </c>
      <c r="T39" s="3">
        <v>3.9716313378346801</v>
      </c>
      <c r="U39" s="3">
        <v>2.3863427330413698</v>
      </c>
      <c r="V39" s="3">
        <v>4.0679251755601502</v>
      </c>
    </row>
    <row r="40" spans="1:22" x14ac:dyDescent="0.35">
      <c r="A40" s="2">
        <v>42902</v>
      </c>
      <c r="B40" s="3">
        <v>2.1606718467298802</v>
      </c>
      <c r="C40" s="3">
        <v>2.6592154390366098</v>
      </c>
      <c r="D40" s="3">
        <v>2.5527882194215299</v>
      </c>
      <c r="E40" s="3">
        <v>1.56218145490518</v>
      </c>
      <c r="F40" s="3">
        <v>2.52671653138</v>
      </c>
      <c r="G40" s="3">
        <v>2.2881852905928799</v>
      </c>
      <c r="H40" s="3">
        <v>2.9939264960992298</v>
      </c>
      <c r="I40" s="3">
        <v>4.04703869152097</v>
      </c>
      <c r="J40" s="3">
        <v>2.4846631257663199</v>
      </c>
      <c r="K40" s="3">
        <v>1.7762981751936</v>
      </c>
      <c r="L40" s="3">
        <v>3.6992317023832899</v>
      </c>
      <c r="M40" s="3">
        <v>3.4561210171087802</v>
      </c>
      <c r="N40" s="3">
        <v>2.62058831772555</v>
      </c>
      <c r="O40" s="3">
        <v>1.61644110059242</v>
      </c>
      <c r="P40" s="3">
        <v>2.1960837584700599</v>
      </c>
      <c r="Q40" s="3">
        <v>4.3257875447588203</v>
      </c>
      <c r="R40" s="3">
        <v>3.1965358785163702</v>
      </c>
      <c r="S40" s="3">
        <v>3.6288923630421701</v>
      </c>
      <c r="T40" s="3">
        <v>4.06973766864607</v>
      </c>
      <c r="U40" s="3">
        <v>2.00507333143532</v>
      </c>
      <c r="V40" s="3">
        <v>3.98166013901819</v>
      </c>
    </row>
    <row r="41" spans="1:22" x14ac:dyDescent="0.35">
      <c r="A41" s="2">
        <v>42934</v>
      </c>
      <c r="B41" s="3">
        <v>2.1603318974561101</v>
      </c>
      <c r="C41" s="3">
        <v>2.56824059414551</v>
      </c>
      <c r="D41" s="3">
        <v>2.54273369628415</v>
      </c>
      <c r="E41" s="3">
        <v>1.5781525803707599</v>
      </c>
      <c r="F41" s="3">
        <v>2.4226692949959601</v>
      </c>
      <c r="G41" s="3">
        <v>2.2569534309040802</v>
      </c>
      <c r="H41" s="3">
        <v>3.05868578649928</v>
      </c>
      <c r="I41" s="3">
        <v>3.9613610722747699</v>
      </c>
      <c r="J41" s="3">
        <v>2.3716915964471399</v>
      </c>
      <c r="K41" s="3">
        <v>1.74123047521813</v>
      </c>
      <c r="L41" s="3">
        <v>3.4959501402585</v>
      </c>
      <c r="M41" s="3">
        <v>3.27524411912853</v>
      </c>
      <c r="N41" s="3">
        <v>2.4601168414021402</v>
      </c>
      <c r="O41" s="3">
        <v>1.56553334287337</v>
      </c>
      <c r="P41" s="3">
        <v>2.1373648115920401</v>
      </c>
      <c r="Q41" s="3">
        <v>4.2037679847335996</v>
      </c>
      <c r="R41" s="3">
        <v>3.2671015957327501</v>
      </c>
      <c r="S41" s="3">
        <v>3.54975870030911</v>
      </c>
      <c r="T41" s="3">
        <v>3.92772489742954</v>
      </c>
      <c r="U41" s="3">
        <v>1.61274115216492</v>
      </c>
      <c r="V41" s="3">
        <v>3.7271964542088498</v>
      </c>
    </row>
    <row r="42" spans="1:22" x14ac:dyDescent="0.35">
      <c r="A42" s="2">
        <v>42965</v>
      </c>
      <c r="B42" s="3">
        <v>2.1925053803416898</v>
      </c>
      <c r="C42" s="3">
        <v>2.5904862317406701</v>
      </c>
      <c r="D42" s="3">
        <v>2.5443791840857601</v>
      </c>
      <c r="E42" s="3">
        <v>1.5584586446658999</v>
      </c>
      <c r="F42" s="3">
        <v>2.4563265713859499</v>
      </c>
      <c r="G42" s="3">
        <v>2.2498359610782201</v>
      </c>
      <c r="H42" s="3">
        <v>3.0340250561936699</v>
      </c>
      <c r="I42" s="3">
        <v>4.0469325601627499</v>
      </c>
      <c r="J42" s="3">
        <v>2.37233864619671</v>
      </c>
      <c r="K42" s="3">
        <v>1.8347375260892</v>
      </c>
      <c r="L42" s="3">
        <v>3.37258072560773</v>
      </c>
      <c r="M42" s="3">
        <v>3.1834701134374899</v>
      </c>
      <c r="N42" s="3">
        <v>2.6092033195791098</v>
      </c>
      <c r="O42" s="3">
        <v>1.5549487690082699</v>
      </c>
      <c r="P42" s="3">
        <v>2.1480754678066898</v>
      </c>
      <c r="Q42" s="3">
        <v>4.2562978850336401</v>
      </c>
      <c r="R42" s="3">
        <v>3.2379057654603698</v>
      </c>
      <c r="S42" s="3">
        <v>3.79357289311791</v>
      </c>
      <c r="T42" s="3">
        <v>4.0537676874366797</v>
      </c>
      <c r="U42" s="3">
        <v>1.7668450635428199</v>
      </c>
      <c r="V42" s="3">
        <v>4.05666734163374</v>
      </c>
    </row>
    <row r="43" spans="1:22" x14ac:dyDescent="0.35">
      <c r="A43" s="2">
        <v>42996</v>
      </c>
      <c r="B43" s="3">
        <v>2.1431012666799698</v>
      </c>
      <c r="C43" s="3">
        <v>2.49138391541128</v>
      </c>
      <c r="D43" s="3">
        <v>2.58319928564927</v>
      </c>
      <c r="E43" s="3">
        <v>1.4990883153455701</v>
      </c>
      <c r="F43" s="3">
        <v>2.58627533338107</v>
      </c>
      <c r="G43" s="3">
        <v>2.2571324212825701</v>
      </c>
      <c r="H43" s="3">
        <v>3.01079066510253</v>
      </c>
      <c r="I43" s="3">
        <v>4.0253776588170798</v>
      </c>
      <c r="J43" s="3">
        <v>2.4512674456797798</v>
      </c>
      <c r="K43" s="3">
        <v>1.7856518651520901</v>
      </c>
      <c r="L43" s="3">
        <v>3.1136706914084602</v>
      </c>
      <c r="M43" s="3">
        <v>3.3309491477515198</v>
      </c>
      <c r="N43" s="3">
        <v>2.8295662484708801</v>
      </c>
      <c r="O43" s="3">
        <v>1.51685916955328</v>
      </c>
      <c r="P43" s="3">
        <v>2.0830938913314099</v>
      </c>
      <c r="Q43" s="3">
        <v>4.8955527710582798</v>
      </c>
      <c r="R43" s="3">
        <v>3.0082106519549998</v>
      </c>
      <c r="S43" s="3">
        <v>3.9451517920929402</v>
      </c>
      <c r="T43" s="3">
        <v>4.08778926771594</v>
      </c>
      <c r="U43" s="3">
        <v>1.71718606936538</v>
      </c>
      <c r="V43" s="3">
        <v>4.1957537666459199</v>
      </c>
    </row>
    <row r="44" spans="1:22" x14ac:dyDescent="0.35">
      <c r="A44" s="2">
        <v>43026</v>
      </c>
      <c r="B44" s="3">
        <v>2.13644201998724</v>
      </c>
      <c r="C44" s="3">
        <v>2.81087801156032</v>
      </c>
      <c r="D44" s="3">
        <v>2.5375167693157099</v>
      </c>
      <c r="E44" s="3">
        <v>1.44054896761063</v>
      </c>
      <c r="F44" s="3">
        <v>2.3984979974474498</v>
      </c>
      <c r="G44" s="3">
        <v>2.3780001871062799</v>
      </c>
      <c r="H44" s="3">
        <v>3.10036091364797</v>
      </c>
      <c r="I44" s="3">
        <v>4.0059458119390401</v>
      </c>
      <c r="J44" s="3">
        <v>2.4732797094770098</v>
      </c>
      <c r="K44" s="3">
        <v>1.7184449552719101</v>
      </c>
      <c r="L44" s="3">
        <v>3.1716004624511598</v>
      </c>
      <c r="M44" s="3">
        <v>3.2260945553200902</v>
      </c>
      <c r="N44" s="3">
        <v>2.8182196665220198</v>
      </c>
      <c r="O44" s="3">
        <v>1.52643795548143</v>
      </c>
      <c r="P44" s="3">
        <v>2.04110638933428</v>
      </c>
      <c r="Q44" s="3">
        <v>4.5510404592593803</v>
      </c>
      <c r="R44" s="3">
        <v>2.9851358441419502</v>
      </c>
      <c r="S44" s="3">
        <v>4.1446757957695999</v>
      </c>
      <c r="T44" s="3">
        <v>4.1907650180022502</v>
      </c>
      <c r="U44" s="3">
        <v>1.8635537279990899</v>
      </c>
      <c r="V44" s="3">
        <v>4.4406992232628104</v>
      </c>
    </row>
    <row r="45" spans="1:22" x14ac:dyDescent="0.35">
      <c r="A45" s="2">
        <v>43056</v>
      </c>
      <c r="B45" s="3">
        <v>2.0822973701106902</v>
      </c>
      <c r="C45" s="3">
        <v>2.9337676847332599</v>
      </c>
      <c r="D45" s="3">
        <v>2.5913632018369901</v>
      </c>
      <c r="E45" s="3">
        <v>1.4977653977004799</v>
      </c>
      <c r="F45" s="3">
        <v>2.4783886143862501</v>
      </c>
      <c r="G45" s="3">
        <v>2.7068548044534602</v>
      </c>
      <c r="H45" s="3">
        <v>3.27652337705327</v>
      </c>
      <c r="I45" s="3">
        <v>4.0518323166975501</v>
      </c>
      <c r="J45" s="3">
        <v>2.5347932287752202</v>
      </c>
      <c r="K45" s="3">
        <v>1.9597449991520799</v>
      </c>
      <c r="L45" s="3">
        <v>3.41703934926218</v>
      </c>
      <c r="M45" s="3">
        <v>3.1384056290446898</v>
      </c>
      <c r="N45" s="3">
        <v>3.1957852744321902</v>
      </c>
      <c r="O45" s="3">
        <v>1.53121236865849</v>
      </c>
      <c r="P45" s="3">
        <v>2.0099365353324501</v>
      </c>
      <c r="Q45" s="3">
        <v>4.6558023569252303</v>
      </c>
      <c r="R45" s="3">
        <v>3.0107285905035099</v>
      </c>
      <c r="S45" s="3">
        <v>4.27844671176807</v>
      </c>
      <c r="T45" s="3">
        <v>4.4528270361693103</v>
      </c>
      <c r="U45" s="3">
        <v>1.9177762490166399</v>
      </c>
      <c r="V45" s="3">
        <v>4.3480919447548096</v>
      </c>
    </row>
    <row r="46" spans="1:22" x14ac:dyDescent="0.35">
      <c r="A46" s="2">
        <v>43087</v>
      </c>
      <c r="B46" s="3">
        <v>2.22756839404461</v>
      </c>
      <c r="C46" s="3">
        <v>2.9612759466097298</v>
      </c>
      <c r="D46" s="3">
        <v>2.60863329048389</v>
      </c>
      <c r="E46" s="3">
        <v>1.5576143162784799</v>
      </c>
      <c r="F46" s="3">
        <v>2.8016931138468002</v>
      </c>
      <c r="G46" s="3">
        <v>2.8420356767780501</v>
      </c>
      <c r="H46" s="3">
        <v>3.2283660228813398</v>
      </c>
      <c r="I46" s="3">
        <v>4.2033792340037897</v>
      </c>
      <c r="J46" s="3">
        <v>2.5149778284536999</v>
      </c>
      <c r="K46" s="3">
        <v>2.0453833736579701</v>
      </c>
      <c r="L46" s="3">
        <v>3.5220848049868101</v>
      </c>
      <c r="M46" s="3">
        <v>3.44368259302487</v>
      </c>
      <c r="N46" s="3">
        <v>2.6633476855675302</v>
      </c>
      <c r="O46" s="3">
        <v>1.5331311152435301</v>
      </c>
      <c r="P46" s="3">
        <v>2.0993441626251599</v>
      </c>
      <c r="Q46" s="3">
        <v>4.4639961024498298</v>
      </c>
      <c r="R46" s="3">
        <v>3.0390777274588201</v>
      </c>
      <c r="S46" s="3">
        <v>4.2217565732987401</v>
      </c>
      <c r="T46" s="3">
        <v>4.4870598829031003</v>
      </c>
      <c r="U46" s="3">
        <v>1.66360190247411</v>
      </c>
      <c r="V46" s="3">
        <v>4.2870619392962297</v>
      </c>
    </row>
    <row r="47" spans="1:22" x14ac:dyDescent="0.35">
      <c r="A47" s="2">
        <v>43118</v>
      </c>
      <c r="B47" s="3">
        <v>2.1123455930622499</v>
      </c>
      <c r="C47" s="3">
        <v>2.75316590340615</v>
      </c>
      <c r="D47" s="3">
        <v>2.4624349892467099</v>
      </c>
      <c r="E47" s="3">
        <v>1.5311643340841099</v>
      </c>
      <c r="F47" s="3">
        <v>2.7146347192898501</v>
      </c>
      <c r="G47" s="3">
        <v>2.5710573377324701</v>
      </c>
      <c r="H47" s="3">
        <v>3.1350821301434499</v>
      </c>
      <c r="I47" s="3">
        <v>4.0778648800300203</v>
      </c>
      <c r="J47" s="3">
        <v>2.4673455719363</v>
      </c>
      <c r="K47" s="3">
        <v>2.0146845730298102</v>
      </c>
      <c r="L47" s="3">
        <v>3.2918794923052799</v>
      </c>
      <c r="M47" s="3">
        <v>3.2825480926887902</v>
      </c>
      <c r="N47" s="3">
        <v>2.6158040118132702</v>
      </c>
      <c r="O47" s="3">
        <v>1.4727766777620299</v>
      </c>
      <c r="P47" s="3">
        <v>1.9628640972931699</v>
      </c>
      <c r="Q47" s="3">
        <v>4.0487374645665701</v>
      </c>
      <c r="R47" s="3">
        <v>2.8817716452978699</v>
      </c>
      <c r="S47" s="3">
        <v>3.9902107786844301</v>
      </c>
      <c r="T47" s="3">
        <v>4.1823255569294799</v>
      </c>
      <c r="U47" s="3">
        <v>1.5476428069205399</v>
      </c>
      <c r="V47" s="3">
        <v>4.1756966468056396</v>
      </c>
    </row>
    <row r="48" spans="1:22" x14ac:dyDescent="0.35">
      <c r="A48" s="2">
        <v>43147</v>
      </c>
      <c r="B48" s="3">
        <v>2.3249727774028002</v>
      </c>
      <c r="C48" s="3">
        <v>3.0160241628419402</v>
      </c>
      <c r="D48" s="3">
        <v>2.4769699489458499</v>
      </c>
      <c r="E48" s="3">
        <v>1.55025987104687</v>
      </c>
      <c r="F48" s="3">
        <v>2.9914017172926601</v>
      </c>
      <c r="G48" s="3">
        <v>2.51930944419881</v>
      </c>
      <c r="H48" s="3">
        <v>3.1273941080848702</v>
      </c>
      <c r="I48" s="3">
        <v>4.31142778466364</v>
      </c>
      <c r="J48" s="3">
        <v>2.6270657292145598</v>
      </c>
      <c r="K48" s="3">
        <v>2.14620088666938</v>
      </c>
      <c r="L48" s="3">
        <v>3.3792446642546299</v>
      </c>
      <c r="M48" s="3">
        <v>3.2857196225051002</v>
      </c>
      <c r="N48" s="3">
        <v>2.7945618334358802</v>
      </c>
      <c r="O48" s="3">
        <v>1.5675874745676699</v>
      </c>
      <c r="P48" s="3">
        <v>2.08170325913802</v>
      </c>
      <c r="Q48" s="3">
        <v>4.5556610899293801</v>
      </c>
      <c r="R48" s="3">
        <v>2.9626751741612098</v>
      </c>
      <c r="S48" s="3">
        <v>4.16404581837587</v>
      </c>
      <c r="T48" s="3">
        <v>4.3558331036895499</v>
      </c>
      <c r="U48" s="3">
        <v>1.8136516941597201</v>
      </c>
      <c r="V48" s="3">
        <v>4.2305341105524104</v>
      </c>
    </row>
    <row r="49" spans="1:22" x14ac:dyDescent="0.35">
      <c r="A49" s="2">
        <v>43175</v>
      </c>
      <c r="B49" s="3">
        <v>2.30276028751934</v>
      </c>
      <c r="C49" s="3">
        <v>3.0768085670833001</v>
      </c>
      <c r="D49" s="3">
        <v>2.64394388212266</v>
      </c>
      <c r="E49" s="3">
        <v>1.6070536677037299</v>
      </c>
      <c r="F49" s="3">
        <v>3.0479008258407401</v>
      </c>
      <c r="G49" s="3">
        <v>2.21863134438123</v>
      </c>
      <c r="H49" s="3">
        <v>3.2047005838415901</v>
      </c>
      <c r="I49" s="3">
        <v>4.1058854507238403</v>
      </c>
      <c r="J49" s="3">
        <v>2.6195714837387598</v>
      </c>
      <c r="K49" s="3">
        <v>2.1494529019536701</v>
      </c>
      <c r="L49" s="3">
        <v>3.4444570523215599</v>
      </c>
      <c r="M49" s="3">
        <v>3.1412253070304499</v>
      </c>
      <c r="N49" s="3">
        <v>3.1579908337750702</v>
      </c>
      <c r="O49" s="3">
        <v>1.59748974882745</v>
      </c>
      <c r="P49" s="3">
        <v>2.0550606019575</v>
      </c>
      <c r="Q49" s="3">
        <v>4.8442677335845596</v>
      </c>
      <c r="R49" s="3">
        <v>2.98715753501607</v>
      </c>
      <c r="S49" s="3">
        <v>4.3614432998535504</v>
      </c>
      <c r="T49" s="3">
        <v>4.4948939204885496</v>
      </c>
      <c r="U49" s="3">
        <v>1.6691327326787899</v>
      </c>
      <c r="V49" s="3">
        <v>3.9790367888954998</v>
      </c>
    </row>
    <row r="50" spans="1:22" x14ac:dyDescent="0.35">
      <c r="A50" s="2">
        <v>43208</v>
      </c>
      <c r="B50" s="3">
        <v>2.5379373814137498</v>
      </c>
      <c r="C50" s="3">
        <v>3.0548396954523498</v>
      </c>
      <c r="D50" s="3">
        <v>2.67296463961525</v>
      </c>
      <c r="E50" s="3">
        <v>1.71704120754158</v>
      </c>
      <c r="F50" s="3">
        <v>2.9662541429421299</v>
      </c>
      <c r="G50" s="3">
        <v>2.0948796712869502</v>
      </c>
      <c r="H50" s="3">
        <v>3.1619961606103102</v>
      </c>
      <c r="I50" s="3">
        <v>4.2231617965792303</v>
      </c>
      <c r="J50" s="3">
        <v>2.57332259072601</v>
      </c>
      <c r="K50" s="3">
        <v>2.19516258422727</v>
      </c>
      <c r="L50" s="3">
        <v>3.6075462314848901</v>
      </c>
      <c r="M50" s="3">
        <v>3.2518822860266199</v>
      </c>
      <c r="N50" s="3">
        <v>2.9432838792928999</v>
      </c>
      <c r="O50" s="3">
        <v>1.60765806759592</v>
      </c>
      <c r="P50" s="3">
        <v>2.31625310848167</v>
      </c>
      <c r="Q50" s="3">
        <v>4.73638971744648</v>
      </c>
      <c r="R50" s="3">
        <v>3.06452073374858</v>
      </c>
      <c r="S50" s="3">
        <v>4.7148300569045203</v>
      </c>
      <c r="T50" s="3">
        <v>4.7620325592990298</v>
      </c>
      <c r="U50" s="3">
        <v>1.9036981659218299</v>
      </c>
      <c r="V50" s="3">
        <v>3.7837108114172202</v>
      </c>
    </row>
    <row r="51" spans="1:22" x14ac:dyDescent="0.35">
      <c r="A51" s="2">
        <v>43238</v>
      </c>
      <c r="B51" s="3">
        <v>2.66772673044315</v>
      </c>
      <c r="C51" s="3">
        <v>3.26901531215174</v>
      </c>
      <c r="D51" s="3">
        <v>3.1196598268384301</v>
      </c>
      <c r="E51" s="3">
        <v>1.7487868865746099</v>
      </c>
      <c r="F51" s="3">
        <v>3.0878317640526398</v>
      </c>
      <c r="G51" s="3">
        <v>4.6945559600009004</v>
      </c>
      <c r="H51" s="3">
        <v>3.21354602640222</v>
      </c>
      <c r="I51" s="3">
        <v>4.3557095784788</v>
      </c>
      <c r="J51" s="3">
        <v>2.89013245044069</v>
      </c>
      <c r="K51" s="3">
        <v>2.2344989283662899</v>
      </c>
      <c r="L51" s="3">
        <v>3.8525172256963498</v>
      </c>
      <c r="M51" s="3">
        <v>3.4094478895057301</v>
      </c>
      <c r="N51" s="3">
        <v>3.2946371288351401</v>
      </c>
      <c r="O51" s="3">
        <v>1.6486703998594601</v>
      </c>
      <c r="P51" s="3">
        <v>2.2468915272782999</v>
      </c>
      <c r="Q51" s="3">
        <v>4.8518125821037597</v>
      </c>
      <c r="R51" s="3">
        <v>3.1061312393863298</v>
      </c>
      <c r="S51" s="3">
        <v>5.2331075319783196</v>
      </c>
      <c r="T51" s="3">
        <v>4.9671405433946303</v>
      </c>
      <c r="U51" s="3">
        <v>1.74168276279057</v>
      </c>
      <c r="V51" s="3">
        <v>3.8457311878383802</v>
      </c>
    </row>
    <row r="52" spans="1:22" x14ac:dyDescent="0.35">
      <c r="A52" s="2">
        <v>43269</v>
      </c>
      <c r="B52" s="3">
        <v>2.7503898687659998</v>
      </c>
      <c r="C52" s="3">
        <v>3.2815762354464502</v>
      </c>
      <c r="D52" s="3">
        <v>3.0072571091027598</v>
      </c>
      <c r="E52" s="3">
        <v>1.7959348033649001</v>
      </c>
      <c r="F52" s="3">
        <v>3.20200331566059</v>
      </c>
      <c r="G52" s="3">
        <v>1.95098398124756</v>
      </c>
      <c r="H52" s="3">
        <v>3.26957321367497</v>
      </c>
      <c r="I52" s="3">
        <v>4.3067590106541802</v>
      </c>
      <c r="J52" s="3">
        <v>2.8630453633504902</v>
      </c>
      <c r="K52" s="3">
        <v>2.2917657542019998</v>
      </c>
      <c r="L52" s="3">
        <v>4.5786044201868004</v>
      </c>
      <c r="M52" s="3">
        <v>3.5390024848674</v>
      </c>
      <c r="N52" s="3">
        <v>3.3672160893177101</v>
      </c>
      <c r="O52" s="3">
        <v>1.5948376174348999</v>
      </c>
      <c r="P52" s="3">
        <v>2.2742032818775701</v>
      </c>
      <c r="Q52" s="3">
        <v>4.8208798286107797</v>
      </c>
      <c r="R52" s="3">
        <v>3.2893293566277602</v>
      </c>
      <c r="S52" s="3">
        <v>5.6830146589975099</v>
      </c>
      <c r="T52" s="3">
        <v>4.8792922970146702</v>
      </c>
      <c r="U52" s="3">
        <v>1.6050110421539201</v>
      </c>
      <c r="V52" s="3">
        <v>3.8126195539282701</v>
      </c>
    </row>
    <row r="53" spans="1:22" x14ac:dyDescent="0.35">
      <c r="A53" s="2">
        <v>43299</v>
      </c>
      <c r="B53" s="3">
        <v>3.0754534469124102</v>
      </c>
      <c r="C53" s="3">
        <v>3.36825638414992</v>
      </c>
      <c r="D53" s="3">
        <v>3.10191048653776</v>
      </c>
      <c r="E53" s="3">
        <v>1.7707501394112599</v>
      </c>
      <c r="F53" s="3">
        <v>3.0103956357055202</v>
      </c>
      <c r="G53" s="3">
        <v>2.0773352054375298</v>
      </c>
      <c r="H53" s="3">
        <v>3.2693751202057202</v>
      </c>
      <c r="I53" s="3">
        <v>4.4502498215396296</v>
      </c>
      <c r="J53" s="3">
        <v>2.70665918418729</v>
      </c>
      <c r="K53" s="3">
        <v>2.3616806963138401</v>
      </c>
      <c r="L53" s="3">
        <v>4.2434663412765001</v>
      </c>
      <c r="M53" s="3">
        <v>3.6225707792708799</v>
      </c>
      <c r="N53" s="3">
        <v>3.3976684288254502</v>
      </c>
      <c r="O53" s="3">
        <v>1.59380991056238</v>
      </c>
      <c r="P53" s="3">
        <v>2.4265843623365702</v>
      </c>
      <c r="Q53" s="3">
        <v>4.6573311799448298</v>
      </c>
      <c r="R53" s="3">
        <v>3.3897964258387998</v>
      </c>
      <c r="S53" s="3">
        <v>5.6177701541888396</v>
      </c>
      <c r="T53" s="3">
        <v>4.7384960631589701</v>
      </c>
      <c r="U53" s="3">
        <v>1.79616364727527</v>
      </c>
      <c r="V53" s="3">
        <v>3.7623002710462399</v>
      </c>
    </row>
    <row r="54" spans="1:22" x14ac:dyDescent="0.35">
      <c r="A54" s="2">
        <v>43329</v>
      </c>
      <c r="B54" s="3">
        <v>3.3151157536919298</v>
      </c>
      <c r="C54" s="3">
        <v>3.4094549163555601</v>
      </c>
      <c r="D54" s="3">
        <v>3.1252595314408298</v>
      </c>
      <c r="E54" s="3">
        <v>1.76630355115084</v>
      </c>
      <c r="F54" s="3">
        <v>2.9197478581845999</v>
      </c>
      <c r="G54" s="3">
        <v>4.4123134363492804</v>
      </c>
      <c r="H54" s="3">
        <v>3.2164589311810601</v>
      </c>
      <c r="I54" s="3">
        <v>4.4927956585661599</v>
      </c>
      <c r="J54" s="3">
        <v>2.8192915557639502</v>
      </c>
      <c r="K54" s="3">
        <v>2.4445132326024002</v>
      </c>
      <c r="L54" s="3">
        <v>4.3600187168261799</v>
      </c>
      <c r="M54" s="3">
        <v>3.73681267836244</v>
      </c>
      <c r="N54" s="3">
        <v>3.73774602904968</v>
      </c>
      <c r="O54" s="3">
        <v>1.50643174536114</v>
      </c>
      <c r="P54" s="3">
        <v>2.5964150286407799</v>
      </c>
      <c r="Q54" s="3">
        <v>4.5783620998003398</v>
      </c>
      <c r="R54" s="3">
        <v>3.2731277000352601</v>
      </c>
      <c r="S54" s="3">
        <v>5.7813157634785401</v>
      </c>
      <c r="T54" s="3">
        <v>4.7556576346738897</v>
      </c>
      <c r="U54" s="3">
        <v>1.51602796850531</v>
      </c>
      <c r="V54" s="3">
        <v>4.1474689713940398</v>
      </c>
    </row>
    <row r="55" spans="1:22" x14ac:dyDescent="0.35">
      <c r="A55" s="2">
        <v>43361</v>
      </c>
      <c r="B55" s="3">
        <v>3.2164369154671002</v>
      </c>
      <c r="C55" s="3">
        <v>3.4481445816137901</v>
      </c>
      <c r="D55" s="3">
        <v>3.10056129822186</v>
      </c>
      <c r="E55" s="3">
        <v>1.83308672668164</v>
      </c>
      <c r="F55" s="3">
        <v>3.0266143437189501</v>
      </c>
      <c r="G55" s="3">
        <v>2.4922224883693</v>
      </c>
      <c r="H55" s="3">
        <v>3.2148268546102199</v>
      </c>
      <c r="I55" s="3">
        <v>4.4907599788003996</v>
      </c>
      <c r="J55" s="3">
        <v>2.7337319903223398</v>
      </c>
      <c r="K55" s="3">
        <v>2.4073859538721498</v>
      </c>
      <c r="L55" s="3">
        <v>4.3450877168780204</v>
      </c>
      <c r="M55" s="3">
        <v>3.7862140277719099</v>
      </c>
      <c r="N55" s="3">
        <v>3.79881767056452</v>
      </c>
      <c r="O55" s="3">
        <v>1.5307618207805</v>
      </c>
      <c r="P55" s="3">
        <v>2.6902734940516999</v>
      </c>
      <c r="Q55" s="3">
        <v>4.3552517807579401</v>
      </c>
      <c r="R55" s="3">
        <v>3.21306364332494</v>
      </c>
      <c r="S55" s="3">
        <v>5.6809975149270402</v>
      </c>
      <c r="T55" s="3">
        <v>4.8382899536105599</v>
      </c>
      <c r="U55" s="3">
        <v>1.73471224707454</v>
      </c>
      <c r="V55" s="3">
        <v>4.40890085934433</v>
      </c>
    </row>
    <row r="56" spans="1:22" x14ac:dyDescent="0.35">
      <c r="A56" s="2">
        <v>43391</v>
      </c>
      <c r="B56" s="3">
        <v>3.4974016776602701</v>
      </c>
      <c r="C56" s="3">
        <v>3.0308882409563598</v>
      </c>
      <c r="D56" s="3">
        <v>3.1070683804737902</v>
      </c>
      <c r="E56" s="3">
        <v>1.89854509385352</v>
      </c>
      <c r="F56" s="3">
        <v>3.17182398950222</v>
      </c>
      <c r="G56" s="3">
        <v>2.4138570822721399</v>
      </c>
      <c r="H56" s="3">
        <v>3.3512683988575498</v>
      </c>
      <c r="I56" s="3">
        <v>4.9476396829959501</v>
      </c>
      <c r="J56" s="3">
        <v>2.9475660360138498</v>
      </c>
      <c r="K56" s="3">
        <v>2.5724929839793602</v>
      </c>
      <c r="L56" s="3">
        <v>4.0991920798483701</v>
      </c>
      <c r="M56" s="3">
        <v>4.1197735275880198</v>
      </c>
      <c r="N56" s="3">
        <v>4.2269627263720997</v>
      </c>
      <c r="O56" s="3">
        <v>1.6763220876104401</v>
      </c>
      <c r="P56" s="3">
        <v>2.9067823219780702</v>
      </c>
      <c r="Q56" s="3">
        <v>4.2782739691931901</v>
      </c>
      <c r="R56" s="3">
        <v>3.3374705848934401</v>
      </c>
      <c r="S56" s="3">
        <v>5.3369971790264898</v>
      </c>
      <c r="T56" s="3">
        <v>4.92548903668997</v>
      </c>
      <c r="U56" s="3">
        <v>1.7197252407841299</v>
      </c>
      <c r="V56" s="3">
        <v>4.3409671458898398</v>
      </c>
    </row>
    <row r="57" spans="1:22" x14ac:dyDescent="0.35">
      <c r="A57" s="2">
        <v>43420</v>
      </c>
      <c r="B57" s="3">
        <v>3.2304363019226598</v>
      </c>
      <c r="C57" s="3">
        <v>2.9829907836623999</v>
      </c>
      <c r="D57" s="3">
        <v>2.9109600442094998</v>
      </c>
      <c r="E57" s="3">
        <v>1.91037546671875</v>
      </c>
      <c r="F57" s="3">
        <v>3.19283390937112</v>
      </c>
      <c r="G57" s="3">
        <v>2.3791075525279299</v>
      </c>
      <c r="H57" s="3">
        <v>3.3720731624107501</v>
      </c>
      <c r="I57" s="3">
        <v>4.87095826999278</v>
      </c>
      <c r="J57" s="3">
        <v>3.4295671408455601</v>
      </c>
      <c r="K57" s="3">
        <v>2.6093681665701198</v>
      </c>
      <c r="L57" s="3">
        <v>3.8782023482022798</v>
      </c>
      <c r="M57" s="3">
        <v>4.0371123848283101</v>
      </c>
      <c r="N57" s="3">
        <v>4.2726210512486702</v>
      </c>
      <c r="O57" s="3">
        <v>1.6493261592537301</v>
      </c>
      <c r="P57" s="3">
        <v>2.76258243345365</v>
      </c>
      <c r="Q57" s="3">
        <v>4.34960863092659</v>
      </c>
      <c r="R57" s="3">
        <v>3.4370488478197299</v>
      </c>
      <c r="S57" s="3">
        <v>5.2888462128409897</v>
      </c>
      <c r="T57" s="3">
        <v>4.8427345460667697</v>
      </c>
      <c r="U57" s="3">
        <v>1.97359077317909</v>
      </c>
      <c r="V57" s="3">
        <v>4.4179815236285602</v>
      </c>
    </row>
    <row r="58" spans="1:22" x14ac:dyDescent="0.35">
      <c r="A58" s="2">
        <v>43452</v>
      </c>
      <c r="B58" s="3">
        <v>3.2531041833178</v>
      </c>
      <c r="C58" s="3">
        <v>3.1407012315253802</v>
      </c>
      <c r="D58" s="3">
        <v>2.8814081958215501</v>
      </c>
      <c r="E58" s="3">
        <v>1.79789181304436</v>
      </c>
      <c r="F58" s="3">
        <v>3.08796031632912</v>
      </c>
      <c r="G58" s="3">
        <v>2.3621266546738799</v>
      </c>
      <c r="H58" s="3">
        <v>3.4030823914199302</v>
      </c>
      <c r="I58" s="3">
        <v>4.9325449960169898</v>
      </c>
      <c r="J58" s="3">
        <v>3.4848885735898198</v>
      </c>
      <c r="K58" s="3">
        <v>2.62769640581873</v>
      </c>
      <c r="L58" s="3">
        <v>4.0295141481058199</v>
      </c>
      <c r="M58" s="3">
        <v>3.99765648366217</v>
      </c>
      <c r="N58" s="3">
        <v>4.3564035376641099</v>
      </c>
      <c r="O58" s="3">
        <v>1.6301161947060301</v>
      </c>
      <c r="P58" s="3">
        <v>2.8118750597911899</v>
      </c>
      <c r="Q58" s="3">
        <v>4.4914091383179597</v>
      </c>
      <c r="R58" s="3">
        <v>3.5578720098363199</v>
      </c>
      <c r="S58" s="3">
        <v>5.2451135900527701</v>
      </c>
      <c r="T58" s="3">
        <v>5.1750077344554297</v>
      </c>
      <c r="U58" s="3">
        <v>1.56733643745118</v>
      </c>
      <c r="V58" s="3">
        <v>4.17147983160375</v>
      </c>
    </row>
    <row r="59" spans="1:22" x14ac:dyDescent="0.35">
      <c r="A59" s="2">
        <v>43483</v>
      </c>
      <c r="B59" s="3">
        <v>3.21565450679857</v>
      </c>
      <c r="C59" s="3">
        <v>2.9104974931863699</v>
      </c>
      <c r="D59" s="3">
        <v>2.7431738295182502</v>
      </c>
      <c r="E59" s="3">
        <v>1.6549321910914601</v>
      </c>
      <c r="F59" s="3">
        <v>2.9999047431700601</v>
      </c>
      <c r="G59" s="3">
        <v>2.2980948977074398</v>
      </c>
      <c r="H59" s="3">
        <v>3.26177528153897</v>
      </c>
      <c r="I59" s="3">
        <v>4.7344675903462203</v>
      </c>
      <c r="J59" s="3">
        <v>3.2358695516552798</v>
      </c>
      <c r="K59" s="3">
        <v>2.55069191093384</v>
      </c>
      <c r="L59" s="3">
        <v>3.7139107043645501</v>
      </c>
      <c r="M59" s="3">
        <v>3.7344639613710502</v>
      </c>
      <c r="N59" s="3">
        <v>4.3386361409418299</v>
      </c>
      <c r="O59" s="3">
        <v>1.6510520352648199</v>
      </c>
      <c r="P59" s="3">
        <v>2.6602192275638301</v>
      </c>
      <c r="Q59" s="3">
        <v>4.3607440912421902</v>
      </c>
      <c r="R59" s="3">
        <v>3.4843758612246698</v>
      </c>
      <c r="S59" s="3">
        <v>4.5905592263734496</v>
      </c>
      <c r="T59" s="3">
        <v>5.2099115364993098</v>
      </c>
      <c r="U59" s="3">
        <v>1.7909513862762001</v>
      </c>
      <c r="V59" s="3">
        <v>3.9161413662043398</v>
      </c>
    </row>
    <row r="60" spans="1:22" x14ac:dyDescent="0.35">
      <c r="A60" s="2">
        <v>43511</v>
      </c>
      <c r="B60" s="3">
        <v>3.0590081211422699</v>
      </c>
      <c r="C60" s="3">
        <v>2.96107771600211</v>
      </c>
      <c r="D60" s="3">
        <v>2.8794246872326799</v>
      </c>
      <c r="E60" s="3">
        <v>1.6906360324840599</v>
      </c>
      <c r="F60" s="3">
        <v>3.0465582255150099</v>
      </c>
      <c r="G60" s="3">
        <v>2.2332656397834199</v>
      </c>
      <c r="H60" s="3">
        <v>3.2751156289683498</v>
      </c>
      <c r="I60" s="3">
        <v>4.5668530460572603</v>
      </c>
      <c r="J60" s="3">
        <v>3.3455982913829101</v>
      </c>
      <c r="K60" s="3">
        <v>2.4714601230306399</v>
      </c>
      <c r="L60" s="3">
        <v>3.48710120503738</v>
      </c>
      <c r="M60" s="3">
        <v>3.83875150722867</v>
      </c>
      <c r="N60" s="3">
        <v>4.1697606441696804</v>
      </c>
      <c r="O60" s="3">
        <v>1.67045991250576</v>
      </c>
      <c r="P60" s="3">
        <v>2.5732535323559</v>
      </c>
      <c r="Q60" s="3">
        <v>4.6739850787143897</v>
      </c>
      <c r="R60" s="3">
        <v>3.3080391220340002</v>
      </c>
      <c r="S60" s="3">
        <v>4.6261251098265497</v>
      </c>
      <c r="T60" s="3">
        <v>5.3426581540904801</v>
      </c>
      <c r="U60" s="3">
        <v>1.73042350809203</v>
      </c>
      <c r="V60" s="3">
        <v>3.8881380691311498</v>
      </c>
    </row>
    <row r="61" spans="1:22" x14ac:dyDescent="0.35">
      <c r="A61" s="2">
        <v>43542</v>
      </c>
      <c r="B61" s="3">
        <v>2.74110288931645</v>
      </c>
      <c r="C61" s="3">
        <v>3.02284443169258</v>
      </c>
      <c r="D61" s="3">
        <v>2.77948360109938</v>
      </c>
      <c r="E61" s="3">
        <v>1.7497541318732699</v>
      </c>
      <c r="F61" s="3">
        <v>3.0467407976682401</v>
      </c>
      <c r="G61" s="3">
        <v>2.21665338366553</v>
      </c>
      <c r="H61" s="3">
        <v>3.3008820722840899</v>
      </c>
      <c r="I61" s="3">
        <v>4.3454193942440602</v>
      </c>
      <c r="J61" s="3">
        <v>3.4734344521666598</v>
      </c>
      <c r="K61" s="3">
        <v>2.5087932410019902</v>
      </c>
      <c r="L61" s="3">
        <v>3.2935526876785102</v>
      </c>
      <c r="M61" s="3">
        <v>3.8715480071777901</v>
      </c>
      <c r="N61" s="3">
        <v>3.7405289786237899</v>
      </c>
      <c r="O61" s="3">
        <v>1.5856195125743</v>
      </c>
      <c r="P61" s="3">
        <v>2.3997207051407199</v>
      </c>
      <c r="Q61" s="3">
        <v>4.6281649085554601</v>
      </c>
      <c r="R61" s="3">
        <v>3.3506643133609502</v>
      </c>
      <c r="S61" s="3">
        <v>4.3890861042500502</v>
      </c>
      <c r="T61" s="3">
        <v>5.1885726449852001</v>
      </c>
      <c r="U61" s="3">
        <v>1.58697539426747</v>
      </c>
      <c r="V61" s="3">
        <v>3.83822347194099</v>
      </c>
    </row>
    <row r="62" spans="1:22" x14ac:dyDescent="0.35">
      <c r="A62" s="2">
        <v>43573</v>
      </c>
      <c r="B62" s="3">
        <v>2.60134924518308</v>
      </c>
      <c r="C62" s="3">
        <v>2.9402019537975499</v>
      </c>
      <c r="D62" s="3">
        <v>2.7873605638288499</v>
      </c>
      <c r="E62" s="3">
        <v>1.7425376129833801</v>
      </c>
      <c r="F62" s="3">
        <v>3.0432453441107001</v>
      </c>
      <c r="G62" s="3">
        <v>2.3348490822730699</v>
      </c>
      <c r="H62" s="3">
        <v>3.4301102391241201</v>
      </c>
      <c r="I62" s="3">
        <v>4.20250288498874</v>
      </c>
      <c r="J62" s="3">
        <v>3.2802216151793</v>
      </c>
      <c r="K62" s="3">
        <v>2.4653127594395499</v>
      </c>
      <c r="L62" s="3">
        <v>3.4781042324870599</v>
      </c>
      <c r="M62" s="3">
        <v>3.6296755734775301</v>
      </c>
      <c r="N62" s="3">
        <v>3.5049865408396301</v>
      </c>
      <c r="O62" s="3">
        <v>1.6042651053153201</v>
      </c>
      <c r="P62" s="3">
        <v>2.3351032850270301</v>
      </c>
      <c r="Q62" s="3">
        <v>4.3048182946761999</v>
      </c>
      <c r="R62" s="3">
        <v>3.24590252567722</v>
      </c>
      <c r="S62" s="3">
        <v>5.0817891014906502</v>
      </c>
      <c r="T62" s="3">
        <v>4.80098049636646</v>
      </c>
      <c r="U62" s="3">
        <v>1.5945165974191799</v>
      </c>
      <c r="V62" s="3">
        <v>3.67982187089095</v>
      </c>
    </row>
    <row r="63" spans="1:22" x14ac:dyDescent="0.35">
      <c r="A63" s="2">
        <v>43602</v>
      </c>
      <c r="B63" s="3">
        <v>2.8857843599790902</v>
      </c>
      <c r="C63" s="3">
        <v>3.2569503865839802</v>
      </c>
      <c r="D63" s="3">
        <v>3.2317560947028601</v>
      </c>
      <c r="E63" s="3">
        <v>1.84299552021041</v>
      </c>
      <c r="F63" s="3">
        <v>3.3460407017335201</v>
      </c>
      <c r="G63" s="3">
        <v>2.70710551794651</v>
      </c>
      <c r="H63" s="3">
        <v>3.4813868231023402</v>
      </c>
      <c r="I63" s="3">
        <v>4.4931105737474502</v>
      </c>
      <c r="J63" s="3">
        <v>3.4901315362818699</v>
      </c>
      <c r="K63" s="3">
        <v>2.6052964783325701</v>
      </c>
      <c r="L63" s="3">
        <v>3.6901598135173401</v>
      </c>
      <c r="M63" s="3">
        <v>3.8819738478766102</v>
      </c>
      <c r="N63" s="3">
        <v>3.9555191688158802</v>
      </c>
      <c r="O63" s="3">
        <v>1.72043821020273</v>
      </c>
      <c r="P63" s="3">
        <v>2.5544262166971299</v>
      </c>
      <c r="Q63" s="3">
        <v>4.4725434487787803</v>
      </c>
      <c r="R63" s="3">
        <v>3.3766557360629998</v>
      </c>
      <c r="S63" s="3">
        <v>5.63081985452017</v>
      </c>
      <c r="T63" s="3">
        <v>5.3861259003674702</v>
      </c>
      <c r="U63" s="3">
        <v>1.5250764009009501</v>
      </c>
      <c r="V63" s="3">
        <v>3.8975753617573599</v>
      </c>
    </row>
    <row r="64" spans="1:22" x14ac:dyDescent="0.35">
      <c r="A64" s="2">
        <v>43634</v>
      </c>
      <c r="B64" s="3">
        <v>2.7855717703078602</v>
      </c>
      <c r="C64" s="3">
        <v>3.3003095865239098</v>
      </c>
      <c r="D64" s="3">
        <v>2.8305935524317101</v>
      </c>
      <c r="E64" s="3">
        <v>1.78188250910788</v>
      </c>
      <c r="F64" s="3">
        <v>3.2206973835619501</v>
      </c>
      <c r="G64" s="3">
        <v>2.7043460330381599</v>
      </c>
      <c r="H64" s="3">
        <v>3.4745891895517498</v>
      </c>
      <c r="I64" s="3">
        <v>4.44785533553737</v>
      </c>
      <c r="J64" s="3">
        <v>3.5446830121454198</v>
      </c>
      <c r="K64" s="3">
        <v>2.55058655928844</v>
      </c>
      <c r="L64" s="3">
        <v>3.1235430533695099</v>
      </c>
      <c r="M64" s="3">
        <v>3.7386704580380199</v>
      </c>
      <c r="N64" s="3">
        <v>3.2716548390862399</v>
      </c>
      <c r="O64" s="3">
        <v>1.6999109996578099</v>
      </c>
      <c r="P64" s="3">
        <v>2.5650273589028201</v>
      </c>
      <c r="Q64" s="3">
        <v>4.1494514974596903</v>
      </c>
      <c r="R64" s="3">
        <v>3.1995282180471301</v>
      </c>
      <c r="S64" s="3">
        <v>4.9173332914546704</v>
      </c>
      <c r="T64" s="3">
        <v>5.2792172000280404</v>
      </c>
      <c r="U64" s="3">
        <v>1.6306551772181901</v>
      </c>
      <c r="V64" s="3">
        <v>3.7724346325730602</v>
      </c>
    </row>
    <row r="65" spans="1:22" x14ac:dyDescent="0.35">
      <c r="A65" s="2">
        <v>43664</v>
      </c>
      <c r="B65" s="3">
        <v>2.7497716769857501</v>
      </c>
      <c r="C65" s="3">
        <v>3.23813680470042</v>
      </c>
      <c r="D65" s="3">
        <v>2.7014479134818998</v>
      </c>
      <c r="E65" s="3">
        <v>1.69189493700503</v>
      </c>
      <c r="F65" s="3">
        <v>3.3224007255980599</v>
      </c>
      <c r="G65" s="3">
        <v>2.6406112966477999</v>
      </c>
      <c r="H65" s="3">
        <v>3.46674283335101</v>
      </c>
      <c r="I65" s="3">
        <v>4.3090976866345798</v>
      </c>
      <c r="J65" s="3">
        <v>3.6667806338245699</v>
      </c>
      <c r="K65" s="3">
        <v>2.5522880347516499</v>
      </c>
      <c r="L65" s="3">
        <v>3.0770864523569701</v>
      </c>
      <c r="M65" s="3">
        <v>3.7629597658946201</v>
      </c>
      <c r="N65" s="3">
        <v>3.2098175855500899</v>
      </c>
      <c r="O65" s="3">
        <v>1.7458605237771301</v>
      </c>
      <c r="P65" s="3">
        <v>2.49783834782873</v>
      </c>
      <c r="Q65" s="3">
        <v>4.15630724712884</v>
      </c>
      <c r="R65" s="3">
        <v>3.1303357414174999</v>
      </c>
      <c r="S65" s="3">
        <v>4.4283281610317502</v>
      </c>
      <c r="T65" s="3">
        <v>5.0291277061422202</v>
      </c>
      <c r="U65" s="3">
        <v>1.7854063789555901</v>
      </c>
      <c r="V65" s="3">
        <v>3.7781496109043702</v>
      </c>
    </row>
    <row r="66" spans="1:22" x14ac:dyDescent="0.35">
      <c r="A66" s="2">
        <v>43693</v>
      </c>
      <c r="B66" s="3">
        <v>2.80359616505012</v>
      </c>
      <c r="C66" s="3">
        <v>3.4738707547810601</v>
      </c>
      <c r="D66" s="3">
        <v>2.8108544751847102</v>
      </c>
      <c r="E66" s="3">
        <v>1.83107159772955</v>
      </c>
      <c r="F66" s="3">
        <v>3.87109856281227</v>
      </c>
      <c r="G66" s="3">
        <v>2.9691241732272702</v>
      </c>
      <c r="H66" s="3">
        <v>3.5021378429022199</v>
      </c>
      <c r="I66" s="3">
        <v>4.4776628743420304</v>
      </c>
      <c r="J66" s="3">
        <v>3.94378369080649</v>
      </c>
      <c r="K66" s="3">
        <v>2.7110763733530798</v>
      </c>
      <c r="L66" s="3">
        <v>3.3860264299246698</v>
      </c>
      <c r="M66" s="3">
        <v>4.0971042245667704</v>
      </c>
      <c r="N66" s="3">
        <v>3.48413958397812</v>
      </c>
      <c r="O66" s="3">
        <v>1.81128950847005</v>
      </c>
      <c r="P66" s="3">
        <v>2.61910294348051</v>
      </c>
      <c r="Q66" s="3">
        <v>4.5088481454761498</v>
      </c>
      <c r="R66" s="3">
        <v>3.30229849814874</v>
      </c>
      <c r="S66" s="3">
        <v>4.9671005019549899</v>
      </c>
      <c r="T66" s="3">
        <v>5.0953283147123303</v>
      </c>
      <c r="U66" s="3">
        <v>1.9296630082448001</v>
      </c>
      <c r="V66" s="3">
        <v>3.98353470641992</v>
      </c>
    </row>
    <row r="67" spans="1:22" x14ac:dyDescent="0.35">
      <c r="A67" s="2">
        <v>43726</v>
      </c>
      <c r="B67" s="3">
        <v>2.6588495592700498</v>
      </c>
      <c r="C67" s="3">
        <v>3.2707978917085101</v>
      </c>
      <c r="D67" s="3">
        <v>2.7891911163574501</v>
      </c>
      <c r="E67" s="3">
        <v>1.8520134118945399</v>
      </c>
      <c r="F67" s="3">
        <v>3.5723674597299202</v>
      </c>
      <c r="G67" s="3">
        <v>2.9302913919996398</v>
      </c>
      <c r="H67" s="3">
        <v>3.5121767684387102</v>
      </c>
      <c r="I67" s="3">
        <v>4.20292525515835</v>
      </c>
      <c r="J67" s="3">
        <v>3.5923014964053999</v>
      </c>
      <c r="K67" s="3">
        <v>2.5087720687928798</v>
      </c>
      <c r="L67" s="3">
        <v>3.2149414644960399</v>
      </c>
      <c r="M67" s="3">
        <v>4.1471215323164303</v>
      </c>
      <c r="N67" s="3">
        <v>3.3530014580403198</v>
      </c>
      <c r="O67" s="3">
        <v>1.83130163589423</v>
      </c>
      <c r="P67" s="3">
        <v>2.4606568395089701</v>
      </c>
      <c r="Q67" s="3">
        <v>4.1174268117022601</v>
      </c>
      <c r="R67" s="3">
        <v>3.2335363293681398</v>
      </c>
      <c r="S67" s="3">
        <v>4.9191780635252904</v>
      </c>
      <c r="T67" s="3">
        <v>4.7129207408773004</v>
      </c>
      <c r="U67" s="3">
        <v>1.88729491767557</v>
      </c>
      <c r="V67" s="3">
        <v>4.2856980255805297</v>
      </c>
    </row>
    <row r="68" spans="1:22" x14ac:dyDescent="0.35">
      <c r="A68" s="2">
        <v>43756</v>
      </c>
      <c r="B68" s="3">
        <v>2.72287601583667</v>
      </c>
      <c r="C68" s="3">
        <v>3.16525276112541</v>
      </c>
      <c r="D68" s="3">
        <v>2.7923944844814099</v>
      </c>
      <c r="E68" s="3">
        <v>1.85850026329014</v>
      </c>
      <c r="F68" s="3">
        <v>3.5055499872002698</v>
      </c>
      <c r="G68" s="3">
        <v>3.0377166461649701</v>
      </c>
      <c r="H68" s="3">
        <v>3.5605891957067199</v>
      </c>
      <c r="I68" s="3">
        <v>4.1943589071366603</v>
      </c>
      <c r="J68" s="3">
        <v>3.48632987034404</v>
      </c>
      <c r="K68" s="3">
        <v>2.51581063638127</v>
      </c>
      <c r="L68" s="3">
        <v>3.34216849718683</v>
      </c>
      <c r="M68" s="3">
        <v>4.1891394273565297</v>
      </c>
      <c r="N68" s="3">
        <v>3.2134631705791099</v>
      </c>
      <c r="O68" s="3">
        <v>1.7907925011269901</v>
      </c>
      <c r="P68" s="3">
        <v>2.51710305308616</v>
      </c>
      <c r="Q68" s="3">
        <v>4.0964131847957104</v>
      </c>
      <c r="R68" s="3">
        <v>3.2541257428846002</v>
      </c>
      <c r="S68" s="3">
        <v>5.1176630675042896</v>
      </c>
      <c r="T68" s="3">
        <v>4.7167786455465901</v>
      </c>
      <c r="U68" s="3">
        <v>1.8333575979436401</v>
      </c>
      <c r="V68" s="3">
        <v>4.3601520937894298</v>
      </c>
    </row>
    <row r="69" spans="1:22" x14ac:dyDescent="0.35">
      <c r="A69" s="2">
        <v>43787</v>
      </c>
      <c r="B69" s="3">
        <v>2.7738614442216298</v>
      </c>
      <c r="C69" s="3">
        <v>3.45592792790237</v>
      </c>
      <c r="D69" s="3">
        <v>2.8348775969818698</v>
      </c>
      <c r="E69" s="3">
        <v>1.84859428374363</v>
      </c>
      <c r="F69" s="3">
        <v>3.3256710398366098</v>
      </c>
      <c r="G69" s="3">
        <v>2.94077386908251</v>
      </c>
      <c r="H69" s="3">
        <v>3.4637663833896699</v>
      </c>
      <c r="I69" s="3">
        <v>4.0381935125197002</v>
      </c>
      <c r="J69" s="3">
        <v>3.5205581783242601</v>
      </c>
      <c r="K69" s="3">
        <v>2.37799795357641</v>
      </c>
      <c r="L69" s="3">
        <v>3.2987139055800898</v>
      </c>
      <c r="M69" s="3">
        <v>4.1416747581776097</v>
      </c>
      <c r="N69" s="3">
        <v>3.23707512259538</v>
      </c>
      <c r="O69" s="3">
        <v>1.76080332082444</v>
      </c>
      <c r="P69" s="3">
        <v>2.4941198272080598</v>
      </c>
      <c r="Q69" s="3">
        <v>4.1179009117980296</v>
      </c>
      <c r="R69" s="3">
        <v>3.2036273866904001</v>
      </c>
      <c r="S69" s="3">
        <v>4.4569813207495299</v>
      </c>
      <c r="T69" s="3">
        <v>4.7706253057514596</v>
      </c>
      <c r="U69" s="3">
        <v>1.6818864373023901</v>
      </c>
      <c r="V69" s="3">
        <v>4.1342212367847004</v>
      </c>
    </row>
    <row r="70" spans="1:22" x14ac:dyDescent="0.35">
      <c r="A70" s="2">
        <v>43817</v>
      </c>
      <c r="B70" s="3">
        <v>2.4847648009762802</v>
      </c>
      <c r="C70" s="3">
        <v>3.6608813801375399</v>
      </c>
      <c r="D70" s="3">
        <v>2.7786867957628201</v>
      </c>
      <c r="E70" s="3">
        <v>1.8663050512681001</v>
      </c>
      <c r="F70" s="3">
        <v>3.5605979299924599</v>
      </c>
      <c r="G70" s="3">
        <v>2.6655387670262098</v>
      </c>
      <c r="H70" s="3">
        <v>3.4598228712921002</v>
      </c>
      <c r="I70" s="3">
        <v>3.91750745899482</v>
      </c>
      <c r="J70" s="3">
        <v>3.3962894820036098</v>
      </c>
      <c r="K70" s="3">
        <v>2.3231202037529299</v>
      </c>
      <c r="L70" s="3">
        <v>3.1490783015657802</v>
      </c>
      <c r="M70" s="3">
        <v>3.6565527717000501</v>
      </c>
      <c r="N70" s="3">
        <v>2.9361921140652298</v>
      </c>
      <c r="O70" s="3">
        <v>1.6586136235258999</v>
      </c>
      <c r="P70" s="3">
        <v>2.27753273833549</v>
      </c>
      <c r="Q70" s="3">
        <v>4.0635625687533201</v>
      </c>
      <c r="R70" s="3">
        <v>3.2699559095208799</v>
      </c>
      <c r="S70" s="3">
        <v>4.4014073700322403</v>
      </c>
      <c r="T70" s="3">
        <v>5.0404538223445901</v>
      </c>
      <c r="U70" s="3">
        <v>1.6167988075003401</v>
      </c>
      <c r="V70" s="3">
        <v>4.0364046407056797</v>
      </c>
    </row>
    <row r="71" spans="1:22" x14ac:dyDescent="0.35">
      <c r="A71" s="2">
        <v>43847</v>
      </c>
      <c r="B71" s="3">
        <v>2.4243037468446</v>
      </c>
      <c r="C71" s="3">
        <v>3.6090243730736602</v>
      </c>
      <c r="D71" s="3">
        <v>2.6892956888542598</v>
      </c>
      <c r="E71" s="3">
        <v>1.855349939626</v>
      </c>
      <c r="F71" s="3">
        <v>3.55178777757133</v>
      </c>
      <c r="G71" s="3">
        <v>2.6166517865158099</v>
      </c>
      <c r="H71" s="3">
        <v>3.4776179405806</v>
      </c>
      <c r="I71" s="3">
        <v>3.97811883572267</v>
      </c>
      <c r="J71" s="3">
        <v>3.3356606445618602</v>
      </c>
      <c r="K71" s="3">
        <v>2.2672717183857198</v>
      </c>
      <c r="L71" s="3">
        <v>3.0788860046555899</v>
      </c>
      <c r="M71" s="3">
        <v>3.6483772565139998</v>
      </c>
      <c r="N71" s="3">
        <v>2.8820636031181199</v>
      </c>
      <c r="O71" s="3">
        <v>1.63652148049205</v>
      </c>
      <c r="P71" s="3">
        <v>2.1972844828189899</v>
      </c>
      <c r="Q71" s="3">
        <v>3.8897041573634001</v>
      </c>
      <c r="R71" s="3">
        <v>3.1975451154183698</v>
      </c>
      <c r="S71" s="3">
        <v>4.2612060914079999</v>
      </c>
      <c r="T71" s="3">
        <v>5.0936409905455404</v>
      </c>
      <c r="U71" s="3">
        <v>1.4959797601479099</v>
      </c>
      <c r="V71" s="3">
        <v>3.9550748119478998</v>
      </c>
    </row>
    <row r="72" spans="1:22" x14ac:dyDescent="0.35">
      <c r="A72" s="2">
        <v>43879</v>
      </c>
      <c r="B72" s="3">
        <v>2.4444535467775399</v>
      </c>
      <c r="C72" s="3">
        <v>3.8360566760329098</v>
      </c>
      <c r="D72" s="3">
        <v>2.8905931369526701</v>
      </c>
      <c r="E72" s="3">
        <v>1.9439123620838501</v>
      </c>
      <c r="F72" s="3">
        <v>3.6898156172153702</v>
      </c>
      <c r="G72" s="3">
        <v>2.9855316185944099</v>
      </c>
      <c r="H72" s="3">
        <v>3.62383291623527</v>
      </c>
      <c r="I72" s="3">
        <v>4.1076255116306601</v>
      </c>
      <c r="J72" s="3">
        <v>3.3374853484521099</v>
      </c>
      <c r="K72" s="3">
        <v>2.2636319294945402</v>
      </c>
      <c r="L72" s="3">
        <v>3.1052149541990399</v>
      </c>
      <c r="M72" s="3">
        <v>3.7080171521444498</v>
      </c>
      <c r="N72" s="3">
        <v>2.8617037573600999</v>
      </c>
      <c r="O72" s="3">
        <v>1.67742918519013</v>
      </c>
      <c r="P72" s="3">
        <v>2.2278168503243601</v>
      </c>
      <c r="Q72" s="3">
        <v>4.3626827340806704</v>
      </c>
      <c r="R72" s="3">
        <v>3.36826329223753</v>
      </c>
      <c r="S72" s="3">
        <v>4.4127330615333102</v>
      </c>
      <c r="T72" s="3">
        <v>5.2464360553398404</v>
      </c>
      <c r="U72" s="3">
        <v>1.55212508989675</v>
      </c>
      <c r="V72" s="3">
        <v>4.4185178751376997</v>
      </c>
    </row>
    <row r="73" spans="1:22" x14ac:dyDescent="0.35">
      <c r="A73" s="2">
        <v>43908</v>
      </c>
      <c r="B73" s="3">
        <v>2.6907122349304999</v>
      </c>
      <c r="C73" s="3">
        <v>5.9808989112546502</v>
      </c>
      <c r="D73" s="3">
        <v>4.3248632109549296</v>
      </c>
      <c r="E73" s="3">
        <v>2.6249402070713601</v>
      </c>
      <c r="F73" s="3">
        <v>5.0424515735951401</v>
      </c>
      <c r="G73" s="3">
        <v>4.5999262713789504</v>
      </c>
      <c r="H73" s="3">
        <v>4.4579336231628304</v>
      </c>
      <c r="I73" s="3">
        <v>5.0831217567370004</v>
      </c>
      <c r="J73" s="3">
        <v>4.3601173865873397</v>
      </c>
      <c r="K73" s="3">
        <v>3.1526641395081598</v>
      </c>
      <c r="L73" s="3">
        <v>5.32685627606923</v>
      </c>
      <c r="M73" s="3">
        <v>5.8564978093025299</v>
      </c>
      <c r="N73" s="3">
        <v>5.9116965831474904</v>
      </c>
      <c r="O73" s="3">
        <v>2.35390920152726</v>
      </c>
      <c r="P73" s="3">
        <v>2.6358946864263402</v>
      </c>
      <c r="Q73" s="3">
        <v>4.6356320698417504</v>
      </c>
      <c r="R73" s="3">
        <v>4.5823228079683496</v>
      </c>
      <c r="S73" s="3">
        <v>5.9878259782273</v>
      </c>
      <c r="T73" s="3">
        <v>7.8587960034615598</v>
      </c>
      <c r="U73" s="3">
        <v>2.03515811743189</v>
      </c>
      <c r="V73" s="3">
        <v>5.5733333775480798</v>
      </c>
    </row>
    <row r="74" spans="1:22" x14ac:dyDescent="0.35">
      <c r="A74" s="2">
        <v>43938</v>
      </c>
      <c r="B74" s="3">
        <v>2.4680140504566901</v>
      </c>
      <c r="C74" s="3">
        <v>4.22761719190067</v>
      </c>
      <c r="D74" s="3">
        <v>3.9446136440782702</v>
      </c>
      <c r="E74" s="3">
        <v>2.4203195519193899</v>
      </c>
      <c r="F74" s="3">
        <v>3.67262498387081</v>
      </c>
      <c r="G74" s="3">
        <v>4.0006576330310102</v>
      </c>
      <c r="H74" s="3">
        <v>3.7915880955941099</v>
      </c>
      <c r="I74" s="3">
        <v>4.2374837419614</v>
      </c>
      <c r="J74" s="3">
        <v>4.33673340032892</v>
      </c>
      <c r="K74" s="3">
        <v>2.5537714132099398</v>
      </c>
      <c r="L74" s="3">
        <v>4.0122551770066499</v>
      </c>
      <c r="M74" s="3">
        <v>4.3369585028926698</v>
      </c>
      <c r="N74" s="3">
        <v>4.6274906574514496</v>
      </c>
      <c r="O74" s="3">
        <v>2.05036328966822</v>
      </c>
      <c r="P74" s="3">
        <v>2.2104721103582299</v>
      </c>
      <c r="Q74" s="3">
        <v>4.4630729455994897</v>
      </c>
      <c r="R74" s="3">
        <v>3.5633342661104299</v>
      </c>
      <c r="S74" s="3">
        <v>4.8277621171007699</v>
      </c>
      <c r="T74" s="3">
        <v>5.3760849562972197</v>
      </c>
      <c r="U74" s="3">
        <v>1.8699661604080899</v>
      </c>
      <c r="V74" s="3">
        <v>4.8434830822059398</v>
      </c>
    </row>
    <row r="75" spans="1:22" x14ac:dyDescent="0.35">
      <c r="A75" s="2">
        <v>43969</v>
      </c>
      <c r="B75" s="3">
        <v>2.3279734371768499</v>
      </c>
      <c r="C75" s="3">
        <v>3.7797885782534801</v>
      </c>
      <c r="D75" s="3">
        <v>3.8458481627974499</v>
      </c>
      <c r="E75" s="3">
        <v>2.4577664356492201</v>
      </c>
      <c r="F75" s="3">
        <v>3.1745003786793302</v>
      </c>
      <c r="G75" s="3">
        <v>3.1705985078197201</v>
      </c>
      <c r="H75" s="3">
        <v>3.6357204637168898</v>
      </c>
      <c r="I75" s="3">
        <v>4.1829650696202201</v>
      </c>
      <c r="J75" s="3">
        <v>3.41520901928698</v>
      </c>
      <c r="K75" s="3">
        <v>2.4839698779569002</v>
      </c>
      <c r="L75" s="3">
        <v>3.64605485595149</v>
      </c>
      <c r="M75" s="3">
        <v>3.4895063424537001</v>
      </c>
      <c r="N75" s="3">
        <v>4.4358955085247702</v>
      </c>
      <c r="O75" s="3">
        <v>1.99458289869065</v>
      </c>
      <c r="P75" s="3">
        <v>2.1395060565798598</v>
      </c>
      <c r="Q75" s="3">
        <v>4.2242510959813897</v>
      </c>
      <c r="R75" s="3">
        <v>3.249945312426</v>
      </c>
      <c r="S75" s="3">
        <v>3.9619113092331499</v>
      </c>
      <c r="T75" s="3">
        <v>4.6494706395593299</v>
      </c>
      <c r="U75" s="3">
        <v>1.6606837300449899</v>
      </c>
      <c r="V75" s="3">
        <v>4.4243122670346304</v>
      </c>
    </row>
    <row r="76" spans="1:22" x14ac:dyDescent="0.35">
      <c r="A76" s="2">
        <v>44000</v>
      </c>
      <c r="B76" s="3">
        <v>2.19937886251051</v>
      </c>
      <c r="C76" s="3">
        <v>3.3504457335055</v>
      </c>
      <c r="D76" s="3">
        <v>3.1522065288296601</v>
      </c>
      <c r="E76" s="3">
        <v>2.0746524648273801</v>
      </c>
      <c r="F76" s="3">
        <v>2.4438429823414798</v>
      </c>
      <c r="G76" s="3">
        <v>3.1564889870406101</v>
      </c>
      <c r="H76" s="3">
        <v>3.1411365177978801</v>
      </c>
      <c r="I76" s="3">
        <v>3.92364444773871</v>
      </c>
      <c r="J76" s="3">
        <v>3.0965606652573698</v>
      </c>
      <c r="K76" s="3">
        <v>2.2696401189513802</v>
      </c>
      <c r="L76" s="3">
        <v>2.8554505761187401</v>
      </c>
      <c r="M76" s="3">
        <v>3.3895986962569098</v>
      </c>
      <c r="N76" s="3">
        <v>3.66320452197803</v>
      </c>
      <c r="O76" s="3">
        <v>1.6982950519346001</v>
      </c>
      <c r="P76" s="3">
        <v>1.9316340589771901</v>
      </c>
      <c r="Q76" s="3">
        <v>3.8905393793424299</v>
      </c>
      <c r="R76" s="3">
        <v>3.0130079009523398</v>
      </c>
      <c r="S76" s="3">
        <v>3.2540185713357701</v>
      </c>
      <c r="T76" s="3">
        <v>4.3965442972572903</v>
      </c>
      <c r="U76" s="3">
        <v>1.3596216541747399</v>
      </c>
      <c r="V76" s="3">
        <v>3.8853454831687801</v>
      </c>
    </row>
    <row r="77" spans="1:22" x14ac:dyDescent="0.35">
      <c r="A77" s="2">
        <v>44029</v>
      </c>
      <c r="B77" s="3">
        <v>1.9797437410394501</v>
      </c>
      <c r="C77" s="3">
        <v>3.3261401318058001</v>
      </c>
      <c r="D77" s="3">
        <v>2.9121466829399498</v>
      </c>
      <c r="E77" s="3">
        <v>2.1046596963017801</v>
      </c>
      <c r="F77" s="3">
        <v>2.3319323974235999</v>
      </c>
      <c r="G77" s="3">
        <v>3.02379068336653</v>
      </c>
      <c r="H77" s="3">
        <v>3.0115980656655599</v>
      </c>
      <c r="I77" s="3">
        <v>3.7293762953824201</v>
      </c>
      <c r="J77" s="3">
        <v>3.1670275211925301</v>
      </c>
      <c r="K77" s="3">
        <v>2.2086263361060898</v>
      </c>
      <c r="L77" s="3">
        <v>2.6767598315657302</v>
      </c>
      <c r="M77" s="3">
        <v>3.33555802519429</v>
      </c>
      <c r="N77" s="3">
        <v>3.7231727017352898</v>
      </c>
      <c r="O77" s="3">
        <v>1.5682397904001699</v>
      </c>
      <c r="P77" s="3">
        <v>1.8207109714104299</v>
      </c>
      <c r="Q77" s="3">
        <v>3.79264676503694</v>
      </c>
      <c r="R77" s="3">
        <v>3.0228279051311899</v>
      </c>
      <c r="S77" s="3">
        <v>3.3196088207193601</v>
      </c>
      <c r="T77" s="3">
        <v>4.6636009166604104</v>
      </c>
      <c r="U77" s="3">
        <v>1.3621108465604701</v>
      </c>
      <c r="V77" s="3">
        <v>3.8715058232133202</v>
      </c>
    </row>
    <row r="78" spans="1:22" x14ac:dyDescent="0.35">
      <c r="A78" s="2">
        <v>44061</v>
      </c>
      <c r="B78" s="3">
        <v>1.91477483770669</v>
      </c>
      <c r="C78" s="3">
        <v>3.36239735047192</v>
      </c>
      <c r="D78" s="3">
        <v>2.7540499231750699</v>
      </c>
      <c r="E78" s="3">
        <v>2.0220100655098499</v>
      </c>
      <c r="F78" s="3">
        <v>2.7138050459069998</v>
      </c>
      <c r="G78" s="3">
        <v>2.4715879364392301</v>
      </c>
      <c r="H78" s="3">
        <v>3.1189736537347899</v>
      </c>
      <c r="I78" s="3">
        <v>3.6636512563103798</v>
      </c>
      <c r="J78" s="3">
        <v>2.9496660897340901</v>
      </c>
      <c r="K78" s="3">
        <v>2.10566872234044</v>
      </c>
      <c r="L78" s="3">
        <v>2.76694049970114</v>
      </c>
      <c r="M78" s="3">
        <v>3.3747419197325002</v>
      </c>
      <c r="N78" s="3">
        <v>3.5488931102796899</v>
      </c>
      <c r="O78" s="3">
        <v>1.51048758445207</v>
      </c>
      <c r="P78" s="3">
        <v>1.7652379177939399</v>
      </c>
      <c r="Q78" s="3">
        <v>3.5891320575379</v>
      </c>
      <c r="R78" s="3">
        <v>3.0737148670227001</v>
      </c>
      <c r="S78" s="3">
        <v>4.0442485521881002</v>
      </c>
      <c r="T78" s="3">
        <v>4.5494274242756898</v>
      </c>
      <c r="U78" s="3">
        <v>1.39905843746182</v>
      </c>
      <c r="V78" s="3">
        <v>3.5742756225322299</v>
      </c>
    </row>
    <row r="79" spans="1:22" x14ac:dyDescent="0.35">
      <c r="A79" s="2">
        <v>44092</v>
      </c>
      <c r="B79" s="3">
        <v>1.92107985745018</v>
      </c>
      <c r="C79" s="3">
        <v>3.81398112896265</v>
      </c>
      <c r="D79" s="3">
        <v>2.9196849252322101</v>
      </c>
      <c r="E79" s="3">
        <v>2.08439245823108</v>
      </c>
      <c r="F79" s="3">
        <v>2.9198649085031199</v>
      </c>
      <c r="G79" s="3">
        <v>2.5785738476026698</v>
      </c>
      <c r="H79" s="3">
        <v>3.31059811467347</v>
      </c>
      <c r="I79" s="3">
        <v>3.8124592603008201</v>
      </c>
      <c r="J79" s="3">
        <v>3.34452200366098</v>
      </c>
      <c r="K79" s="3">
        <v>2.0901387127611</v>
      </c>
      <c r="L79" s="3">
        <v>3.3626718880755702</v>
      </c>
      <c r="M79" s="3">
        <v>3.4813233630399001</v>
      </c>
      <c r="N79" s="3">
        <v>3.46831000489887</v>
      </c>
      <c r="O79" s="3">
        <v>1.5193295324764</v>
      </c>
      <c r="P79" s="3">
        <v>1.77857562023066</v>
      </c>
      <c r="Q79" s="3">
        <v>3.4904415760643501</v>
      </c>
      <c r="R79" s="3">
        <v>3.13230879698181</v>
      </c>
      <c r="S79" s="3">
        <v>4.5299846783013997</v>
      </c>
      <c r="T79" s="3">
        <v>4.2564967531180598</v>
      </c>
      <c r="U79" s="3">
        <v>1.29966457455912</v>
      </c>
      <c r="V79" s="3">
        <v>3.3967585352912302</v>
      </c>
    </row>
    <row r="80" spans="1:22" x14ac:dyDescent="0.35">
      <c r="A80" s="2">
        <v>44120</v>
      </c>
      <c r="B80" s="3">
        <v>1.93820883694491</v>
      </c>
      <c r="C80" s="3">
        <v>3.79806836045316</v>
      </c>
      <c r="D80" s="3">
        <v>2.8621738347622099</v>
      </c>
      <c r="E80" s="3">
        <v>1.9752222630251499</v>
      </c>
      <c r="F80" s="3">
        <v>3.2634523839576599</v>
      </c>
      <c r="G80" s="3">
        <v>2.6385485162392701</v>
      </c>
      <c r="H80" s="3">
        <v>3.2811461256217398</v>
      </c>
      <c r="I80" s="3">
        <v>3.87100894232197</v>
      </c>
      <c r="J80" s="3">
        <v>3.34483144391913</v>
      </c>
      <c r="K80" s="3">
        <v>2.14922696750304</v>
      </c>
      <c r="L80" s="3">
        <v>3.4526010921144201</v>
      </c>
      <c r="M80" s="3">
        <v>3.56906772978805</v>
      </c>
      <c r="N80" s="3">
        <v>3.8110122946688598</v>
      </c>
      <c r="O80" s="3">
        <v>1.5213653629075199</v>
      </c>
      <c r="P80" s="3">
        <v>1.71694194299434</v>
      </c>
      <c r="Q80" s="3">
        <v>3.5107189336712401</v>
      </c>
      <c r="R80" s="3">
        <v>3.20347481090915</v>
      </c>
      <c r="S80" s="3">
        <v>4.2190043954396801</v>
      </c>
      <c r="T80" s="3">
        <v>4.3160489198199299</v>
      </c>
      <c r="U80" s="3">
        <v>1.3430297491772201</v>
      </c>
      <c r="V80" s="3">
        <v>3.2952378856265399</v>
      </c>
    </row>
    <row r="81" spans="1:22" x14ac:dyDescent="0.35">
      <c r="A81" s="2">
        <v>44153</v>
      </c>
      <c r="B81" s="3">
        <v>1.9454057426732301</v>
      </c>
      <c r="C81" s="3">
        <v>3.3128178959035699</v>
      </c>
      <c r="D81" s="3">
        <v>2.5018476274297901</v>
      </c>
      <c r="E81" s="3">
        <v>1.62577558503824</v>
      </c>
      <c r="F81" s="3">
        <v>2.5456878937081902</v>
      </c>
      <c r="G81" s="3">
        <v>2.1793638353727198</v>
      </c>
      <c r="H81" s="3">
        <v>3.3779680942436801</v>
      </c>
      <c r="I81" s="3">
        <v>3.7281692216750999</v>
      </c>
      <c r="J81" s="3">
        <v>3.1971014867526999</v>
      </c>
      <c r="K81" s="3">
        <v>2.0015277799310298</v>
      </c>
      <c r="L81" s="3">
        <v>3.4583675006502199</v>
      </c>
      <c r="M81" s="3">
        <v>3.52920389061615</v>
      </c>
      <c r="N81" s="3">
        <v>3.4628805609951798</v>
      </c>
      <c r="O81" s="3">
        <v>1.4531846077158299</v>
      </c>
      <c r="P81" s="3">
        <v>1.7462145685203001</v>
      </c>
      <c r="Q81" s="3">
        <v>3.6471148348943099</v>
      </c>
      <c r="R81" s="3">
        <v>2.8549387506108199</v>
      </c>
      <c r="S81" s="3">
        <v>3.9741961392115099</v>
      </c>
      <c r="T81" s="3">
        <v>4.5680375601491798</v>
      </c>
      <c r="U81" s="3">
        <v>1.3370406565900901</v>
      </c>
      <c r="V81" s="3">
        <v>3.4029785638524501</v>
      </c>
    </row>
    <row r="82" spans="1:22" x14ac:dyDescent="0.35">
      <c r="A82" s="2">
        <v>44183</v>
      </c>
      <c r="B82" s="3">
        <v>1.8411071246117601</v>
      </c>
      <c r="C82" s="3">
        <v>3.1867599243118199</v>
      </c>
      <c r="D82" s="3">
        <v>2.2174386774331101</v>
      </c>
      <c r="E82" s="3">
        <v>1.66676469113415</v>
      </c>
      <c r="F82" s="3">
        <v>2.77136233639657</v>
      </c>
      <c r="G82" s="3">
        <v>1.7167914618247799</v>
      </c>
      <c r="H82" s="3">
        <v>3.5212304418320102</v>
      </c>
      <c r="I82" s="3">
        <v>3.6991289915853298</v>
      </c>
      <c r="J82" s="3">
        <v>3.4491081566099999</v>
      </c>
      <c r="K82" s="3">
        <v>1.86105620384333</v>
      </c>
      <c r="L82" s="3">
        <v>3.3508095570624201</v>
      </c>
      <c r="M82" s="3">
        <v>3.7687028456071001</v>
      </c>
      <c r="N82" s="3">
        <v>3.1714598156205001</v>
      </c>
      <c r="O82" s="3">
        <v>1.3506445229486801</v>
      </c>
      <c r="P82" s="3">
        <v>1.6643612615206</v>
      </c>
      <c r="Q82" s="3">
        <v>3.7083386603627999</v>
      </c>
      <c r="R82" s="3">
        <v>2.7444553842878898</v>
      </c>
      <c r="S82" s="3">
        <v>3.8600137459363402</v>
      </c>
      <c r="T82" s="3">
        <v>4.3817143314186797</v>
      </c>
      <c r="U82" s="3">
        <v>1.2252549767866301</v>
      </c>
      <c r="V82" s="3">
        <v>3.48434441497424</v>
      </c>
    </row>
    <row r="83" spans="1:22" x14ac:dyDescent="0.35">
      <c r="A83" s="2">
        <v>44211</v>
      </c>
      <c r="B83" s="3">
        <v>1.69553867791929</v>
      </c>
      <c r="C83" s="3">
        <v>3.0520684627855901</v>
      </c>
      <c r="D83" s="3">
        <v>2.23827514491256</v>
      </c>
      <c r="E83" s="3">
        <v>1.67344864591637</v>
      </c>
      <c r="F83" s="3">
        <v>2.8954608548896501</v>
      </c>
      <c r="G83" s="3">
        <v>1.7099665790546501</v>
      </c>
      <c r="H83" s="3">
        <v>3.6635829994071401</v>
      </c>
      <c r="I83" s="3">
        <v>3.4484029416425401</v>
      </c>
      <c r="J83" s="3">
        <v>3.34687296103816</v>
      </c>
      <c r="K83" s="3">
        <v>1.6639684312177401</v>
      </c>
      <c r="L83" s="3">
        <v>3.4242985425943702</v>
      </c>
      <c r="M83" s="3">
        <v>3.9323806785894599</v>
      </c>
      <c r="N83" s="3">
        <v>3.2669857197319301</v>
      </c>
      <c r="O83" s="3">
        <v>1.3207741492602301</v>
      </c>
      <c r="P83" s="3">
        <v>1.4934075098020301</v>
      </c>
      <c r="Q83" s="3">
        <v>3.7360570436111802</v>
      </c>
      <c r="R83" s="3">
        <v>2.7313386887859399</v>
      </c>
      <c r="S83" s="3">
        <v>3.87253494043396</v>
      </c>
      <c r="T83" s="3">
        <v>4.2845078017803404</v>
      </c>
      <c r="U83" s="3">
        <v>1.14389172889483</v>
      </c>
      <c r="V83" s="3">
        <v>3.4896612964521201</v>
      </c>
    </row>
    <row r="84" spans="1:22" x14ac:dyDescent="0.35">
      <c r="A84" s="2">
        <v>44245</v>
      </c>
      <c r="B84" s="3">
        <v>1.6069521317328599</v>
      </c>
      <c r="C84" s="3">
        <v>3.0432009897486401</v>
      </c>
      <c r="D84" s="3">
        <v>2.50255198777392</v>
      </c>
      <c r="E84" s="3">
        <v>1.7994213517084301</v>
      </c>
      <c r="F84" s="3">
        <v>2.8159648388309502</v>
      </c>
      <c r="G84" s="3">
        <v>1.7278553566017401</v>
      </c>
      <c r="H84" s="3">
        <v>3.8976006308281899</v>
      </c>
      <c r="I84" s="3">
        <v>3.4433617574253401</v>
      </c>
      <c r="J84" s="3">
        <v>3.4939801073468</v>
      </c>
      <c r="K84" s="3">
        <v>1.66437797418523</v>
      </c>
      <c r="L84" s="3">
        <v>3.7429157899765499</v>
      </c>
      <c r="M84" s="3">
        <v>3.8495856406270899</v>
      </c>
      <c r="N84" s="3">
        <v>3.3427859030574401</v>
      </c>
      <c r="O84" s="3">
        <v>1.3223711444083199</v>
      </c>
      <c r="P84" s="3">
        <v>1.32640165785801</v>
      </c>
      <c r="Q84" s="3">
        <v>3.8328982793384601</v>
      </c>
      <c r="R84" s="3">
        <v>2.8004672488245999</v>
      </c>
      <c r="S84" s="3">
        <v>4.5610816389101299</v>
      </c>
      <c r="T84" s="3">
        <v>4.3649503439718602</v>
      </c>
      <c r="U84" s="3">
        <v>1.18024879243529</v>
      </c>
      <c r="V84" s="3">
        <v>3.5319609972245898</v>
      </c>
    </row>
    <row r="85" spans="1:22" x14ac:dyDescent="0.35">
      <c r="A85" s="2">
        <v>44273</v>
      </c>
      <c r="B85" s="3">
        <v>1.85199411954813</v>
      </c>
      <c r="C85" s="3">
        <v>2.8289729582544401</v>
      </c>
      <c r="D85" s="3">
        <v>2.5334402894168599</v>
      </c>
      <c r="E85" s="3">
        <v>1.8299187388695</v>
      </c>
      <c r="F85" s="3">
        <v>2.99378330666541</v>
      </c>
      <c r="G85" s="3">
        <v>2.0091045850901001</v>
      </c>
      <c r="H85" s="3">
        <v>3.9564437020674799</v>
      </c>
      <c r="I85" s="3">
        <v>3.6126905265461899</v>
      </c>
      <c r="J85" s="3">
        <v>3.3604958870700998</v>
      </c>
      <c r="K85" s="3">
        <v>1.6798779189102899</v>
      </c>
      <c r="L85" s="3">
        <v>4.2847947842658201</v>
      </c>
      <c r="M85" s="3">
        <v>3.8370889132791102</v>
      </c>
      <c r="N85" s="3">
        <v>3.2363492561015499</v>
      </c>
      <c r="O85" s="3">
        <v>1.3933825128209001</v>
      </c>
      <c r="P85" s="3">
        <v>1.4866656916266401</v>
      </c>
      <c r="Q85" s="3">
        <v>3.8813688705217699</v>
      </c>
      <c r="R85" s="3">
        <v>2.7541462003923902</v>
      </c>
      <c r="S85" s="3">
        <v>4.4899752357145699</v>
      </c>
      <c r="T85" s="3">
        <v>4.45155322464284</v>
      </c>
      <c r="U85" s="3">
        <v>1.16746220349162</v>
      </c>
      <c r="V85" s="3">
        <v>3.5219199397615402</v>
      </c>
    </row>
    <row r="86" spans="1:22" x14ac:dyDescent="0.35">
      <c r="A86" s="2">
        <v>44302</v>
      </c>
      <c r="B86" s="3">
        <v>1.95777684139504</v>
      </c>
      <c r="C86" s="3">
        <v>3.06052306042637</v>
      </c>
      <c r="D86" s="3">
        <v>2.7139347258526598</v>
      </c>
      <c r="E86" s="3">
        <v>1.9510351665360499</v>
      </c>
      <c r="F86" s="3">
        <v>2.90527437822099</v>
      </c>
      <c r="G86" s="3">
        <v>2.1154740826958398</v>
      </c>
      <c r="H86" s="3">
        <v>3.9705660007610399</v>
      </c>
      <c r="I86" s="3">
        <v>3.60967635621863</v>
      </c>
      <c r="J86" s="3">
        <v>3.2082715721927602</v>
      </c>
      <c r="K86" s="3">
        <v>1.6592495043398201</v>
      </c>
      <c r="L86" s="3">
        <v>4.5180036698921704</v>
      </c>
      <c r="M86" s="3">
        <v>4.0513654361425901</v>
      </c>
      <c r="N86" s="3">
        <v>3.3034781573854701</v>
      </c>
      <c r="O86" s="3">
        <v>1.3798487209050301</v>
      </c>
      <c r="P86" s="3">
        <v>1.6009230459469601</v>
      </c>
      <c r="Q86" s="3">
        <v>3.6862503781217102</v>
      </c>
      <c r="R86" s="3">
        <v>2.8608165012086602</v>
      </c>
      <c r="S86" s="3">
        <v>5.33149907925044</v>
      </c>
      <c r="T86" s="3">
        <v>4.4039524136043902</v>
      </c>
      <c r="U86" s="3">
        <v>1.1291390071620999</v>
      </c>
      <c r="V86" s="3">
        <v>3.3526168655953899</v>
      </c>
    </row>
    <row r="87" spans="1:22" x14ac:dyDescent="0.35">
      <c r="A87" s="2">
        <v>44334</v>
      </c>
      <c r="B87" s="3">
        <v>1.8671291146533999</v>
      </c>
      <c r="C87" s="3">
        <v>3.9628126241516202</v>
      </c>
      <c r="D87" s="3">
        <v>2.8685164562087899</v>
      </c>
      <c r="E87" s="3">
        <v>2.0222880603644602</v>
      </c>
      <c r="F87" s="3">
        <v>2.8253178950093401</v>
      </c>
      <c r="G87" s="3">
        <v>2.26470017407012</v>
      </c>
      <c r="H87" s="3">
        <v>4.0225801650689803</v>
      </c>
      <c r="I87" s="3">
        <v>4.2197873338528096</v>
      </c>
      <c r="J87" s="3">
        <v>3.1008437985172099</v>
      </c>
      <c r="K87" s="3">
        <v>1.74055509398121</v>
      </c>
      <c r="L87" s="3">
        <v>4.6893182672021201</v>
      </c>
      <c r="M87" s="3">
        <v>4.2828651076822801</v>
      </c>
      <c r="N87" s="3">
        <v>3.1215071168983402</v>
      </c>
      <c r="O87" s="3">
        <v>1.39421233293092</v>
      </c>
      <c r="P87" s="3">
        <v>1.6857367349004799</v>
      </c>
      <c r="Q87" s="3">
        <v>3.79767088675642</v>
      </c>
      <c r="R87" s="3">
        <v>2.91078359079855</v>
      </c>
      <c r="S87" s="3">
        <v>5.3566012521798099</v>
      </c>
      <c r="T87" s="3">
        <v>4.3438193134049703</v>
      </c>
      <c r="U87" s="3">
        <v>1.2199748166936299</v>
      </c>
      <c r="V87" s="3">
        <v>3.2916271240007502</v>
      </c>
    </row>
    <row r="88" spans="1:22" x14ac:dyDescent="0.35">
      <c r="A88" s="2">
        <v>44365</v>
      </c>
      <c r="B88" s="3">
        <v>1.8698933962650699</v>
      </c>
      <c r="C88" s="3">
        <v>3.9295422303544001</v>
      </c>
      <c r="D88" s="3">
        <v>2.9442237225713499</v>
      </c>
      <c r="E88" s="3">
        <v>1.9325460135753201</v>
      </c>
      <c r="F88" s="3">
        <v>3.00395305743639</v>
      </c>
      <c r="G88" s="3">
        <v>2.90600068447548</v>
      </c>
      <c r="H88" s="3">
        <v>4.0830776791921597</v>
      </c>
      <c r="I88" s="3">
        <v>4.0267413422284699</v>
      </c>
      <c r="J88" s="3">
        <v>3.1338626791542601</v>
      </c>
      <c r="K88" s="3">
        <v>1.6625015391858</v>
      </c>
      <c r="L88" s="3">
        <v>4.7277168438069896</v>
      </c>
      <c r="M88" s="3">
        <v>4.2849274258882399</v>
      </c>
      <c r="N88" s="3">
        <v>3.01799367182912</v>
      </c>
      <c r="O88" s="3">
        <v>1.40276129206932</v>
      </c>
      <c r="P88" s="3">
        <v>1.62990719685674</v>
      </c>
      <c r="Q88" s="3">
        <v>3.8375111056050901</v>
      </c>
      <c r="R88" s="3">
        <v>2.8302475932228202</v>
      </c>
      <c r="S88" s="3">
        <v>5.5948738954397603</v>
      </c>
      <c r="T88" s="3">
        <v>4.3822338590312198</v>
      </c>
      <c r="U88" s="3">
        <v>1.21571532612557</v>
      </c>
      <c r="V88" s="3">
        <v>3.2119682102527798</v>
      </c>
    </row>
    <row r="89" spans="1:22" x14ac:dyDescent="0.35">
      <c r="A89" s="2">
        <v>44393</v>
      </c>
      <c r="B89" s="3">
        <v>1.8606148008844501</v>
      </c>
      <c r="C89" s="3">
        <v>4.30604384552199</v>
      </c>
      <c r="D89" s="3">
        <v>3.0610410151589198</v>
      </c>
      <c r="E89" s="3">
        <v>1.9751125185067899</v>
      </c>
      <c r="F89" s="3">
        <v>3.08886256550384</v>
      </c>
      <c r="G89" s="3">
        <v>2.9990333978296402</v>
      </c>
      <c r="H89" s="3">
        <v>4.2356578796768396</v>
      </c>
      <c r="I89" s="3">
        <v>4.0097507513691397</v>
      </c>
      <c r="J89" s="3">
        <v>3.1217882701487998</v>
      </c>
      <c r="K89" s="3">
        <v>1.6863181830232901</v>
      </c>
      <c r="L89" s="3">
        <v>5.2181936605139301</v>
      </c>
      <c r="M89" s="3">
        <v>4.5223352006869604</v>
      </c>
      <c r="N89" s="3">
        <v>3.0812522737075199</v>
      </c>
      <c r="O89" s="3">
        <v>1.3886547589470699</v>
      </c>
      <c r="P89" s="3">
        <v>1.6809195050952901</v>
      </c>
      <c r="Q89" s="3">
        <v>3.9024870732358199</v>
      </c>
      <c r="R89" s="3">
        <v>2.9436188971932999</v>
      </c>
      <c r="S89" s="3">
        <v>5.9920423634833497</v>
      </c>
      <c r="T89" s="3">
        <v>4.6958000027520796</v>
      </c>
      <c r="U89" s="3">
        <v>1.4228933801128101</v>
      </c>
      <c r="V89" s="3">
        <v>3.2824516174368799</v>
      </c>
    </row>
    <row r="90" spans="1:22" x14ac:dyDescent="0.35">
      <c r="A90" s="2">
        <v>44426</v>
      </c>
      <c r="B90" s="3">
        <v>1.99289314685383</v>
      </c>
      <c r="C90" s="3">
        <v>4.7415967567127701</v>
      </c>
      <c r="D90" s="3">
        <v>3.0075869155680302</v>
      </c>
      <c r="E90" s="3">
        <v>2.0030063419233599</v>
      </c>
      <c r="F90" s="3">
        <v>2.97108171132757</v>
      </c>
      <c r="G90" s="3">
        <v>3.6612252071593998</v>
      </c>
      <c r="H90" s="3">
        <v>4.1936690755026502</v>
      </c>
      <c r="I90" s="3">
        <v>4.3658981384702598</v>
      </c>
      <c r="J90" s="3">
        <v>3.1274621789441701</v>
      </c>
      <c r="K90" s="3">
        <v>1.8185253038107401</v>
      </c>
      <c r="L90" s="3">
        <v>5.8879386826769702</v>
      </c>
      <c r="M90" s="3">
        <v>4.9960157620905301</v>
      </c>
      <c r="N90" s="3">
        <v>3.0359232512300398</v>
      </c>
      <c r="O90" s="3">
        <v>1.3405022173049901</v>
      </c>
      <c r="P90" s="3">
        <v>1.93844328992018</v>
      </c>
      <c r="Q90" s="3">
        <v>3.8751586030497398</v>
      </c>
      <c r="R90" s="3">
        <v>2.9617637204394298</v>
      </c>
      <c r="S90" s="3">
        <v>5.9522951899576197</v>
      </c>
      <c r="T90" s="3">
        <v>4.4700418818034899</v>
      </c>
      <c r="U90" s="3">
        <v>1.4164518024174</v>
      </c>
      <c r="V90" s="3">
        <v>3.13288632897302</v>
      </c>
    </row>
    <row r="91" spans="1:22" x14ac:dyDescent="0.35">
      <c r="A91" s="2">
        <v>44456</v>
      </c>
      <c r="B91" s="3">
        <v>1.98345718970716</v>
      </c>
      <c r="C91" s="3">
        <v>4.58808375899594</v>
      </c>
      <c r="D91" s="3">
        <v>3.1102962626986401</v>
      </c>
      <c r="E91" s="3">
        <v>1.8603206077647501</v>
      </c>
      <c r="F91" s="3">
        <v>2.97408301706814</v>
      </c>
      <c r="G91" s="3">
        <v>3.65443973192408</v>
      </c>
      <c r="H91" s="3">
        <v>4.0275398182278996</v>
      </c>
      <c r="I91" s="3">
        <v>4.2778928323553096</v>
      </c>
      <c r="J91" s="3">
        <v>3.1728783377079499</v>
      </c>
      <c r="K91" s="3">
        <v>1.84329253422103</v>
      </c>
      <c r="L91" s="3">
        <v>6.5164596926008498</v>
      </c>
      <c r="M91" s="3">
        <v>5.1551402927686096</v>
      </c>
      <c r="N91" s="3">
        <v>2.9751069329380599</v>
      </c>
      <c r="O91" s="3">
        <v>1.2739556381236301</v>
      </c>
      <c r="P91" s="3">
        <v>1.91892562594678</v>
      </c>
      <c r="Q91" s="3">
        <v>4.0951517257527303</v>
      </c>
      <c r="R91" s="3">
        <v>2.8489531317574901</v>
      </c>
      <c r="S91" s="3">
        <v>6.0679369001786796</v>
      </c>
      <c r="T91" s="3">
        <v>4.1696776873978596</v>
      </c>
      <c r="U91" s="3">
        <v>1.3874221591001901</v>
      </c>
      <c r="V91" s="3">
        <v>3.0533171753608199</v>
      </c>
    </row>
    <row r="92" spans="1:22" x14ac:dyDescent="0.35">
      <c r="A92" s="2">
        <v>44487</v>
      </c>
      <c r="B92" s="3">
        <v>2.0053223595756502</v>
      </c>
      <c r="C92" s="3">
        <v>5.12771981414976</v>
      </c>
      <c r="D92" s="3">
        <v>2.8575601284897001</v>
      </c>
      <c r="E92" s="3">
        <v>1.78120792817967</v>
      </c>
      <c r="F92" s="3">
        <v>2.96200621742486</v>
      </c>
      <c r="G92" s="3">
        <v>3.4694654702409502</v>
      </c>
      <c r="H92" s="3">
        <v>3.8590057134426998</v>
      </c>
      <c r="I92" s="3">
        <v>4.48676983244615</v>
      </c>
      <c r="J92" s="3">
        <v>3.28581504645395</v>
      </c>
      <c r="K92" s="3">
        <v>1.94562286385745</v>
      </c>
      <c r="L92" s="3">
        <v>6.5062759834641497</v>
      </c>
      <c r="M92" s="3">
        <v>4.7493547854196203</v>
      </c>
      <c r="N92" s="3">
        <v>3.0677609271070199</v>
      </c>
      <c r="O92" s="3">
        <v>1.26764591336744</v>
      </c>
      <c r="P92" s="3">
        <v>1.9092522762874899</v>
      </c>
      <c r="Q92" s="3">
        <v>3.83882657766735</v>
      </c>
      <c r="R92" s="3">
        <v>2.8199074080295099</v>
      </c>
      <c r="S92" s="3">
        <v>6.1788970994746704</v>
      </c>
      <c r="T92" s="3">
        <v>4.0828951973300303</v>
      </c>
      <c r="U92" s="3">
        <v>1.42270180366986</v>
      </c>
      <c r="V92" s="3">
        <v>2.8866236487413799</v>
      </c>
    </row>
    <row r="93" spans="1:22" x14ac:dyDescent="0.35">
      <c r="A93" s="2">
        <v>44518</v>
      </c>
      <c r="B93" s="3">
        <v>2.0166767677287698</v>
      </c>
      <c r="C93" s="3">
        <v>5.0582060181869997</v>
      </c>
      <c r="D93" s="3">
        <v>3.0770525649644198</v>
      </c>
      <c r="E93" s="3">
        <v>1.7680668958226899</v>
      </c>
      <c r="F93" s="3">
        <v>3.1764075081554299</v>
      </c>
      <c r="G93" s="3">
        <v>3.7769378586286502</v>
      </c>
      <c r="H93" s="3">
        <v>3.9819005713511202</v>
      </c>
      <c r="I93" s="3">
        <v>4.20111064283192</v>
      </c>
      <c r="J93" s="3">
        <v>3.5213481941847902</v>
      </c>
      <c r="K93" s="3">
        <v>1.99896600686905</v>
      </c>
      <c r="L93" s="3">
        <v>7.79149205689985</v>
      </c>
      <c r="M93" s="3">
        <v>4.4683917468769101</v>
      </c>
      <c r="N93" s="3">
        <v>2.7953839193167198</v>
      </c>
      <c r="O93" s="3">
        <v>1.35126708577909</v>
      </c>
      <c r="P93" s="3">
        <v>1.98799866770768</v>
      </c>
      <c r="Q93" s="3">
        <v>3.8309074811915802</v>
      </c>
      <c r="R93" s="3">
        <v>2.7937186780703498</v>
      </c>
      <c r="S93" s="3">
        <v>5.0875836480688301</v>
      </c>
      <c r="T93" s="3">
        <v>3.7346393864798602</v>
      </c>
      <c r="U93" s="3">
        <v>1.35832141516672</v>
      </c>
      <c r="V93" s="3">
        <v>3.0463391224649099</v>
      </c>
    </row>
    <row r="94" spans="1:22" x14ac:dyDescent="0.35">
      <c r="A94" s="2">
        <v>44547</v>
      </c>
      <c r="B94" s="3">
        <v>1.9633861070732499</v>
      </c>
      <c r="C94" s="3">
        <v>5.2617201729974896</v>
      </c>
      <c r="D94" s="3">
        <v>3.14134971020394</v>
      </c>
      <c r="E94" s="3">
        <v>1.75148595702876</v>
      </c>
      <c r="F94" s="3">
        <v>3.4272316376442302</v>
      </c>
      <c r="G94" s="3">
        <v>4.2695578906719298</v>
      </c>
      <c r="H94" s="3">
        <v>3.8899839430960998</v>
      </c>
      <c r="I94" s="3">
        <v>4.2047655960281904</v>
      </c>
      <c r="J94" s="3">
        <v>3.4448941340256498</v>
      </c>
      <c r="K94" s="3">
        <v>1.9247949313975601</v>
      </c>
      <c r="L94" s="3">
        <v>7.4743128257098199</v>
      </c>
      <c r="M94" s="3">
        <v>4.6445490820100703</v>
      </c>
      <c r="N94" s="3">
        <v>3.1919434230400299</v>
      </c>
      <c r="O94" s="3">
        <v>1.39313315633617</v>
      </c>
      <c r="P94" s="3">
        <v>2.1459931053796599</v>
      </c>
      <c r="Q94" s="3">
        <v>3.9963748976126401</v>
      </c>
      <c r="R94" s="3">
        <v>2.8810614685457399</v>
      </c>
      <c r="S94" s="3">
        <v>4.70745243257924</v>
      </c>
      <c r="T94" s="3">
        <v>4.11106584482601</v>
      </c>
      <c r="U94" s="3">
        <v>1.4964196694807801</v>
      </c>
      <c r="V94" s="3">
        <v>3.2151749472221098</v>
      </c>
    </row>
    <row r="95" spans="1:22" x14ac:dyDescent="0.35">
      <c r="A95" s="2">
        <v>44579</v>
      </c>
      <c r="B95" s="3">
        <v>2.0647861588823799</v>
      </c>
      <c r="C95" s="3">
        <v>4.7390646248783801</v>
      </c>
      <c r="D95" s="3">
        <v>3.1579252627389298</v>
      </c>
      <c r="E95" s="3">
        <v>1.78736522191469</v>
      </c>
      <c r="F95" s="3">
        <v>3.1216100621179002</v>
      </c>
      <c r="G95" s="3">
        <v>3.58742874478548</v>
      </c>
      <c r="H95" s="3">
        <v>3.7803558435598799</v>
      </c>
      <c r="I95" s="3">
        <v>4.1797821451700603</v>
      </c>
      <c r="J95" s="3">
        <v>3.3937090984796101</v>
      </c>
      <c r="K95" s="3">
        <v>2.0305806828140498</v>
      </c>
      <c r="L95" s="3">
        <v>7.2252648919884699</v>
      </c>
      <c r="M95" s="3">
        <v>4.5190682376776703</v>
      </c>
      <c r="N95" s="3">
        <v>3.1240161541643698</v>
      </c>
      <c r="O95" s="3">
        <v>1.32686620376875</v>
      </c>
      <c r="P95" s="3">
        <v>2.1492006257571798</v>
      </c>
      <c r="Q95" s="3">
        <v>3.85921427236556</v>
      </c>
      <c r="R95" s="3">
        <v>2.8494820322968</v>
      </c>
      <c r="S95" s="3">
        <v>5.4503851546145299</v>
      </c>
      <c r="T95" s="3">
        <v>4.3648191658706201</v>
      </c>
      <c r="U95" s="3">
        <v>1.58097612840908</v>
      </c>
      <c r="V95" s="3">
        <v>3.0143854012247</v>
      </c>
    </row>
    <row r="96" spans="1:22" x14ac:dyDescent="0.35">
      <c r="A96" s="2">
        <v>44610</v>
      </c>
      <c r="B96" s="3">
        <v>2.1831250580673598</v>
      </c>
      <c r="C96" s="3">
        <v>4.7424770149922901</v>
      </c>
      <c r="D96" s="3">
        <v>3.0895012370767598</v>
      </c>
      <c r="E96" s="3">
        <v>1.81220166741682</v>
      </c>
      <c r="F96" s="3">
        <v>3.4122675745833599</v>
      </c>
      <c r="G96" s="3">
        <v>3.4437636537393801</v>
      </c>
      <c r="H96" s="3">
        <v>3.74794527755405</v>
      </c>
      <c r="I96" s="3">
        <v>4.2874355332418999</v>
      </c>
      <c r="J96" s="3">
        <v>3.6525601753681101</v>
      </c>
      <c r="K96" s="3">
        <v>2.1666152614679399</v>
      </c>
      <c r="L96" s="3">
        <v>6.8696114983589602</v>
      </c>
      <c r="M96" s="3">
        <v>4.3330824562766699</v>
      </c>
      <c r="N96" s="3">
        <v>2.9272910584199199</v>
      </c>
      <c r="O96" s="3">
        <v>1.4555620312669899</v>
      </c>
      <c r="P96" s="3">
        <v>2.2182326698011301</v>
      </c>
      <c r="Q96" s="3">
        <v>3.9736947981303499</v>
      </c>
      <c r="R96" s="3">
        <v>2.8204392302984802</v>
      </c>
      <c r="S96" s="3">
        <v>5.8207722581608499</v>
      </c>
      <c r="T96" s="3">
        <v>3.9359228092140199</v>
      </c>
      <c r="U96" s="3">
        <v>1.68370543285006</v>
      </c>
      <c r="V96" s="3">
        <v>2.9750114327617698</v>
      </c>
    </row>
    <row r="97" spans="1:22" x14ac:dyDescent="0.35">
      <c r="A97" s="2">
        <v>44638</v>
      </c>
      <c r="B97" s="3">
        <v>2.3612251187945899</v>
      </c>
      <c r="C97" s="3">
        <v>4.63117955892639</v>
      </c>
      <c r="D97" s="3">
        <v>3.2323854971916099</v>
      </c>
      <c r="E97" s="3">
        <v>1.9557311036415199</v>
      </c>
      <c r="F97" s="3">
        <v>3.5350432914996999</v>
      </c>
      <c r="G97" s="3">
        <v>3.5552905860963899</v>
      </c>
      <c r="H97" s="3">
        <v>3.7968014489606001</v>
      </c>
      <c r="I97" s="3">
        <v>4.5253919151931603</v>
      </c>
      <c r="J97" s="3">
        <v>3.4351703857896498</v>
      </c>
      <c r="K97" s="3">
        <v>2.2284559987039501</v>
      </c>
      <c r="L97" s="3">
        <v>9.1185073210105294</v>
      </c>
      <c r="M97" s="3">
        <v>4.3312167958815202</v>
      </c>
      <c r="N97" s="3">
        <v>3.0977047473163601</v>
      </c>
      <c r="O97" s="3">
        <v>1.46078831563935</v>
      </c>
      <c r="P97" s="3">
        <v>2.5149309338624701</v>
      </c>
      <c r="Q97" s="3">
        <v>3.71905937512898</v>
      </c>
      <c r="R97" s="3">
        <v>2.9130125459359499</v>
      </c>
      <c r="S97" s="3">
        <v>5.9844267662608104</v>
      </c>
      <c r="T97" s="3">
        <v>3.6968129559875198</v>
      </c>
      <c r="U97" s="3">
        <v>1.8260373255683799</v>
      </c>
      <c r="V97" s="3">
        <v>2.9145061795449201</v>
      </c>
    </row>
    <row r="98" spans="1:22" x14ac:dyDescent="0.35">
      <c r="A98" s="2">
        <v>44669</v>
      </c>
      <c r="B98" s="3">
        <v>2.43758131358465</v>
      </c>
      <c r="C98" s="3">
        <v>4.8681297583488501</v>
      </c>
      <c r="D98" s="3">
        <v>3.3175352811776202</v>
      </c>
      <c r="E98" s="3">
        <v>2.0594000538297901</v>
      </c>
      <c r="F98" s="3">
        <v>3.4682797347994301</v>
      </c>
      <c r="G98" s="3">
        <v>3.8374249443207198</v>
      </c>
      <c r="H98" s="3">
        <v>3.85697585923204</v>
      </c>
      <c r="I98" s="3">
        <v>4.7011402880924598</v>
      </c>
      <c r="J98" s="3">
        <v>3.5338408042822702</v>
      </c>
      <c r="K98" s="3">
        <v>2.2796591460274098</v>
      </c>
      <c r="L98" s="3">
        <v>8.39660554134222</v>
      </c>
      <c r="M98" s="3">
        <v>4.61680143190158</v>
      </c>
      <c r="N98" s="3">
        <v>3.1514123349316199</v>
      </c>
      <c r="O98" s="3">
        <v>1.4819387781667399</v>
      </c>
      <c r="P98" s="3">
        <v>2.60598690194024</v>
      </c>
      <c r="Q98" s="3">
        <v>3.70638458872192</v>
      </c>
      <c r="R98" s="3">
        <v>2.9939968851060699</v>
      </c>
      <c r="S98" s="3">
        <v>5.28020912300323</v>
      </c>
      <c r="T98" s="3">
        <v>3.4737696401261098</v>
      </c>
      <c r="U98" s="3">
        <v>1.6656762083985599</v>
      </c>
      <c r="V98" s="3">
        <v>2.6941285110551099</v>
      </c>
    </row>
    <row r="99" spans="1:22" x14ac:dyDescent="0.35">
      <c r="A99" s="2">
        <v>44699</v>
      </c>
      <c r="B99" s="3">
        <v>2.48724537605462</v>
      </c>
      <c r="C99" s="3">
        <v>5.1840938174368301</v>
      </c>
      <c r="D99" s="3">
        <v>3.5183006711774798</v>
      </c>
      <c r="E99" s="3">
        <v>2.3272591915431899</v>
      </c>
      <c r="F99" s="3">
        <v>3.9351062687092</v>
      </c>
      <c r="G99" s="3">
        <v>4.5995556550747496</v>
      </c>
      <c r="H99" s="3">
        <v>3.9765606901856199</v>
      </c>
      <c r="I99" s="3">
        <v>4.81006370384278</v>
      </c>
      <c r="J99" s="3">
        <v>3.7880832467061198</v>
      </c>
      <c r="K99" s="3">
        <v>2.3542526421006702</v>
      </c>
      <c r="L99" s="3">
        <v>10.006724261156601</v>
      </c>
      <c r="M99" s="3">
        <v>4.9491139889794598</v>
      </c>
      <c r="N99" s="3">
        <v>3.6288552197880799</v>
      </c>
      <c r="O99" s="3">
        <v>1.6670611126506101</v>
      </c>
      <c r="P99" s="3">
        <v>2.6226964161501698</v>
      </c>
      <c r="Q99" s="3">
        <v>4.0403520395120101</v>
      </c>
      <c r="R99" s="3">
        <v>3.0474116141027601</v>
      </c>
      <c r="S99" s="3">
        <v>5.6373275389533797</v>
      </c>
      <c r="T99" s="3">
        <v>3.8899504002431402</v>
      </c>
      <c r="U99" s="3">
        <v>1.83203987358267</v>
      </c>
      <c r="V99" s="3">
        <v>2.8712875594710399</v>
      </c>
    </row>
    <row r="100" spans="1:22" x14ac:dyDescent="0.35">
      <c r="A100" s="2">
        <v>44729</v>
      </c>
      <c r="B100" s="3">
        <v>2.31096993696729</v>
      </c>
      <c r="C100" s="3">
        <v>6.9288029308872598</v>
      </c>
      <c r="D100" s="3">
        <v>3.5653743250279599</v>
      </c>
      <c r="E100" s="3">
        <v>2.3280801794155601</v>
      </c>
      <c r="F100" s="3">
        <v>4.4088636945389803</v>
      </c>
      <c r="G100" s="3">
        <v>5.0126039726229203</v>
      </c>
      <c r="H100" s="3">
        <v>4.1876485804345904</v>
      </c>
      <c r="I100" s="3">
        <v>4.9615196096960297</v>
      </c>
      <c r="J100" s="3">
        <v>4.1615203800800504</v>
      </c>
      <c r="K100" s="3">
        <v>2.5351238402654301</v>
      </c>
      <c r="L100" s="3">
        <v>10.899657735403499</v>
      </c>
      <c r="M100" s="3">
        <v>5.2412221577580898</v>
      </c>
      <c r="N100" s="3">
        <v>4.1888276004469098</v>
      </c>
      <c r="O100" s="3">
        <v>1.7334328309781999</v>
      </c>
      <c r="P100" s="3">
        <v>2.4459047332978301</v>
      </c>
      <c r="Q100" s="3">
        <v>4.4312699122435504</v>
      </c>
      <c r="R100" s="3">
        <v>3.1760251726939899</v>
      </c>
      <c r="S100" s="3">
        <v>5.3834475638458299</v>
      </c>
      <c r="T100" s="3">
        <v>4.3233652938493599</v>
      </c>
      <c r="U100" s="3">
        <v>1.9331814308867901</v>
      </c>
      <c r="V100" s="3">
        <v>3.1254091234650798</v>
      </c>
    </row>
    <row r="101" spans="1:22" x14ac:dyDescent="0.35">
      <c r="A101" s="2">
        <v>44760</v>
      </c>
      <c r="B101" s="3">
        <v>2.3562659974292601</v>
      </c>
      <c r="C101" s="3">
        <v>7.52946819305782</v>
      </c>
      <c r="D101" s="3">
        <v>3.7581945023177701</v>
      </c>
      <c r="E101" s="3">
        <v>2.47903411773523</v>
      </c>
      <c r="F101" s="3">
        <v>4.3180734658284496</v>
      </c>
      <c r="G101" s="3">
        <v>5.3834086497522504</v>
      </c>
      <c r="H101" s="3">
        <v>4.2253151112193104</v>
      </c>
      <c r="I101" s="3">
        <v>5.2235444737814296</v>
      </c>
      <c r="J101" s="3">
        <v>4.0833863291495103</v>
      </c>
      <c r="K101" s="3">
        <v>2.61255078833319</v>
      </c>
      <c r="L101" s="3">
        <v>11.5301367409036</v>
      </c>
      <c r="M101" s="3">
        <v>5.0030639737678104</v>
      </c>
      <c r="N101" s="3">
        <v>4.3758241941348697</v>
      </c>
      <c r="O101" s="3">
        <v>1.6060059066588599</v>
      </c>
      <c r="P101" s="3">
        <v>2.46206148045838</v>
      </c>
      <c r="Q101" s="3">
        <v>4.3054803667651802</v>
      </c>
      <c r="R101" s="3">
        <v>3.2023295520585102</v>
      </c>
      <c r="S101" s="3">
        <v>6.1976152275549099</v>
      </c>
      <c r="T101" s="3">
        <v>4.3632124616679304</v>
      </c>
      <c r="U101" s="3">
        <v>1.95834494579692</v>
      </c>
      <c r="V101" s="3">
        <v>3.3320650564000598</v>
      </c>
    </row>
    <row r="102" spans="1:22" x14ac:dyDescent="0.35">
      <c r="A102" s="2">
        <v>44791</v>
      </c>
      <c r="B102" s="3">
        <v>2.3879281895384601</v>
      </c>
      <c r="C102" s="3">
        <v>7.3473629164277598</v>
      </c>
      <c r="D102" s="3">
        <v>3.58697912805455</v>
      </c>
      <c r="E102" s="3">
        <v>2.2473656865713898</v>
      </c>
      <c r="F102" s="3">
        <v>4.2334985006258004</v>
      </c>
      <c r="G102" s="3">
        <v>5.0906014888241096</v>
      </c>
      <c r="H102" s="3">
        <v>4.0102294263619402</v>
      </c>
      <c r="I102" s="3">
        <v>4.8844237355970899</v>
      </c>
      <c r="J102" s="3">
        <v>3.95566351705205</v>
      </c>
      <c r="K102" s="3">
        <v>2.4923643285450998</v>
      </c>
      <c r="L102" s="3">
        <v>10.396865503104999</v>
      </c>
      <c r="M102" s="3">
        <v>4.8416383866416002</v>
      </c>
      <c r="N102" s="3">
        <v>3.90292775842099</v>
      </c>
      <c r="O102" s="3">
        <v>1.4548182522088899</v>
      </c>
      <c r="P102" s="3">
        <v>2.5827149662758102</v>
      </c>
      <c r="Q102" s="3">
        <v>3.65573569651007</v>
      </c>
      <c r="R102" s="3">
        <v>3.0905350302961301</v>
      </c>
      <c r="S102" s="3">
        <v>5.0227873039148498</v>
      </c>
      <c r="T102" s="3">
        <v>4.0338191760368396</v>
      </c>
      <c r="U102" s="3">
        <v>1.91582686997958</v>
      </c>
      <c r="V102" s="3">
        <v>3.05893659573738</v>
      </c>
    </row>
    <row r="103" spans="1:22" x14ac:dyDescent="0.35">
      <c r="A103" s="2">
        <v>44820</v>
      </c>
      <c r="B103" s="3">
        <v>2.5868689172709902</v>
      </c>
      <c r="C103" s="3">
        <v>6.60950778372447</v>
      </c>
      <c r="D103" s="3">
        <v>3.5848182327934102</v>
      </c>
      <c r="E103" s="3">
        <v>2.34802154983461</v>
      </c>
      <c r="F103" s="3">
        <v>4.67092733852005</v>
      </c>
      <c r="G103" s="3">
        <v>4.9916582088762702</v>
      </c>
      <c r="H103" s="3">
        <v>4.2007583330929297</v>
      </c>
      <c r="I103" s="3">
        <v>5.0652726263191203</v>
      </c>
      <c r="J103" s="3">
        <v>4.1047223108917796</v>
      </c>
      <c r="K103" s="3">
        <v>2.67261352348745</v>
      </c>
      <c r="L103" s="3">
        <v>10.616238294798301</v>
      </c>
      <c r="M103" s="3">
        <v>5.3714761186073803</v>
      </c>
      <c r="N103" s="3">
        <v>4.4498643456884999</v>
      </c>
      <c r="O103" s="3">
        <v>1.50865745607794</v>
      </c>
      <c r="P103" s="3">
        <v>2.62478091248239</v>
      </c>
      <c r="Q103" s="3">
        <v>3.8444985601766102</v>
      </c>
      <c r="R103" s="3">
        <v>3.1020618107617399</v>
      </c>
      <c r="S103" s="3">
        <v>4.82277151356306</v>
      </c>
      <c r="T103" s="3">
        <v>4.1024526067011697</v>
      </c>
      <c r="U103" s="3">
        <v>1.9813472007297801</v>
      </c>
      <c r="V103" s="3">
        <v>3.3170259880810198</v>
      </c>
    </row>
    <row r="104" spans="1:22" x14ac:dyDescent="0.35">
      <c r="A104" s="2">
        <v>44852</v>
      </c>
      <c r="B104" s="3">
        <v>2.6536242456010601</v>
      </c>
      <c r="C104" s="3">
        <v>7.0762049303656402</v>
      </c>
      <c r="D104" s="3">
        <v>3.8895457526648598</v>
      </c>
      <c r="E104" s="3">
        <v>2.6074006974859398</v>
      </c>
      <c r="F104" s="3">
        <v>5.1813120285396401</v>
      </c>
      <c r="G104" s="3">
        <v>5.1181698213038302</v>
      </c>
      <c r="H104" s="3">
        <v>4.4232310334564904</v>
      </c>
      <c r="I104" s="3">
        <v>5.3693020128905502</v>
      </c>
      <c r="J104" s="3">
        <v>4.1009062004121901</v>
      </c>
      <c r="K104" s="3">
        <v>2.72242316473129</v>
      </c>
      <c r="L104" s="3">
        <v>9.3312576628034698</v>
      </c>
      <c r="M104" s="3">
        <v>5.4448916505849496</v>
      </c>
      <c r="N104" s="3">
        <v>4.3615572645319398</v>
      </c>
      <c r="O104" s="3">
        <v>1.52074468932148</v>
      </c>
      <c r="P104" s="3">
        <v>2.85249044683255</v>
      </c>
      <c r="Q104" s="3">
        <v>3.9970807627013101</v>
      </c>
      <c r="R104" s="3">
        <v>3.1684788294007098</v>
      </c>
      <c r="S104" s="3">
        <v>5.0441019619659899</v>
      </c>
      <c r="T104" s="3">
        <v>4.4024357489005501</v>
      </c>
      <c r="U104" s="3">
        <v>2.46744240663898</v>
      </c>
      <c r="V104" s="3">
        <v>3.3205903142339399</v>
      </c>
    </row>
    <row r="105" spans="1:22" x14ac:dyDescent="0.35">
      <c r="A105" s="2">
        <v>44883</v>
      </c>
      <c r="B105" s="3">
        <v>2.6088365369498101</v>
      </c>
      <c r="C105" s="3">
        <v>9.0296246134935902</v>
      </c>
      <c r="D105" s="3">
        <v>3.9220205859765902</v>
      </c>
      <c r="E105" s="3">
        <v>2.4661220612388202</v>
      </c>
      <c r="F105" s="3">
        <v>4.28631677827026</v>
      </c>
      <c r="G105" s="3">
        <v>3.8198541400864801</v>
      </c>
      <c r="H105" s="3">
        <v>4.2546426960281396</v>
      </c>
      <c r="I105" s="3">
        <v>4.4956004846347097</v>
      </c>
      <c r="J105" s="3">
        <v>3.6813132316769801</v>
      </c>
      <c r="K105" s="3">
        <v>2.5101718887515299</v>
      </c>
      <c r="L105" s="3">
        <v>8.4598898892751304</v>
      </c>
      <c r="M105" s="3">
        <v>4.9549388898200597</v>
      </c>
      <c r="N105" s="3">
        <v>4.5578953455414899</v>
      </c>
      <c r="O105" s="3">
        <v>1.4887637303294801</v>
      </c>
      <c r="P105" s="3">
        <v>2.6789455078192002</v>
      </c>
      <c r="Q105" s="3">
        <v>4.1651048316706003</v>
      </c>
      <c r="R105" s="3">
        <v>3.0594640723716502</v>
      </c>
      <c r="S105" s="3">
        <v>5.0406282114022298</v>
      </c>
      <c r="T105" s="3">
        <v>4.3718124002741297</v>
      </c>
      <c r="U105" s="3">
        <v>2.5811812753468701</v>
      </c>
      <c r="V105" s="3">
        <v>3.4970274535739501</v>
      </c>
    </row>
    <row r="106" spans="1:22" x14ac:dyDescent="0.35">
      <c r="A106" s="2">
        <v>44911</v>
      </c>
      <c r="B106" s="3">
        <v>2.5052470878175099</v>
      </c>
      <c r="C106" s="3">
        <v>8.8410223214005192</v>
      </c>
      <c r="D106" s="3">
        <v>4.0315272603637098</v>
      </c>
      <c r="E106" s="3">
        <v>2.3990793475231098</v>
      </c>
      <c r="F106" s="3">
        <v>4.3007234475889904</v>
      </c>
      <c r="G106" s="3">
        <v>3.9294478077280601</v>
      </c>
      <c r="H106" s="3">
        <v>4.2158012091452903</v>
      </c>
      <c r="I106" s="3">
        <v>4.4452893788404104</v>
      </c>
      <c r="J106" s="3">
        <v>3.88183490192917</v>
      </c>
      <c r="K106" s="3">
        <v>2.54585884719959</v>
      </c>
      <c r="L106" s="3">
        <v>7.3771330467037899</v>
      </c>
      <c r="M106" s="3">
        <v>4.99237328189915</v>
      </c>
      <c r="N106" s="3">
        <v>4.44134206563192</v>
      </c>
      <c r="O106" s="3">
        <v>1.4721913077915301</v>
      </c>
      <c r="P106" s="3">
        <v>2.4683368817693498</v>
      </c>
      <c r="Q106" s="3">
        <v>4.6903257395436198</v>
      </c>
      <c r="R106" s="3">
        <v>3.0444888538386201</v>
      </c>
      <c r="S106" s="3">
        <v>4.6318587614121496</v>
      </c>
      <c r="T106" s="3">
        <v>4.6999820758559601</v>
      </c>
      <c r="U106" s="3">
        <v>2.7459440667249799</v>
      </c>
      <c r="V106" s="3">
        <v>3.8016397743462602</v>
      </c>
    </row>
    <row r="107" spans="1:22" x14ac:dyDescent="0.35">
      <c r="A107" s="2">
        <v>44944</v>
      </c>
      <c r="B107" s="3">
        <v>2.40824515319109</v>
      </c>
      <c r="C107" s="3">
        <v>7.83571829962984</v>
      </c>
      <c r="D107" s="3">
        <v>4.2047450623291702</v>
      </c>
      <c r="E107" s="3">
        <v>2.2172668619944398</v>
      </c>
      <c r="F107" s="3">
        <v>3.94175286613206</v>
      </c>
      <c r="G107" s="3">
        <v>3.7961470841863498</v>
      </c>
      <c r="H107" s="3">
        <v>4.1795263247564698</v>
      </c>
      <c r="I107" s="3">
        <v>4.2216748132513704</v>
      </c>
      <c r="J107" s="3">
        <v>3.65973772233668</v>
      </c>
      <c r="K107" s="3">
        <v>2.53078708107748</v>
      </c>
      <c r="L107" s="3">
        <v>6.6183077222445696</v>
      </c>
      <c r="M107" s="3">
        <v>4.5610685990249502</v>
      </c>
      <c r="N107" s="3">
        <v>4.4305052647809999</v>
      </c>
      <c r="O107" s="3">
        <v>1.4931554615739</v>
      </c>
      <c r="P107" s="3">
        <v>2.2474531173655801</v>
      </c>
      <c r="Q107" s="3">
        <v>4.7757767476439099</v>
      </c>
      <c r="R107" s="3">
        <v>2.9532912888507101</v>
      </c>
      <c r="S107" s="3">
        <v>4.78437634134312</v>
      </c>
      <c r="T107" s="3">
        <v>4.71806264228307</v>
      </c>
      <c r="U107" s="3">
        <v>2.6490147071365899</v>
      </c>
      <c r="V107" s="3">
        <v>3.6745726708252602</v>
      </c>
    </row>
    <row r="108" spans="1:22" x14ac:dyDescent="0.35">
      <c r="A108" s="2">
        <v>44974</v>
      </c>
      <c r="B108" s="3">
        <v>2.4499214160024398</v>
      </c>
      <c r="C108" s="3">
        <v>7.8929475723858697</v>
      </c>
      <c r="D108" s="3">
        <v>4.19304081979607</v>
      </c>
      <c r="E108" s="3">
        <v>2.3262394993516202</v>
      </c>
      <c r="F108" s="3">
        <v>4.2223305430794298</v>
      </c>
      <c r="G108" s="3">
        <v>4.2075658428241001</v>
      </c>
      <c r="H108" s="3">
        <v>4.2634790249012902</v>
      </c>
      <c r="I108" s="3">
        <v>4.0178346263602496</v>
      </c>
      <c r="J108" s="3">
        <v>3.5566334718876398</v>
      </c>
      <c r="K108" s="3">
        <v>2.4681608878800998</v>
      </c>
      <c r="L108" s="3">
        <v>6.4543395181984797</v>
      </c>
      <c r="M108" s="3">
        <v>4.6694818271252903</v>
      </c>
      <c r="N108" s="3">
        <v>3.9431430325378098</v>
      </c>
      <c r="O108" s="3">
        <v>1.53944368284633</v>
      </c>
      <c r="P108" s="3">
        <v>2.33598186661122</v>
      </c>
      <c r="Q108" s="3">
        <v>4.6992915108529196</v>
      </c>
      <c r="R108" s="3">
        <v>3.0187896617009802</v>
      </c>
      <c r="S108" s="3">
        <v>5.27848298909083</v>
      </c>
      <c r="T108" s="3">
        <v>4.6073122871000001</v>
      </c>
      <c r="U108" s="3">
        <v>2.5674962184243402</v>
      </c>
      <c r="V108" s="3">
        <v>3.7033938423842798</v>
      </c>
    </row>
    <row r="109" spans="1:22" x14ac:dyDescent="0.35">
      <c r="A109" s="2">
        <v>45002</v>
      </c>
      <c r="B109" s="3">
        <v>2.5421588567608802</v>
      </c>
      <c r="C109" s="3">
        <v>8.8907318754077096</v>
      </c>
      <c r="D109" s="3">
        <v>4.3567684372053996</v>
      </c>
      <c r="E109" s="3">
        <v>2.7280426702146601</v>
      </c>
      <c r="F109" s="3">
        <v>4.8089183698306597</v>
      </c>
      <c r="G109" s="3">
        <v>4.8021836145072196</v>
      </c>
      <c r="H109" s="3">
        <v>4.4879209650566398</v>
      </c>
      <c r="I109" s="3">
        <v>3.9884385687100901</v>
      </c>
      <c r="J109" s="3">
        <v>3.8712192036837001</v>
      </c>
      <c r="K109" s="3">
        <v>2.4980637808696899</v>
      </c>
      <c r="L109" s="3">
        <v>7.1547904368811697</v>
      </c>
      <c r="M109" s="3">
        <v>4.9286099978991302</v>
      </c>
      <c r="N109" s="3">
        <v>4.4589483245808097</v>
      </c>
      <c r="O109" s="3">
        <v>1.63292204075424</v>
      </c>
      <c r="P109" s="3">
        <v>2.5032335618303398</v>
      </c>
      <c r="Q109" s="3">
        <v>5.0410938610717704</v>
      </c>
      <c r="R109" s="3">
        <v>3.19481629114587</v>
      </c>
      <c r="S109" s="3">
        <v>4.8334269278624298</v>
      </c>
      <c r="T109" s="3">
        <v>4.9492962361093804</v>
      </c>
      <c r="U109" s="3">
        <v>2.45542535800974</v>
      </c>
      <c r="V109" s="3">
        <v>3.9380588170420898</v>
      </c>
    </row>
    <row r="110" spans="1:22" x14ac:dyDescent="0.35">
      <c r="A110" s="2">
        <v>45034</v>
      </c>
      <c r="B110" s="3">
        <v>2.4220303768867599</v>
      </c>
      <c r="C110" s="3">
        <v>7.9317309458001199</v>
      </c>
      <c r="D110" s="3">
        <v>4.3148542243524899</v>
      </c>
      <c r="E110" s="3">
        <v>2.7993746551748799</v>
      </c>
      <c r="F110" s="3">
        <v>4.4391658152129798</v>
      </c>
      <c r="G110" s="3">
        <v>4.6357524164314903</v>
      </c>
      <c r="H110" s="3">
        <v>4.3948076189118996</v>
      </c>
      <c r="I110" s="3">
        <v>3.8652823684919002</v>
      </c>
      <c r="J110" s="3">
        <v>3.6635538084230399</v>
      </c>
      <c r="K110" s="3">
        <v>2.2977059917445799</v>
      </c>
      <c r="L110" s="3">
        <v>6.5028489085421404</v>
      </c>
      <c r="M110" s="3">
        <v>4.4480749931617298</v>
      </c>
      <c r="N110" s="3">
        <v>4.0510357165619402</v>
      </c>
      <c r="O110" s="3">
        <v>1.6064117240295199</v>
      </c>
      <c r="P110" s="3">
        <v>2.41538178370919</v>
      </c>
      <c r="Q110" s="3">
        <v>5.0544238875277196</v>
      </c>
      <c r="R110" s="3">
        <v>3.10376591152979</v>
      </c>
      <c r="S110" s="3">
        <v>5.1062298695806296</v>
      </c>
      <c r="T110" s="3">
        <v>4.4366219247424503</v>
      </c>
      <c r="U110" s="3">
        <v>2.4888295888685201</v>
      </c>
      <c r="V110" s="3">
        <v>3.43761459692224</v>
      </c>
    </row>
    <row r="111" spans="1:22" x14ac:dyDescent="0.35">
      <c r="A111" s="2">
        <v>45064</v>
      </c>
      <c r="B111" s="3">
        <v>2.5435191902911001</v>
      </c>
      <c r="C111" s="3">
        <v>7.2756329755780698</v>
      </c>
      <c r="D111" s="3">
        <v>4.69680191388185</v>
      </c>
      <c r="E111" s="3">
        <v>2.7451254471228101</v>
      </c>
      <c r="F111" s="3">
        <v>4.3664941595057396</v>
      </c>
      <c r="G111" s="3">
        <v>5.1040116374667397</v>
      </c>
      <c r="H111" s="3">
        <v>4.3960427999524203</v>
      </c>
      <c r="I111" s="3">
        <v>3.6739555855125898</v>
      </c>
      <c r="J111" s="3">
        <v>3.5754302134303799</v>
      </c>
      <c r="K111" s="3">
        <v>2.39910401662666</v>
      </c>
      <c r="L111" s="3">
        <v>6.5358947774472398</v>
      </c>
      <c r="M111" s="3">
        <v>4.7060235792098304</v>
      </c>
      <c r="N111" s="3">
        <v>4.2529215526851898</v>
      </c>
      <c r="O111" s="3">
        <v>1.6231533237172699</v>
      </c>
      <c r="P111" s="3">
        <v>2.5415926324074398</v>
      </c>
      <c r="Q111" s="3">
        <v>4.6117822361381302</v>
      </c>
      <c r="R111" s="3">
        <v>3.1865557258020298</v>
      </c>
      <c r="S111" s="3">
        <v>5.6476257811677097</v>
      </c>
      <c r="T111" s="3">
        <v>4.5107506055739899</v>
      </c>
      <c r="U111" s="3">
        <v>2.53206485002144</v>
      </c>
      <c r="V111" s="3">
        <v>3.43984579529659</v>
      </c>
    </row>
    <row r="112" spans="1:22" x14ac:dyDescent="0.35">
      <c r="A112" s="2">
        <v>45093</v>
      </c>
      <c r="B112" s="3">
        <v>2.5080634475944001</v>
      </c>
      <c r="C112" s="3">
        <v>6.9650864325845996</v>
      </c>
      <c r="D112" s="3">
        <v>4.2987257312891796</v>
      </c>
      <c r="E112" s="3">
        <v>2.9438812815833399</v>
      </c>
      <c r="F112" s="3">
        <v>3.8944390524719799</v>
      </c>
      <c r="G112" s="3">
        <v>4.88423622821609</v>
      </c>
      <c r="H112" s="3">
        <v>4.4175903454215302</v>
      </c>
      <c r="I112" s="3">
        <v>3.4384935121433902</v>
      </c>
      <c r="J112" s="3">
        <v>3.6655397007325901</v>
      </c>
      <c r="K112" s="3">
        <v>2.3006011774349502</v>
      </c>
      <c r="L112" s="3">
        <v>6.0485445523244996</v>
      </c>
      <c r="M112" s="3">
        <v>4.4190087938265199</v>
      </c>
      <c r="N112" s="3">
        <v>3.8235699121556901</v>
      </c>
      <c r="O112" s="3">
        <v>1.52835102373413</v>
      </c>
      <c r="P112" s="3">
        <v>2.4140337327168999</v>
      </c>
      <c r="Q112" s="3">
        <v>4.6608541873249596</v>
      </c>
      <c r="R112" s="3">
        <v>3.0948929366192601</v>
      </c>
      <c r="S112" s="3">
        <v>4.7350374113604099</v>
      </c>
      <c r="T112" s="3">
        <v>4.5055975937090897</v>
      </c>
      <c r="U112" s="3">
        <v>2.5906449631678901</v>
      </c>
      <c r="V112" s="3">
        <v>3.4387089426445199</v>
      </c>
    </row>
    <row r="113" spans="1:37" x14ac:dyDescent="0.35">
      <c r="A113" s="2">
        <v>45125</v>
      </c>
      <c r="B113" s="3">
        <v>2.5978904813392401</v>
      </c>
      <c r="C113" s="3">
        <v>6.1940007872458498</v>
      </c>
      <c r="D113" s="3">
        <v>4.18531608280448</v>
      </c>
      <c r="E113" s="3">
        <v>2.9694218022194399</v>
      </c>
      <c r="F113" s="3">
        <v>3.8112911478350799</v>
      </c>
      <c r="G113" s="3">
        <v>4.5939931005043304</v>
      </c>
      <c r="H113" s="3">
        <v>4.3890406657558296</v>
      </c>
      <c r="I113" s="3">
        <v>3.4004948300605999</v>
      </c>
      <c r="J113" s="3">
        <v>3.8424368445317501</v>
      </c>
      <c r="K113" s="3">
        <v>2.3319918011549401</v>
      </c>
      <c r="L113" s="3">
        <v>6.0746731767344002</v>
      </c>
      <c r="M113" s="3">
        <v>4.2380588159719297</v>
      </c>
      <c r="N113" s="3">
        <v>4.0256535394439297</v>
      </c>
      <c r="O113" s="3">
        <v>1.4556918517261901</v>
      </c>
      <c r="P113" s="3">
        <v>2.5059192790441598</v>
      </c>
      <c r="Q113" s="3">
        <v>4.7113353690995599</v>
      </c>
      <c r="R113" s="3">
        <v>3.1070899574968198</v>
      </c>
      <c r="S113" s="3">
        <v>4.1696887030324099</v>
      </c>
      <c r="T113" s="3">
        <v>4.2524994741884203</v>
      </c>
      <c r="U113" s="3">
        <v>2.60666531972366</v>
      </c>
      <c r="V113" s="3">
        <v>3.3716561691154201</v>
      </c>
    </row>
    <row r="114" spans="1:37" x14ac:dyDescent="0.35">
      <c r="A114" s="2">
        <v>45156</v>
      </c>
      <c r="B114" s="3">
        <v>2.6290848896441199</v>
      </c>
      <c r="C114" s="3">
        <v>6.1442314981142596</v>
      </c>
      <c r="D114" s="3">
        <v>4.1531275437340396</v>
      </c>
      <c r="E114" s="3">
        <v>3.04223512034299</v>
      </c>
      <c r="F114" s="3">
        <v>4.0224329279128099</v>
      </c>
      <c r="G114" s="3">
        <v>4.6647945295523403</v>
      </c>
      <c r="H114" s="3">
        <v>4.2781263379524503</v>
      </c>
      <c r="I114" s="3">
        <v>3.63153572858503</v>
      </c>
      <c r="J114" s="3">
        <v>3.97841302753642</v>
      </c>
      <c r="K114" s="3">
        <v>2.4878146907238201</v>
      </c>
      <c r="L114" s="3">
        <v>6.0221124987383696</v>
      </c>
      <c r="M114" s="3">
        <v>4.5079231421350299</v>
      </c>
      <c r="N114" s="3">
        <v>4.4908671299406198</v>
      </c>
      <c r="O114" s="3">
        <v>1.51388455415186</v>
      </c>
      <c r="P114" s="3">
        <v>2.5481829233969502</v>
      </c>
      <c r="Q114" s="3">
        <v>4.5256170233842301</v>
      </c>
      <c r="R114" s="3">
        <v>3.1382085157577602</v>
      </c>
      <c r="S114" s="3">
        <v>3.7740081089716302</v>
      </c>
      <c r="T114" s="3">
        <v>4.22248970212872</v>
      </c>
      <c r="U114" s="3">
        <v>2.55466088080445</v>
      </c>
      <c r="V114" s="3">
        <v>3.58069383906285</v>
      </c>
    </row>
    <row r="115" spans="1:37" x14ac:dyDescent="0.35">
      <c r="A115" s="2">
        <v>45187</v>
      </c>
      <c r="B115" s="3">
        <v>2.6184715881379601</v>
      </c>
      <c r="C115" s="3">
        <v>6.6067120249938798</v>
      </c>
      <c r="D115" s="3">
        <v>4.1681423531787196</v>
      </c>
      <c r="E115" s="3">
        <v>2.8710361774214599</v>
      </c>
      <c r="F115" s="3">
        <v>4.3576008452930797</v>
      </c>
      <c r="G115" s="3">
        <v>4.7143125897431499</v>
      </c>
      <c r="H115" s="3">
        <v>4.2681670219378303</v>
      </c>
      <c r="I115" s="3">
        <v>3.5925945550560701</v>
      </c>
      <c r="J115" s="3">
        <v>4.1473814840279504</v>
      </c>
      <c r="K115" s="3">
        <v>2.3689970605493098</v>
      </c>
      <c r="L115" s="3">
        <v>5.8445920472109503</v>
      </c>
      <c r="M115" s="3">
        <v>4.4837888227433398</v>
      </c>
      <c r="N115" s="3">
        <v>4.5384809332128402</v>
      </c>
      <c r="O115" s="3">
        <v>1.4864229437287699</v>
      </c>
      <c r="P115" s="3">
        <v>2.5145886649892799</v>
      </c>
      <c r="Q115" s="3">
        <v>4.7239110087162697</v>
      </c>
      <c r="R115" s="3">
        <v>3.1400814807294402</v>
      </c>
      <c r="S115" s="3">
        <v>3.9372459882095701</v>
      </c>
      <c r="T115" s="3">
        <v>4.3784935530030502</v>
      </c>
      <c r="U115" s="3">
        <v>2.6383859107635299</v>
      </c>
      <c r="V115" s="3">
        <v>3.72496257950987</v>
      </c>
    </row>
    <row r="116" spans="1:37" x14ac:dyDescent="0.35">
      <c r="A116" s="2">
        <v>45217</v>
      </c>
      <c r="B116" s="3">
        <v>2.7230664239045401</v>
      </c>
      <c r="C116" s="3">
        <v>6.6530394611142603</v>
      </c>
      <c r="D116" s="3">
        <v>4.25900084352714</v>
      </c>
      <c r="E116" s="3">
        <v>2.8683182865855299</v>
      </c>
      <c r="F116" s="3">
        <v>4.1121291572355902</v>
      </c>
      <c r="G116" s="3">
        <v>5.1570888440725504</v>
      </c>
      <c r="H116" s="3">
        <v>4.2961654429434502</v>
      </c>
      <c r="I116" s="3">
        <v>3.6194880509970302</v>
      </c>
      <c r="J116" s="3">
        <v>4.3919725492498403</v>
      </c>
      <c r="K116" s="3">
        <v>2.49662689282777</v>
      </c>
      <c r="L116" s="3">
        <v>6.27460335772773</v>
      </c>
      <c r="M116" s="3">
        <v>4.4926067689225899</v>
      </c>
      <c r="N116" s="3">
        <v>5.0765267111582304</v>
      </c>
      <c r="O116" s="3">
        <v>1.49826311934637</v>
      </c>
      <c r="P116" s="3">
        <v>2.6004263014564901</v>
      </c>
      <c r="Q116" s="3">
        <v>4.8459849405256099</v>
      </c>
      <c r="R116" s="3">
        <v>3.34614518344506</v>
      </c>
      <c r="S116" s="3">
        <v>4.1412097400250696</v>
      </c>
      <c r="T116" s="3">
        <v>4.5851367907094502</v>
      </c>
      <c r="U116" s="3">
        <v>3.13530436924477</v>
      </c>
      <c r="V116" s="3">
        <v>3.8874041617375901</v>
      </c>
    </row>
    <row r="117" spans="1:37" x14ac:dyDescent="0.35">
      <c r="A117" s="2">
        <v>45247</v>
      </c>
      <c r="B117" s="3">
        <v>2.7004571310325201</v>
      </c>
      <c r="C117" s="3">
        <v>6.6788538463091998</v>
      </c>
      <c r="D117" s="3">
        <v>4.1850434249301296</v>
      </c>
      <c r="E117" s="3">
        <v>3.0710193781174699</v>
      </c>
      <c r="F117" s="3">
        <v>4.3396219763414203</v>
      </c>
      <c r="G117" s="3">
        <v>4.3359254099556797</v>
      </c>
      <c r="H117" s="3">
        <v>4.2679420499255096</v>
      </c>
      <c r="I117" s="3">
        <v>3.46722397965295</v>
      </c>
      <c r="J117" s="3">
        <v>4.0658304380234496</v>
      </c>
      <c r="K117" s="3">
        <v>2.4354056571635598</v>
      </c>
      <c r="L117" s="3">
        <v>5.9879228601712899</v>
      </c>
      <c r="M117" s="3">
        <v>4.3517128478676099</v>
      </c>
      <c r="N117" s="3">
        <v>4.5107133409234299</v>
      </c>
      <c r="O117" s="3">
        <v>1.5003014947523501</v>
      </c>
      <c r="P117" s="3">
        <v>2.6123895332771898</v>
      </c>
      <c r="Q117" s="3">
        <v>4.8245830056420198</v>
      </c>
      <c r="R117" s="3">
        <v>3.3494944424969701</v>
      </c>
      <c r="S117" s="3">
        <v>4.4535837787745702</v>
      </c>
      <c r="T117" s="3">
        <v>4.66261294606874</v>
      </c>
      <c r="U117" s="3">
        <v>2.8620937845771</v>
      </c>
      <c r="V117" s="3">
        <v>3.7614081321974502</v>
      </c>
    </row>
    <row r="118" spans="1:37" x14ac:dyDescent="0.35">
      <c r="A118" s="2">
        <v>45278</v>
      </c>
      <c r="B118" s="3">
        <v>2.8424640843805302</v>
      </c>
      <c r="C118" s="3">
        <v>6.7362281325411697</v>
      </c>
      <c r="D118" s="3">
        <v>4.1817614957108704</v>
      </c>
      <c r="E118" s="3">
        <v>3.2168679465779002</v>
      </c>
      <c r="F118" s="3">
        <v>4.9488049814595101</v>
      </c>
      <c r="G118" s="3">
        <v>3.79805832985679</v>
      </c>
      <c r="H118" s="3">
        <v>4.2689764988047703</v>
      </c>
      <c r="I118" s="3">
        <v>3.36526176793204</v>
      </c>
      <c r="J118" s="3">
        <v>3.72505092948342</v>
      </c>
      <c r="K118" s="3">
        <v>2.3321839138840899</v>
      </c>
      <c r="L118" s="3">
        <v>5.7030426140286297</v>
      </c>
      <c r="M118" s="3">
        <v>4.2226573177672604</v>
      </c>
      <c r="N118" s="3">
        <v>4.4834557102626604</v>
      </c>
      <c r="O118" s="3">
        <v>1.3855356160054899</v>
      </c>
      <c r="P118" s="3">
        <v>2.7400739962818799</v>
      </c>
      <c r="Q118" s="3">
        <v>5.0198637590695601</v>
      </c>
      <c r="R118" s="3">
        <v>3.4113077283381399</v>
      </c>
      <c r="S118" s="3">
        <v>4.6982324459285003</v>
      </c>
      <c r="T118" s="3">
        <v>4.7112070365770604</v>
      </c>
      <c r="U118" s="3">
        <v>2.9927688248023498</v>
      </c>
      <c r="V118" s="3">
        <v>3.57003211887691</v>
      </c>
    </row>
    <row r="119" spans="1:37" x14ac:dyDescent="0.35">
      <c r="A119" s="2">
        <v>45309</v>
      </c>
      <c r="B119" s="3">
        <v>2.9042792976910201</v>
      </c>
      <c r="C119" s="3">
        <v>7.1710029147122096</v>
      </c>
      <c r="D119" s="3">
        <v>4.0771432830666496</v>
      </c>
      <c r="E119" s="3">
        <v>3.15102363556126</v>
      </c>
      <c r="F119" s="3">
        <v>5.1893788331077797</v>
      </c>
      <c r="G119" s="3">
        <v>3.6652798553232002</v>
      </c>
      <c r="H119" s="3">
        <v>4.30515945814183</v>
      </c>
      <c r="I119" s="3">
        <v>3.4900583939873502</v>
      </c>
      <c r="J119" s="3">
        <v>3.9615113788301799</v>
      </c>
      <c r="K119" s="3">
        <v>2.4567503285385501</v>
      </c>
      <c r="L119" s="3">
        <v>5.6961476601368801</v>
      </c>
      <c r="M119" s="3">
        <v>4.4396863940414697</v>
      </c>
      <c r="N119" s="3">
        <v>4.6168824726339102</v>
      </c>
      <c r="O119" s="3">
        <v>1.38575720881116</v>
      </c>
      <c r="P119" s="3">
        <v>2.9155094114645999</v>
      </c>
      <c r="Q119" s="3">
        <v>4.7907887460166103</v>
      </c>
      <c r="R119" s="3">
        <v>3.5098946953455599</v>
      </c>
      <c r="S119" s="3">
        <v>4.4027185938084603</v>
      </c>
      <c r="T119" s="3">
        <v>4.5450446734799899</v>
      </c>
      <c r="U119" s="3">
        <v>2.7553412622540998</v>
      </c>
      <c r="V119" s="3">
        <v>3.47229619227911</v>
      </c>
    </row>
    <row r="120" spans="1:37" x14ac:dyDescent="0.35">
      <c r="A120" s="2">
        <v>45338</v>
      </c>
      <c r="B120" s="3">
        <v>2.8392583800259401</v>
      </c>
      <c r="C120" s="3">
        <v>6.5814236180990502</v>
      </c>
      <c r="D120" s="3">
        <v>4.0448542787703197</v>
      </c>
      <c r="E120" s="3">
        <v>2.8222256757860098</v>
      </c>
      <c r="F120" s="3">
        <v>4.7704452506998001</v>
      </c>
      <c r="G120" s="3">
        <v>3.7222353698726001</v>
      </c>
      <c r="H120" s="3">
        <v>4.1692720810675503</v>
      </c>
      <c r="I120" s="3">
        <v>3.3129149170488201</v>
      </c>
      <c r="J120" s="3">
        <v>3.7817137981575102</v>
      </c>
      <c r="K120" s="3">
        <v>2.2446275648584901</v>
      </c>
      <c r="L120" s="3">
        <v>5.7354221783770898</v>
      </c>
      <c r="M120" s="3">
        <v>4.3544705556119103</v>
      </c>
      <c r="N120" s="3">
        <v>4.5250955788734704</v>
      </c>
      <c r="O120" s="3">
        <v>1.34812120550554</v>
      </c>
      <c r="P120" s="3">
        <v>2.91566711733052</v>
      </c>
      <c r="Q120" s="3">
        <v>4.8186166866929598</v>
      </c>
      <c r="R120" s="3">
        <v>3.4573934358013099</v>
      </c>
      <c r="S120" s="3">
        <v>4.0626252276511297</v>
      </c>
      <c r="T120" s="3">
        <v>4.8665441545210202</v>
      </c>
      <c r="U120" s="3">
        <v>2.7739161248934598</v>
      </c>
      <c r="V120" s="3">
        <v>3.3160906173157598</v>
      </c>
    </row>
    <row r="121" spans="1:37" x14ac:dyDescent="0.35">
      <c r="A121" s="2">
        <v>45369</v>
      </c>
      <c r="B121" s="3">
        <v>2.7171054557558101</v>
      </c>
      <c r="C121" s="3">
        <v>7.06213657859593</v>
      </c>
      <c r="D121" s="3">
        <v>4.0768181084410804</v>
      </c>
      <c r="E121" s="3">
        <v>2.6485514001152599</v>
      </c>
      <c r="F121" s="3">
        <v>4.9864715579065697</v>
      </c>
      <c r="G121" s="3">
        <v>3.3592308423507098</v>
      </c>
      <c r="H121" s="3">
        <v>4.12282302776884</v>
      </c>
      <c r="I121" s="3">
        <v>3.1349139391921401</v>
      </c>
      <c r="J121" s="3">
        <v>4.0548138191325798</v>
      </c>
      <c r="K121" s="3">
        <v>2.21552512618746</v>
      </c>
      <c r="L121" s="3">
        <v>6.18490342414532</v>
      </c>
      <c r="M121" s="3">
        <v>4.3203954655024699</v>
      </c>
      <c r="N121" s="3">
        <v>4.87735093002859</v>
      </c>
      <c r="O121" s="3">
        <v>1.36780565408349</v>
      </c>
      <c r="P121" s="3">
        <v>2.8737140636922698</v>
      </c>
      <c r="Q121" s="3">
        <v>4.8257795574076203</v>
      </c>
      <c r="R121" s="3">
        <v>3.4806266780891399</v>
      </c>
      <c r="S121" s="3">
        <v>4.3499651882837203</v>
      </c>
      <c r="T121" s="3">
        <v>5.0531262922072901</v>
      </c>
      <c r="U121" s="3">
        <v>2.29531055440262</v>
      </c>
      <c r="V121" s="3">
        <v>3.3073875039306899</v>
      </c>
    </row>
    <row r="122" spans="1:37" x14ac:dyDescent="0.35">
      <c r="A122" s="2">
        <v>45398</v>
      </c>
      <c r="B122" s="3">
        <v>2.8074249700359002</v>
      </c>
      <c r="C122" s="3">
        <v>6.89860091344576</v>
      </c>
      <c r="D122" s="3">
        <v>4.1878914776844001</v>
      </c>
      <c r="E122" s="3">
        <v>2.9735110441347601</v>
      </c>
      <c r="F122" s="3">
        <v>5.1762073339980299</v>
      </c>
      <c r="G122" s="3">
        <v>3.4062177718367499</v>
      </c>
      <c r="H122" s="3">
        <v>4.2015296884078603</v>
      </c>
      <c r="I122" s="3">
        <v>3.1169103381034899</v>
      </c>
      <c r="J122" s="3">
        <v>4.1223492591456399</v>
      </c>
      <c r="K122" s="3">
        <v>2.2167526418416101</v>
      </c>
      <c r="L122" s="3">
        <v>6.2633062670482298</v>
      </c>
      <c r="M122" s="3">
        <v>4.1493333924428901</v>
      </c>
      <c r="N122" s="3">
        <v>5.4348301536254304</v>
      </c>
      <c r="O122" s="3">
        <v>1.3497584046558599</v>
      </c>
      <c r="P122" s="3">
        <v>3.04458582476127</v>
      </c>
      <c r="Q122" s="3">
        <v>5.6519181873475004</v>
      </c>
      <c r="R122" s="3">
        <v>3.54815414134635</v>
      </c>
      <c r="S122" s="3">
        <v>4.0114049467655599</v>
      </c>
      <c r="T122" s="3">
        <v>5.4510035189674504</v>
      </c>
      <c r="U122" s="3">
        <v>2.4107605732815802</v>
      </c>
      <c r="V122" s="3">
        <v>3.3723063819830701</v>
      </c>
    </row>
    <row r="125" spans="1:37" x14ac:dyDescent="0.35">
      <c r="A125" s="2" t="s">
        <v>91</v>
      </c>
      <c r="B125" s="3" cm="1">
        <f t="array" ref="B125">MIN(_xlfn._xlws.FILTER(B1:B122, ISNUMBER(B1:B122)))</f>
        <v>1.6069521317328599</v>
      </c>
      <c r="C125" s="3" cm="1">
        <f t="array" ref="C125">MIN(_xlfn._xlws.FILTER(C1:C122, ISNUMBER(C1:C122)))</f>
        <v>2.4696696308387001</v>
      </c>
      <c r="D125" s="3" cm="1">
        <f t="array" ref="D125">MIN(_xlfn._xlws.FILTER(D1:D122, ISNUMBER(D1:D122)))</f>
        <v>2.1265679305963001</v>
      </c>
      <c r="E125" s="3" cm="1">
        <f t="array" ref="E125">MIN(_xlfn._xlws.FILTER(E1:E122, ISNUMBER(E1:E122)))</f>
        <v>1.44054896761063</v>
      </c>
      <c r="F125" s="3" cm="1">
        <f t="array" ref="F125">MIN(_xlfn._xlws.FILTER(F1:F122, ISNUMBER(F1:F122)))</f>
        <v>2.3319323974235999</v>
      </c>
      <c r="G125" s="3" cm="1">
        <f t="array" ref="G125">MIN(_xlfn._xlws.FILTER(G1:G122, ISNUMBER(G1:G122)))</f>
        <v>1.42840370503676</v>
      </c>
      <c r="H125" s="3" cm="1">
        <f t="array" ref="H125">MIN(_xlfn._xlws.FILTER(H1:H122, ISNUMBER(H1:H122)))</f>
        <v>2.9320524118395901</v>
      </c>
      <c r="I125" s="3" cm="1">
        <f t="array" ref="I125">MIN(_xlfn._xlws.FILTER(I1:I122, ISNUMBER(I1:I122)))</f>
        <v>3.1169103381034899</v>
      </c>
      <c r="J125" s="3" cm="1">
        <f t="array" ref="J125">MIN(_xlfn._xlws.FILTER(J1:J122, ISNUMBER(J1:J122)))</f>
        <v>2.0203809831598698</v>
      </c>
      <c r="K125" s="3" cm="1">
        <f t="array" ref="K125">MIN(_xlfn._xlws.FILTER(K1:K122, ISNUMBER(K1:K122)))</f>
        <v>1.24624785897797</v>
      </c>
      <c r="L125" s="3" cm="1">
        <f t="array" ref="L125">MIN(_xlfn._xlws.FILTER(L1:L122, ISNUMBER(L1:L122)))</f>
        <v>2.6767598315657302</v>
      </c>
      <c r="M125" s="3" cm="1">
        <f t="array" ref="M125">MIN(_xlfn._xlws.FILTER(M1:M122, ISNUMBER(M1:M122)))</f>
        <v>2.9284295770785</v>
      </c>
      <c r="N125" s="3" cm="1">
        <f t="array" ref="N125">MIN(_xlfn._xlws.FILTER(N1:N122, ISNUMBER(N1:N122)))</f>
        <v>1.8427068591826701</v>
      </c>
      <c r="O125" s="3" cm="1">
        <f t="array" ref="O125">MIN(_xlfn._xlws.FILTER(O1:O122, ISNUMBER(O1:O122)))</f>
        <v>1.26764591336744</v>
      </c>
      <c r="P125" s="3" cm="1">
        <f t="array" ref="P125">MIN(_xlfn._xlws.FILTER(P1:P122, ISNUMBER(P1:P122)))</f>
        <v>1.32640165785801</v>
      </c>
      <c r="Q125" s="3" cm="1">
        <f t="array" ref="Q125">MIN(_xlfn._xlws.FILTER(Q1:Q122, ISNUMBER(Q1:Q122)))</f>
        <v>3.4904415760643501</v>
      </c>
      <c r="R125" s="3" cm="1">
        <f t="array" ref="R125">MIN(_xlfn._xlws.FILTER(R1:R122, ISNUMBER(R1:R122)))</f>
        <v>2.7313386887859399</v>
      </c>
      <c r="S125" s="3" cm="1">
        <f t="array" ref="S125">MIN(_xlfn._xlws.FILTER(S1:S122, ISNUMBER(S1:S122)))</f>
        <v>2.6956427860356</v>
      </c>
      <c r="T125" s="3" cm="1">
        <f t="array" ref="T125">MIN(_xlfn._xlws.FILTER(T1:T122, ISNUMBER(T1:T122)))</f>
        <v>2.45325623499691</v>
      </c>
      <c r="U125" s="3" cm="1">
        <f t="array" ref="U125">MIN(_xlfn._xlws.FILTER(U1:U122, ISNUMBER(U1:U122)))</f>
        <v>1.1291390071620999</v>
      </c>
      <c r="V125" s="3" cm="1">
        <f t="array" ref="V125">MIN(_xlfn._xlws.FILTER(V1:V122, ISNUMBER(V1:V122)))</f>
        <v>2.6941285110551099</v>
      </c>
    </row>
    <row r="126" spans="1:37" x14ac:dyDescent="0.35">
      <c r="A126" s="2" t="s">
        <v>92</v>
      </c>
      <c r="B126" s="3" cm="1">
        <f t="array" ref="B126">MAX(_xlfn._xlws.FILTER(B1:B122, ISNUMBER(B1:B122)))</f>
        <v>3.4974016776602701</v>
      </c>
      <c r="C126" s="3" cm="1">
        <f t="array" ref="C126">MAX(_xlfn._xlws.FILTER(C1:C122, ISNUMBER(C1:C122)))</f>
        <v>9.0296246134935902</v>
      </c>
      <c r="D126" s="3" cm="1">
        <f t="array" ref="D126">MAX(_xlfn._xlws.FILTER(D1:D122, ISNUMBER(D1:D122)))</f>
        <v>4.69680191388185</v>
      </c>
      <c r="E126" s="3" cm="1">
        <f t="array" ref="E126">MAX(_xlfn._xlws.FILTER(E1:E122, ISNUMBER(E1:E122)))</f>
        <v>3.2168679465779002</v>
      </c>
      <c r="F126" s="3" cm="1">
        <f t="array" ref="F126">MAX(_xlfn._xlws.FILTER(F1:F122, ISNUMBER(F1:F122)))</f>
        <v>5.1893788331077797</v>
      </c>
      <c r="G126" s="3" cm="1">
        <f t="array" ref="G126">MAX(_xlfn._xlws.FILTER(G1:G122, ISNUMBER(G1:G122)))</f>
        <v>5.3834086497522504</v>
      </c>
      <c r="H126" s="3" cm="1">
        <f t="array" ref="H126">MAX(_xlfn._xlws.FILTER(H1:H122, ISNUMBER(H1:H122)))</f>
        <v>4.4879209650566398</v>
      </c>
      <c r="I126" s="3" cm="1">
        <f t="array" ref="I126">MAX(_xlfn._xlws.FILTER(I1:I122, ISNUMBER(I1:I122)))</f>
        <v>5.3693020128905502</v>
      </c>
      <c r="J126" s="3" cm="1">
        <f t="array" ref="J126">MAX(_xlfn._xlws.FILTER(J1:J122, ISNUMBER(J1:J122)))</f>
        <v>4.3919725492498403</v>
      </c>
      <c r="K126" s="3" cm="1">
        <f t="array" ref="K126">MAX(_xlfn._xlws.FILTER(K1:K122, ISNUMBER(K1:K122)))</f>
        <v>3.1526641395081598</v>
      </c>
      <c r="L126" s="3" cm="1">
        <f t="array" ref="L126">MAX(_xlfn._xlws.FILTER(L1:L122, ISNUMBER(L1:L122)))</f>
        <v>11.5301367409036</v>
      </c>
      <c r="M126" s="3" cm="1">
        <f t="array" ref="M126">MAX(_xlfn._xlws.FILTER(M1:M122, ISNUMBER(M1:M122)))</f>
        <v>5.8564978093025299</v>
      </c>
      <c r="N126" s="3" cm="1">
        <f t="array" ref="N126">MAX(_xlfn._xlws.FILTER(N1:N122, ISNUMBER(N1:N122)))</f>
        <v>5.9116965831474904</v>
      </c>
      <c r="O126" s="3" cm="1">
        <f t="array" ref="O126">MAX(_xlfn._xlws.FILTER(O1:O122, ISNUMBER(O1:O122)))</f>
        <v>2.35390920152726</v>
      </c>
      <c r="P126" s="3" cm="1">
        <f t="array" ref="P126">MAX(_xlfn._xlws.FILTER(P1:P122, ISNUMBER(P1:P122)))</f>
        <v>3.8114294405407101</v>
      </c>
      <c r="Q126" s="3" cm="1">
        <f t="array" ref="Q126">MAX(_xlfn._xlws.FILTER(Q1:Q122, ISNUMBER(Q1:Q122)))</f>
        <v>6.0882499239157504</v>
      </c>
      <c r="R126" s="3" cm="1">
        <f t="array" ref="R126">MAX(_xlfn._xlws.FILTER(R1:R122, ISNUMBER(R1:R122)))</f>
        <v>5.5387451472003004</v>
      </c>
      <c r="S126" s="3" cm="1">
        <f t="array" ref="S126">MAX(_xlfn._xlws.FILTER(S1:S122, ISNUMBER(S1:S122)))</f>
        <v>6.1976152275549099</v>
      </c>
      <c r="T126" s="3" cm="1">
        <f t="array" ref="T126">MAX(_xlfn._xlws.FILTER(T1:T122, ISNUMBER(T1:T122)))</f>
        <v>7.8587960034615598</v>
      </c>
      <c r="U126" s="3" cm="1">
        <f t="array" ref="U126">MAX(_xlfn._xlws.FILTER(U1:U122, ISNUMBER(U1:U122)))</f>
        <v>4.1481561947958099</v>
      </c>
      <c r="V126" s="3" cm="1">
        <f t="array" ref="V126">MAX(_xlfn._xlws.FILTER(V1:V122, ISNUMBER(V1:V122)))</f>
        <v>5.5733333775480798</v>
      </c>
    </row>
    <row r="128" spans="1:37" x14ac:dyDescent="0.35">
      <c r="A128" s="2" t="s">
        <v>93</v>
      </c>
      <c r="B128" s="9" cm="1">
        <f t="array" ref="B128">_xlfn.PERCENTRANK.EXC(_xlfn._xlws.FILTER(B1:B122, ISNUMBER(B1:B122)),B122)</f>
        <v>0.86299999999999999</v>
      </c>
      <c r="C128" s="9" cm="1">
        <f t="array" ref="C128">_xlfn.PERCENTRANK.EXC(_xlfn._xlws.FILTER(C1:C122, ISNUMBER(C1:C122)),C122)</f>
        <v>0.877</v>
      </c>
      <c r="D128" s="9" cm="1">
        <f t="array" ref="D128">_xlfn.PERCENTRANK.EXC(_xlfn._xlws.FILTER(D1:D122, ISNUMBER(D1:D122)),D122)</f>
        <v>0.92600000000000005</v>
      </c>
      <c r="E128" s="9" cm="1">
        <f t="array" ref="E128">_xlfn.PERCENTRANK.EXC(_xlfn._xlws.FILTER(E1:E122, ISNUMBER(E1:E122)),E122)</f>
        <v>0.95899999999999996</v>
      </c>
      <c r="F128" s="9" cm="1">
        <f t="array" ref="F128">_xlfn.PERCENTRANK.EXC(_xlfn._xlws.FILTER(F1:F122, ISNUMBER(F1:F122)),F122)</f>
        <v>0.97499999999999998</v>
      </c>
      <c r="G128" s="9" cm="1">
        <f t="array" ref="G128">_xlfn.PERCENTRANK.EXC(_xlfn._xlws.FILTER(G1:G122, ISNUMBER(G1:G122)),G122)</f>
        <v>0.70399999999999996</v>
      </c>
      <c r="H128" s="9" cm="1">
        <f t="array" ref="H128">_xlfn.PERCENTRANK.EXC(_xlfn._xlws.FILTER(H1:H122, ISNUMBER(H1:H122)),H122)</f>
        <v>0.84399999999999997</v>
      </c>
      <c r="I128" s="9" cm="1">
        <f t="array" ref="I128">_xlfn.PERCENTRANK.EXC(_xlfn._xlws.FILTER(I1:I122, ISNUMBER(I1:I122)),I122)</f>
        <v>8.0000000000000002E-3</v>
      </c>
      <c r="J128" s="9" cm="1">
        <f t="array" ref="J128">_xlfn.PERCENTRANK.EXC(_xlfn._xlws.FILTER(J1:J122, ISNUMBER(J1:J122)),J122)</f>
        <v>0.94</v>
      </c>
      <c r="K128" s="9" cm="1">
        <f t="array" ref="K128">_xlfn.PERCENTRANK.EXC(_xlfn._xlws.FILTER(K1:K122, ISNUMBER(K1:K122)),K122)</f>
        <v>0.58099999999999996</v>
      </c>
      <c r="L128" s="9" cm="1">
        <f t="array" ref="L128">_xlfn.PERCENTRANK.EXC(_xlfn._xlws.FILTER(L1:L122, ISNUMBER(L1:L122)),L122)</f>
        <v>0.81100000000000005</v>
      </c>
      <c r="M128" s="9" cm="1">
        <f t="array" ref="M128">_xlfn.PERCENTRANK.EXC(_xlfn._xlws.FILTER(M1:M122, ISNUMBER(M1:M122)),M122)</f>
        <v>0.68</v>
      </c>
      <c r="N128" s="9" cm="1">
        <f t="array" ref="N128">_xlfn.PERCENTRANK.EXC(_xlfn._xlws.FILTER(N1:N122, ISNUMBER(N1:N122)),N122)</f>
        <v>0.98299999999999998</v>
      </c>
      <c r="O128" s="9" cm="1">
        <f t="array" ref="O128">_xlfn.PERCENTRANK.EXC(_xlfn._xlws.FILTER(O1:O122, ISNUMBER(O1:O122)),O122)</f>
        <v>6.5000000000000002E-2</v>
      </c>
      <c r="P128" s="9" cm="1">
        <f t="array" ref="P128">_xlfn.PERCENTRANK.EXC(_xlfn._xlws.FILTER(P1:P122, ISNUMBER(P1:P122)),P122)</f>
        <v>0.81899999999999995</v>
      </c>
      <c r="Q128" s="9" cm="1">
        <f t="array" ref="Q128">_xlfn.PERCENTRANK.EXC(_xlfn._xlws.FILTER(Q1:Q122, ISNUMBER(Q1:Q122)),Q122)</f>
        <v>0.97499999999999998</v>
      </c>
      <c r="R128" s="9" cm="1">
        <f t="array" ref="R128">_xlfn.PERCENTRANK.EXC(_xlfn._xlws.FILTER(R1:R122, ISNUMBER(R1:R122)),R122)</f>
        <v>0.877</v>
      </c>
      <c r="S128" s="9" cm="1">
        <f t="array" ref="S128">_xlfn.PERCENTRANK.EXC(_xlfn._xlws.FILTER(S1:S122, ISNUMBER(S1:S122)),S122)</f>
        <v>0.42599999999999999</v>
      </c>
      <c r="T128" s="9" cm="1">
        <f t="array" ref="T128">_xlfn.PERCENTRANK.EXC(_xlfn._xlws.FILTER(T1:T122, ISNUMBER(T1:T122)),T122)</f>
        <v>0.98299999999999998</v>
      </c>
      <c r="U128" s="9" cm="1">
        <f t="array" ref="U128">_xlfn.PERCENTRANK.EXC(_xlfn._xlws.FILTER(U1:U122, ISNUMBER(U1:U122)),U122)</f>
        <v>0.55800000000000005</v>
      </c>
      <c r="V128" s="9" cm="1">
        <f t="array" ref="V128">_xlfn.PERCENTRANK.EXC(_xlfn._xlws.FILTER(V1:V122, ISNUMBER(V1:V122)),V122)</f>
        <v>0.23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5" x14ac:dyDescent="0.35"/>
  <cols>
    <col min="1" max="1" width="24.54296875" bestFit="1" customWidth="1"/>
  </cols>
  <sheetData>
    <row r="1" spans="1:38" x14ac:dyDescent="0.35"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35">
      <c r="A2" s="2" cm="1">
        <f t="array" ref="A2:A122">_xll.FDS(C1,"JULIAN(FG_TOTAL_RETURNC(-10AY,0,AM).dates)")</f>
        <v>41746</v>
      </c>
      <c r="B2" s="24" t="e" cm="1">
        <f t="array" ref="B2:B122">_xll.FDS(B1,"FG_TOTAL_RETURNC(-10AY,0,AM)")/100</f>
        <v>#N/A</v>
      </c>
      <c r="C2" s="24" cm="1">
        <f t="array" ref="C2:C122">_xll.FDS(C1,"FG_TOTAL_RETURNC(-10AY,0,AM)")/100</f>
        <v>8.8029860000000001E-2</v>
      </c>
      <c r="D2" s="24" cm="1">
        <f t="array" ref="D2:D122">_xll.FDS(D1,"FG_TOTAL_RETURNC(-10AY,0,AM)")/100</f>
        <v>-4.5661926000000004E-3</v>
      </c>
      <c r="E2" s="24" cm="1">
        <f t="array" ref="E2:E122">_xll.FDS(E1,"FG_TOTAL_RETURNC(-10AY,0,AM)")/100</f>
        <v>3.8284301999999999E-2</v>
      </c>
      <c r="F2" s="24" cm="1">
        <f t="array" ref="F2:F122">_xll.FDS(F1,"FG_TOTAL_RETURNC(-10AY,0,AM)")/100</f>
        <v>1.7358780000000001E-2</v>
      </c>
      <c r="G2" s="24" cm="1">
        <f t="array" ref="G2:G122">_xll.FDS(G1,"FG_TOTAL_RETURNC(-10AY,0,AM)")/100</f>
        <v>5.4413200000000002E-2</v>
      </c>
      <c r="H2" s="24" cm="1">
        <f t="array" ref="H2:H122">_xll.FDS(H1,"FG_TOTAL_RETURNC(-10AY,0,AM)")/100</f>
        <v>2.7308226000000001E-2</v>
      </c>
      <c r="I2" s="24" cm="1">
        <f t="array" ref="I2:I122">_xll.FDS(I1,"FG_TOTAL_RETURNC(-10AY,0,AM)")/100</f>
        <v>4.5582056000000003E-2</v>
      </c>
      <c r="J2" s="24" cm="1">
        <f t="array" ref="J2:J122">_xll.FDS(J1,"FG_TOTAL_RETURNC(-10AY,0,AM)")/100</f>
        <v>6.3812375000000005E-2</v>
      </c>
      <c r="K2" s="24" cm="1">
        <f t="array" ref="K2:K122">_xll.FDS(K1,"FG_TOTAL_RETURNC(-10AY,0,AM)")/100</f>
        <v>6.3272120000000001E-2</v>
      </c>
      <c r="L2" s="24" cm="1">
        <f t="array" ref="L2:L122">_xll.FDS(L1,"FG_TOTAL_RETURNC(-10AY,0,AM)")/100</f>
        <v>0.17661629999999998</v>
      </c>
      <c r="M2" s="24" cm="1">
        <f t="array" ref="M2:M122">_xll.FDS(M1,"FG_TOTAL_RETURNC(-10AY,0,AM)")/100</f>
        <v>4.5306205999999995E-2</v>
      </c>
      <c r="N2" s="24" cm="1">
        <f t="array" ref="N2:N122">_xll.FDS(N1,"FG_TOTAL_RETURNC(-10AY,0,AM)")/100</f>
        <v>-8.7616809999999989E-2</v>
      </c>
      <c r="O2" s="24" cm="1">
        <f t="array" ref="O2:O122">_xll.FDS(O1,"FG_TOTAL_RETURNC(-10AY,0,AM)")/100</f>
        <v>4.6648383000000002E-2</v>
      </c>
      <c r="P2" s="24" cm="1">
        <f t="array" ref="P2:P122">_xll.FDS(P1,"FG_TOTAL_RETURNC(-10AY,0,AM)")/100</f>
        <v>5.1620364000000002E-2</v>
      </c>
      <c r="Q2" s="24" t="e" cm="1">
        <f t="array" ref="Q2:Q122">_xll.FDS(Q1,"FG_TOTAL_RETURNC(-10AY,0,AM)")/100</f>
        <v>#N/A</v>
      </c>
      <c r="R2" s="24" cm="1">
        <f t="array" ref="R2:R122">_xll.FDS(R1,"FG_TOTAL_RETURNC(-10AY,0,AM)")/100</f>
        <v>2.6291370000000001E-2</v>
      </c>
      <c r="S2" s="24" cm="1">
        <f t="array" ref="S2:S122">_xll.FDS(S1,"FG_TOTAL_RETURNC(-10AY,0,AM)")/100</f>
        <v>0.17264425</v>
      </c>
      <c r="T2" s="24" t="e" cm="1">
        <f t="array" ref="T2:T122">_xll.FDS(T1,"FG_TOTAL_RETURNC(-10AY,0,AM)")/100</f>
        <v>#N/A</v>
      </c>
      <c r="U2" s="24" cm="1">
        <f t="array" ref="U2:U122">_xll.FDS(U1,"FG_TOTAL_RETURNC(-10AY,0,AM)")/100</f>
        <v>-6.1224403000000004E-2</v>
      </c>
      <c r="V2" s="24" t="e" cm="1">
        <f t="array" ref="V2:V122">_xll.FDS(V1,"FG_TOTAL_RETURNC(-10AY,0,AM)")/100</f>
        <v>#N/A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 spans="1:38" x14ac:dyDescent="0.35">
      <c r="A3" s="2">
        <v>41775</v>
      </c>
      <c r="B3" s="24" t="e">
        <v>#N/A</v>
      </c>
      <c r="C3" s="24">
        <v>1.4554857999999999E-2</v>
      </c>
      <c r="D3" s="24">
        <v>4.3401479999999999E-2</v>
      </c>
      <c r="E3" s="24">
        <v>3.8259029999999999E-2</v>
      </c>
      <c r="F3" s="24">
        <v>-2.1077275000000003E-2</v>
      </c>
      <c r="G3" s="24">
        <v>4.3598293999999996E-2</v>
      </c>
      <c r="H3" s="24">
        <v>2.2151827999999998E-2</v>
      </c>
      <c r="I3" s="24">
        <v>-3.3534764999999999E-3</v>
      </c>
      <c r="J3" s="24">
        <v>2.8681636E-2</v>
      </c>
      <c r="K3" s="24">
        <v>2.0882367999999998E-2</v>
      </c>
      <c r="L3" s="24">
        <v>3.7471533000000001E-2</v>
      </c>
      <c r="M3" s="24">
        <v>3.2339692000000003E-2</v>
      </c>
      <c r="N3" s="24">
        <v>-0.14084505999999999</v>
      </c>
      <c r="O3" s="24">
        <v>9.3258379999999988E-2</v>
      </c>
      <c r="P3" s="24">
        <v>-7.7041389999999996E-3</v>
      </c>
      <c r="Q3" s="24" t="e">
        <v>#N/A</v>
      </c>
      <c r="R3" s="24">
        <v>-2.7818083999999999E-3</v>
      </c>
      <c r="S3" s="24">
        <v>3.3434749E-2</v>
      </c>
      <c r="T3" s="24" t="e">
        <v>#N/A</v>
      </c>
      <c r="U3" s="24">
        <v>-6.6666719999999999E-2</v>
      </c>
      <c r="V3" s="24" t="e">
        <v>#N/A</v>
      </c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x14ac:dyDescent="0.35">
      <c r="A4" s="2">
        <v>41808</v>
      </c>
      <c r="B4" s="24" t="e">
        <v>#N/A</v>
      </c>
      <c r="C4" s="24">
        <v>-3.2067537E-2</v>
      </c>
      <c r="D4" s="24">
        <v>-8.6912389999999992E-2</v>
      </c>
      <c r="E4" s="24">
        <v>-2.5367199999999999E-2</v>
      </c>
      <c r="F4" s="24">
        <v>5.1606297000000002E-2</v>
      </c>
      <c r="G4" s="24">
        <v>9.8741055000000008E-3</v>
      </c>
      <c r="H4" s="24">
        <v>3.7151574999999999E-3</v>
      </c>
      <c r="I4" s="24">
        <v>4.9798130000000003E-2</v>
      </c>
      <c r="J4" s="24">
        <v>2.128613E-2</v>
      </c>
      <c r="K4" s="24">
        <v>-4.3063759999999998E-3</v>
      </c>
      <c r="L4" s="24">
        <v>1.4206647999999999E-2</v>
      </c>
      <c r="M4" s="24">
        <v>4.7529935999999998E-3</v>
      </c>
      <c r="N4" s="24">
        <v>0.19523108</v>
      </c>
      <c r="O4" s="24">
        <v>2.7064085000000002E-2</v>
      </c>
      <c r="P4" s="24">
        <v>5.3016899999999999E-2</v>
      </c>
      <c r="Q4" s="24">
        <v>-4.2225720000000001E-2</v>
      </c>
      <c r="R4" s="24">
        <v>3.2805323999999997E-2</v>
      </c>
      <c r="S4" s="24">
        <v>3.9705873000000003E-2</v>
      </c>
      <c r="T4" s="24">
        <v>-9.2782079999999989E-2</v>
      </c>
      <c r="U4" s="24">
        <v>9.2132570000000011E-2</v>
      </c>
      <c r="V4" s="24" t="e">
        <v>#N/A</v>
      </c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</row>
    <row r="5" spans="1:38" x14ac:dyDescent="0.35">
      <c r="A5" s="2">
        <v>41838</v>
      </c>
      <c r="B5" s="24" t="e">
        <v>#N/A</v>
      </c>
      <c r="C5" s="24">
        <v>-1.1392831999999999E-3</v>
      </c>
      <c r="D5" s="24">
        <v>8.1043359999999995E-2</v>
      </c>
      <c r="E5" s="24">
        <v>2.9013634E-2</v>
      </c>
      <c r="F5" s="24">
        <v>-4.3734255E-2</v>
      </c>
      <c r="G5" s="24">
        <v>3.967321E-2</v>
      </c>
      <c r="H5" s="24">
        <v>2.1169186E-3</v>
      </c>
      <c r="I5" s="24">
        <v>2.8205155999999999E-2</v>
      </c>
      <c r="J5" s="24">
        <v>3.5503626000000003E-2</v>
      </c>
      <c r="K5" s="24">
        <v>1.5449523999999998E-4</v>
      </c>
      <c r="L5" s="24">
        <v>2.6508331E-2</v>
      </c>
      <c r="M5" s="24">
        <v>1.10811E-2</v>
      </c>
      <c r="N5" s="24">
        <v>-9.4763040000000007E-2</v>
      </c>
      <c r="O5" s="24">
        <v>-1.4596581E-3</v>
      </c>
      <c r="P5" s="24">
        <v>2.4872540999999998E-2</v>
      </c>
      <c r="Q5" s="24">
        <v>6.7985176999999994E-2</v>
      </c>
      <c r="R5" s="24">
        <v>5.6533217000000004E-2</v>
      </c>
      <c r="S5" s="24">
        <v>4.3847202999999994E-2</v>
      </c>
      <c r="T5" s="24">
        <v>4.2709230000000001E-2</v>
      </c>
      <c r="U5" s="24">
        <v>2.511847E-2</v>
      </c>
      <c r="V5" s="24" t="e">
        <v>#N/A</v>
      </c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</row>
    <row r="6" spans="1:38" x14ac:dyDescent="0.35">
      <c r="A6" s="2">
        <v>41869</v>
      </c>
      <c r="B6" s="24" t="e">
        <v>#N/A</v>
      </c>
      <c r="C6" s="24">
        <v>-2.6327489999999999E-2</v>
      </c>
      <c r="D6" s="24">
        <v>1.0391355E-2</v>
      </c>
      <c r="E6" s="24">
        <v>2.5744199999999998E-2</v>
      </c>
      <c r="F6" s="24">
        <v>-3.4272669999999998E-4</v>
      </c>
      <c r="G6" s="24">
        <v>1.8533826E-2</v>
      </c>
      <c r="H6" s="24">
        <v>1.1264086E-2</v>
      </c>
      <c r="I6" s="24">
        <v>-6.2345266E-3</v>
      </c>
      <c r="J6" s="24">
        <v>1.1520147000000001E-2</v>
      </c>
      <c r="K6" s="24">
        <v>2.5482655E-2</v>
      </c>
      <c r="L6" s="24">
        <v>-3.9741993E-3</v>
      </c>
      <c r="M6" s="24">
        <v>1.7596483E-2</v>
      </c>
      <c r="N6" s="24">
        <v>-6.8870544000000006E-2</v>
      </c>
      <c r="O6" s="24">
        <v>3.2150029999999996E-2</v>
      </c>
      <c r="P6" s="24">
        <v>6.9325566000000005E-2</v>
      </c>
      <c r="Q6" s="24">
        <v>1.9675970000000001E-2</v>
      </c>
      <c r="R6" s="24">
        <v>5.8366059999999994E-3</v>
      </c>
      <c r="S6" s="24">
        <v>-7.2952450000000002E-2</v>
      </c>
      <c r="T6" s="24">
        <v>-7.0335270000000004E-3</v>
      </c>
      <c r="U6" s="24">
        <v>2.0804524000000001E-2</v>
      </c>
      <c r="V6" s="24" t="e">
        <v>#N/A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1:38" x14ac:dyDescent="0.35">
      <c r="A7" s="2">
        <v>41900</v>
      </c>
      <c r="B7" s="24" t="e">
        <v>#N/A</v>
      </c>
      <c r="C7" s="24">
        <v>-2.1358728E-2</v>
      </c>
      <c r="D7" s="24">
        <v>-3.1539260999999999E-2</v>
      </c>
      <c r="E7" s="24">
        <v>9.4118120000000003E-3</v>
      </c>
      <c r="F7" s="24">
        <v>-8.2276464000000001E-3</v>
      </c>
      <c r="G7" s="24">
        <v>-1.4722884E-2</v>
      </c>
      <c r="H7" s="24">
        <v>-4.0222764000000001E-2</v>
      </c>
      <c r="I7" s="24">
        <v>4.3915510000000005E-3</v>
      </c>
      <c r="J7" s="24">
        <v>3.3742189999999999E-3</v>
      </c>
      <c r="K7" s="24">
        <v>-4.2921724000000001E-2</v>
      </c>
      <c r="L7" s="24">
        <v>-3.4530937999999997E-2</v>
      </c>
      <c r="M7" s="24">
        <v>-3.6974489999999999E-2</v>
      </c>
      <c r="N7" s="24">
        <v>-3.5502970000000002E-2</v>
      </c>
      <c r="O7" s="24">
        <v>2.0441294000000002E-2</v>
      </c>
      <c r="P7" s="24">
        <v>-2.6557325999999999E-2</v>
      </c>
      <c r="Q7" s="24">
        <v>2.1188020000000002E-2</v>
      </c>
      <c r="R7" s="24">
        <v>2.7146697000000001E-2</v>
      </c>
      <c r="S7" s="24">
        <v>-3.2479583999999999E-2</v>
      </c>
      <c r="T7" s="24">
        <v>5.5833339999999995E-2</v>
      </c>
      <c r="U7" s="24">
        <v>2.2192001000000003E-2</v>
      </c>
      <c r="V7" s="24" t="e">
        <v>#N/A</v>
      </c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spans="1:38" x14ac:dyDescent="0.35">
      <c r="A8" s="2">
        <v>41929</v>
      </c>
      <c r="B8" s="24" t="e">
        <v>#N/A</v>
      </c>
      <c r="C8" s="24">
        <v>-4.7596930000000003E-2</v>
      </c>
      <c r="D8" s="24">
        <v>-4.2477903000000004E-2</v>
      </c>
      <c r="E8" s="24">
        <v>-3.0044019999999998E-2</v>
      </c>
      <c r="F8" s="24">
        <v>-6.0490847E-2</v>
      </c>
      <c r="G8" s="24">
        <v>-7.7517269999999999E-2</v>
      </c>
      <c r="H8" s="24">
        <v>-4.0618953999999999E-2</v>
      </c>
      <c r="I8" s="24">
        <v>-7.1830153000000008E-2</v>
      </c>
      <c r="J8" s="24">
        <v>-7.9445242999999999E-2</v>
      </c>
      <c r="K8" s="24">
        <v>-0.10621559</v>
      </c>
      <c r="L8" s="24">
        <v>-6.8017300000000003E-2</v>
      </c>
      <c r="M8" s="24">
        <v>-6.4233600000000002E-2</v>
      </c>
      <c r="N8" s="24">
        <v>-0.14979552999999998</v>
      </c>
      <c r="O8" s="24">
        <v>-5.4690003000000001E-2</v>
      </c>
      <c r="P8" s="24">
        <v>-5.1755247000000004E-2</v>
      </c>
      <c r="Q8" s="24">
        <v>-7.9659104000000008E-2</v>
      </c>
      <c r="R8" s="24">
        <v>-3.5045445000000001E-2</v>
      </c>
      <c r="S8" s="24">
        <v>-3.625548E-2</v>
      </c>
      <c r="T8" s="24">
        <v>-0.15035515999999999</v>
      </c>
      <c r="U8" s="24">
        <v>-7.6207339999999998E-2</v>
      </c>
      <c r="V8" s="24" t="e">
        <v>#N/A</v>
      </c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x14ac:dyDescent="0.35">
      <c r="A9" s="2">
        <v>41961</v>
      </c>
      <c r="B9" s="24" t="e">
        <v>#N/A</v>
      </c>
      <c r="C9" s="24">
        <v>2.5109648999999998E-2</v>
      </c>
      <c r="D9" s="24">
        <v>3.2902121999999999E-2</v>
      </c>
      <c r="E9" s="24">
        <v>3.3911943E-2</v>
      </c>
      <c r="F9" s="24">
        <v>7.3587893999999996E-4</v>
      </c>
      <c r="G9" s="24">
        <v>-4.485607E-3</v>
      </c>
      <c r="H9" s="24">
        <v>-2.6881695E-3</v>
      </c>
      <c r="I9" s="24">
        <v>3.7685037000000005E-2</v>
      </c>
      <c r="J9" s="24">
        <v>2.8920173999999999E-3</v>
      </c>
      <c r="K9" s="24">
        <v>3.1690598E-3</v>
      </c>
      <c r="L9" s="24">
        <v>-0.11801249</v>
      </c>
      <c r="M9" s="24">
        <v>9.6255780000000013E-2</v>
      </c>
      <c r="N9" s="24">
        <v>-3.2471358999999998E-2</v>
      </c>
      <c r="O9" s="24">
        <v>7.5008389999999994E-2</v>
      </c>
      <c r="P9" s="24">
        <v>1.9674181999999998E-2</v>
      </c>
      <c r="Q9" s="24">
        <v>6.1014533000000003E-2</v>
      </c>
      <c r="R9" s="24">
        <v>3.4381986000000003E-2</v>
      </c>
      <c r="S9" s="24">
        <v>9.1162320000000005E-2</v>
      </c>
      <c r="T9" s="24">
        <v>6.3632129999999995E-2</v>
      </c>
      <c r="U9" s="24">
        <v>1.0071874000000001E-2</v>
      </c>
      <c r="V9" s="24" t="e">
        <v>#N/A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</row>
    <row r="10" spans="1:38" x14ac:dyDescent="0.35">
      <c r="A10" s="2">
        <v>41991</v>
      </c>
      <c r="B10" s="24" t="e">
        <v>#N/A</v>
      </c>
      <c r="C10" s="24">
        <v>-5.617875E-2</v>
      </c>
      <c r="D10" s="24">
        <v>-4.0138245000000003E-2</v>
      </c>
      <c r="E10" s="24">
        <v>-2.1877347999999998E-2</v>
      </c>
      <c r="F10" s="24">
        <v>-6.1544657000000003E-2</v>
      </c>
      <c r="G10" s="24">
        <v>-3.8667738E-2</v>
      </c>
      <c r="H10" s="24">
        <v>-8.8280560000000008E-2</v>
      </c>
      <c r="I10" s="24">
        <v>-2.4513364000000003E-2</v>
      </c>
      <c r="J10" s="24">
        <v>-9.5593339999999999E-2</v>
      </c>
      <c r="K10" s="24">
        <v>-2.1028519000000002E-2</v>
      </c>
      <c r="L10" s="24">
        <v>-9.265952999999999E-2</v>
      </c>
      <c r="M10" s="24">
        <v>-6.2482715000000001E-2</v>
      </c>
      <c r="N10" s="24">
        <v>-8.3903019999999995E-2</v>
      </c>
      <c r="O10" s="24">
        <v>-5.7713029999999998E-2</v>
      </c>
      <c r="P10" s="24">
        <v>1.9962907000000002E-2</v>
      </c>
      <c r="Q10" s="24">
        <v>-0.13377047</v>
      </c>
      <c r="R10" s="24">
        <v>-4.0777326000000003E-2</v>
      </c>
      <c r="S10" s="24">
        <v>-2.2254645999999999E-2</v>
      </c>
      <c r="T10" s="24">
        <v>-0.18733619999999998</v>
      </c>
      <c r="U10" s="24">
        <v>-9.3067410000000003E-2</v>
      </c>
      <c r="V10" s="24" t="e">
        <v>#N/A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38" x14ac:dyDescent="0.35">
      <c r="A11" s="2">
        <v>42020</v>
      </c>
      <c r="B11" s="24" t="e">
        <v>#N/A</v>
      </c>
      <c r="C11" s="24">
        <v>-4.9962163000000004E-2</v>
      </c>
      <c r="D11" s="24">
        <v>0</v>
      </c>
      <c r="E11" s="24">
        <v>6.4601539999999999E-2</v>
      </c>
      <c r="F11" s="24">
        <v>-9.6993980000000007E-2</v>
      </c>
      <c r="G11" s="24">
        <v>-4.9439190000000001E-2</v>
      </c>
      <c r="H11" s="24">
        <v>3.0188559999999999E-3</v>
      </c>
      <c r="I11" s="24">
        <v>2.5084734000000001E-2</v>
      </c>
      <c r="J11" s="24">
        <v>-1.5069485000000001E-2</v>
      </c>
      <c r="K11" s="24">
        <v>2.0137906000000001E-2</v>
      </c>
      <c r="L11" s="24">
        <v>3.0014038E-2</v>
      </c>
      <c r="M11" s="24">
        <v>1.3840199000000001E-3</v>
      </c>
      <c r="N11" s="24">
        <v>-0.12889957000000002</v>
      </c>
      <c r="O11" s="24">
        <v>7.400000000000001E-2</v>
      </c>
      <c r="P11" s="24">
        <v>4.5986532999999996E-2</v>
      </c>
      <c r="Q11" s="24">
        <v>1.6644716E-2</v>
      </c>
      <c r="R11" s="24">
        <v>6.2632560000000005E-4</v>
      </c>
      <c r="S11" s="24">
        <v>5.279851E-2</v>
      </c>
      <c r="T11" s="24">
        <v>7.1401595999999998E-2</v>
      </c>
      <c r="U11" s="24">
        <v>1.4655708999999999E-2</v>
      </c>
      <c r="V11" s="24" t="e">
        <v>#N/A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1:38" x14ac:dyDescent="0.35">
      <c r="A12" s="2">
        <v>42053</v>
      </c>
      <c r="B12" s="24" t="e">
        <v>#N/A</v>
      </c>
      <c r="C12" s="24">
        <v>8.6586949999999996E-2</v>
      </c>
      <c r="D12" s="24">
        <v>3.1413674000000003E-2</v>
      </c>
      <c r="E12" s="24">
        <v>4.4267653999999997E-2</v>
      </c>
      <c r="F12" s="24">
        <v>5.3040384999999995E-2</v>
      </c>
      <c r="G12" s="24">
        <v>1.5521765E-2</v>
      </c>
      <c r="H12" s="24">
        <v>1.1286616000000001E-2</v>
      </c>
      <c r="I12" s="24">
        <v>5.0264597000000001E-2</v>
      </c>
      <c r="J12" s="24">
        <v>1.5987635E-2</v>
      </c>
      <c r="K12" s="24">
        <v>-4.4460296999999996E-3</v>
      </c>
      <c r="L12" s="24">
        <v>-3.6220074000000005E-2</v>
      </c>
      <c r="M12" s="24">
        <v>5.4975389999999999E-2</v>
      </c>
      <c r="N12" s="24">
        <v>9.4338655000000011E-3</v>
      </c>
      <c r="O12" s="24">
        <v>2.8243303000000001E-2</v>
      </c>
      <c r="P12" s="24">
        <v>2.433753E-2</v>
      </c>
      <c r="Q12" s="24">
        <v>4.5234799999999999E-2</v>
      </c>
      <c r="R12" s="24">
        <v>5.6267858000000004E-2</v>
      </c>
      <c r="S12" s="24">
        <v>-7.7441034000000006E-2</v>
      </c>
      <c r="T12" s="24">
        <v>-5.6467650000000006E-3</v>
      </c>
      <c r="U12" s="24">
        <v>3.8451671999999999E-2</v>
      </c>
      <c r="V12" s="24" t="e">
        <v>#N/A</v>
      </c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38" x14ac:dyDescent="0.35">
      <c r="A13" s="2">
        <v>42081</v>
      </c>
      <c r="B13" s="24" t="e">
        <v>#N/A</v>
      </c>
      <c r="C13" s="24">
        <v>-4.7176720000000005E-2</v>
      </c>
      <c r="D13" s="24">
        <v>-7.6141952999999995E-3</v>
      </c>
      <c r="E13" s="24">
        <v>-1.2383938000000001E-2</v>
      </c>
      <c r="F13" s="24">
        <v>-1.4541686E-2</v>
      </c>
      <c r="G13" s="24">
        <v>-7.0243893000000002E-2</v>
      </c>
      <c r="H13" s="24">
        <v>-8.9285373999999987E-3</v>
      </c>
      <c r="I13" s="24">
        <v>1.7632246000000001E-2</v>
      </c>
      <c r="J13" s="24">
        <v>3.045678E-3</v>
      </c>
      <c r="K13" s="24">
        <v>3.5369754000000003E-2</v>
      </c>
      <c r="L13" s="24">
        <v>-0.11443906999999999</v>
      </c>
      <c r="M13" s="24">
        <v>-1.9941687999999999E-2</v>
      </c>
      <c r="N13" s="24">
        <v>-0.17834885</v>
      </c>
      <c r="O13" s="24">
        <v>1.2072325000000001E-3</v>
      </c>
      <c r="P13" s="24">
        <v>1.3795732999999999E-2</v>
      </c>
      <c r="Q13" s="24">
        <v>-5.3528547000000003E-2</v>
      </c>
      <c r="R13" s="24">
        <v>-4.4687330000000004E-2</v>
      </c>
      <c r="S13" s="24">
        <v>-0.10122937</v>
      </c>
      <c r="T13" s="24">
        <v>-7.4341773999999999E-2</v>
      </c>
      <c r="U13" s="24">
        <v>-8.1959839999999992E-2</v>
      </c>
      <c r="V13" s="24" t="e">
        <v>#N/A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1:38" x14ac:dyDescent="0.35">
      <c r="A14" s="2">
        <v>42111</v>
      </c>
      <c r="B14" s="24" t="e">
        <v>#N/A</v>
      </c>
      <c r="C14" s="24">
        <v>8.3889249999999999E-2</v>
      </c>
      <c r="D14" s="24">
        <v>7.6725480000000004E-3</v>
      </c>
      <c r="E14" s="24">
        <v>1.0368942999999999E-2</v>
      </c>
      <c r="F14" s="24">
        <v>5.9880256999999999E-2</v>
      </c>
      <c r="G14" s="24">
        <v>3.3228397E-2</v>
      </c>
      <c r="H14" s="24">
        <v>2.7777790000000004E-2</v>
      </c>
      <c r="I14" s="24">
        <v>-2.4133623000000003E-2</v>
      </c>
      <c r="J14" s="24">
        <v>5.3981539999999996E-3</v>
      </c>
      <c r="K14" s="24">
        <v>5.2795053000000002E-2</v>
      </c>
      <c r="L14" s="24">
        <v>0.10194635000000001</v>
      </c>
      <c r="M14" s="24">
        <v>3.8912772999999998E-2</v>
      </c>
      <c r="N14" s="24">
        <v>-7.5830819999999997E-3</v>
      </c>
      <c r="O14" s="24">
        <v>-2.8489589999999999E-2</v>
      </c>
      <c r="P14" s="24">
        <v>0.15705918999999999</v>
      </c>
      <c r="Q14" s="24">
        <v>1.7421961E-2</v>
      </c>
      <c r="R14" s="24">
        <v>2.3081898999999999E-2</v>
      </c>
      <c r="S14" s="24">
        <v>-1.1754632000000001E-2</v>
      </c>
      <c r="T14" s="24">
        <v>0.1749184</v>
      </c>
      <c r="U14" s="24">
        <v>1.3348103E-2</v>
      </c>
      <c r="V14" s="24" t="e">
        <v>#N/A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1:38" x14ac:dyDescent="0.35">
      <c r="A15" s="2">
        <v>42142</v>
      </c>
      <c r="B15" s="24" t="e">
        <v>#N/A</v>
      </c>
      <c r="C15" s="24">
        <v>3.8343189999999999E-2</v>
      </c>
      <c r="D15" s="24">
        <v>-6.3089190000000003E-2</v>
      </c>
      <c r="E15" s="24">
        <v>-6.9212914000000006E-3</v>
      </c>
      <c r="F15" s="24">
        <v>4.9636839999999995E-2</v>
      </c>
      <c r="G15" s="24">
        <v>4.9424530000000001E-2</v>
      </c>
      <c r="H15" s="24">
        <v>2.1914244000000001E-3</v>
      </c>
      <c r="I15" s="24">
        <v>3.8046956E-2</v>
      </c>
      <c r="J15" s="24">
        <v>1.5604019E-2</v>
      </c>
      <c r="K15" s="24">
        <v>-2.6057005000000001E-2</v>
      </c>
      <c r="L15" s="24">
        <v>4.6185017000000002E-2</v>
      </c>
      <c r="M15" s="24">
        <v>-6.0042740000000004E-3</v>
      </c>
      <c r="N15" s="24">
        <v>0.19102202999999998</v>
      </c>
      <c r="O15" s="24">
        <v>-5.1357626999999996E-2</v>
      </c>
      <c r="P15" s="24">
        <v>-2.1235347000000001E-3</v>
      </c>
      <c r="Q15" s="24">
        <v>4.698169E-2</v>
      </c>
      <c r="R15" s="24">
        <v>-3.6021291999999996E-2</v>
      </c>
      <c r="S15" s="24">
        <v>0.11483561999999999</v>
      </c>
      <c r="T15" s="24">
        <v>-9.5314980000000011E-3</v>
      </c>
      <c r="U15" s="24">
        <v>-8.6168999999999996E-2</v>
      </c>
      <c r="V15" s="24" t="e">
        <v>#N/A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1:38" x14ac:dyDescent="0.35">
      <c r="A16" s="2">
        <v>42173</v>
      </c>
      <c r="B16" s="24" t="e">
        <v>#N/A</v>
      </c>
      <c r="C16" s="24">
        <v>-9.9384549999999988E-2</v>
      </c>
      <c r="D16" s="24">
        <v>-6.3854456000000004E-2</v>
      </c>
      <c r="E16" s="24">
        <v>-4.2057219999999999E-2</v>
      </c>
      <c r="F16" s="24">
        <v>-8.5351759999999999E-2</v>
      </c>
      <c r="G16" s="24">
        <v>-2.9089271999999999E-2</v>
      </c>
      <c r="H16" s="24">
        <v>-8.3090419999999998E-2</v>
      </c>
      <c r="I16" s="24">
        <v>-3.5430730000000001E-2</v>
      </c>
      <c r="J16" s="24">
        <v>-2.3624659000000003E-2</v>
      </c>
      <c r="K16" s="24">
        <v>-6.1080275000000003E-2</v>
      </c>
      <c r="L16" s="24">
        <v>-4.4284579999999997E-2</v>
      </c>
      <c r="M16" s="24">
        <v>-7.5506983E-2</v>
      </c>
      <c r="N16" s="24">
        <v>-0.15156383000000001</v>
      </c>
      <c r="O16" s="24">
        <v>-1.40661E-2</v>
      </c>
      <c r="P16" s="24">
        <v>-5.3691269999999999E-2</v>
      </c>
      <c r="Q16" s="24">
        <v>-4.4953345999999998E-2</v>
      </c>
      <c r="R16" s="24">
        <v>-1.5690923000000001E-3</v>
      </c>
      <c r="S16" s="24">
        <v>-0.11328803999999999</v>
      </c>
      <c r="T16" s="24">
        <v>-7.514298E-3</v>
      </c>
      <c r="U16" s="24">
        <v>0.10090089000000001</v>
      </c>
      <c r="V16" s="24" t="e">
        <v>#N/A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1:38" x14ac:dyDescent="0.35">
      <c r="A17" s="2">
        <v>42202</v>
      </c>
      <c r="B17" s="24" t="e">
        <v>#N/A</v>
      </c>
      <c r="C17" s="24">
        <v>-2.7644992E-2</v>
      </c>
      <c r="D17" s="24">
        <v>-2.3685873000000003E-2</v>
      </c>
      <c r="E17" s="24">
        <v>-1.6959368999999998E-2</v>
      </c>
      <c r="F17" s="24">
        <v>-3.7788212000000002E-2</v>
      </c>
      <c r="G17" s="24">
        <v>-5.7727575000000003E-2</v>
      </c>
      <c r="H17" s="24">
        <v>-1.9932508000000002E-2</v>
      </c>
      <c r="I17" s="24">
        <v>-1.773274E-2</v>
      </c>
      <c r="J17" s="24">
        <v>-2.3034214999999997E-2</v>
      </c>
      <c r="K17" s="24">
        <v>-5.1075220000000005E-2</v>
      </c>
      <c r="L17" s="24">
        <v>-7.0059240000000009E-2</v>
      </c>
      <c r="M17" s="24">
        <v>2.2204994999999998E-2</v>
      </c>
      <c r="N17" s="24">
        <v>-2.2684216E-2</v>
      </c>
      <c r="O17" s="24">
        <v>4.6174407000000001E-2</v>
      </c>
      <c r="P17" s="24">
        <v>-7.7879550000000006E-2</v>
      </c>
      <c r="Q17" s="24">
        <v>-3.5523771999999999E-3</v>
      </c>
      <c r="R17" s="24">
        <v>-1.9051194E-2</v>
      </c>
      <c r="S17" s="24">
        <v>3.5557270000000002E-2</v>
      </c>
      <c r="T17" s="24">
        <v>8.4366800000000002E-3</v>
      </c>
      <c r="U17" s="24">
        <v>4.5826553999999999E-2</v>
      </c>
      <c r="V17" s="24" t="e">
        <v>#N/A</v>
      </c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1:38" x14ac:dyDescent="0.35">
      <c r="A18" s="2">
        <v>42234</v>
      </c>
      <c r="B18" s="24" t="e">
        <v>#N/A</v>
      </c>
      <c r="C18" s="24">
        <v>-0.10142630999999999</v>
      </c>
      <c r="D18" s="24">
        <v>-0.12655507999999999</v>
      </c>
      <c r="E18" s="24">
        <v>-6.9045123999999999E-2</v>
      </c>
      <c r="F18" s="24">
        <v>-3.9665042999999997E-2</v>
      </c>
      <c r="G18" s="24">
        <v>-0.16441756999999999</v>
      </c>
      <c r="H18" s="24">
        <v>-0.16269516000000001</v>
      </c>
      <c r="I18" s="24">
        <v>-0.14571243</v>
      </c>
      <c r="J18" s="24">
        <v>-5.4072975999999995E-2</v>
      </c>
      <c r="K18" s="24">
        <v>-9.0273909999999999E-2</v>
      </c>
      <c r="L18" s="24">
        <v>-0.16370560000000001</v>
      </c>
      <c r="M18" s="24">
        <v>-9.6699950000000007E-2</v>
      </c>
      <c r="N18" s="24">
        <v>-2.8046489000000001E-2</v>
      </c>
      <c r="O18" s="24">
        <v>-4.1719730000000003E-2</v>
      </c>
      <c r="P18" s="24">
        <v>-8.2069690000000015E-2</v>
      </c>
      <c r="Q18" s="24">
        <v>-2.1390438000000001E-2</v>
      </c>
      <c r="R18" s="24">
        <v>-7.2128295999999995E-2</v>
      </c>
      <c r="S18" s="24">
        <v>-0.1606834</v>
      </c>
      <c r="T18" s="24">
        <v>-8.0142740000000004E-2</v>
      </c>
      <c r="U18" s="24">
        <v>-0.107981205</v>
      </c>
      <c r="V18" s="24" t="e">
        <v>#N/A</v>
      </c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1:38" x14ac:dyDescent="0.35">
      <c r="A19" s="2">
        <v>42265</v>
      </c>
      <c r="B19" s="24" t="e">
        <v>#N/A</v>
      </c>
      <c r="C19" s="24">
        <v>2.8218627E-2</v>
      </c>
      <c r="D19" s="24">
        <v>-9.0864480000000011E-2</v>
      </c>
      <c r="E19" s="24">
        <v>-3.0879498000000002E-2</v>
      </c>
      <c r="F19" s="24">
        <v>-2.7536154000000002E-3</v>
      </c>
      <c r="G19" s="24">
        <v>-2.5924385000000001E-2</v>
      </c>
      <c r="H19" s="24">
        <v>2.9440641E-2</v>
      </c>
      <c r="I19" s="24">
        <v>3.9999962E-2</v>
      </c>
      <c r="J19" s="24">
        <v>-1.8071174999999998E-2</v>
      </c>
      <c r="K19" s="24">
        <v>3.7782906999999998E-2</v>
      </c>
      <c r="L19" s="24">
        <v>-0.13770866000000001</v>
      </c>
      <c r="M19" s="24">
        <v>-4.4519960000000004E-2</v>
      </c>
      <c r="N19" s="24">
        <v>5.0746201999999997E-2</v>
      </c>
      <c r="O19" s="24">
        <v>-7.2116970000000002E-2</v>
      </c>
      <c r="P19" s="24">
        <v>-7.5985966000000002E-2</v>
      </c>
      <c r="Q19" s="24">
        <v>-4.1211246999999999E-2</v>
      </c>
      <c r="R19" s="24">
        <v>1.2902378999999999E-2</v>
      </c>
      <c r="S19" s="24">
        <v>-6.2355099999999997E-2</v>
      </c>
      <c r="T19" s="24">
        <v>-4.6625494999999996E-2</v>
      </c>
      <c r="U19" s="24">
        <v>-8.479536E-2</v>
      </c>
      <c r="V19" s="24" t="e">
        <v>#N/A</v>
      </c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1:38" x14ac:dyDescent="0.35">
      <c r="A20" s="2">
        <v>42293</v>
      </c>
      <c r="B20" s="24" t="e">
        <v>#N/A</v>
      </c>
      <c r="C20" s="24">
        <v>2.3156165999999999E-2</v>
      </c>
      <c r="D20" s="24">
        <v>0.14694750000000001</v>
      </c>
      <c r="E20" s="24">
        <v>3.4423827999999997E-2</v>
      </c>
      <c r="F20" s="24">
        <v>1.5646576999999998E-2</v>
      </c>
      <c r="G20" s="24">
        <v>3.3595084999999997E-2</v>
      </c>
      <c r="H20" s="24">
        <v>5.7197329999999998E-2</v>
      </c>
      <c r="I20" s="24">
        <v>4.3541429999999999E-2</v>
      </c>
      <c r="J20" s="24">
        <v>3.5680770000000001E-2</v>
      </c>
      <c r="K20" s="24">
        <v>8.6417309999999997E-2</v>
      </c>
      <c r="L20" s="24">
        <v>4.3994665000000002E-2</v>
      </c>
      <c r="M20" s="24">
        <v>8.6786379999999996E-2</v>
      </c>
      <c r="N20" s="24">
        <v>-8.5227489999999996E-3</v>
      </c>
      <c r="O20" s="24">
        <v>6.0530066E-2</v>
      </c>
      <c r="P20" s="24">
        <v>9.3184360000000008E-2</v>
      </c>
      <c r="Q20" s="24">
        <v>3.5383463000000004E-2</v>
      </c>
      <c r="R20" s="24">
        <v>2.0182490000000001E-2</v>
      </c>
      <c r="S20" s="24">
        <v>0.11459196000000001</v>
      </c>
      <c r="T20" s="24">
        <v>2.9741882999999997E-2</v>
      </c>
      <c r="U20" s="24">
        <v>0.11629391</v>
      </c>
      <c r="V20" s="24">
        <v>5.2184223999999994E-2</v>
      </c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1:38" x14ac:dyDescent="0.35">
      <c r="A21" s="2">
        <v>42326</v>
      </c>
      <c r="B21" s="24" t="e">
        <v>#N/A</v>
      </c>
      <c r="C21" s="24">
        <v>-7.2925386000000009E-2</v>
      </c>
      <c r="D21" s="24">
        <v>-1.6486107999999999E-2</v>
      </c>
      <c r="E21" s="24">
        <v>-5.9405922999999999E-2</v>
      </c>
      <c r="F21" s="24">
        <v>-0.11146349000000001</v>
      </c>
      <c r="G21" s="24">
        <v>-6.3438060000000004E-2</v>
      </c>
      <c r="H21" s="24">
        <v>-7.0333599999999996E-2</v>
      </c>
      <c r="I21" s="24">
        <v>-5.1460323000000002E-2</v>
      </c>
      <c r="J21" s="24">
        <v>-1.9764304E-2</v>
      </c>
      <c r="K21" s="24">
        <v>-4.1981276999999997E-2</v>
      </c>
      <c r="L21" s="24">
        <v>3.6873102000000005E-2</v>
      </c>
      <c r="M21" s="24">
        <v>-0.10080183</v>
      </c>
      <c r="N21" s="24">
        <v>-9.6466060000000006E-2</v>
      </c>
      <c r="O21" s="24">
        <v>-8.3417840000000007E-2</v>
      </c>
      <c r="P21" s="24">
        <v>-3.4955025000000001E-2</v>
      </c>
      <c r="Q21" s="24">
        <v>-9.2201770000000002E-2</v>
      </c>
      <c r="R21" s="24">
        <v>-2.9301046999999997E-2</v>
      </c>
      <c r="S21" s="24">
        <v>3.8461447000000003E-2</v>
      </c>
      <c r="T21" s="24">
        <v>-0.15313351</v>
      </c>
      <c r="U21" s="24">
        <v>-5.6668577000000005E-2</v>
      </c>
      <c r="V21" s="24">
        <v>-7.3941229999999997E-2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1:38" x14ac:dyDescent="0.35">
      <c r="A22" s="2">
        <v>42356</v>
      </c>
      <c r="B22" s="24" t="e">
        <v>#N/A</v>
      </c>
      <c r="C22" s="24">
        <v>-3.1042754999999998E-2</v>
      </c>
      <c r="D22" s="24">
        <v>-3.1130254000000003E-2</v>
      </c>
      <c r="E22" s="24">
        <v>-2.7631579999999999E-2</v>
      </c>
      <c r="F22" s="24">
        <v>-7.2412013999999997E-2</v>
      </c>
      <c r="G22" s="24">
        <v>-8.8766810000000002E-2</v>
      </c>
      <c r="H22" s="24">
        <v>-3.879726E-3</v>
      </c>
      <c r="I22" s="24">
        <v>-3.1524956E-2</v>
      </c>
      <c r="J22" s="24">
        <v>-5.0961914000000004E-2</v>
      </c>
      <c r="K22" s="24">
        <v>-1.8066466E-2</v>
      </c>
      <c r="L22" s="24">
        <v>-0.13757365999999999</v>
      </c>
      <c r="M22" s="24">
        <v>-0.13412189499999999</v>
      </c>
      <c r="N22" s="24">
        <v>-0.11945027</v>
      </c>
      <c r="O22" s="24">
        <v>3.3161639999999999E-3</v>
      </c>
      <c r="P22" s="24">
        <v>-3.9398431999999997E-2</v>
      </c>
      <c r="Q22" s="24">
        <v>-9.4492199999999998E-2</v>
      </c>
      <c r="R22" s="24">
        <v>-6.6747959999999995E-2</v>
      </c>
      <c r="S22" s="24">
        <v>-0.124406395</v>
      </c>
      <c r="T22" s="24">
        <v>-3.2181501000000001E-2</v>
      </c>
      <c r="U22" s="24">
        <v>-0.10497569999999999</v>
      </c>
      <c r="V22" s="24">
        <v>-3.0568837999999997E-3</v>
      </c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1:38" x14ac:dyDescent="0.35">
      <c r="A23" s="2">
        <v>42384</v>
      </c>
      <c r="B23" s="24" t="e">
        <v>#N/A</v>
      </c>
      <c r="C23" s="24">
        <v>-7.3226869999999999E-2</v>
      </c>
      <c r="D23" s="24">
        <v>-4.5379996000000002E-3</v>
      </c>
      <c r="E23" s="24">
        <v>-9.159421999999999E-2</v>
      </c>
      <c r="F23" s="24">
        <v>-9.5640544999999993E-2</v>
      </c>
      <c r="G23" s="24">
        <v>-9.1379940000000007E-2</v>
      </c>
      <c r="H23" s="24">
        <v>-4.6532869999999997E-2</v>
      </c>
      <c r="I23" s="24">
        <v>-0.11504298</v>
      </c>
      <c r="J23" s="24">
        <v>-0.11407333</v>
      </c>
      <c r="K23" s="24">
        <v>-8.848679000000001E-2</v>
      </c>
      <c r="L23" s="24">
        <v>-0.12626386000000001</v>
      </c>
      <c r="M23" s="24">
        <v>-0.16383372999999998</v>
      </c>
      <c r="N23" s="24">
        <v>-0.13497490000000001</v>
      </c>
      <c r="O23" s="24">
        <v>-6.850958E-2</v>
      </c>
      <c r="P23" s="24">
        <v>-0.15483349999999999</v>
      </c>
      <c r="Q23" s="24">
        <v>-6.7487774E-2</v>
      </c>
      <c r="R23" s="24">
        <v>-3.1029165000000001E-2</v>
      </c>
      <c r="S23" s="24">
        <v>-6.8874955000000002E-2</v>
      </c>
      <c r="T23" s="24">
        <v>-4.2102694999999996E-2</v>
      </c>
      <c r="U23" s="24">
        <v>-9.0652469999999999E-2</v>
      </c>
      <c r="V23" s="24">
        <v>-0.16894895999999998</v>
      </c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1:38" x14ac:dyDescent="0.35">
      <c r="A24" s="2">
        <v>42418</v>
      </c>
      <c r="B24" s="24" t="e">
        <v>#N/A</v>
      </c>
      <c r="C24" s="24">
        <v>0.13068365999999998</v>
      </c>
      <c r="D24" s="24">
        <v>0.13333332000000001</v>
      </c>
      <c r="E24" s="24">
        <v>0.10265779500000001</v>
      </c>
      <c r="F24" s="24">
        <v>0.10104752</v>
      </c>
      <c r="G24" s="24">
        <v>0.1734358</v>
      </c>
      <c r="H24" s="24">
        <v>0.11838435999999999</v>
      </c>
      <c r="I24" s="24">
        <v>0.12786591</v>
      </c>
      <c r="J24" s="24">
        <v>6.8318724999999997E-2</v>
      </c>
      <c r="K24" s="24">
        <v>3.033626E-2</v>
      </c>
      <c r="L24" s="24">
        <v>7.3902490000000001E-2</v>
      </c>
      <c r="M24" s="24">
        <v>0.21053982000000002</v>
      </c>
      <c r="N24" s="24">
        <v>-9.9999959999999999E-2</v>
      </c>
      <c r="O24" s="24">
        <v>-3.5345494999999998E-2</v>
      </c>
      <c r="P24" s="24">
        <v>1.3227463E-2</v>
      </c>
      <c r="Q24" s="24">
        <v>0.11017966</v>
      </c>
      <c r="R24" s="24">
        <v>3.9789557000000003E-2</v>
      </c>
      <c r="S24" s="24">
        <v>6.4083815000000002E-2</v>
      </c>
      <c r="T24" s="24">
        <v>6.0634613000000004E-2</v>
      </c>
      <c r="U24" s="24">
        <v>7.8173400000000004E-2</v>
      </c>
      <c r="V24" s="24">
        <v>1.8454670999999999E-2</v>
      </c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1:38" x14ac:dyDescent="0.35">
      <c r="A25" s="2">
        <v>42447</v>
      </c>
      <c r="B25" s="24" t="e">
        <v>#N/A</v>
      </c>
      <c r="C25" s="24">
        <v>9.115290999999999E-2</v>
      </c>
      <c r="D25" s="24">
        <v>5.2677750000000002E-2</v>
      </c>
      <c r="E25" s="24">
        <v>0.10153675</v>
      </c>
      <c r="F25" s="24">
        <v>0.101287</v>
      </c>
      <c r="G25" s="24">
        <v>0.22217023999999999</v>
      </c>
      <c r="H25" s="24">
        <v>5.9775950000000001E-2</v>
      </c>
      <c r="I25" s="24">
        <v>9.5387100000000002E-2</v>
      </c>
      <c r="J25" s="24">
        <v>0.10741913</v>
      </c>
      <c r="K25" s="24">
        <v>0.11243868000000001</v>
      </c>
      <c r="L25" s="24">
        <v>0.36109699999999995</v>
      </c>
      <c r="M25" s="24">
        <v>9.9112399999999989E-2</v>
      </c>
      <c r="N25" s="24">
        <v>0.137715225</v>
      </c>
      <c r="O25" s="24">
        <v>9.1395619999999997E-2</v>
      </c>
      <c r="P25" s="24">
        <v>0.10052227999999999</v>
      </c>
      <c r="Q25" s="24">
        <v>6.5803646999999993E-2</v>
      </c>
      <c r="R25" s="24">
        <v>6.8261027000000002E-2</v>
      </c>
      <c r="S25" s="24">
        <v>0.18094719000000001</v>
      </c>
      <c r="T25" s="24">
        <v>0.1218791</v>
      </c>
      <c r="U25" s="24">
        <v>1.7228961000000001E-2</v>
      </c>
      <c r="V25" s="24">
        <v>0.10147381</v>
      </c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1:38" x14ac:dyDescent="0.35">
      <c r="A26" s="2">
        <v>42478</v>
      </c>
      <c r="B26" s="24" t="e">
        <v>#N/A</v>
      </c>
      <c r="C26" s="24">
        <v>1.5287995E-2</v>
      </c>
      <c r="D26" s="24">
        <v>-4.1701793999999997E-3</v>
      </c>
      <c r="E26" s="24">
        <v>-3.8294196000000003E-3</v>
      </c>
      <c r="F26" s="24">
        <v>-1.6260146999999999E-2</v>
      </c>
      <c r="G26" s="24">
        <v>0.11634135000000001</v>
      </c>
      <c r="H26" s="24">
        <v>3.8777947E-2</v>
      </c>
      <c r="I26" s="24">
        <v>-2.2840858000000002E-2</v>
      </c>
      <c r="J26" s="24">
        <v>-1.0945499000000001E-2</v>
      </c>
      <c r="K26" s="24">
        <v>2.0521639999999997E-2</v>
      </c>
      <c r="L26" s="24">
        <v>3.4701467E-2</v>
      </c>
      <c r="M26" s="24">
        <v>5.4797172999999998E-2</v>
      </c>
      <c r="N26" s="24">
        <v>4.6767472999999997E-2</v>
      </c>
      <c r="O26" s="24">
        <v>3.9984940999999996E-2</v>
      </c>
      <c r="P26" s="24">
        <v>3.8908600000000002E-2</v>
      </c>
      <c r="Q26" s="24">
        <v>-1.3152896999999998E-2</v>
      </c>
      <c r="R26" s="24">
        <v>1.1432052E-2</v>
      </c>
      <c r="S26" s="24">
        <v>5.9805273999999999E-2</v>
      </c>
      <c r="T26" s="24">
        <v>3.3089279999999999E-2</v>
      </c>
      <c r="U26" s="24">
        <v>-4.9399734000000004E-3</v>
      </c>
      <c r="V26" s="24">
        <v>1.0967255E-3</v>
      </c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1:38" x14ac:dyDescent="0.35">
      <c r="A27" s="2">
        <v>42508</v>
      </c>
      <c r="B27" s="24" t="e">
        <v>#N/A</v>
      </c>
      <c r="C27" s="24">
        <v>-5.1357865000000003E-2</v>
      </c>
      <c r="D27" s="24">
        <v>-8.0820675000000008E-2</v>
      </c>
      <c r="E27" s="24">
        <v>2.8555750000000001E-2</v>
      </c>
      <c r="F27" s="24">
        <v>-8.7293389999999998E-2</v>
      </c>
      <c r="G27" s="24">
        <v>2.7768253999999999E-2</v>
      </c>
      <c r="H27" s="24">
        <v>-9.0497729999999998E-2</v>
      </c>
      <c r="I27" s="24">
        <v>-8.0350579999999991E-2</v>
      </c>
      <c r="J27" s="24">
        <v>-4.5792819999999998E-2</v>
      </c>
      <c r="K27" s="24">
        <v>-8.2127389999999995E-2</v>
      </c>
      <c r="L27" s="24">
        <v>-3.4980117999999998E-2</v>
      </c>
      <c r="M27" s="24">
        <v>-0.12996721</v>
      </c>
      <c r="N27" s="24">
        <v>0.11300921000000001</v>
      </c>
      <c r="O27" s="24">
        <v>-2.9379724999999999E-2</v>
      </c>
      <c r="P27" s="24">
        <v>-8.9518179999999989E-2</v>
      </c>
      <c r="Q27" s="24">
        <v>-3.1697214000000001E-2</v>
      </c>
      <c r="R27" s="24">
        <v>1.2367964E-3</v>
      </c>
      <c r="S27" s="24">
        <v>-0.15835524000000001</v>
      </c>
      <c r="T27" s="24">
        <v>-7.5702906E-2</v>
      </c>
      <c r="U27" s="24">
        <v>3.9007067999999999E-2</v>
      </c>
      <c r="V27" s="24">
        <v>7.0552229999999994E-2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1:38" x14ac:dyDescent="0.35">
      <c r="A28" s="2">
        <v>42538</v>
      </c>
      <c r="B28" s="24" t="e">
        <v>#N/A</v>
      </c>
      <c r="C28" s="24">
        <v>2.3242592999999999E-2</v>
      </c>
      <c r="D28" s="24">
        <v>5.1025033000000004E-2</v>
      </c>
      <c r="E28" s="24">
        <v>3.3635973999999999E-2</v>
      </c>
      <c r="F28" s="24">
        <v>-3.7351429999999998E-2</v>
      </c>
      <c r="G28" s="24">
        <v>-1.0006428E-3</v>
      </c>
      <c r="H28" s="24">
        <v>-9.9502206000000003E-3</v>
      </c>
      <c r="I28" s="24">
        <v>8.1810949999999993E-2</v>
      </c>
      <c r="J28" s="24">
        <v>-2.6394725000000001E-2</v>
      </c>
      <c r="K28" s="24">
        <v>3.5217047000000001E-2</v>
      </c>
      <c r="L28" s="24">
        <v>2.5411130000000001E-2</v>
      </c>
      <c r="M28" s="24">
        <v>7.4586269999999996E-2</v>
      </c>
      <c r="N28" s="24">
        <v>-0.10625731999999999</v>
      </c>
      <c r="O28" s="24">
        <v>3.3632278000000002E-2</v>
      </c>
      <c r="P28" s="24">
        <v>2.2824167999999999E-2</v>
      </c>
      <c r="Q28" s="24">
        <v>-1.4405190999999999E-2</v>
      </c>
      <c r="R28" s="24">
        <v>1.4866114E-2</v>
      </c>
      <c r="S28" s="24">
        <v>1.7151712999999999E-2</v>
      </c>
      <c r="T28" s="24">
        <v>1.9957541999999998E-2</v>
      </c>
      <c r="U28" s="24">
        <v>-1.6382216999999998E-2</v>
      </c>
      <c r="V28" s="24">
        <v>-2.0880044E-2</v>
      </c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1:38" x14ac:dyDescent="0.35">
      <c r="A29" s="2">
        <v>42569</v>
      </c>
      <c r="B29" s="24">
        <v>6.3408731999999995E-2</v>
      </c>
      <c r="C29" s="24">
        <v>9.0903279999999989E-2</v>
      </c>
      <c r="D29" s="24">
        <v>0.10851049</v>
      </c>
      <c r="E29" s="24">
        <v>4.6873209999999998E-2</v>
      </c>
      <c r="F29" s="24">
        <v>3.0079246E-2</v>
      </c>
      <c r="G29" s="24">
        <v>0.11376131</v>
      </c>
      <c r="H29" s="24">
        <v>6.7685723000000003E-2</v>
      </c>
      <c r="I29" s="24">
        <v>9.9118949999999997E-2</v>
      </c>
      <c r="J29" s="24">
        <v>6.6329719999999995E-2</v>
      </c>
      <c r="K29" s="24">
        <v>7.9113959999999997E-2</v>
      </c>
      <c r="L29" s="24">
        <v>0.19690585999999999</v>
      </c>
      <c r="M29" s="24">
        <v>0.12095701</v>
      </c>
      <c r="N29" s="24">
        <v>-4.0951195000000003E-2</v>
      </c>
      <c r="O29" s="24">
        <v>4.7608256000000002E-2</v>
      </c>
      <c r="P29" s="24">
        <v>9.2498059999999993E-2</v>
      </c>
      <c r="Q29" s="24">
        <v>5.6524634000000004E-2</v>
      </c>
      <c r="R29" s="24">
        <v>4.9728513000000002E-2</v>
      </c>
      <c r="S29" s="24">
        <v>1.8768549000000002E-2</v>
      </c>
      <c r="T29" s="24">
        <v>7.7743889999999996E-2</v>
      </c>
      <c r="U29" s="24">
        <v>7.7029823999999997E-2</v>
      </c>
      <c r="V29" s="24">
        <v>3.7512780000000003E-3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1:38" x14ac:dyDescent="0.35">
      <c r="A30" s="2">
        <v>42600</v>
      </c>
      <c r="B30" s="24">
        <v>3.190279E-2</v>
      </c>
      <c r="C30" s="24">
        <v>-9.3119739999999989E-3</v>
      </c>
      <c r="D30" s="24">
        <v>5.8498025000000002E-2</v>
      </c>
      <c r="E30" s="24">
        <v>-8.6655020000000003E-3</v>
      </c>
      <c r="F30" s="24">
        <v>7.7803254000000002E-2</v>
      </c>
      <c r="G30" s="24">
        <v>7.6621294000000006E-2</v>
      </c>
      <c r="H30" s="24">
        <v>1.5494704E-2</v>
      </c>
      <c r="I30" s="24">
        <v>3.1396030999999998E-2</v>
      </c>
      <c r="J30" s="24">
        <v>3.9555670000000001E-2</v>
      </c>
      <c r="K30" s="24">
        <v>5.6634903E-2</v>
      </c>
      <c r="L30" s="24">
        <v>5.2760720000000004E-2</v>
      </c>
      <c r="M30" s="24">
        <v>8.1003550000000007E-2</v>
      </c>
      <c r="N30" s="24">
        <v>2.0661116E-2</v>
      </c>
      <c r="O30" s="24">
        <v>2.7083396999999999E-2</v>
      </c>
      <c r="P30" s="24">
        <v>7.3027369999999994E-2</v>
      </c>
      <c r="Q30" s="24">
        <v>9.9419830000000001E-2</v>
      </c>
      <c r="R30" s="24">
        <v>3.6870002999999998E-2</v>
      </c>
      <c r="S30" s="24">
        <v>1.6410232E-2</v>
      </c>
      <c r="T30" s="24">
        <v>2.8951167999999999E-3</v>
      </c>
      <c r="U30" s="24">
        <v>-1.1597930999999999E-2</v>
      </c>
      <c r="V30" s="24">
        <v>-5.8057365E-2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1:38" x14ac:dyDescent="0.35">
      <c r="A31" s="2">
        <v>42629</v>
      </c>
      <c r="B31" s="24">
        <v>-3.6805272E-2</v>
      </c>
      <c r="C31" s="24">
        <v>-5.8224560000000002E-2</v>
      </c>
      <c r="D31" s="24">
        <v>-5.0037326999999993E-2</v>
      </c>
      <c r="E31" s="24">
        <v>-8.1168829999999997E-2</v>
      </c>
      <c r="F31" s="24">
        <v>-3.9808929999999999E-2</v>
      </c>
      <c r="G31" s="24">
        <v>-8.5458099999999995E-2</v>
      </c>
      <c r="H31" s="24">
        <v>-5.6338069999999997E-2</v>
      </c>
      <c r="I31" s="24">
        <v>-2.6554405999999999E-2</v>
      </c>
      <c r="J31" s="24">
        <v>-0.12333643</v>
      </c>
      <c r="K31" s="24">
        <v>-4.2497873000000005E-2</v>
      </c>
      <c r="L31" s="24">
        <v>-4.8076987000000002E-2</v>
      </c>
      <c r="M31" s="24">
        <v>-9.7314299999999992E-2</v>
      </c>
      <c r="N31" s="24">
        <v>-5.5330570000000003E-2</v>
      </c>
      <c r="O31" s="24">
        <v>-4.3948292999999999E-3</v>
      </c>
      <c r="P31" s="24">
        <v>1.5802740999999999E-2</v>
      </c>
      <c r="Q31" s="24">
        <v>-7.8196169999999995E-2</v>
      </c>
      <c r="R31" s="24">
        <v>-4.3917000000000005E-2</v>
      </c>
      <c r="S31" s="24">
        <v>-4.3642760000000003E-2</v>
      </c>
      <c r="T31" s="24">
        <v>-3.0023097999999998E-2</v>
      </c>
      <c r="U31" s="24">
        <v>-7.8878760000000006E-2</v>
      </c>
      <c r="V31" s="24">
        <v>-2.2593736999999999E-2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1:38" x14ac:dyDescent="0.35">
      <c r="A32" s="2">
        <v>42661</v>
      </c>
      <c r="B32" s="24">
        <v>1.0317206000000001E-2</v>
      </c>
      <c r="C32" s="24">
        <v>5.6556699999999994E-2</v>
      </c>
      <c r="D32" s="24">
        <v>4.3238997000000001E-2</v>
      </c>
      <c r="E32" s="24">
        <v>-4.6208500000000001E-3</v>
      </c>
      <c r="F32" s="24">
        <v>-1.7689288000000001E-2</v>
      </c>
      <c r="G32" s="24">
        <v>-3.0636787E-3</v>
      </c>
      <c r="H32" s="24">
        <v>-2.4874806E-3</v>
      </c>
      <c r="I32" s="24">
        <v>4.5908213000000003E-2</v>
      </c>
      <c r="J32" s="24">
        <v>0.10198843</v>
      </c>
      <c r="K32" s="24">
        <v>2.5362252999999998E-2</v>
      </c>
      <c r="L32" s="24">
        <v>0.14355683</v>
      </c>
      <c r="M32" s="24">
        <v>-1.0835648E-2</v>
      </c>
      <c r="N32" s="24">
        <v>6.5699935000000001E-2</v>
      </c>
      <c r="O32" s="24">
        <v>4.0746927000000002E-3</v>
      </c>
      <c r="P32" s="24">
        <v>1.0371207999999999E-3</v>
      </c>
      <c r="Q32" s="24">
        <v>8.0666539999999995E-3</v>
      </c>
      <c r="R32" s="24">
        <v>-1.034379E-3</v>
      </c>
      <c r="S32" s="24">
        <v>-1.1606395E-2</v>
      </c>
      <c r="T32" s="24">
        <v>-3.2738030000000001E-2</v>
      </c>
      <c r="U32" s="24">
        <v>4.3878316999999993E-2</v>
      </c>
      <c r="V32" s="24">
        <v>-6.9116949999999996E-2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1:38" x14ac:dyDescent="0.35">
      <c r="A33" s="2">
        <v>42692</v>
      </c>
      <c r="B33" s="24">
        <v>2.6475189999999997E-3</v>
      </c>
      <c r="C33" s="24">
        <v>-2.6502311000000001E-2</v>
      </c>
      <c r="D33" s="24">
        <v>-0.10135645</v>
      </c>
      <c r="E33" s="24">
        <v>-8.7110815000000008E-2</v>
      </c>
      <c r="F33" s="24">
        <v>-6.8655132999999993E-2</v>
      </c>
      <c r="G33" s="24">
        <v>-1.1063336999999999E-2</v>
      </c>
      <c r="H33" s="24">
        <v>-7.793021E-2</v>
      </c>
      <c r="I33" s="24">
        <v>-4.7709939999999999E-2</v>
      </c>
      <c r="J33" s="24">
        <v>-0.16627860999999999</v>
      </c>
      <c r="K33" s="24">
        <v>-8.2155470000000008E-2</v>
      </c>
      <c r="L33" s="24">
        <v>-0.12767666999999999</v>
      </c>
      <c r="M33" s="24">
        <v>-6.962496E-2</v>
      </c>
      <c r="N33" s="24">
        <v>2.2801876000000002E-2</v>
      </c>
      <c r="O33" s="24">
        <v>-0.11701048</v>
      </c>
      <c r="P33" s="24">
        <v>-6.0712756999999999E-2</v>
      </c>
      <c r="Q33" s="24">
        <v>-5.661339E-2</v>
      </c>
      <c r="R33" s="24">
        <v>-2.4906397E-3</v>
      </c>
      <c r="S33" s="24">
        <v>-0.1182279</v>
      </c>
      <c r="T33" s="24">
        <v>-2.7692318E-2</v>
      </c>
      <c r="U33" s="24">
        <v>-6.9830475000000003E-2</v>
      </c>
      <c r="V33" s="24">
        <v>0.17655826999999999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</row>
    <row r="34" spans="1:38" x14ac:dyDescent="0.35">
      <c r="A34" s="2">
        <v>42720</v>
      </c>
      <c r="B34" s="24">
        <v>-1.9238055E-2</v>
      </c>
      <c r="C34" s="24">
        <v>1.6442060000000001E-2</v>
      </c>
      <c r="D34" s="24">
        <v>-2.5156736000000002E-3</v>
      </c>
      <c r="E34" s="24">
        <v>-4.5767307E-2</v>
      </c>
      <c r="F34" s="24">
        <v>9.3353509999999987E-2</v>
      </c>
      <c r="G34" s="24">
        <v>8.7009669999999987E-3</v>
      </c>
      <c r="H34" s="24">
        <v>-6.0852170000000004E-3</v>
      </c>
      <c r="I34" s="24">
        <v>2.3046017000000002E-2</v>
      </c>
      <c r="J34" s="24">
        <v>3.2580853E-2</v>
      </c>
      <c r="K34" s="24">
        <v>4.3888330000000003E-2</v>
      </c>
      <c r="L34" s="24">
        <v>-3.25253E-2</v>
      </c>
      <c r="M34" s="24">
        <v>1.2572408E-2</v>
      </c>
      <c r="N34" s="24">
        <v>2.2280574000000001E-2</v>
      </c>
      <c r="O34" s="24">
        <v>2.7575611999999999E-2</v>
      </c>
      <c r="P34" s="24">
        <v>-2.9119849999999999E-2</v>
      </c>
      <c r="Q34" s="24">
        <v>2.4439929999999999E-2</v>
      </c>
      <c r="R34" s="24">
        <v>3.3008575000000005E-2</v>
      </c>
      <c r="S34" s="24">
        <v>-1.4225244999999999E-2</v>
      </c>
      <c r="T34" s="24">
        <v>8.1012609999999985E-2</v>
      </c>
      <c r="U34" s="24">
        <v>-4.6647253E-2</v>
      </c>
      <c r="V34" s="24">
        <v>7.5559260000000003E-2</v>
      </c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</row>
    <row r="35" spans="1:38" x14ac:dyDescent="0.35">
      <c r="A35" s="2">
        <v>42753</v>
      </c>
      <c r="B35" s="24">
        <v>-2.8797925000000002E-2</v>
      </c>
      <c r="C35" s="24">
        <v>3.1704068000000002E-2</v>
      </c>
      <c r="D35" s="24">
        <v>2.1725297000000001E-2</v>
      </c>
      <c r="E35" s="24">
        <v>5.4726359999999995E-2</v>
      </c>
      <c r="F35" s="24">
        <v>7.7239394000000003E-2</v>
      </c>
      <c r="G35" s="24">
        <v>5.2852629999999998E-2</v>
      </c>
      <c r="H35" s="24">
        <v>2.2512674E-2</v>
      </c>
      <c r="I35" s="24">
        <v>1.5032172E-2</v>
      </c>
      <c r="J35" s="24">
        <v>-4.9771786000000005E-2</v>
      </c>
      <c r="K35" s="24">
        <v>4.9983380000000001E-2</v>
      </c>
      <c r="L35" s="24">
        <v>0.1452744</v>
      </c>
      <c r="M35" s="24">
        <v>9.2913630000000011E-2</v>
      </c>
      <c r="N35" s="24">
        <v>4.1958929999999998E-2</v>
      </c>
      <c r="O35" s="24">
        <v>2.9693006999999997E-2</v>
      </c>
      <c r="P35" s="24">
        <v>6.4769506000000004E-2</v>
      </c>
      <c r="Q35" s="24">
        <v>6.25E-2</v>
      </c>
      <c r="R35" s="24">
        <v>2.5168896E-2</v>
      </c>
      <c r="S35" s="24">
        <v>-1.0720790000000001E-2</v>
      </c>
      <c r="T35" s="24">
        <v>2.7652739999999999E-2</v>
      </c>
      <c r="U35" s="24">
        <v>5.1266192999999995E-2</v>
      </c>
      <c r="V35" s="24">
        <v>-4.4203400000000004E-2</v>
      </c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</row>
    <row r="36" spans="1:38" x14ac:dyDescent="0.35">
      <c r="A36" s="2">
        <v>42783</v>
      </c>
      <c r="B36" s="24">
        <v>4.7351479999999994E-2</v>
      </c>
      <c r="C36" s="24">
        <v>4.7570110000000006E-2</v>
      </c>
      <c r="D36" s="24">
        <v>1.1943935999999999E-2</v>
      </c>
      <c r="E36" s="24">
        <v>2.9807090000000002E-3</v>
      </c>
      <c r="F36" s="24">
        <v>9.9372390000000005E-2</v>
      </c>
      <c r="G36" s="24">
        <v>4.6068069999999996E-2</v>
      </c>
      <c r="H36" s="24">
        <v>3.0239820000000001E-2</v>
      </c>
      <c r="I36" s="24">
        <v>7.4086189999999996E-2</v>
      </c>
      <c r="J36" s="24">
        <v>8.9349509999999993E-2</v>
      </c>
      <c r="K36" s="24">
        <v>3.0394673000000001E-2</v>
      </c>
      <c r="L36" s="24">
        <v>0.1003927</v>
      </c>
      <c r="M36" s="24">
        <v>2.7706860999999999E-2</v>
      </c>
      <c r="N36" s="24">
        <v>-3.1367659999999999E-2</v>
      </c>
      <c r="O36" s="24">
        <v>5.9528230000000001E-2</v>
      </c>
      <c r="P36" s="24">
        <v>5.6022405999999997E-2</v>
      </c>
      <c r="Q36" s="24">
        <v>8.5470675999999995E-3</v>
      </c>
      <c r="R36" s="24">
        <v>1.0898113000000001E-2</v>
      </c>
      <c r="S36" s="24">
        <v>0.12092017999999999</v>
      </c>
      <c r="T36" s="24">
        <v>5.7537556000000004E-3</v>
      </c>
      <c r="U36" s="24">
        <v>3.5767436E-2</v>
      </c>
      <c r="V36" s="24">
        <v>4.7672033000000003E-2</v>
      </c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</row>
    <row r="37" spans="1:38" x14ac:dyDescent="0.35">
      <c r="A37" s="2">
        <v>42811</v>
      </c>
      <c r="B37" s="24">
        <v>8.8121889999999998E-3</v>
      </c>
      <c r="C37" s="24">
        <v>3.8537024999999996E-2</v>
      </c>
      <c r="D37" s="24">
        <v>4.2735099999999998E-2</v>
      </c>
      <c r="E37" s="24">
        <v>2.9123306000000002E-2</v>
      </c>
      <c r="F37" s="24">
        <v>7.0409059999999996E-2</v>
      </c>
      <c r="G37" s="24">
        <v>-5.6662024999999998E-2</v>
      </c>
      <c r="H37" s="24">
        <v>3.1713962999999998E-2</v>
      </c>
      <c r="I37" s="24">
        <v>2.0539641000000001E-2</v>
      </c>
      <c r="J37" s="24">
        <v>9.5144269999999989E-2</v>
      </c>
      <c r="K37" s="24">
        <v>5.7271004E-2</v>
      </c>
      <c r="L37" s="24">
        <v>-5.1223280000000003E-2</v>
      </c>
      <c r="M37" s="24">
        <v>5.0904512000000006E-2</v>
      </c>
      <c r="N37" s="24">
        <v>1.9430160000000002E-2</v>
      </c>
      <c r="O37" s="24">
        <v>6.61186E-2</v>
      </c>
      <c r="P37" s="24">
        <v>2.6321173E-2</v>
      </c>
      <c r="Q37" s="24">
        <v>-4.2871294000000004E-2</v>
      </c>
      <c r="R37" s="24">
        <v>-1.0685503000000001E-2</v>
      </c>
      <c r="S37" s="24">
        <v>1.5807032999999998E-2</v>
      </c>
      <c r="T37" s="24">
        <v>-3.3180773000000004E-2</v>
      </c>
      <c r="U37" s="24">
        <v>-1.5827298E-2</v>
      </c>
      <c r="V37" s="24">
        <v>-2.7208983999999999E-2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</row>
    <row r="38" spans="1:38" x14ac:dyDescent="0.35">
      <c r="A38" s="2">
        <v>42843</v>
      </c>
      <c r="B38" s="24">
        <v>1.1393785E-2</v>
      </c>
      <c r="C38" s="24">
        <v>6.1451197000000006E-2</v>
      </c>
      <c r="D38" s="24">
        <v>1.0928869000000001E-2</v>
      </c>
      <c r="E38" s="24">
        <v>3.5518289000000001E-2</v>
      </c>
      <c r="F38" s="24">
        <v>-2.2666693000000002E-2</v>
      </c>
      <c r="G38" s="24">
        <v>7.7311989999999994E-3</v>
      </c>
      <c r="H38" s="24">
        <v>2.2890568000000001E-3</v>
      </c>
      <c r="I38" s="24">
        <v>-1.2916802999999999E-2</v>
      </c>
      <c r="J38" s="24">
        <v>2.9558659000000001E-2</v>
      </c>
      <c r="K38" s="24">
        <v>-2.8226434999999998E-2</v>
      </c>
      <c r="L38" s="24">
        <v>1.3430118999999999E-3</v>
      </c>
      <c r="M38" s="24">
        <v>-3.3417702000000001E-2</v>
      </c>
      <c r="N38" s="24">
        <v>1.3977170000000001E-2</v>
      </c>
      <c r="O38" s="24">
        <v>1.6067028000000001E-3</v>
      </c>
      <c r="P38" s="24">
        <v>-1.2723625000000001E-2</v>
      </c>
      <c r="Q38" s="24">
        <v>4.3750049999999999E-2</v>
      </c>
      <c r="R38" s="24">
        <v>8.6100099999999995E-3</v>
      </c>
      <c r="S38" s="24">
        <v>1.1739016E-2</v>
      </c>
      <c r="T38" s="24">
        <v>7.9882145000000002E-3</v>
      </c>
      <c r="U38" s="24">
        <v>1.096487E-2</v>
      </c>
      <c r="V38" s="24">
        <v>2.0572423999999999E-2</v>
      </c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</row>
    <row r="39" spans="1:38" x14ac:dyDescent="0.35">
      <c r="A39" s="2">
        <v>42873</v>
      </c>
      <c r="B39" s="24">
        <v>-2.440852E-2</v>
      </c>
      <c r="C39" s="24">
        <v>-5.8338880000000003E-2</v>
      </c>
      <c r="D39" s="24">
        <v>3.4749507999999999E-3</v>
      </c>
      <c r="E39" s="24">
        <v>-5.5772066000000001E-4</v>
      </c>
      <c r="F39" s="24">
        <v>6.4574839999999994E-2</v>
      </c>
      <c r="G39" s="24">
        <v>1.0327577999999999E-2</v>
      </c>
      <c r="H39" s="24">
        <v>3.6541579999999997E-2</v>
      </c>
      <c r="I39" s="24">
        <v>3.7431478999999997E-2</v>
      </c>
      <c r="J39" s="24">
        <v>-1.590687E-2</v>
      </c>
      <c r="K39" s="24">
        <v>9.9227670000000004E-2</v>
      </c>
      <c r="L39" s="24">
        <v>-0.12151282999999999</v>
      </c>
      <c r="M39" s="24">
        <v>2.1477222000000001E-2</v>
      </c>
      <c r="N39" s="24">
        <v>0.19674183000000001</v>
      </c>
      <c r="O39" s="24">
        <v>2.726984E-2</v>
      </c>
      <c r="P39" s="24">
        <v>5.6786179999999999E-2</v>
      </c>
      <c r="Q39" s="24">
        <v>-5.6886314999999993E-2</v>
      </c>
      <c r="R39" s="24">
        <v>-1.8127321999999998E-2</v>
      </c>
      <c r="S39" s="24">
        <v>5.1537990000000006E-2</v>
      </c>
      <c r="T39" s="24">
        <v>1.1446952999999999E-2</v>
      </c>
      <c r="U39" s="24">
        <v>1.4461278999999998E-3</v>
      </c>
      <c r="V39" s="24">
        <v>-3.8816332999999999E-3</v>
      </c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</row>
    <row r="40" spans="1:38" x14ac:dyDescent="0.35">
      <c r="A40" s="2">
        <v>42902</v>
      </c>
      <c r="B40" s="24">
        <v>4.5034647000000004E-2</v>
      </c>
      <c r="C40" s="24">
        <v>2.6720166E-2</v>
      </c>
      <c r="D40" s="24">
        <v>4.0784954999999998E-2</v>
      </c>
      <c r="E40" s="24">
        <v>3.3203125E-2</v>
      </c>
      <c r="F40" s="24">
        <v>2.1785617E-2</v>
      </c>
      <c r="G40" s="24">
        <v>-1.3434649E-2</v>
      </c>
      <c r="H40" s="24">
        <v>3.3050059999999999E-2</v>
      </c>
      <c r="I40" s="24">
        <v>1.2907028000000001E-2</v>
      </c>
      <c r="J40" s="24">
        <v>7.3526499999999995E-2</v>
      </c>
      <c r="K40" s="24">
        <v>2.7493476999999999E-2</v>
      </c>
      <c r="L40" s="24">
        <v>4.2442679999999997E-2</v>
      </c>
      <c r="M40" s="24">
        <v>-1.0427356E-2</v>
      </c>
      <c r="N40" s="24">
        <v>3.6649108E-2</v>
      </c>
      <c r="O40" s="24">
        <v>1.8425940999999998E-2</v>
      </c>
      <c r="P40" s="24">
        <v>2.7058005E-2</v>
      </c>
      <c r="Q40" s="24">
        <v>-6.296301E-2</v>
      </c>
      <c r="R40" s="24">
        <v>1.9859195E-2</v>
      </c>
      <c r="S40" s="24">
        <v>7.6469064000000003E-2</v>
      </c>
      <c r="T40" s="24">
        <v>1.5089989E-2</v>
      </c>
      <c r="U40" s="24">
        <v>5.992782E-2</v>
      </c>
      <c r="V40" s="24">
        <v>-1.2014389E-2</v>
      </c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</row>
    <row r="41" spans="1:38" x14ac:dyDescent="0.35">
      <c r="A41" s="2">
        <v>42934</v>
      </c>
      <c r="B41" s="24">
        <v>4.5567393000000005E-2</v>
      </c>
      <c r="C41" s="24">
        <v>5.5351734E-2</v>
      </c>
      <c r="D41" s="24">
        <v>1.3736248E-2</v>
      </c>
      <c r="E41" s="24">
        <v>-1.6043960999999999E-2</v>
      </c>
      <c r="F41" s="24">
        <v>6.9666861999999996E-2</v>
      </c>
      <c r="G41" s="24">
        <v>5.6560873999999997E-2</v>
      </c>
      <c r="H41" s="24">
        <v>-2.5042534000000002E-2</v>
      </c>
      <c r="I41" s="24">
        <v>6.1106324000000004E-2</v>
      </c>
      <c r="J41" s="24">
        <v>6.3212036999999999E-2</v>
      </c>
      <c r="K41" s="24">
        <v>4.7420859999999995E-2</v>
      </c>
      <c r="L41" s="24">
        <v>9.645521E-2</v>
      </c>
      <c r="M41" s="24">
        <v>4.0183067000000003E-2</v>
      </c>
      <c r="N41" s="24">
        <v>7.9798220000000003E-2</v>
      </c>
      <c r="O41" s="24">
        <v>3.5264015000000003E-2</v>
      </c>
      <c r="P41" s="24">
        <v>7.4282884999999993E-2</v>
      </c>
      <c r="Q41" s="24">
        <v>2.392292E-2</v>
      </c>
      <c r="R41" s="24">
        <v>-3.209412E-3</v>
      </c>
      <c r="S41" s="24">
        <v>6.9500803999999999E-2</v>
      </c>
      <c r="T41" s="24">
        <v>4.2586802999999999E-2</v>
      </c>
      <c r="U41" s="24">
        <v>-8.1743600000000003E-3</v>
      </c>
      <c r="V41" s="24">
        <v>7.2223186000000009E-2</v>
      </c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</row>
    <row r="42" spans="1:38" x14ac:dyDescent="0.35">
      <c r="A42" s="2">
        <v>42965</v>
      </c>
      <c r="B42" s="24">
        <v>3.9264201999999998E-2</v>
      </c>
      <c r="C42" s="24">
        <v>2.5066495000000001E-2</v>
      </c>
      <c r="D42" s="24">
        <v>7.382631000000001E-4</v>
      </c>
      <c r="E42" s="24">
        <v>-1.9548415999999999E-2</v>
      </c>
      <c r="F42" s="24">
        <v>-3.1372309999999999E-3</v>
      </c>
      <c r="G42" s="24">
        <v>3.7375212000000005E-2</v>
      </c>
      <c r="H42" s="24">
        <v>8.2148314000000007E-3</v>
      </c>
      <c r="I42" s="24">
        <v>-1.0371208E-2</v>
      </c>
      <c r="J42" s="24">
        <v>-7.1590540000000006E-3</v>
      </c>
      <c r="K42" s="24">
        <v>-4.2719307000000005E-2</v>
      </c>
      <c r="L42" s="24">
        <v>5.1454782000000004E-2</v>
      </c>
      <c r="M42" s="24">
        <v>1.9423961999999999E-2</v>
      </c>
      <c r="N42" s="24">
        <v>-3.4611820000000001E-2</v>
      </c>
      <c r="O42" s="24">
        <v>2.0815133999999998E-3</v>
      </c>
      <c r="P42" s="24">
        <v>3.4142016999999997E-2</v>
      </c>
      <c r="Q42" s="24">
        <v>-3.6144613999999999E-2</v>
      </c>
      <c r="R42" s="24">
        <v>-3.1752586E-3</v>
      </c>
      <c r="S42" s="24">
        <v>9.3692540000000005E-3</v>
      </c>
      <c r="T42" s="24">
        <v>-1.4084517999999999E-2</v>
      </c>
      <c r="U42" s="24">
        <v>-2.5412142000000002E-2</v>
      </c>
      <c r="V42" s="24">
        <v>-2.0374297999999999E-2</v>
      </c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</row>
    <row r="43" spans="1:38" x14ac:dyDescent="0.35">
      <c r="A43" s="2">
        <v>42996</v>
      </c>
      <c r="B43" s="24">
        <v>5.3948283000000007E-2</v>
      </c>
      <c r="C43" s="24">
        <v>5.2369713999999998E-2</v>
      </c>
      <c r="D43" s="24">
        <v>-1.1066078999999999E-2</v>
      </c>
      <c r="E43" s="24">
        <v>4.2965410000000002E-2</v>
      </c>
      <c r="F43" s="24">
        <v>6.0188889999999995E-2</v>
      </c>
      <c r="G43" s="24">
        <v>5.115509E-2</v>
      </c>
      <c r="H43" s="24">
        <v>3.0398010999999999E-2</v>
      </c>
      <c r="I43" s="24">
        <v>3.1991124000000003E-2</v>
      </c>
      <c r="J43" s="24">
        <v>-1.6707718E-2</v>
      </c>
      <c r="K43" s="24">
        <v>3.5433650000000004E-2</v>
      </c>
      <c r="L43" s="24">
        <v>0.10504746000000001</v>
      </c>
      <c r="M43" s="24">
        <v>-1.4290452E-2</v>
      </c>
      <c r="N43" s="24">
        <v>-8.720928E-2</v>
      </c>
      <c r="O43" s="24">
        <v>2.6112795000000001E-2</v>
      </c>
      <c r="P43" s="24">
        <v>7.6923130000000006E-2</v>
      </c>
      <c r="Q43" s="24">
        <v>-6.9642780000000001E-2</v>
      </c>
      <c r="R43" s="24">
        <v>6.6178082999999999E-2</v>
      </c>
      <c r="S43" s="24">
        <v>-2.2637844000000001E-4</v>
      </c>
      <c r="T43" s="24">
        <v>1.4342785E-2</v>
      </c>
      <c r="U43" s="24">
        <v>5.7082534000000004E-2</v>
      </c>
      <c r="V43" s="24">
        <v>3.1325816999999999E-2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</row>
    <row r="44" spans="1:38" x14ac:dyDescent="0.35">
      <c r="A44" s="2">
        <v>43026</v>
      </c>
      <c r="B44" s="24">
        <v>1.0495782E-2</v>
      </c>
      <c r="C44" s="24">
        <v>5.2025436999999994E-2</v>
      </c>
      <c r="D44" s="24">
        <v>-5.2219033000000005E-3</v>
      </c>
      <c r="E44" s="24">
        <v>5.9235095999999998E-3</v>
      </c>
      <c r="F44" s="24">
        <v>8.5343119999999988E-3</v>
      </c>
      <c r="G44" s="24">
        <v>8.2940819999999998E-2</v>
      </c>
      <c r="H44" s="24">
        <v>-1.8248260000000002E-2</v>
      </c>
      <c r="I44" s="24">
        <v>8.5517170000000003E-3</v>
      </c>
      <c r="J44" s="24">
        <v>-6.510460400000001E-2</v>
      </c>
      <c r="K44" s="24">
        <v>3.837347E-2</v>
      </c>
      <c r="L44" s="24">
        <v>-9.9698900000000003E-3</v>
      </c>
      <c r="M44" s="24">
        <v>2.6828884999999997E-2</v>
      </c>
      <c r="N44" s="24">
        <v>5.3077936000000001E-3</v>
      </c>
      <c r="O44" s="24">
        <v>-4.3377876000000003E-3</v>
      </c>
      <c r="P44" s="24">
        <v>3.0034184000000002E-2</v>
      </c>
      <c r="Q44" s="24">
        <v>-3.3269405000000002E-2</v>
      </c>
      <c r="R44" s="24">
        <v>2.235067E-2</v>
      </c>
      <c r="S44" s="24">
        <v>-5.1856875000000004E-2</v>
      </c>
      <c r="T44" s="24">
        <v>1.0703802E-3</v>
      </c>
      <c r="U44" s="24">
        <v>2.7999996999999999E-2</v>
      </c>
      <c r="V44" s="24">
        <v>-5.5576619999999993E-2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</row>
    <row r="45" spans="1:38" x14ac:dyDescent="0.35">
      <c r="A45" s="2">
        <v>43056</v>
      </c>
      <c r="B45" s="24">
        <v>2.541709E-2</v>
      </c>
      <c r="C45" s="24">
        <v>-2.1696627E-2</v>
      </c>
      <c r="D45" s="24">
        <v>1.7622828E-2</v>
      </c>
      <c r="E45" s="24">
        <v>-6.6916346999999999E-3</v>
      </c>
      <c r="F45" s="24">
        <v>-2.0971297999999999E-2</v>
      </c>
      <c r="G45" s="24">
        <v>-1.4012992E-2</v>
      </c>
      <c r="H45" s="24">
        <v>-1.2390613599999999E-3</v>
      </c>
      <c r="I45" s="24">
        <v>7.9488753999999999E-4</v>
      </c>
      <c r="J45" s="24">
        <v>-3.8454234999999996E-2</v>
      </c>
      <c r="K45" s="24">
        <v>5.1020503000000002E-2</v>
      </c>
      <c r="L45" s="24">
        <v>-6.7213116000000003E-2</v>
      </c>
      <c r="M45" s="24">
        <v>1.3145089E-2</v>
      </c>
      <c r="N45" s="24">
        <v>-7.8141569999999994E-2</v>
      </c>
      <c r="O45" s="24">
        <v>1.2198567E-2</v>
      </c>
      <c r="P45" s="24">
        <v>2.0848990000000001E-2</v>
      </c>
      <c r="Q45" s="24">
        <v>-0.10859031</v>
      </c>
      <c r="R45" s="24">
        <v>1.083374E-3</v>
      </c>
      <c r="S45" s="24">
        <v>-5.5170717000000001E-2</v>
      </c>
      <c r="T45" s="24">
        <v>-4.9521740000000002E-2</v>
      </c>
      <c r="U45" s="24">
        <v>8.6251620000000001E-2</v>
      </c>
      <c r="V45" s="24">
        <v>1.5612483E-2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</row>
    <row r="46" spans="1:38" x14ac:dyDescent="0.35">
      <c r="A46" s="2">
        <v>43087</v>
      </c>
      <c r="B46" s="24">
        <v>-2.1358728E-2</v>
      </c>
      <c r="C46" s="24">
        <v>4.5154930000000003E-2</v>
      </c>
      <c r="D46" s="24">
        <v>8.1061125000000001E-3</v>
      </c>
      <c r="E46" s="24">
        <v>2.8833150000000002E-2</v>
      </c>
      <c r="F46" s="24">
        <v>1.2777209000000001E-2</v>
      </c>
      <c r="G46" s="24">
        <v>-4.6557244999999997E-2</v>
      </c>
      <c r="H46" s="24">
        <v>4.0632725000000001E-2</v>
      </c>
      <c r="I46" s="24">
        <v>-2.88589E-2</v>
      </c>
      <c r="J46" s="24">
        <v>1.0346174E-2</v>
      </c>
      <c r="K46" s="24">
        <v>-9.5775723E-3</v>
      </c>
      <c r="L46" s="24">
        <v>-1.5315114999999999E-2</v>
      </c>
      <c r="M46" s="24">
        <v>5.6062817999999993E-2</v>
      </c>
      <c r="N46" s="24">
        <v>0.15120291999999999</v>
      </c>
      <c r="O46" s="24">
        <v>2.3242473999999999E-2</v>
      </c>
      <c r="P46" s="24">
        <v>-1.9535303E-2</v>
      </c>
      <c r="Q46" s="24">
        <v>0.15968286500000001</v>
      </c>
      <c r="R46" s="24">
        <v>8.3831549999999998E-3</v>
      </c>
      <c r="S46" s="24">
        <v>4.7017097000000001E-2</v>
      </c>
      <c r="T46" s="24">
        <v>-1.1249185E-2</v>
      </c>
      <c r="U46" s="24">
        <v>1.8029809000000001E-2</v>
      </c>
      <c r="V46" s="24">
        <v>1.6160846E-2</v>
      </c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</row>
    <row r="47" spans="1:38" x14ac:dyDescent="0.35">
      <c r="A47" s="2">
        <v>43118</v>
      </c>
      <c r="B47" s="24">
        <v>9.2589140000000014E-2</v>
      </c>
      <c r="C47" s="24">
        <v>6.2180520000000003E-2</v>
      </c>
      <c r="D47" s="24">
        <v>8.3054179999999991E-2</v>
      </c>
      <c r="E47" s="24">
        <v>2.2159696000000003E-2</v>
      </c>
      <c r="F47" s="24">
        <v>0.1054852</v>
      </c>
      <c r="G47" s="24">
        <v>0.13858615999999999</v>
      </c>
      <c r="H47" s="24">
        <v>7.9973817000000003E-2</v>
      </c>
      <c r="I47" s="24">
        <v>7.2910785999999991E-2</v>
      </c>
      <c r="J47" s="24">
        <v>4.6885013999999996E-2</v>
      </c>
      <c r="K47" s="24">
        <v>5.4429410000000004E-2</v>
      </c>
      <c r="L47" s="24">
        <v>0.13282787000000001</v>
      </c>
      <c r="M47" s="24">
        <v>0.10765039</v>
      </c>
      <c r="N47" s="24">
        <v>9.9647520000000003E-2</v>
      </c>
      <c r="O47" s="24">
        <v>4.3426632999999999E-2</v>
      </c>
      <c r="P47" s="24">
        <v>0.10931576</v>
      </c>
      <c r="Q47" s="24">
        <v>9.8008869999999998E-2</v>
      </c>
      <c r="R47" s="24">
        <v>5.5467605999999996E-2</v>
      </c>
      <c r="S47" s="24">
        <v>8.0826399999999993E-2</v>
      </c>
      <c r="T47" s="24">
        <v>6.9658756000000002E-2</v>
      </c>
      <c r="U47" s="24">
        <v>0.10988939</v>
      </c>
      <c r="V47" s="24">
        <v>7.6802969999999998E-2</v>
      </c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</row>
    <row r="48" spans="1:38" x14ac:dyDescent="0.35">
      <c r="A48" s="2">
        <v>43147</v>
      </c>
      <c r="B48" s="24">
        <v>-2.7013123E-2</v>
      </c>
      <c r="C48" s="24">
        <v>-1.6753674E-2</v>
      </c>
      <c r="D48" s="24">
        <v>1.7229795000000003E-2</v>
      </c>
      <c r="E48" s="24">
        <v>-4.6153839999999995E-2</v>
      </c>
      <c r="F48" s="24">
        <v>-5.7639836999999999E-2</v>
      </c>
      <c r="G48" s="24">
        <v>-3.4284352999999997E-2</v>
      </c>
      <c r="H48" s="24">
        <v>2.7737617000000003E-2</v>
      </c>
      <c r="I48" s="24">
        <v>-1.2026131000000001E-2</v>
      </c>
      <c r="J48" s="24">
        <v>-9.8822116999999991E-3</v>
      </c>
      <c r="K48" s="24">
        <v>-2.00544E-2</v>
      </c>
      <c r="L48" s="24">
        <v>3.5941839999999996E-2</v>
      </c>
      <c r="M48" s="24">
        <v>2.626121E-2</v>
      </c>
      <c r="N48" s="24">
        <v>3.6967992999999998E-3</v>
      </c>
      <c r="O48" s="24">
        <v>-4.6303805999999996E-2</v>
      </c>
      <c r="P48" s="24">
        <v>-1.8056571E-2</v>
      </c>
      <c r="Q48" s="24">
        <v>-3.6734639999999999E-2</v>
      </c>
      <c r="R48" s="24">
        <v>-7.3818564000000001E-3</v>
      </c>
      <c r="S48" s="24">
        <v>7.1684119999999999E-3</v>
      </c>
      <c r="T48" s="24">
        <v>-4.4212874999999999E-2</v>
      </c>
      <c r="U48" s="24">
        <v>9.0763570000000002E-3</v>
      </c>
      <c r="V48" s="24">
        <v>5.4764749999999997E-3</v>
      </c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</row>
    <row r="49" spans="1:38" x14ac:dyDescent="0.35">
      <c r="A49" s="2">
        <v>43175</v>
      </c>
      <c r="B49" s="24">
        <v>-3.9191246000000006E-3</v>
      </c>
      <c r="C49" s="24">
        <v>-3.1971455000000003E-2</v>
      </c>
      <c r="D49" s="24">
        <v>-9.0667609999999996E-2</v>
      </c>
      <c r="E49" s="24">
        <v>-4.7043030000000007E-2</v>
      </c>
      <c r="F49" s="24">
        <v>-7.5280484999999994E-2</v>
      </c>
      <c r="G49" s="24">
        <v>-1.5010773999999999E-2</v>
      </c>
      <c r="H49" s="24">
        <v>-1.3494492E-2</v>
      </c>
      <c r="I49" s="24">
        <v>1.825881E-2</v>
      </c>
      <c r="J49" s="24">
        <v>-3.2053709999999999E-2</v>
      </c>
      <c r="K49" s="24">
        <v>7.1296689999999999E-3</v>
      </c>
      <c r="L49" s="24">
        <v>-2.0421623999999999E-2</v>
      </c>
      <c r="M49" s="24">
        <v>-5.1717100000000002E-2</v>
      </c>
      <c r="N49" s="24">
        <v>-7.0902289999999993E-2</v>
      </c>
      <c r="O49" s="24">
        <v>-3.6910949999999998E-2</v>
      </c>
      <c r="P49" s="24">
        <v>1.9651890000000002E-2</v>
      </c>
      <c r="Q49" s="24">
        <v>6.0534477000000002E-4</v>
      </c>
      <c r="R49" s="24">
        <v>3.2504797000000004E-3</v>
      </c>
      <c r="S49" s="24">
        <v>-5.1823797000000005E-2</v>
      </c>
      <c r="T49" s="24">
        <v>-1.5910326999999998E-2</v>
      </c>
      <c r="U49" s="24">
        <v>8.9946985000000004E-3</v>
      </c>
      <c r="V49" s="24">
        <v>3.4858345999999998E-2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</row>
    <row r="50" spans="1:38" x14ac:dyDescent="0.35">
      <c r="A50" s="2">
        <v>43208</v>
      </c>
      <c r="B50" s="24">
        <v>-5.4176807E-2</v>
      </c>
      <c r="C50" s="24">
        <v>4.6938540000000001E-2</v>
      </c>
      <c r="D50" s="24">
        <v>9.1307163000000011E-3</v>
      </c>
      <c r="E50" s="24">
        <v>-3.9774298999999999E-2</v>
      </c>
      <c r="F50" s="24">
        <v>3.5812139999999999E-2</v>
      </c>
      <c r="G50" s="24">
        <v>8.0551510000000007E-2</v>
      </c>
      <c r="H50" s="24">
        <v>3.5337805999999999E-2</v>
      </c>
      <c r="I50" s="24">
        <v>-1.7931341999999999E-2</v>
      </c>
      <c r="J50" s="24">
        <v>7.2972416999999998E-2</v>
      </c>
      <c r="K50" s="24">
        <v>-5.8992504999999997E-3</v>
      </c>
      <c r="L50" s="24">
        <v>-1.7260729999999998E-2</v>
      </c>
      <c r="M50" s="24">
        <v>-7.3853729999999998E-3</v>
      </c>
      <c r="N50" s="24">
        <v>6.3428999999999999E-2</v>
      </c>
      <c r="O50" s="24">
        <v>2.9186367999999997E-2</v>
      </c>
      <c r="P50" s="24">
        <v>-6.7180575999999992E-2</v>
      </c>
      <c r="Q50" s="24">
        <v>3.2667755999999999E-2</v>
      </c>
      <c r="R50" s="24">
        <v>-2.2188365000000002E-2</v>
      </c>
      <c r="S50" s="24">
        <v>-4.1520059999999998E-2</v>
      </c>
      <c r="T50" s="24">
        <v>0</v>
      </c>
      <c r="U50" s="24">
        <v>1.1536478999999999E-2</v>
      </c>
      <c r="V50" s="24">
        <v>8.4210510000000002E-2</v>
      </c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</row>
    <row r="51" spans="1:38" x14ac:dyDescent="0.35">
      <c r="A51" s="2">
        <v>43238</v>
      </c>
      <c r="B51" s="24">
        <v>1.3119936E-2</v>
      </c>
      <c r="C51" s="24">
        <v>-6.6076097E-2</v>
      </c>
      <c r="D51" s="24">
        <v>-0.14368439</v>
      </c>
      <c r="E51" s="24">
        <v>-3.319627E-2</v>
      </c>
      <c r="F51" s="24">
        <v>-0.11543549</v>
      </c>
      <c r="G51" s="24">
        <v>-4.8130693000000002E-2</v>
      </c>
      <c r="H51" s="24">
        <v>-5.4225206000000005E-2</v>
      </c>
      <c r="I51" s="24">
        <v>-2.9372869999999999E-2</v>
      </c>
      <c r="J51" s="24">
        <v>-0.15819627</v>
      </c>
      <c r="K51" s="24">
        <v>-3.7452220000000001E-2</v>
      </c>
      <c r="L51" s="24">
        <v>-0.12636864</v>
      </c>
      <c r="M51" s="24">
        <v>-9.7581919999999989E-2</v>
      </c>
      <c r="N51" s="24">
        <v>-0.12488341</v>
      </c>
      <c r="O51" s="24">
        <v>-5.6717276999999997E-2</v>
      </c>
      <c r="P51" s="24">
        <v>2.0661234999999997E-2</v>
      </c>
      <c r="Q51" s="24">
        <v>-2.4604560000000001E-2</v>
      </c>
      <c r="R51" s="24">
        <v>-9.8162292999999998E-3</v>
      </c>
      <c r="S51" s="24">
        <v>-0.18379836999999999</v>
      </c>
      <c r="T51" s="24">
        <v>-4.4323386999999999E-2</v>
      </c>
      <c r="U51" s="24">
        <v>-9.1757409999999998E-2</v>
      </c>
      <c r="V51" s="24">
        <v>-2.7184485999999997E-2</v>
      </c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</row>
    <row r="52" spans="1:38" x14ac:dyDescent="0.35">
      <c r="A52" s="2">
        <v>43269</v>
      </c>
      <c r="B52" s="24">
        <v>-4.8325959999999994E-2</v>
      </c>
      <c r="C52" s="24">
        <v>-4.7619046999999998E-2</v>
      </c>
      <c r="D52" s="24">
        <v>1.9019484999999999E-2</v>
      </c>
      <c r="E52" s="24">
        <v>-6.1683415999999998E-2</v>
      </c>
      <c r="F52" s="24">
        <v>-4.8697114E-2</v>
      </c>
      <c r="G52" s="24">
        <v>-3.0573844999999999E-2</v>
      </c>
      <c r="H52" s="24">
        <v>-5.0058246000000001E-2</v>
      </c>
      <c r="I52" s="24">
        <v>-1.1995614000000002E-2</v>
      </c>
      <c r="J52" s="24">
        <v>-8.3425045000000003E-3</v>
      </c>
      <c r="K52" s="24">
        <v>-4.9595776000000001E-2</v>
      </c>
      <c r="L52" s="24">
        <v>-0.14960836999999999</v>
      </c>
      <c r="M52" s="24">
        <v>-8.2606610000000011E-2</v>
      </c>
      <c r="N52" s="24">
        <v>-1.3844490000000001E-2</v>
      </c>
      <c r="O52" s="24">
        <v>1.7916799000000001E-2</v>
      </c>
      <c r="P52" s="24">
        <v>4.4822693000000002E-3</v>
      </c>
      <c r="Q52" s="24">
        <v>2.5225282000000002E-2</v>
      </c>
      <c r="R52" s="24">
        <v>-4.2464494999999998E-2</v>
      </c>
      <c r="S52" s="24">
        <v>-0.11454267</v>
      </c>
      <c r="T52" s="24">
        <v>2.5075554999999999E-2</v>
      </c>
      <c r="U52" s="24">
        <v>-5.9931574000000001E-2</v>
      </c>
      <c r="V52" s="24">
        <v>1.9960045999999999E-2</v>
      </c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</row>
    <row r="53" spans="1:38" x14ac:dyDescent="0.35">
      <c r="A53" s="2">
        <v>43299</v>
      </c>
      <c r="B53" s="24">
        <v>-0.10669195000000001</v>
      </c>
      <c r="C53" s="24">
        <v>-3.4136891000000003E-2</v>
      </c>
      <c r="D53" s="24">
        <v>-8.7237359999999993E-3</v>
      </c>
      <c r="E53" s="24">
        <v>1.7950295999999998E-2</v>
      </c>
      <c r="F53" s="24">
        <v>9.3406440000000004E-3</v>
      </c>
      <c r="G53" s="24">
        <v>-3.0407130000000001E-2</v>
      </c>
      <c r="H53" s="24">
        <v>5.9531929999999999E-3</v>
      </c>
      <c r="I53" s="24">
        <v>1.2417078E-2</v>
      </c>
      <c r="J53" s="24">
        <v>0.13828075000000001</v>
      </c>
      <c r="K53" s="24">
        <v>-4.5841159999999999E-2</v>
      </c>
      <c r="L53" s="24">
        <v>7.3013067000000001E-2</v>
      </c>
      <c r="M53" s="24">
        <v>3.6300659999999998E-2</v>
      </c>
      <c r="N53" s="24">
        <v>1.1878967000000001E-2</v>
      </c>
      <c r="O53" s="24">
        <v>1.7219543E-2</v>
      </c>
      <c r="P53" s="24">
        <v>-7.3301672999999998E-2</v>
      </c>
      <c r="Q53" s="24">
        <v>3.8541793999999997E-2</v>
      </c>
      <c r="R53" s="24">
        <v>-2.6094316999999999E-2</v>
      </c>
      <c r="S53" s="24">
        <v>-3.859365E-2</v>
      </c>
      <c r="T53" s="24">
        <v>-3.3381579999999999E-3</v>
      </c>
      <c r="U53" s="24">
        <v>-2.3072183000000003E-2</v>
      </c>
      <c r="V53" s="24">
        <v>3.0679702999999999E-2</v>
      </c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</row>
    <row r="54" spans="1:38" x14ac:dyDescent="0.35">
      <c r="A54" s="2">
        <v>43329</v>
      </c>
      <c r="B54" s="24">
        <v>-5.1424859999999996E-2</v>
      </c>
      <c r="C54" s="24">
        <v>-5.4482994E-2</v>
      </c>
      <c r="D54" s="24">
        <v>-2.5575399999999998E-2</v>
      </c>
      <c r="E54" s="24">
        <v>2.0440817E-2</v>
      </c>
      <c r="F54" s="24">
        <v>2.183032E-2</v>
      </c>
      <c r="G54" s="24">
        <v>-6.1126590000000001E-2</v>
      </c>
      <c r="H54" s="24">
        <v>5.2812099999999997E-3</v>
      </c>
      <c r="I54" s="24">
        <v>-4.3608546000000002E-3</v>
      </c>
      <c r="J54" s="24">
        <v>-1.8715440999999999E-2</v>
      </c>
      <c r="K54" s="24">
        <v>-2.356857E-2</v>
      </c>
      <c r="L54" s="24">
        <v>-3.2276869999999999E-2</v>
      </c>
      <c r="M54" s="24">
        <v>-9.991527E-2</v>
      </c>
      <c r="N54" s="24">
        <v>-9.1782149999999993E-2</v>
      </c>
      <c r="O54" s="24">
        <v>3.8766503000000001E-2</v>
      </c>
      <c r="P54" s="24">
        <v>-7.0068717000000003E-2</v>
      </c>
      <c r="Q54" s="24">
        <v>1.5919804999999999E-2</v>
      </c>
      <c r="R54" s="24">
        <v>3.3126593000000003E-2</v>
      </c>
      <c r="S54" s="24">
        <v>-0.22755359999999999</v>
      </c>
      <c r="T54" s="24">
        <v>0</v>
      </c>
      <c r="U54" s="24">
        <v>1.9266605000000003E-2</v>
      </c>
      <c r="V54" s="24">
        <v>-5.9405922999999999E-2</v>
      </c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</row>
    <row r="55" spans="1:38" x14ac:dyDescent="0.35">
      <c r="A55" s="2">
        <v>43361</v>
      </c>
      <c r="B55" s="24">
        <v>4.3272970000000002E-5</v>
      </c>
      <c r="C55" s="24">
        <v>2.1551610000000002E-2</v>
      </c>
      <c r="D55" s="24">
        <v>-1.7497896999999998E-2</v>
      </c>
      <c r="E55" s="24">
        <v>-4.6948375999999993E-2</v>
      </c>
      <c r="F55" s="24">
        <v>1.5686274E-2</v>
      </c>
      <c r="G55" s="24">
        <v>-3.8471817999999998E-2</v>
      </c>
      <c r="H55" s="24">
        <v>1.5450716000000001E-3</v>
      </c>
      <c r="I55" s="24">
        <v>8.2125663999999994E-3</v>
      </c>
      <c r="J55" s="24">
        <v>2.8508306000000001E-2</v>
      </c>
      <c r="K55" s="24">
        <v>2.9862285000000002E-2</v>
      </c>
      <c r="L55" s="24">
        <v>-2.253604E-2</v>
      </c>
      <c r="M55" s="24">
        <v>-2.9915332999999999E-2</v>
      </c>
      <c r="N55" s="24">
        <v>-2.5852024999999997E-2</v>
      </c>
      <c r="O55" s="24">
        <v>-4.9476979999999997E-2</v>
      </c>
      <c r="P55" s="24">
        <v>-2.5843262999999998E-2</v>
      </c>
      <c r="Q55" s="24">
        <v>1.1027336E-2</v>
      </c>
      <c r="R55" s="24">
        <v>3.2176732999999999E-2</v>
      </c>
      <c r="S55" s="24">
        <v>1.035285E-2</v>
      </c>
      <c r="T55" s="24">
        <v>-2.2407115000000002E-2</v>
      </c>
      <c r="U55" s="24">
        <v>2.1951198999999998E-2</v>
      </c>
      <c r="V55" s="24">
        <v>-3.4974575000000001E-2</v>
      </c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</row>
    <row r="56" spans="1:38" x14ac:dyDescent="0.35">
      <c r="A56" s="2">
        <v>43391</v>
      </c>
      <c r="B56" s="24">
        <v>-8.3200930000000006E-2</v>
      </c>
      <c r="C56" s="24">
        <v>-5.2853583999999995E-2</v>
      </c>
      <c r="D56" s="24">
        <v>-4.4523596999999998E-2</v>
      </c>
      <c r="E56" s="24">
        <v>-3.8095235999999998E-2</v>
      </c>
      <c r="F56" s="24">
        <v>-4.4615983999999997E-2</v>
      </c>
      <c r="G56" s="24">
        <v>8.1140995000000011E-3</v>
      </c>
      <c r="H56" s="24">
        <v>-5.6464076000000002E-2</v>
      </c>
      <c r="I56" s="24">
        <v>-0.10073317</v>
      </c>
      <c r="J56" s="24">
        <v>-7.2418509999999991E-2</v>
      </c>
      <c r="K56" s="24">
        <v>-8.9543289999999998E-2</v>
      </c>
      <c r="L56" s="24">
        <v>0.18628966999999999</v>
      </c>
      <c r="M56" s="24">
        <v>-5.2366200000000002E-2</v>
      </c>
      <c r="N56" s="24">
        <v>-9.2883049999999995E-2</v>
      </c>
      <c r="O56" s="24">
        <v>-0.11540747</v>
      </c>
      <c r="P56" s="24">
        <v>-9.078383000000001E-2</v>
      </c>
      <c r="Q56" s="24">
        <v>3.1572819000000002E-2</v>
      </c>
      <c r="R56" s="24">
        <v>-3.5261035000000003E-2</v>
      </c>
      <c r="S56" s="24">
        <v>0.15463447999999999</v>
      </c>
      <c r="T56" s="24">
        <v>-2.1611034999999997E-2</v>
      </c>
      <c r="U56" s="24">
        <v>-7.5178979999999992E-2</v>
      </c>
      <c r="V56" s="24">
        <v>-9.5003842999999994E-3</v>
      </c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</row>
    <row r="57" spans="1:38" x14ac:dyDescent="0.35">
      <c r="A57" s="2">
        <v>43420</v>
      </c>
      <c r="B57" s="24">
        <v>8.2285400000000009E-2</v>
      </c>
      <c r="C57" s="24">
        <v>3.1418561999999997E-2</v>
      </c>
      <c r="D57" s="24">
        <v>0.14725077</v>
      </c>
      <c r="E57" s="24">
        <v>4.2676686999999998E-2</v>
      </c>
      <c r="F57" s="24">
        <v>-2.2452473999999998E-3</v>
      </c>
      <c r="G57" s="24">
        <v>5.5515765999999999E-4</v>
      </c>
      <c r="H57" s="24">
        <v>4.5781136000000002E-3</v>
      </c>
      <c r="I57" s="24">
        <v>5.7368280000000002E-3</v>
      </c>
      <c r="J57" s="24">
        <v>-0.12920875000000001</v>
      </c>
      <c r="K57" s="24">
        <v>3.9603709999999999E-3</v>
      </c>
      <c r="L57" s="24">
        <v>4.897642E-2</v>
      </c>
      <c r="M57" s="24">
        <v>8.9848520000000001E-2</v>
      </c>
      <c r="N57" s="24">
        <v>5.3192379999999996E-3</v>
      </c>
      <c r="O57" s="24">
        <v>8.6079360000000008E-2</v>
      </c>
      <c r="P57" s="24">
        <v>6.9533944E-2</v>
      </c>
      <c r="Q57" s="24">
        <v>6.1213135999999994E-2</v>
      </c>
      <c r="R57" s="24">
        <v>-2.8468550000000002E-2</v>
      </c>
      <c r="S57" s="24">
        <v>2.7430296E-2</v>
      </c>
      <c r="T57" s="24">
        <v>1.6733646000000001E-2</v>
      </c>
      <c r="U57" s="24">
        <v>-2.000004E-2</v>
      </c>
      <c r="V57" s="24">
        <v>1.8117190000000002E-2</v>
      </c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</row>
    <row r="58" spans="1:38" x14ac:dyDescent="0.35">
      <c r="A58" s="2">
        <v>43452</v>
      </c>
      <c r="B58" s="24">
        <v>-3.8969636000000002E-2</v>
      </c>
      <c r="C58" s="24">
        <v>-4.7255095999999996E-2</v>
      </c>
      <c r="D58" s="24">
        <v>6.7998170000000005E-3</v>
      </c>
      <c r="E58" s="24">
        <v>3.8336039000000002E-2</v>
      </c>
      <c r="F58" s="24">
        <v>6.8539859999999994E-2</v>
      </c>
      <c r="G58" s="24">
        <v>-1.4197409000000001E-2</v>
      </c>
      <c r="H58" s="24">
        <v>-4.9230337000000006E-2</v>
      </c>
      <c r="I58" s="24">
        <v>-1.9274115999999997E-2</v>
      </c>
      <c r="J58" s="24">
        <v>-2.4606466E-2</v>
      </c>
      <c r="K58" s="24">
        <v>-2.6957393E-2</v>
      </c>
      <c r="L58" s="24">
        <v>-5.5473803999999995E-2</v>
      </c>
      <c r="M58" s="24">
        <v>-5.2259865000000003E-2</v>
      </c>
      <c r="N58" s="24">
        <v>-3.7037075000000003E-2</v>
      </c>
      <c r="O58" s="24">
        <v>3.6311864999999999E-2</v>
      </c>
      <c r="P58" s="24">
        <v>-4.1548432999999996E-2</v>
      </c>
      <c r="Q58" s="24">
        <v>-6.802738E-3</v>
      </c>
      <c r="R58" s="24">
        <v>-3.1688094E-2</v>
      </c>
      <c r="S58" s="24">
        <v>-3.0374466999999999E-2</v>
      </c>
      <c r="T58" s="24">
        <v>-8.1386620000000007E-2</v>
      </c>
      <c r="U58" s="24">
        <v>4.6083927E-3</v>
      </c>
      <c r="V58" s="24">
        <v>3.3600449999999997E-2</v>
      </c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</row>
    <row r="59" spans="1:38" x14ac:dyDescent="0.35">
      <c r="A59" s="2">
        <v>43483</v>
      </c>
      <c r="B59" s="24">
        <v>4.0601729999999996E-2</v>
      </c>
      <c r="C59" s="24">
        <v>9.6535320000000008E-2</v>
      </c>
      <c r="D59" s="24">
        <v>9.2966920000000008E-2</v>
      </c>
      <c r="E59" s="24">
        <v>0.10003161000000001</v>
      </c>
      <c r="F59" s="24">
        <v>2.4327755E-2</v>
      </c>
      <c r="G59" s="24">
        <v>3.4482718000000002E-2</v>
      </c>
      <c r="H59" s="24">
        <v>6.3414574000000001E-2</v>
      </c>
      <c r="I59" s="24">
        <v>2.0524144000000001E-2</v>
      </c>
      <c r="J59" s="24">
        <v>0.12703169</v>
      </c>
      <c r="K59" s="24">
        <v>5.2045939999999999E-2</v>
      </c>
      <c r="L59" s="24">
        <v>0.14710568999999998</v>
      </c>
      <c r="M59" s="24">
        <v>0.10910929</v>
      </c>
      <c r="N59" s="24">
        <v>-7.8599450000000001E-3</v>
      </c>
      <c r="O59" s="24">
        <v>-1.3385892E-2</v>
      </c>
      <c r="P59" s="24">
        <v>6.6629290000000008E-2</v>
      </c>
      <c r="Q59" s="24">
        <v>5.0478219999999997E-2</v>
      </c>
      <c r="R59" s="24">
        <v>3.6644936000000005E-4</v>
      </c>
      <c r="S59" s="24">
        <v>9.3826180000000009E-2</v>
      </c>
      <c r="T59" s="24">
        <v>1.5850185999999999E-2</v>
      </c>
      <c r="U59" s="24">
        <v>2.2034287E-2</v>
      </c>
      <c r="V59" s="24">
        <v>9.8355054999999997E-2</v>
      </c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</row>
    <row r="60" spans="1:38" x14ac:dyDescent="0.35">
      <c r="A60" s="2">
        <v>43511</v>
      </c>
      <c r="B60" s="24">
        <v>5.6487920000000004E-2</v>
      </c>
      <c r="C60" s="24">
        <v>-8.0627202999999995E-3</v>
      </c>
      <c r="D60" s="24">
        <v>-3.9201260000000002E-2</v>
      </c>
      <c r="E60" s="24">
        <v>-1.8932879E-2</v>
      </c>
      <c r="F60" s="24">
        <v>-3.7499964000000004E-2</v>
      </c>
      <c r="G60" s="24">
        <v>3.7431717000000003E-2</v>
      </c>
      <c r="H60" s="24">
        <v>6.552935E-4</v>
      </c>
      <c r="I60" s="24">
        <v>1.5779734E-2</v>
      </c>
      <c r="J60" s="24">
        <v>-2.8400242000000003E-2</v>
      </c>
      <c r="K60" s="24">
        <v>3.1895875999999997E-2</v>
      </c>
      <c r="L60" s="24">
        <v>2.8935194000000001E-2</v>
      </c>
      <c r="M60" s="24">
        <v>-3.8693249999999998E-2</v>
      </c>
      <c r="N60" s="24">
        <v>5.2482246999999996E-2</v>
      </c>
      <c r="O60" s="24">
        <v>-2.5640964999999998E-2</v>
      </c>
      <c r="P60" s="24">
        <v>2.8871298E-2</v>
      </c>
      <c r="Q60" s="24">
        <v>-8.8517960000000007E-2</v>
      </c>
      <c r="R60" s="24">
        <v>3.2795072000000001E-2</v>
      </c>
      <c r="S60" s="24">
        <v>3.8618565000000001E-2</v>
      </c>
      <c r="T60" s="24">
        <v>-1.1347592E-2</v>
      </c>
      <c r="U60" s="24">
        <v>6.7226886999999999E-2</v>
      </c>
      <c r="V60" s="24">
        <v>9.9843740000000007E-3</v>
      </c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</row>
    <row r="61" spans="1:38" x14ac:dyDescent="0.35">
      <c r="A61" s="2">
        <v>43542</v>
      </c>
      <c r="B61" s="24">
        <v>0.14219295499999998</v>
      </c>
      <c r="C61" s="24">
        <v>-1.1423588E-2</v>
      </c>
      <c r="D61" s="24">
        <v>8.8529587E-3</v>
      </c>
      <c r="E61" s="24">
        <v>0</v>
      </c>
      <c r="F61" s="24">
        <v>2.7272701E-2</v>
      </c>
      <c r="G61" s="24">
        <v>3.8187980000000003E-2</v>
      </c>
      <c r="H61" s="24">
        <v>1.1787772E-2</v>
      </c>
      <c r="I61" s="24">
        <v>4.1120887000000002E-2</v>
      </c>
      <c r="J61" s="24">
        <v>2.2835732000000002E-3</v>
      </c>
      <c r="K61" s="24">
        <v>-1.9239902E-2</v>
      </c>
      <c r="L61" s="24">
        <v>-1.1248588599999999E-3</v>
      </c>
      <c r="M61" s="24">
        <v>1.1391759E-2</v>
      </c>
      <c r="N61" s="24">
        <v>0.10377348</v>
      </c>
      <c r="O61" s="24">
        <v>0.11058903</v>
      </c>
      <c r="P61" s="24">
        <v>6.5816283000000003E-2</v>
      </c>
      <c r="Q61" s="24">
        <v>1.1098742E-2</v>
      </c>
      <c r="R61" s="24">
        <v>-1.1089981E-2</v>
      </c>
      <c r="S61" s="24">
        <v>-2.2524117999999999E-2</v>
      </c>
      <c r="T61" s="24">
        <v>4.5193669999999998E-2</v>
      </c>
      <c r="U61" s="24">
        <v>3.9370059999999998E-2</v>
      </c>
      <c r="V61" s="24">
        <v>-1.2356043000000001E-3</v>
      </c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</row>
    <row r="62" spans="1:38" x14ac:dyDescent="0.35">
      <c r="A62" s="2">
        <v>43573</v>
      </c>
      <c r="B62" s="24">
        <v>6.0040709999999997E-2</v>
      </c>
      <c r="C62" s="24">
        <v>-1.2444496000000001E-2</v>
      </c>
      <c r="D62" s="24">
        <v>1.7550587999999999E-2</v>
      </c>
      <c r="E62" s="24">
        <v>1.3742566000000001E-2</v>
      </c>
      <c r="F62" s="24">
        <v>-5.8996680000000003E-3</v>
      </c>
      <c r="G62" s="24">
        <v>-2.2323607999999998E-2</v>
      </c>
      <c r="H62" s="24">
        <v>-5.5663404E-2</v>
      </c>
      <c r="I62" s="24">
        <v>5.7343483000000001E-2</v>
      </c>
      <c r="J62" s="24">
        <v>7.3820949999999996E-2</v>
      </c>
      <c r="K62" s="24">
        <v>1.7687797999999998E-2</v>
      </c>
      <c r="L62" s="24">
        <v>-8.8738799999999993E-2</v>
      </c>
      <c r="M62" s="24">
        <v>9.1984159999999995E-2</v>
      </c>
      <c r="N62" s="24">
        <v>5.2503109999999999E-2</v>
      </c>
      <c r="O62" s="24">
        <v>9.590983400000001E-3</v>
      </c>
      <c r="P62" s="24">
        <v>3.5423636000000001E-2</v>
      </c>
      <c r="Q62" s="24">
        <v>4.0022016000000001E-2</v>
      </c>
      <c r="R62" s="24">
        <v>3.5503863999999996E-2</v>
      </c>
      <c r="S62" s="24">
        <v>-0.11631309500000001</v>
      </c>
      <c r="T62" s="24">
        <v>6.3136577999999999E-2</v>
      </c>
      <c r="U62" s="24">
        <v>-2.7971982999999999E-2</v>
      </c>
      <c r="V62" s="24">
        <v>7.9492690000000005E-2</v>
      </c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</row>
    <row r="63" spans="1:38" x14ac:dyDescent="0.35">
      <c r="A63" s="2">
        <v>43602</v>
      </c>
      <c r="B63" s="24">
        <v>-0.13952005000000001</v>
      </c>
      <c r="C63" s="24">
        <v>-0.10688567</v>
      </c>
      <c r="D63" s="24">
        <v>-0.16160477000000001</v>
      </c>
      <c r="E63" s="24">
        <v>-6.3455342999999997E-2</v>
      </c>
      <c r="F63" s="24">
        <v>-9.5803319999999997E-2</v>
      </c>
      <c r="G63" s="24">
        <v>-7.4727591999999995E-2</v>
      </c>
      <c r="H63" s="24">
        <v>-2.5702536000000002E-2</v>
      </c>
      <c r="I63" s="24">
        <v>-8.384061000000001E-2</v>
      </c>
      <c r="J63" s="24">
        <v>-6.1531963000000002E-2</v>
      </c>
      <c r="K63" s="24">
        <v>-0.12671827999999999</v>
      </c>
      <c r="L63" s="24">
        <v>-8.5763640000000002E-2</v>
      </c>
      <c r="M63" s="24">
        <v>-8.3891980000000005E-2</v>
      </c>
      <c r="N63" s="24">
        <v>-8.8167080000000009E-2</v>
      </c>
      <c r="O63" s="24">
        <v>-5.7837367000000001E-2</v>
      </c>
      <c r="P63" s="24">
        <v>-0.11111111</v>
      </c>
      <c r="Q63" s="24">
        <v>-7.0673109999999997E-2</v>
      </c>
      <c r="R63" s="24">
        <v>-3.9934337E-2</v>
      </c>
      <c r="S63" s="24">
        <v>-0.13990063</v>
      </c>
      <c r="T63" s="24">
        <v>-0.11232476999999999</v>
      </c>
      <c r="U63" s="24">
        <v>-1.5587568000000001E-2</v>
      </c>
      <c r="V63" s="24">
        <v>-6.5902653000000005E-2</v>
      </c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</row>
    <row r="64" spans="1:38" x14ac:dyDescent="0.35">
      <c r="A64" s="2">
        <v>43634</v>
      </c>
      <c r="B64" s="24">
        <v>3.2236338000000003E-2</v>
      </c>
      <c r="C64" s="24">
        <v>1.5308976E-2</v>
      </c>
      <c r="D64" s="24">
        <v>0.15312910000000002</v>
      </c>
      <c r="E64" s="24">
        <v>8.2587829999999987E-2</v>
      </c>
      <c r="F64" s="24">
        <v>9.3346600000000002E-2</v>
      </c>
      <c r="G64" s="24">
        <v>2.5845408E-2</v>
      </c>
      <c r="H64" s="24">
        <v>4.804158E-2</v>
      </c>
      <c r="I64" s="24">
        <v>3.1108380000000001E-2</v>
      </c>
      <c r="J64" s="24">
        <v>7.2318316000000004E-3</v>
      </c>
      <c r="K64" s="24">
        <v>5.4640890000000004E-2</v>
      </c>
      <c r="L64" s="24">
        <v>0.17207802</v>
      </c>
      <c r="M64" s="24">
        <v>3.5431623000000002E-2</v>
      </c>
      <c r="N64" s="24">
        <v>0.18193387999999999</v>
      </c>
      <c r="O64" s="24">
        <v>4.6845913000000003E-2</v>
      </c>
      <c r="P64" s="24">
        <v>8.454919E-3</v>
      </c>
      <c r="Q64" s="24">
        <v>5.6512475E-2</v>
      </c>
      <c r="R64" s="24">
        <v>4.6943307000000004E-2</v>
      </c>
      <c r="S64" s="24">
        <v>0.14227605000000002</v>
      </c>
      <c r="T64" s="24">
        <v>1.5118003E-2</v>
      </c>
      <c r="U64" s="24">
        <v>-1.7661452000000001E-2</v>
      </c>
      <c r="V64" s="24">
        <v>5.9316753999999999E-2</v>
      </c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</row>
    <row r="65" spans="1:38" x14ac:dyDescent="0.35">
      <c r="A65" s="2">
        <v>43664</v>
      </c>
      <c r="B65" s="24">
        <v>1.9898771999999999E-2</v>
      </c>
      <c r="C65" s="24">
        <v>2.0738481999999999E-2</v>
      </c>
      <c r="D65" s="24">
        <v>4.9290180000000003E-2</v>
      </c>
      <c r="E65" s="24">
        <v>5.7003735999999999E-2</v>
      </c>
      <c r="F65" s="24">
        <v>1.2457012999999999E-2</v>
      </c>
      <c r="G65" s="24">
        <v>5.5973170000000003E-2</v>
      </c>
      <c r="H65" s="24">
        <v>1.4690875999999999E-2</v>
      </c>
      <c r="I65" s="24">
        <v>5.1552534000000004E-2</v>
      </c>
      <c r="J65" s="24">
        <v>-1.9010484000000001E-2</v>
      </c>
      <c r="K65" s="24">
        <v>-1.0121822000000001E-2</v>
      </c>
      <c r="L65" s="24">
        <v>9.0165729999999999E-2</v>
      </c>
      <c r="M65" s="24">
        <v>3.121519E-2</v>
      </c>
      <c r="N65" s="24">
        <v>4.1212796999999995E-2</v>
      </c>
      <c r="O65" s="24">
        <v>-1.7153024999999999E-3</v>
      </c>
      <c r="P65" s="24">
        <v>2.647066E-2</v>
      </c>
      <c r="Q65" s="24">
        <v>-2.0377635999999999E-3</v>
      </c>
      <c r="R65" s="24">
        <v>2.366352E-2</v>
      </c>
      <c r="S65" s="24">
        <v>0.12321662999999999</v>
      </c>
      <c r="T65" s="24">
        <v>5.3704500000000002E-2</v>
      </c>
      <c r="U65" s="24">
        <v>9.2995166999999997E-3</v>
      </c>
      <c r="V65" s="24">
        <v>-7.8878400000000001E-3</v>
      </c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x14ac:dyDescent="0.35">
      <c r="A66" s="2">
        <v>43693</v>
      </c>
      <c r="B66" s="24">
        <v>-2.5895774E-2</v>
      </c>
      <c r="C66" s="24">
        <v>-9.5391509999999999E-2</v>
      </c>
      <c r="D66" s="24">
        <v>-6.7643759999999997E-2</v>
      </c>
      <c r="E66" s="24">
        <v>-9.3225000000000002E-2</v>
      </c>
      <c r="F66" s="24">
        <v>-0.13491726000000001</v>
      </c>
      <c r="G66" s="24">
        <v>-0.12104421999999999</v>
      </c>
      <c r="H66" s="24">
        <v>-5.8922530000000001E-2</v>
      </c>
      <c r="I66" s="24">
        <v>-4.6518145000000004E-2</v>
      </c>
      <c r="J66" s="24">
        <v>-8.6621580000000004E-2</v>
      </c>
      <c r="K66" s="24">
        <v>-9.5320639999999998E-2</v>
      </c>
      <c r="L66" s="24">
        <v>-0.10756367999999999</v>
      </c>
      <c r="M66" s="24">
        <v>-0.16180181999999999</v>
      </c>
      <c r="N66" s="24">
        <v>-0.12357217000000001</v>
      </c>
      <c r="O66" s="24">
        <v>-7.8464985000000001E-2</v>
      </c>
      <c r="P66" s="24">
        <v>-6.674534E-2</v>
      </c>
      <c r="Q66" s="24">
        <v>-8.1089610000000006E-2</v>
      </c>
      <c r="R66" s="24">
        <v>-5.3404749999999994E-2</v>
      </c>
      <c r="S66" s="24">
        <v>-4.8498869999999999E-2</v>
      </c>
      <c r="T66" s="24">
        <v>-3.3353567000000001E-2</v>
      </c>
      <c r="U66" s="24">
        <v>-4.2997599999999997E-2</v>
      </c>
      <c r="V66" s="24">
        <v>-5.2414599999999999E-2</v>
      </c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</row>
    <row r="67" spans="1:38" x14ac:dyDescent="0.35">
      <c r="A67" s="2">
        <v>43726</v>
      </c>
      <c r="B67" s="24">
        <v>3.6780833999999998E-2</v>
      </c>
      <c r="C67" s="24">
        <v>4.3823720000000004E-2</v>
      </c>
      <c r="D67" s="24">
        <v>2.2168516999999999E-2</v>
      </c>
      <c r="E67" s="24">
        <v>1.2851118999999999E-2</v>
      </c>
      <c r="F67" s="24">
        <v>4.9534082E-2</v>
      </c>
      <c r="G67" s="24">
        <v>3.7503719999999997E-2</v>
      </c>
      <c r="H67" s="24">
        <v>2.5044680000000001E-3</v>
      </c>
      <c r="I67" s="24">
        <v>6.8653345000000005E-2</v>
      </c>
      <c r="J67" s="24">
        <v>0.10864008</v>
      </c>
      <c r="K67" s="24">
        <v>9.0996149999999998E-2</v>
      </c>
      <c r="L67" s="24">
        <v>2.3049235000000001E-2</v>
      </c>
      <c r="M67" s="24">
        <v>0.10490119999999999</v>
      </c>
      <c r="N67" s="24">
        <v>0.12322271000000001</v>
      </c>
      <c r="O67" s="24">
        <v>-9.0118647000000003E-3</v>
      </c>
      <c r="P67" s="24">
        <v>6.1224460000000001E-2</v>
      </c>
      <c r="Q67" s="24">
        <v>7.8627824999999998E-2</v>
      </c>
      <c r="R67" s="24">
        <v>1.3938904E-2</v>
      </c>
      <c r="S67" s="24">
        <v>4.2071222999999998E-2</v>
      </c>
      <c r="T67" s="24">
        <v>3.1341076000000002E-2</v>
      </c>
      <c r="U67" s="24">
        <v>2.695763E-2</v>
      </c>
      <c r="V67" s="24">
        <v>-8.5767565000000004E-2</v>
      </c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</row>
    <row r="68" spans="1:38" x14ac:dyDescent="0.35">
      <c r="A68" s="2">
        <v>43756</v>
      </c>
      <c r="B68" s="24">
        <v>-3.5125017000000003E-4</v>
      </c>
      <c r="C68" s="24">
        <v>2.7814149999999999E-2</v>
      </c>
      <c r="D68" s="24">
        <v>-1.6955853E-2</v>
      </c>
      <c r="E68" s="24">
        <v>2.1245240000000002E-2</v>
      </c>
      <c r="F68" s="24">
        <v>6.0747859999999996E-3</v>
      </c>
      <c r="G68" s="24">
        <v>-2.8926134000000002E-4</v>
      </c>
      <c r="H68" s="24">
        <v>-7.1377754000000009E-3</v>
      </c>
      <c r="I68" s="24">
        <v>3.7725449000000001E-2</v>
      </c>
      <c r="J68" s="24">
        <v>2.2135139000000002E-2</v>
      </c>
      <c r="K68" s="24">
        <v>1.1237859999999999E-2</v>
      </c>
      <c r="L68" s="24">
        <v>-4.459083E-3</v>
      </c>
      <c r="M68" s="24">
        <v>-8.7548494000000004E-3</v>
      </c>
      <c r="N68" s="24">
        <v>2.004218E-2</v>
      </c>
      <c r="O68" s="24">
        <v>6.7105650000000003E-2</v>
      </c>
      <c r="P68" s="24">
        <v>-1.7528892000000001E-2</v>
      </c>
      <c r="Q68" s="24">
        <v>1.0498166E-2</v>
      </c>
      <c r="R68" s="24">
        <v>-1.3729155E-2</v>
      </c>
      <c r="S68" s="24">
        <v>-5.2795053000000002E-2</v>
      </c>
      <c r="T68" s="24">
        <v>1.6961217000000001E-2</v>
      </c>
      <c r="U68" s="24">
        <v>8.749962E-3</v>
      </c>
      <c r="V68" s="24">
        <v>-2.5832772E-2</v>
      </c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</row>
    <row r="69" spans="1:38" x14ac:dyDescent="0.35">
      <c r="A69" s="2">
        <v>43787</v>
      </c>
      <c r="B69" s="24">
        <v>1.1946559000000001E-2</v>
      </c>
      <c r="C69" s="24">
        <v>-0.15062540999999999</v>
      </c>
      <c r="D69" s="24">
        <v>-9.6269249999999997E-3</v>
      </c>
      <c r="E69" s="24">
        <v>6.6454409999999993E-3</v>
      </c>
      <c r="F69" s="24">
        <v>1.8578768000000002E-2</v>
      </c>
      <c r="G69" s="24">
        <v>8.3887579999999996E-3</v>
      </c>
      <c r="H69" s="24">
        <v>2.5880694000000003E-2</v>
      </c>
      <c r="I69" s="24">
        <v>5.3477407000000005E-2</v>
      </c>
      <c r="J69" s="24">
        <v>4.5108795000000003E-4</v>
      </c>
      <c r="K69" s="24">
        <v>6.1469079999999995E-2</v>
      </c>
      <c r="L69" s="24">
        <v>-4.9504637999999998E-3</v>
      </c>
      <c r="M69" s="24">
        <v>4.3178797E-3</v>
      </c>
      <c r="N69" s="24">
        <v>2.4819135999999999E-2</v>
      </c>
      <c r="O69" s="24">
        <v>8.8167190000000009E-4</v>
      </c>
      <c r="P69" s="24">
        <v>2.7195573000000001E-2</v>
      </c>
      <c r="Q69" s="24">
        <v>-4.8185587000000004E-3</v>
      </c>
      <c r="R69" s="24">
        <v>-1.4361679999999998E-2</v>
      </c>
      <c r="S69" s="24">
        <v>9.8360649999999994E-2</v>
      </c>
      <c r="T69" s="24">
        <v>-5.3161917000000003E-2</v>
      </c>
      <c r="U69" s="24">
        <v>1.5489459000000001E-2</v>
      </c>
      <c r="V69" s="24">
        <v>5.5477977000000005E-2</v>
      </c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</row>
    <row r="70" spans="1:38" x14ac:dyDescent="0.35">
      <c r="A70" s="2">
        <v>43817</v>
      </c>
      <c r="B70" s="24">
        <v>4.1224360000000002E-2</v>
      </c>
      <c r="C70" s="24">
        <v>9.4145536000000002E-3</v>
      </c>
      <c r="D70" s="24">
        <v>3.7521958000000001E-2</v>
      </c>
      <c r="E70" s="24">
        <v>-2.0062207999999998E-2</v>
      </c>
      <c r="F70" s="24">
        <v>-3.2404481999999998E-2</v>
      </c>
      <c r="G70" s="24">
        <v>2.0044684E-2</v>
      </c>
      <c r="H70" s="24">
        <v>-3.6401153000000003E-3</v>
      </c>
      <c r="I70" s="24">
        <v>5.8871029999999998E-2</v>
      </c>
      <c r="J70" s="24">
        <v>5.4114102999999997E-2</v>
      </c>
      <c r="K70" s="24">
        <v>2.5525807999999997E-2</v>
      </c>
      <c r="L70" s="24">
        <v>0.10815894999999999</v>
      </c>
      <c r="M70" s="24">
        <v>4.8179626000000003E-2</v>
      </c>
      <c r="N70" s="24">
        <v>1.4127134999999999E-2</v>
      </c>
      <c r="O70" s="24">
        <v>3.5610676000000001E-2</v>
      </c>
      <c r="P70" s="24">
        <v>7.9146623999999999E-2</v>
      </c>
      <c r="Q70" s="24">
        <v>-9.7956659999999997E-3</v>
      </c>
      <c r="R70" s="24">
        <v>-2.7524889E-2</v>
      </c>
      <c r="S70" s="24">
        <v>-5.0365329999999993E-3</v>
      </c>
      <c r="T70" s="24">
        <v>-1.1376143E-2</v>
      </c>
      <c r="U70" s="24">
        <v>-3.2336771E-2</v>
      </c>
      <c r="V70" s="24">
        <v>1.9270539E-2</v>
      </c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</row>
    <row r="71" spans="1:38" x14ac:dyDescent="0.35">
      <c r="A71" s="2">
        <v>43847</v>
      </c>
      <c r="B71" s="24">
        <v>6.1217665999999997E-2</v>
      </c>
      <c r="C71" s="24">
        <v>5.3715705999999993E-3</v>
      </c>
      <c r="D71" s="24">
        <v>3.8717269999999998E-2</v>
      </c>
      <c r="E71" s="24">
        <v>-9.3814134999999996E-3</v>
      </c>
      <c r="F71" s="24">
        <v>4.0038586000000001E-2</v>
      </c>
      <c r="G71" s="24">
        <v>4.7686696000000001E-2</v>
      </c>
      <c r="H71" s="24">
        <v>2.5248884999999999E-2</v>
      </c>
      <c r="I71" s="24">
        <v>5.5676700000000003E-3</v>
      </c>
      <c r="J71" s="24">
        <v>3.6709070000000003E-2</v>
      </c>
      <c r="K71" s="24">
        <v>4.3676614999999995E-2</v>
      </c>
      <c r="L71" s="24">
        <v>1.4426349999999999E-2</v>
      </c>
      <c r="M71" s="24">
        <v>-4.9210787000000004E-3</v>
      </c>
      <c r="N71" s="24">
        <v>1.5478611E-2</v>
      </c>
      <c r="O71" s="24">
        <v>2.6674151E-2</v>
      </c>
      <c r="P71" s="24">
        <v>6.3554645000000007E-2</v>
      </c>
      <c r="Q71" s="24">
        <v>4.1266203000000001E-2</v>
      </c>
      <c r="R71" s="24">
        <v>2.3494959999999999E-2</v>
      </c>
      <c r="S71" s="24">
        <v>0.10769807999999999</v>
      </c>
      <c r="T71" s="24">
        <v>1.5961408999999999E-2</v>
      </c>
      <c r="U71" s="24">
        <v>1.9727349000000002E-2</v>
      </c>
      <c r="V71" s="24">
        <v>2.8562069999999998E-2</v>
      </c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</row>
    <row r="72" spans="1:38" x14ac:dyDescent="0.35">
      <c r="A72" s="2">
        <v>43879</v>
      </c>
      <c r="B72" s="24">
        <v>-4.1204394999999998E-2</v>
      </c>
      <c r="C72" s="24">
        <v>-9.5280470000000006E-2</v>
      </c>
      <c r="D72" s="24">
        <v>-8.7725880000000006E-2</v>
      </c>
      <c r="E72" s="24">
        <v>-4.7943233999999994E-2</v>
      </c>
      <c r="F72" s="24">
        <v>-7.3283853999999995E-2</v>
      </c>
      <c r="G72" s="24">
        <v>-7.0750475000000007E-2</v>
      </c>
      <c r="H72" s="24">
        <v>-6.5903543999999994E-2</v>
      </c>
      <c r="I72" s="24">
        <v>-4.3813169999999999E-2</v>
      </c>
      <c r="J72" s="24">
        <v>-1.1039317E-2</v>
      </c>
      <c r="K72" s="24">
        <v>-4.6221075E-2</v>
      </c>
      <c r="L72" s="24">
        <v>-7.3567149999999998E-2</v>
      </c>
      <c r="M72" s="24">
        <v>-4.2447924999999997E-2</v>
      </c>
      <c r="N72" s="24">
        <v>-8.5828419999999989E-2</v>
      </c>
      <c r="O72" s="24">
        <v>-3.5655081000000005E-2</v>
      </c>
      <c r="P72" s="24">
        <v>-3.8849412999999999E-2</v>
      </c>
      <c r="Q72" s="24">
        <v>-7.9804539999999993E-2</v>
      </c>
      <c r="R72" s="24">
        <v>-5.4233669999999998E-2</v>
      </c>
      <c r="S72" s="24">
        <v>-5.2379312999999997E-2</v>
      </c>
      <c r="T72" s="24">
        <v>-5.2166642999999999E-2</v>
      </c>
      <c r="U72" s="24">
        <v>-6.1059179999999998E-2</v>
      </c>
      <c r="V72" s="24">
        <v>-8.3306730000000009E-2</v>
      </c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</row>
    <row r="73" spans="1:38" x14ac:dyDescent="0.35">
      <c r="A73" s="2">
        <v>43908</v>
      </c>
      <c r="B73" s="24">
        <v>-0.11801653999999999</v>
      </c>
      <c r="C73" s="24">
        <v>-0.41469810000000001</v>
      </c>
      <c r="D73" s="24">
        <v>-0.40486995999999997</v>
      </c>
      <c r="E73" s="24">
        <v>-0.40317059999999999</v>
      </c>
      <c r="F73" s="24">
        <v>-0.35835839999999997</v>
      </c>
      <c r="G73" s="24">
        <v>-0.37286068</v>
      </c>
      <c r="H73" s="24">
        <v>-0.25807655000000002</v>
      </c>
      <c r="I73" s="24">
        <v>-0.24823766999999999</v>
      </c>
      <c r="J73" s="24">
        <v>-0.39448189999999994</v>
      </c>
      <c r="K73" s="24">
        <v>-0.334152</v>
      </c>
      <c r="L73" s="24">
        <v>-0.50623271999999997</v>
      </c>
      <c r="M73" s="24">
        <v>-0.43189155999999995</v>
      </c>
      <c r="N73" s="24">
        <v>-0.48580783999999999</v>
      </c>
      <c r="O73" s="24">
        <v>-0.33075380000000004</v>
      </c>
      <c r="P73" s="24">
        <v>-0.19222462000000001</v>
      </c>
      <c r="Q73" s="24">
        <v>-0.13657819999999998</v>
      </c>
      <c r="R73" s="24">
        <v>-0.30754851999999999</v>
      </c>
      <c r="S73" s="24">
        <v>-0.33959538</v>
      </c>
      <c r="T73" s="24">
        <v>-0.35549034000000002</v>
      </c>
      <c r="U73" s="24">
        <v>-0.33377570000000001</v>
      </c>
      <c r="V73" s="24">
        <v>-0.24268799999999999</v>
      </c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</row>
    <row r="74" spans="1:38" x14ac:dyDescent="0.35">
      <c r="A74" s="2">
        <v>43938</v>
      </c>
      <c r="B74" s="24">
        <v>7.4212910000000007E-2</v>
      </c>
      <c r="C74" s="24">
        <v>0.33856499999999995</v>
      </c>
      <c r="D74" s="24">
        <v>8.6685180000000001E-2</v>
      </c>
      <c r="E74" s="24">
        <v>0.28385411999999999</v>
      </c>
      <c r="F74" s="24">
        <v>0.16692675000000001</v>
      </c>
      <c r="G74" s="24">
        <v>0.15527666000000001</v>
      </c>
      <c r="H74" s="24">
        <v>0.18068075</v>
      </c>
      <c r="I74" s="24">
        <v>0.20864032999999998</v>
      </c>
      <c r="J74" s="24">
        <v>-1.8782616000000002E-2</v>
      </c>
      <c r="K74" s="24">
        <v>0.24834038</v>
      </c>
      <c r="L74" s="24">
        <v>0.17952310000000002</v>
      </c>
      <c r="M74" s="24">
        <v>0.14469694999999999</v>
      </c>
      <c r="N74" s="24">
        <v>0.29299365999999999</v>
      </c>
      <c r="O74" s="24">
        <v>0.11049247</v>
      </c>
      <c r="P74" s="24">
        <v>0.14915966999999999</v>
      </c>
      <c r="Q74" s="24">
        <v>6.6621065000000007E-2</v>
      </c>
      <c r="R74" s="24">
        <v>0.18231165000000002</v>
      </c>
      <c r="S74" s="24">
        <v>0.10175049</v>
      </c>
      <c r="T74" s="24">
        <v>0.18181823999999999</v>
      </c>
      <c r="U74" s="24">
        <v>0.22011948000000001</v>
      </c>
      <c r="V74" s="24">
        <v>0.12183904999999999</v>
      </c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</row>
    <row r="75" spans="1:38" x14ac:dyDescent="0.35">
      <c r="A75" s="2">
        <v>43969</v>
      </c>
      <c r="B75" s="24">
        <v>3.5938620000000004E-2</v>
      </c>
      <c r="C75" s="24">
        <v>2.7638316E-2</v>
      </c>
      <c r="D75" s="24">
        <v>3.5098910000000004E-2</v>
      </c>
      <c r="E75" s="24">
        <v>-1.8661201000000002E-2</v>
      </c>
      <c r="F75" s="24">
        <v>6.6840650000000003E-4</v>
      </c>
      <c r="G75" s="24">
        <v>8.9883209999999991E-2</v>
      </c>
      <c r="H75" s="24">
        <v>2.8401852000000002E-2</v>
      </c>
      <c r="I75" s="24">
        <v>3.4358619999999999E-2</v>
      </c>
      <c r="J75" s="24">
        <v>7.8695535999999996E-2</v>
      </c>
      <c r="K75" s="24">
        <v>2.2454143000000003E-2</v>
      </c>
      <c r="L75" s="24">
        <v>-6.0245749999999994E-2</v>
      </c>
      <c r="M75" s="24">
        <v>8.8021279999999993E-2</v>
      </c>
      <c r="N75" s="24">
        <v>4.9271584000000002E-3</v>
      </c>
      <c r="O75" s="24">
        <v>1.4269114000000001E-2</v>
      </c>
      <c r="P75" s="24">
        <v>4.2047619999999994E-2</v>
      </c>
      <c r="Q75" s="24">
        <v>2.6925087E-2</v>
      </c>
      <c r="R75" s="24">
        <v>3.8160563000000002E-2</v>
      </c>
      <c r="S75" s="24">
        <v>4.1708109999999993E-2</v>
      </c>
      <c r="T75" s="24">
        <v>2.9352187999999998E-2</v>
      </c>
      <c r="U75" s="24">
        <v>8.6530690000000007E-2</v>
      </c>
      <c r="V75" s="24">
        <v>6.0655713E-2</v>
      </c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</row>
    <row r="76" spans="1:38" x14ac:dyDescent="0.35">
      <c r="A76" s="2">
        <v>44000</v>
      </c>
      <c r="B76" s="24">
        <v>3.6599397999999998E-2</v>
      </c>
      <c r="C76" s="24">
        <v>5.9808969999999996E-2</v>
      </c>
      <c r="D76" s="24">
        <v>0.15937720999999999</v>
      </c>
      <c r="E76" s="24">
        <v>0.14363539</v>
      </c>
      <c r="F76" s="24">
        <v>0.14662385</v>
      </c>
      <c r="G76" s="24">
        <v>5.6236149999999999E-2</v>
      </c>
      <c r="H76" s="24">
        <v>7.2633743000000001E-2</v>
      </c>
      <c r="I76" s="24">
        <v>6.6702365999999999E-2</v>
      </c>
      <c r="J76" s="24">
        <v>5.8876989999999997E-2</v>
      </c>
      <c r="K76" s="24">
        <v>0.10267770999999999</v>
      </c>
      <c r="L76" s="24">
        <v>0.25456321999999998</v>
      </c>
      <c r="M76" s="24">
        <v>8.5230710000000001E-2</v>
      </c>
      <c r="N76" s="24">
        <v>9.8039150000000005E-2</v>
      </c>
      <c r="O76" s="24">
        <v>7.5902224000000004E-2</v>
      </c>
      <c r="P76" s="24">
        <v>4.3108463E-2</v>
      </c>
      <c r="Q76" s="24">
        <v>4.4442653999999998E-2</v>
      </c>
      <c r="R76" s="24">
        <v>6.7196249999999999E-2</v>
      </c>
      <c r="S76" s="24">
        <v>9.3108540000000004E-2</v>
      </c>
      <c r="T76" s="24">
        <v>4.6542170000000001E-2</v>
      </c>
      <c r="U76" s="24">
        <v>3.305781E-2</v>
      </c>
      <c r="V76" s="24">
        <v>5.5032730000000002E-2</v>
      </c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</row>
    <row r="77" spans="1:38" x14ac:dyDescent="0.35">
      <c r="A77" s="2">
        <v>44029</v>
      </c>
      <c r="B77" s="24">
        <v>0.15156459999999999</v>
      </c>
      <c r="C77" s="24">
        <v>3.6456347E-2</v>
      </c>
      <c r="D77" s="24">
        <v>1.181519E-2</v>
      </c>
      <c r="E77" s="24">
        <v>-1.8909097E-2</v>
      </c>
      <c r="F77" s="24">
        <v>1.2948751000000001E-2</v>
      </c>
      <c r="G77" s="24">
        <v>2.848351E-2</v>
      </c>
      <c r="H77" s="24">
        <v>7.0251226E-2</v>
      </c>
      <c r="I77" s="24">
        <v>7.6845884000000003E-2</v>
      </c>
      <c r="J77" s="24">
        <v>-1.9937693999999999E-2</v>
      </c>
      <c r="K77" s="24">
        <v>3.8434625E-2</v>
      </c>
      <c r="L77" s="24">
        <v>6.634915000000001E-2</v>
      </c>
      <c r="M77" s="24">
        <v>0.10445202000000001</v>
      </c>
      <c r="N77" s="24">
        <v>6.2421559999999996E-3</v>
      </c>
      <c r="O77" s="24">
        <v>0.11658405999999999</v>
      </c>
      <c r="P77" s="24">
        <v>9.1927529999999993E-2</v>
      </c>
      <c r="Q77" s="24">
        <v>4.3083070000000001E-2</v>
      </c>
      <c r="R77" s="24">
        <v>-9.7597840000000005E-3</v>
      </c>
      <c r="S77" s="24">
        <v>3.5996436999999999E-2</v>
      </c>
      <c r="T77" s="24">
        <v>4.9555299999999992E-4</v>
      </c>
      <c r="U77" s="24">
        <v>5.4545402999999999E-2</v>
      </c>
      <c r="V77" s="24">
        <v>1.1173128999999999E-2</v>
      </c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</row>
    <row r="78" spans="1:38" x14ac:dyDescent="0.35">
      <c r="A78" s="2">
        <v>44061</v>
      </c>
      <c r="B78" s="24">
        <v>6.5100430000000001E-2</v>
      </c>
      <c r="C78" s="24">
        <v>3.0257701999999997E-3</v>
      </c>
      <c r="D78" s="24">
        <v>4.7770739999999999E-2</v>
      </c>
      <c r="E78" s="24">
        <v>2.8169035999999998E-2</v>
      </c>
      <c r="F78" s="24">
        <v>8.5415480000000002E-2</v>
      </c>
      <c r="G78" s="24">
        <v>8.546150000000001E-2</v>
      </c>
      <c r="H78" s="24">
        <v>3.666997E-3</v>
      </c>
      <c r="I78" s="24">
        <v>6.1100719999999997E-2</v>
      </c>
      <c r="J78" s="24">
        <v>9.8219989999999993E-2</v>
      </c>
      <c r="K78" s="24">
        <v>8.5464360000000003E-2</v>
      </c>
      <c r="L78" s="24">
        <v>-2.0421147000000001E-2</v>
      </c>
      <c r="M78" s="24">
        <v>-3.0749439999999999E-2</v>
      </c>
      <c r="N78" s="24">
        <v>3.7717104000000001E-2</v>
      </c>
      <c r="O78" s="24">
        <v>6.2202453999999997E-2</v>
      </c>
      <c r="P78" s="24">
        <v>4.0196775999999997E-2</v>
      </c>
      <c r="Q78" s="24">
        <v>2.7722597000000002E-2</v>
      </c>
      <c r="R78" s="24">
        <v>-2.1675765999999999E-2</v>
      </c>
      <c r="S78" s="24">
        <v>-0.13855934</v>
      </c>
      <c r="T78" s="24">
        <v>6.1416506999999995E-2</v>
      </c>
      <c r="U78" s="24">
        <v>-8.2758664999999995E-3</v>
      </c>
      <c r="V78" s="24">
        <v>4.9355390000000006E-2</v>
      </c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</row>
    <row r="79" spans="1:38" x14ac:dyDescent="0.35">
      <c r="A79" s="2">
        <v>44092</v>
      </c>
      <c r="B79" s="24">
        <v>-6.6436530000000002E-3</v>
      </c>
      <c r="C79" s="24">
        <v>-6.3348412999999992E-2</v>
      </c>
      <c r="D79" s="24">
        <v>-8.5106369999999987E-2</v>
      </c>
      <c r="E79" s="24">
        <v>-4.0014450000000007E-2</v>
      </c>
      <c r="F79" s="24">
        <v>-8.4582440000000009E-2</v>
      </c>
      <c r="G79" s="24">
        <v>-3.8156628999999997E-2</v>
      </c>
      <c r="H79" s="24">
        <v>-4.5670450000000001E-2</v>
      </c>
      <c r="I79" s="24">
        <v>-3.5164951999999998E-3</v>
      </c>
      <c r="J79" s="24">
        <v>-3.4732281999999996E-2</v>
      </c>
      <c r="K79" s="24">
        <v>2.3558617E-2</v>
      </c>
      <c r="L79" s="24">
        <v>-2.9316008000000001E-2</v>
      </c>
      <c r="M79" s="24">
        <v>1.3329743999999999E-2</v>
      </c>
      <c r="N79" s="24">
        <v>1.7216682000000001E-2</v>
      </c>
      <c r="O79" s="24">
        <v>2.4200678E-2</v>
      </c>
      <c r="P79" s="24">
        <v>-2.7030705999999999E-4</v>
      </c>
      <c r="Q79" s="24">
        <v>2.9276729000000001E-2</v>
      </c>
      <c r="R79" s="24">
        <v>-3.1365812E-2</v>
      </c>
      <c r="S79" s="24">
        <v>-1.869154E-2</v>
      </c>
      <c r="T79" s="24">
        <v>1.8198729E-2</v>
      </c>
      <c r="U79" s="24">
        <v>3.0598044000000001E-2</v>
      </c>
      <c r="V79" s="24">
        <v>4.8087119999999997E-2</v>
      </c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</row>
    <row r="80" spans="1:38" x14ac:dyDescent="0.35">
      <c r="A80" s="2">
        <v>44120</v>
      </c>
      <c r="B80" s="24">
        <v>3.2528043E-2</v>
      </c>
      <c r="C80" s="24">
        <v>-3.8244783999999997E-2</v>
      </c>
      <c r="D80" s="24">
        <v>1.6611338E-2</v>
      </c>
      <c r="E80" s="24">
        <v>-1.1265277999999998E-3</v>
      </c>
      <c r="F80" s="24">
        <v>-8.0701769999999992E-2</v>
      </c>
      <c r="G80" s="24">
        <v>-5.3457019999999999E-3</v>
      </c>
      <c r="H80" s="24">
        <v>1.1485456999999999E-2</v>
      </c>
      <c r="I80" s="24">
        <v>7.2783229999999997E-3</v>
      </c>
      <c r="J80" s="24">
        <v>5.727136E-2</v>
      </c>
      <c r="K80" s="24">
        <v>7.7226159999999999E-3</v>
      </c>
      <c r="L80" s="24">
        <v>-3.8255035999999999E-2</v>
      </c>
      <c r="M80" s="24">
        <v>-1.5784502E-3</v>
      </c>
      <c r="N80" s="24">
        <v>-8.0394980000000005E-2</v>
      </c>
      <c r="O80" s="24">
        <v>1.6044377999999998E-2</v>
      </c>
      <c r="P80" s="24">
        <v>5.1628590000000002E-2</v>
      </c>
      <c r="Q80" s="24">
        <v>6.6926479999999998E-3</v>
      </c>
      <c r="R80" s="24">
        <v>-4.2463836999999997E-2</v>
      </c>
      <c r="S80" s="24">
        <v>7.0174930000000005E-3</v>
      </c>
      <c r="T80" s="24">
        <v>-1.7415165999999999E-2</v>
      </c>
      <c r="U80" s="24">
        <v>2.4966240000000001E-2</v>
      </c>
      <c r="V80" s="24">
        <v>3.1480193000000004E-2</v>
      </c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</row>
    <row r="81" spans="1:38" x14ac:dyDescent="0.35">
      <c r="A81" s="2">
        <v>44153</v>
      </c>
      <c r="B81" s="24">
        <v>2.9643058999999999E-2</v>
      </c>
      <c r="C81" s="24">
        <v>0.15696942999999999</v>
      </c>
      <c r="D81" s="24">
        <v>0.18028317999999999</v>
      </c>
      <c r="E81" s="24">
        <v>0.19586468000000001</v>
      </c>
      <c r="F81" s="24">
        <v>0.10687017000000001</v>
      </c>
      <c r="G81" s="24">
        <v>5.6905150000000002E-2</v>
      </c>
      <c r="H81" s="24">
        <v>5.1854730000000002E-2</v>
      </c>
      <c r="I81" s="24">
        <v>9.0650439999999999E-2</v>
      </c>
      <c r="J81" s="24">
        <v>0.15825307999999999</v>
      </c>
      <c r="K81" s="24">
        <v>0.12456787</v>
      </c>
      <c r="L81" s="24">
        <v>0.12944865</v>
      </c>
      <c r="M81" s="24">
        <v>0.11673260000000001</v>
      </c>
      <c r="N81" s="24">
        <v>0.13036812</v>
      </c>
      <c r="O81" s="24">
        <v>5.1105379999999999E-2</v>
      </c>
      <c r="P81" s="24">
        <v>2.6474833000000003E-2</v>
      </c>
      <c r="Q81" s="24">
        <v>4.9861670000000006E-3</v>
      </c>
      <c r="R81" s="24">
        <v>0.10611332000000001</v>
      </c>
      <c r="S81" s="24">
        <v>0.12842214999999998</v>
      </c>
      <c r="T81" s="24">
        <v>5.5037380000000004E-2</v>
      </c>
      <c r="U81" s="24">
        <v>1.8433213E-2</v>
      </c>
      <c r="V81" s="24">
        <v>-2.5973916000000003E-3</v>
      </c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</row>
    <row r="82" spans="1:38" x14ac:dyDescent="0.35">
      <c r="A82" s="2">
        <v>44183</v>
      </c>
      <c r="B82" s="24">
        <v>4.0005207000000001E-2</v>
      </c>
      <c r="C82" s="24">
        <v>8.0837839999999994E-2</v>
      </c>
      <c r="D82" s="24">
        <v>0.11389542000000001</v>
      </c>
      <c r="E82" s="24">
        <v>4.0936349999999996E-2</v>
      </c>
      <c r="F82" s="24">
        <v>0.10399019</v>
      </c>
      <c r="G82" s="24">
        <v>0.10235226000000001</v>
      </c>
      <c r="H82" s="24">
        <v>4.8218727000000003E-2</v>
      </c>
      <c r="I82" s="24">
        <v>5.4973482999999997E-2</v>
      </c>
      <c r="J82" s="24">
        <v>5.1502824000000003E-2</v>
      </c>
      <c r="K82" s="24">
        <v>9.3656649999999994E-2</v>
      </c>
      <c r="L82" s="24">
        <v>0.17353952</v>
      </c>
      <c r="M82" s="24">
        <v>0.10999453000000001</v>
      </c>
      <c r="N82" s="24">
        <v>0.17503393</v>
      </c>
      <c r="O82" s="24">
        <v>7.5179696000000004E-2</v>
      </c>
      <c r="P82" s="24">
        <v>1.3617516000000001E-2</v>
      </c>
      <c r="Q82" s="24">
        <v>1.9294380999999999E-2</v>
      </c>
      <c r="R82" s="24">
        <v>8.6318970000000009E-2</v>
      </c>
      <c r="S82" s="24">
        <v>0.10019398</v>
      </c>
      <c r="T82" s="24">
        <v>7.5825094999999995E-2</v>
      </c>
      <c r="U82" s="24">
        <v>8.9851379999999995E-2</v>
      </c>
      <c r="V82" s="24">
        <v>2.2969960000000001E-2</v>
      </c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</row>
    <row r="83" spans="1:38" x14ac:dyDescent="0.35">
      <c r="A83" s="2">
        <v>44211</v>
      </c>
      <c r="B83" s="24">
        <v>8.762513999999999E-2</v>
      </c>
      <c r="C83" s="24">
        <v>6.9313644999999993E-2</v>
      </c>
      <c r="D83" s="24">
        <v>2.2120237000000001E-2</v>
      </c>
      <c r="E83" s="24">
        <v>-1.8160343000000001E-3</v>
      </c>
      <c r="F83" s="24">
        <v>4.7096014E-3</v>
      </c>
      <c r="G83" s="24">
        <v>2.5846958E-3</v>
      </c>
      <c r="H83" s="24">
        <v>-2.6089907000000002E-2</v>
      </c>
      <c r="I83" s="24">
        <v>0.1087842</v>
      </c>
      <c r="J83" s="24">
        <v>4.7826766999999999E-2</v>
      </c>
      <c r="K83" s="24">
        <v>0.13555777000000002</v>
      </c>
      <c r="L83" s="24">
        <v>-2.1485447999999997E-2</v>
      </c>
      <c r="M83" s="24">
        <v>-2.7236462000000003E-2</v>
      </c>
      <c r="N83" s="24">
        <v>-2.5617480000000001E-2</v>
      </c>
      <c r="O83" s="24">
        <v>4.2207003E-2</v>
      </c>
      <c r="P83" s="24">
        <v>6.6094159999999999E-2</v>
      </c>
      <c r="Q83" s="24">
        <v>3.3531666000000002E-2</v>
      </c>
      <c r="R83" s="24">
        <v>1.8719912000000002E-2</v>
      </c>
      <c r="S83" s="24">
        <v>0.10096539</v>
      </c>
      <c r="T83" s="24">
        <v>4.1118382999999994E-2</v>
      </c>
      <c r="U83" s="24">
        <v>9.8261950000000001E-2</v>
      </c>
      <c r="V83" s="24">
        <v>2.0427704000000001E-2</v>
      </c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</row>
    <row r="84" spans="1:38" x14ac:dyDescent="0.35">
      <c r="A84" s="2">
        <v>44245</v>
      </c>
      <c r="B84" s="24">
        <v>7.5403929999999994E-2</v>
      </c>
      <c r="C84" s="24">
        <v>1.7935753000000002E-2</v>
      </c>
      <c r="D84" s="24">
        <v>-4.1649700000000005E-2</v>
      </c>
      <c r="E84" s="24">
        <v>-6.8526386999999994E-2</v>
      </c>
      <c r="F84" s="24">
        <v>2.3958324999999999E-2</v>
      </c>
      <c r="G84" s="24">
        <v>7.8773974999999996E-2</v>
      </c>
      <c r="H84" s="24">
        <v>-2.7846335999999999E-2</v>
      </c>
      <c r="I84" s="24">
        <v>4.1972756E-2</v>
      </c>
      <c r="J84" s="24">
        <v>-5.7778780000000002E-2</v>
      </c>
      <c r="K84" s="24">
        <v>-6.7223310000000007E-3</v>
      </c>
      <c r="L84" s="24">
        <v>-3.5510897999999999E-2</v>
      </c>
      <c r="M84" s="24">
        <v>0.11222399</v>
      </c>
      <c r="N84" s="24">
        <v>-2.2580624000000001E-2</v>
      </c>
      <c r="O84" s="24">
        <v>4.8060416999999994E-2</v>
      </c>
      <c r="P84" s="24">
        <v>0.10799766</v>
      </c>
      <c r="Q84" s="24">
        <v>-3.7414968E-2</v>
      </c>
      <c r="R84" s="24">
        <v>5.9604644999999997E-4</v>
      </c>
      <c r="S84" s="24">
        <v>8.8418010000000005E-2</v>
      </c>
      <c r="T84" s="24">
        <v>2.1327018999999999E-2</v>
      </c>
      <c r="U84" s="24">
        <v>-1.3015151000000001E-2</v>
      </c>
      <c r="V84" s="24">
        <v>1.3450146000000001E-2</v>
      </c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</row>
    <row r="85" spans="1:38" x14ac:dyDescent="0.35">
      <c r="A85" s="2">
        <v>44273</v>
      </c>
      <c r="B85" s="24">
        <v>-0.140651045</v>
      </c>
      <c r="C85" s="24">
        <v>5.8423639999999999E-2</v>
      </c>
      <c r="D85" s="24">
        <v>-2.6842712999999997E-2</v>
      </c>
      <c r="E85" s="24">
        <v>-4.1341124E-2</v>
      </c>
      <c r="F85" s="24">
        <v>-6.7141413999999996E-2</v>
      </c>
      <c r="G85" s="24">
        <v>-5.0451459999999997E-2</v>
      </c>
      <c r="H85" s="24">
        <v>1.1240004999999999E-2</v>
      </c>
      <c r="I85" s="24">
        <v>-2.9875815E-2</v>
      </c>
      <c r="J85" s="24">
        <v>5.7981369999999997E-2</v>
      </c>
      <c r="K85" s="24">
        <v>-4.3445052999999997E-2</v>
      </c>
      <c r="L85" s="24">
        <v>-6.0427245999999997E-2</v>
      </c>
      <c r="M85" s="24">
        <v>-6.1399937000000005E-3</v>
      </c>
      <c r="N85" s="24">
        <v>7.9207896999999999E-2</v>
      </c>
      <c r="O85" s="24">
        <v>-3.7011205999999998E-2</v>
      </c>
      <c r="P85" s="24">
        <v>-0.11180192</v>
      </c>
      <c r="Q85" s="24">
        <v>4.0770770000000001E-3</v>
      </c>
      <c r="R85" s="24">
        <v>3.8245319999999999E-2</v>
      </c>
      <c r="S85" s="24">
        <v>-4.8002719999999999E-2</v>
      </c>
      <c r="T85" s="24">
        <v>2.7068734000000001E-2</v>
      </c>
      <c r="U85" s="24">
        <v>-2.1428645E-2</v>
      </c>
      <c r="V85" s="24">
        <v>5.1543116999999999E-2</v>
      </c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</row>
    <row r="86" spans="1:38" x14ac:dyDescent="0.35">
      <c r="A86" s="2">
        <v>44302</v>
      </c>
      <c r="B86" s="24">
        <v>-8.9849234000000007E-3</v>
      </c>
      <c r="C86" s="24">
        <v>4.2056084000000001E-2</v>
      </c>
      <c r="D86" s="24">
        <v>-3.8966714999999999E-2</v>
      </c>
      <c r="E86" s="24">
        <v>7.1307419999999998E-3</v>
      </c>
      <c r="F86" s="24">
        <v>7.3609590000000003E-2</v>
      </c>
      <c r="G86" s="24">
        <v>1.9575357000000001E-3</v>
      </c>
      <c r="H86" s="24">
        <v>0</v>
      </c>
      <c r="I86" s="24">
        <v>7.7162623E-2</v>
      </c>
      <c r="J86" s="24">
        <v>5.0744295000000002E-2</v>
      </c>
      <c r="K86" s="24">
        <v>6.6301583999999997E-2</v>
      </c>
      <c r="L86" s="24">
        <v>4.8758625999999999E-2</v>
      </c>
      <c r="M86" s="24">
        <v>7.3929190000000006E-2</v>
      </c>
      <c r="N86" s="24">
        <v>8.1422089999999989E-2</v>
      </c>
      <c r="O86" s="24">
        <v>-4.3509603000000006E-3</v>
      </c>
      <c r="P86" s="24">
        <v>-2.4913967000000002E-2</v>
      </c>
      <c r="Q86" s="24">
        <v>5.3059099999999998E-2</v>
      </c>
      <c r="R86" s="24">
        <v>-1.2659192E-2</v>
      </c>
      <c r="S86" s="24">
        <v>-0.16149504000000001</v>
      </c>
      <c r="T86" s="24">
        <v>1.5481949E-2</v>
      </c>
      <c r="U86" s="24">
        <v>8.3099480000000003E-2</v>
      </c>
      <c r="V86" s="24">
        <v>7.4552416999999996E-2</v>
      </c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</row>
    <row r="87" spans="1:38" x14ac:dyDescent="0.35">
      <c r="A87" s="2">
        <v>44334</v>
      </c>
      <c r="B87" s="24">
        <v>6.1014413999999996E-2</v>
      </c>
      <c r="C87" s="24">
        <v>-0.18693947000000002</v>
      </c>
      <c r="D87" s="24">
        <v>-2.5057018E-2</v>
      </c>
      <c r="E87" s="24">
        <v>-2.6298045999999999E-2</v>
      </c>
      <c r="F87" s="24">
        <v>8.1767319999999991E-2</v>
      </c>
      <c r="G87" s="24">
        <v>-3.5445154E-2</v>
      </c>
      <c r="H87" s="24">
        <v>-1.7927587000000002E-2</v>
      </c>
      <c r="I87" s="24">
        <v>-3.8226724000000004E-2</v>
      </c>
      <c r="J87" s="24">
        <v>2.7688384E-2</v>
      </c>
      <c r="K87" s="24">
        <v>-3.2855332000000001E-2</v>
      </c>
      <c r="L87" s="24">
        <v>8.3856219999999995E-2</v>
      </c>
      <c r="M87" s="24">
        <v>-9.5877050000000002E-3</v>
      </c>
      <c r="N87" s="24">
        <v>2.2622824E-2</v>
      </c>
      <c r="O87" s="24">
        <v>4.7584413999999998E-2</v>
      </c>
      <c r="P87" s="24">
        <v>-2.7862309999999998E-2</v>
      </c>
      <c r="Q87" s="24">
        <v>-1.0282993E-3</v>
      </c>
      <c r="R87" s="24">
        <v>1.1517405999999999E-2</v>
      </c>
      <c r="S87" s="24">
        <v>5.88727E-3</v>
      </c>
      <c r="T87" s="24">
        <v>6.1873316999999997E-2</v>
      </c>
      <c r="U87" s="24">
        <v>-2.7993798E-2</v>
      </c>
      <c r="V87" s="24">
        <v>4.4523359999999998E-2</v>
      </c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</row>
    <row r="88" spans="1:38" x14ac:dyDescent="0.35">
      <c r="A88" s="2">
        <v>44365</v>
      </c>
      <c r="B88" s="24">
        <v>-1.1086464000000001E-2</v>
      </c>
      <c r="C88" s="24">
        <v>-1.1402011E-2</v>
      </c>
      <c r="D88" s="24">
        <v>-2.7039825999999999E-2</v>
      </c>
      <c r="E88" s="24">
        <v>7.4431419999999998E-2</v>
      </c>
      <c r="F88" s="24">
        <v>5.5284500000000007E-3</v>
      </c>
      <c r="G88" s="24">
        <v>-0.17130493000000002</v>
      </c>
      <c r="H88" s="24">
        <v>-8.0449579999999996E-3</v>
      </c>
      <c r="I88" s="24">
        <v>4.4589160000000003E-2</v>
      </c>
      <c r="J88" s="24">
        <v>-1.4476538000000001E-2</v>
      </c>
      <c r="K88" s="24">
        <v>8.0778599999999992E-3</v>
      </c>
      <c r="L88" s="24">
        <v>7.2221875000000005E-2</v>
      </c>
      <c r="M88" s="24">
        <v>-5.0192412999999998E-2</v>
      </c>
      <c r="N88" s="24">
        <v>-1.6937435000000001E-2</v>
      </c>
      <c r="O88" s="24">
        <v>2.0175934E-2</v>
      </c>
      <c r="P88" s="24">
        <v>7.4377059999999997E-3</v>
      </c>
      <c r="Q88" s="24">
        <v>-1.5142739000000001E-2</v>
      </c>
      <c r="R88" s="24">
        <v>2.947402E-2</v>
      </c>
      <c r="S88" s="24">
        <v>-7.2716593999999996E-2</v>
      </c>
      <c r="T88" s="24">
        <v>3.2936095999999998E-2</v>
      </c>
      <c r="U88" s="24">
        <v>6.7200065000000003E-2</v>
      </c>
      <c r="V88" s="24">
        <v>2.5795102E-2</v>
      </c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</row>
    <row r="89" spans="1:38" x14ac:dyDescent="0.35">
      <c r="A89" s="2">
        <v>44393</v>
      </c>
      <c r="B89" s="24">
        <v>1.637423E-2</v>
      </c>
      <c r="C89" s="24">
        <v>-5.2836950000000001E-2</v>
      </c>
      <c r="D89" s="24">
        <v>-2.1749675000000003E-2</v>
      </c>
      <c r="E89" s="24">
        <v>-5.6456860000000005E-2</v>
      </c>
      <c r="F89" s="24">
        <v>8.427024E-3</v>
      </c>
      <c r="G89" s="24">
        <v>3.5214424E-4</v>
      </c>
      <c r="H89" s="24">
        <v>-4.9354553000000002E-2</v>
      </c>
      <c r="I89" s="24">
        <v>3.0215860000000001E-2</v>
      </c>
      <c r="J89" s="24">
        <v>3.4814238999999997E-2</v>
      </c>
      <c r="K89" s="24">
        <v>-4.2809844E-3</v>
      </c>
      <c r="L89" s="24">
        <v>-2.0931959999999999E-2</v>
      </c>
      <c r="M89" s="24">
        <v>-1.275456E-2</v>
      </c>
      <c r="N89" s="24">
        <v>-5.5907190000000002E-2</v>
      </c>
      <c r="O89" s="24">
        <v>5.6843759999999997E-3</v>
      </c>
      <c r="P89" s="24">
        <v>-2.8759956E-2</v>
      </c>
      <c r="Q89" s="24">
        <v>1.6630411000000001E-2</v>
      </c>
      <c r="R89" s="24">
        <v>-2.3937046999999999E-2</v>
      </c>
      <c r="S89" s="24">
        <v>-1.0213613999999999E-2</v>
      </c>
      <c r="T89" s="24">
        <v>-2.1343589999999999E-2</v>
      </c>
      <c r="U89" s="24">
        <v>-3.1484306000000004E-2</v>
      </c>
      <c r="V89" s="24">
        <v>4.8893690000000002E-3</v>
      </c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</row>
    <row r="90" spans="1:38" x14ac:dyDescent="0.35">
      <c r="A90" s="2">
        <v>44426</v>
      </c>
      <c r="B90" s="24">
        <v>-3.6593794999999998E-2</v>
      </c>
      <c r="C90" s="24">
        <v>8.6110830000000003E-3</v>
      </c>
      <c r="D90" s="24">
        <v>3.2608747E-2</v>
      </c>
      <c r="E90" s="24">
        <v>-1.1348008999999999E-2</v>
      </c>
      <c r="F90" s="24">
        <v>1.0213494E-2</v>
      </c>
      <c r="G90" s="24">
        <v>-0.11474835999999999</v>
      </c>
      <c r="H90" s="24">
        <v>-8.7859630000000008E-3</v>
      </c>
      <c r="I90" s="24">
        <v>-4.5313477999999997E-2</v>
      </c>
      <c r="J90" s="24">
        <v>3.0134082000000003E-2</v>
      </c>
      <c r="K90" s="24">
        <v>-6.9782852999999992E-2</v>
      </c>
      <c r="L90" s="24">
        <v>-0.11300592999999999</v>
      </c>
      <c r="M90" s="24">
        <v>-1.8545567999999998E-2</v>
      </c>
      <c r="N90" s="24">
        <v>3.4264445000000004E-2</v>
      </c>
      <c r="O90" s="24">
        <v>3.9113760000000004E-2</v>
      </c>
      <c r="P90" s="24">
        <v>-0.12447119000000001</v>
      </c>
      <c r="Q90" s="24">
        <v>4.0987850000000006E-2</v>
      </c>
      <c r="R90" s="24">
        <v>-1.4291406E-2</v>
      </c>
      <c r="S90" s="24">
        <v>7.8799250000000001E-2</v>
      </c>
      <c r="T90" s="24">
        <v>4.3260693999999995E-2</v>
      </c>
      <c r="U90" s="24">
        <v>1.0319947999999999E-3</v>
      </c>
      <c r="V90" s="24">
        <v>5.09603E-2</v>
      </c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</row>
    <row r="91" spans="1:38" x14ac:dyDescent="0.35">
      <c r="A91" s="2">
        <v>44456</v>
      </c>
      <c r="B91" s="24">
        <v>1.0750174999999999E-2</v>
      </c>
      <c r="C91" s="24">
        <v>1.224947E-2</v>
      </c>
      <c r="D91" s="24">
        <v>1.7224908000000001E-2</v>
      </c>
      <c r="E91" s="24">
        <v>5.9130429999999998E-2</v>
      </c>
      <c r="F91" s="24">
        <v>3.9751768E-2</v>
      </c>
      <c r="G91" s="24">
        <v>6.5606356000000005E-2</v>
      </c>
      <c r="H91" s="24">
        <v>3.2634973999999997E-2</v>
      </c>
      <c r="I91" s="24">
        <v>4.5026064000000005E-2</v>
      </c>
      <c r="J91" s="24">
        <v>-4.2075515000000001E-3</v>
      </c>
      <c r="K91" s="24">
        <v>-1.540643E-2</v>
      </c>
      <c r="L91" s="24">
        <v>-4.4476329999999994E-2</v>
      </c>
      <c r="M91" s="24">
        <v>-2.0169795000000001E-2</v>
      </c>
      <c r="N91" s="24">
        <v>2.3406506000000001E-2</v>
      </c>
      <c r="O91" s="24">
        <v>7.2454332999999996E-2</v>
      </c>
      <c r="P91" s="24">
        <v>8.9311600000000005E-3</v>
      </c>
      <c r="Q91" s="24">
        <v>-3.5335421999999998E-3</v>
      </c>
      <c r="R91" s="24">
        <v>4.7542689999999999E-2</v>
      </c>
      <c r="S91" s="24">
        <v>-3.2608687999999997E-2</v>
      </c>
      <c r="T91" s="24">
        <v>3.6826610000000003E-2</v>
      </c>
      <c r="U91" s="24">
        <v>2.2680402000000002E-2</v>
      </c>
      <c r="V91" s="24">
        <v>1.5838146000000001E-2</v>
      </c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</row>
    <row r="92" spans="1:38" x14ac:dyDescent="0.35">
      <c r="A92" s="2">
        <v>44487</v>
      </c>
      <c r="B92" s="24">
        <v>1.4181018E-2</v>
      </c>
      <c r="C92" s="24">
        <v>-0.11807853</v>
      </c>
      <c r="D92" s="24">
        <v>0.15710258499999999</v>
      </c>
      <c r="E92" s="24">
        <v>6.2068940000000003E-2</v>
      </c>
      <c r="F92" s="24">
        <v>4.8397780000000001E-2</v>
      </c>
      <c r="G92" s="24">
        <v>0.13097012</v>
      </c>
      <c r="H92" s="24">
        <v>4.6820164000000004E-2</v>
      </c>
      <c r="I92" s="24">
        <v>-4.0908394000000001E-2</v>
      </c>
      <c r="J92" s="24">
        <v>2.4144650000000002E-3</v>
      </c>
      <c r="K92" s="24">
        <v>-4.1405915999999994E-2</v>
      </c>
      <c r="L92" s="24">
        <v>-1.3213158000000001E-2</v>
      </c>
      <c r="M92" s="24">
        <v>6.7172170000000003E-2</v>
      </c>
      <c r="N92" s="24">
        <v>-1.1963427E-2</v>
      </c>
      <c r="O92" s="24">
        <v>2.5157213000000001E-2</v>
      </c>
      <c r="P92" s="24">
        <v>2.6556253000000002E-2</v>
      </c>
      <c r="Q92" s="24">
        <v>6.1296939999999994E-2</v>
      </c>
      <c r="R92" s="24">
        <v>1.1238574999999999E-2</v>
      </c>
      <c r="S92" s="24">
        <v>-8.0898819999999996E-2</v>
      </c>
      <c r="T92" s="24">
        <v>-1.7670095E-2</v>
      </c>
      <c r="U92" s="24">
        <v>-1.0584712000000001E-2</v>
      </c>
      <c r="V92" s="24">
        <v>3.7179232E-2</v>
      </c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</row>
    <row r="93" spans="1:38" x14ac:dyDescent="0.35">
      <c r="A93" s="2">
        <v>44518</v>
      </c>
      <c r="B93" s="24">
        <v>-1.8643141E-3</v>
      </c>
      <c r="C93" s="24">
        <v>3.4511447000000001E-2</v>
      </c>
      <c r="D93" s="24">
        <v>-4.3902454000000007E-2</v>
      </c>
      <c r="E93" s="24">
        <v>8.6579320000000001E-3</v>
      </c>
      <c r="F93" s="24">
        <v>-0.10666102000000001</v>
      </c>
      <c r="G93" s="24">
        <v>-2.3424566000000001E-2</v>
      </c>
      <c r="H93" s="24">
        <v>-5.9634742999999997E-2</v>
      </c>
      <c r="I93" s="24">
        <v>8.0927729999999989E-2</v>
      </c>
      <c r="J93" s="24">
        <v>-4.5764739999999998E-2</v>
      </c>
      <c r="K93" s="24">
        <v>-1.7704606000000001E-2</v>
      </c>
      <c r="L93" s="24">
        <v>-0.11290323000000001</v>
      </c>
      <c r="M93" s="24">
        <v>-4.2233523999999995E-2</v>
      </c>
      <c r="N93" s="24">
        <v>-2.1367072999999999E-3</v>
      </c>
      <c r="O93" s="24">
        <v>-1.4842688999999999E-2</v>
      </c>
      <c r="P93" s="24">
        <v>-3.4209728000000002E-2</v>
      </c>
      <c r="Q93" s="24">
        <v>1.0501145999999999E-2</v>
      </c>
      <c r="R93" s="24">
        <v>4.3189526000000002E-3</v>
      </c>
      <c r="S93" s="24">
        <v>5.2811740000000003E-2</v>
      </c>
      <c r="T93" s="24">
        <v>0.12314951</v>
      </c>
      <c r="U93" s="24">
        <v>6.2149879999999998E-2</v>
      </c>
      <c r="V93" s="24">
        <v>-3.2378435E-3</v>
      </c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</row>
    <row r="94" spans="1:38" x14ac:dyDescent="0.35">
      <c r="A94" s="2">
        <v>44547</v>
      </c>
      <c r="B94" s="24">
        <v>2.4762392000000001E-2</v>
      </c>
      <c r="C94" s="24">
        <v>3.8683414E-4</v>
      </c>
      <c r="D94" s="24">
        <v>-2.4190605E-2</v>
      </c>
      <c r="E94" s="24">
        <v>2.1389722999999999E-3</v>
      </c>
      <c r="F94" s="24">
        <v>-4.4587554999999994E-2</v>
      </c>
      <c r="G94" s="24">
        <v>-2.7101397999999999E-2</v>
      </c>
      <c r="H94" s="24">
        <v>-2.9765903999999999E-2</v>
      </c>
      <c r="I94" s="24">
        <v>-5.4620504000000005E-3</v>
      </c>
      <c r="J94" s="24">
        <v>4.1684510000000001E-2</v>
      </c>
      <c r="K94" s="24">
        <v>2.5950790000000001E-2</v>
      </c>
      <c r="L94" s="24">
        <v>3.8283348000000002E-2</v>
      </c>
      <c r="M94" s="24">
        <v>-2.6300013000000001E-2</v>
      </c>
      <c r="N94" s="24">
        <v>-5.6388319999999999E-2</v>
      </c>
      <c r="O94" s="24">
        <v>-5.9703530000000005E-2</v>
      </c>
      <c r="P94" s="24">
        <v>-8.4445110000000004E-2</v>
      </c>
      <c r="Q94" s="24">
        <v>-4.1164399999999997E-2</v>
      </c>
      <c r="R94" s="24">
        <v>-5.6268569999999999E-3</v>
      </c>
      <c r="S94" s="24">
        <v>-0.20174616000000001</v>
      </c>
      <c r="T94" s="24">
        <v>4.5737386000000005E-2</v>
      </c>
      <c r="U94" s="24">
        <v>-3.8369298E-3</v>
      </c>
      <c r="V94" s="24">
        <v>-4.7279540000000002E-2</v>
      </c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</row>
    <row r="95" spans="1:38" x14ac:dyDescent="0.35">
      <c r="A95" s="2">
        <v>44579</v>
      </c>
      <c r="B95" s="24">
        <v>-2.8512358999999998E-2</v>
      </c>
      <c r="C95" s="24">
        <v>3.5795569999999999E-2</v>
      </c>
      <c r="D95" s="24">
        <v>1.0530949000000001E-2</v>
      </c>
      <c r="E95" s="24">
        <v>-3.2852291999999998E-2</v>
      </c>
      <c r="F95" s="24">
        <v>9.6854689999999993E-2</v>
      </c>
      <c r="G95" s="24">
        <v>0.19232141</v>
      </c>
      <c r="H95" s="24">
        <v>4.5147657000000001E-2</v>
      </c>
      <c r="I95" s="24">
        <v>3.3483147999999997E-2</v>
      </c>
      <c r="J95" s="24">
        <v>3.4814596000000003E-2</v>
      </c>
      <c r="K95" s="24">
        <v>-4.5564470000000003E-2</v>
      </c>
      <c r="L95" s="24">
        <v>2.7087211999999999E-2</v>
      </c>
      <c r="M95" s="24">
        <v>5.9392930000000003E-2</v>
      </c>
      <c r="N95" s="24">
        <v>9.4511029999999996E-2</v>
      </c>
      <c r="O95" s="24">
        <v>7.9381110000000005E-2</v>
      </c>
      <c r="P95" s="24">
        <v>1.2723446000000001E-2</v>
      </c>
      <c r="Q95" s="24">
        <v>7.8557370000000001E-2</v>
      </c>
      <c r="R95" s="24">
        <v>1.1292933999999999E-2</v>
      </c>
      <c r="S95" s="24">
        <v>0.13267087999999999</v>
      </c>
      <c r="T95" s="24">
        <v>-5.2416983E-2</v>
      </c>
      <c r="U95" s="24">
        <v>-4.7737360000000006E-2</v>
      </c>
      <c r="V95" s="24">
        <v>9.215712999999999E-2</v>
      </c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</row>
    <row r="96" spans="1:38" x14ac:dyDescent="0.35">
      <c r="A96" s="2">
        <v>44610</v>
      </c>
      <c r="B96" s="24">
        <v>-3.5502970000000002E-2</v>
      </c>
      <c r="C96" s="24">
        <v>3.5256505E-2</v>
      </c>
      <c r="D96" s="24">
        <v>4.2118906999999997E-2</v>
      </c>
      <c r="E96" s="24">
        <v>3.6825417999999999E-2</v>
      </c>
      <c r="F96" s="24">
        <v>-7.8743696000000002E-2</v>
      </c>
      <c r="G96" s="24">
        <v>2.9218793E-2</v>
      </c>
      <c r="H96" s="24">
        <v>3.5930513999999997E-2</v>
      </c>
      <c r="I96" s="24">
        <v>-1.8149077999999999E-2</v>
      </c>
      <c r="J96" s="24">
        <v>-6.3328743000000002E-3</v>
      </c>
      <c r="K96" s="24">
        <v>-2.6803493000000001E-2</v>
      </c>
      <c r="L96" s="24">
        <v>0.13949453000000001</v>
      </c>
      <c r="M96" s="24">
        <v>8.53405E-2</v>
      </c>
      <c r="N96" s="24">
        <v>2.6836156999999999E-2</v>
      </c>
      <c r="O96" s="24">
        <v>-5.9865117000000002E-2</v>
      </c>
      <c r="P96" s="24">
        <v>-2.0833373000000002E-2</v>
      </c>
      <c r="Q96" s="24">
        <v>3.7562966000000003E-2</v>
      </c>
      <c r="R96" s="24">
        <v>3.1880260000000001E-2</v>
      </c>
      <c r="S96" s="24">
        <v>3.8183808E-2</v>
      </c>
      <c r="T96" s="24">
        <v>4.7326446000000001E-2</v>
      </c>
      <c r="U96" s="24">
        <v>5.5894849999999999E-3</v>
      </c>
      <c r="V96" s="24">
        <v>2.5151610000000001E-2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</row>
    <row r="97" spans="1:38" x14ac:dyDescent="0.35">
      <c r="A97" s="2">
        <v>44638</v>
      </c>
      <c r="B97" s="24">
        <v>-6.723928500000001E-2</v>
      </c>
      <c r="C97" s="24">
        <v>8.9396240000000002E-2</v>
      </c>
      <c r="D97" s="24">
        <v>1.8333315999999999E-2</v>
      </c>
      <c r="E97" s="24">
        <v>-7.8383327000000003E-2</v>
      </c>
      <c r="F97" s="24">
        <v>-8.00395E-2</v>
      </c>
      <c r="G97" s="24">
        <v>6.5179585999999998E-2</v>
      </c>
      <c r="H97" s="24">
        <v>-3.8969517000000004E-4</v>
      </c>
      <c r="I97" s="24">
        <v>-4.4912870000000001E-2</v>
      </c>
      <c r="J97" s="24">
        <v>4.7400950000000004E-2</v>
      </c>
      <c r="K97" s="24">
        <v>-2.0279585999999999E-2</v>
      </c>
      <c r="L97" s="24">
        <v>5.2551746000000003E-2</v>
      </c>
      <c r="M97" s="24">
        <v>4.4958829999999998E-2</v>
      </c>
      <c r="N97" s="24">
        <v>-9.4566709999999998E-2</v>
      </c>
      <c r="O97" s="24">
        <v>3.3632517000000001E-3</v>
      </c>
      <c r="P97" s="24">
        <v>-0.10573328</v>
      </c>
      <c r="Q97" s="24">
        <v>5.4309130000000004E-2</v>
      </c>
      <c r="R97" s="24">
        <v>-2.0248651999999999E-2</v>
      </c>
      <c r="S97" s="24">
        <v>-3.0815125000000002E-2</v>
      </c>
      <c r="T97" s="24">
        <v>6.9835543999999999E-2</v>
      </c>
      <c r="U97" s="24">
        <v>-4.7498760000000001E-2</v>
      </c>
      <c r="V97" s="24">
        <v>3.3954023999999999E-2</v>
      </c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</row>
    <row r="98" spans="1:38" x14ac:dyDescent="0.35">
      <c r="A98" s="2">
        <v>44669</v>
      </c>
      <c r="B98" s="24">
        <v>-4.3672743E-2</v>
      </c>
      <c r="C98" s="24">
        <v>-1.4564812E-2</v>
      </c>
      <c r="D98" s="24">
        <v>1.227498E-2</v>
      </c>
      <c r="E98" s="24">
        <v>9.9658965999999995E-4</v>
      </c>
      <c r="F98" s="24">
        <v>-1.6648829E-2</v>
      </c>
      <c r="G98" s="24">
        <v>-5.3304315000000005E-2</v>
      </c>
      <c r="H98" s="24">
        <v>-8.187115E-3</v>
      </c>
      <c r="I98" s="24">
        <v>-7.5335859999999991E-2</v>
      </c>
      <c r="J98" s="24">
        <v>1.5782475000000001E-2</v>
      </c>
      <c r="K98" s="24">
        <v>-3.9440572E-2</v>
      </c>
      <c r="L98" s="24">
        <v>8.1962469999999996E-2</v>
      </c>
      <c r="M98" s="24">
        <v>-3.2954931E-2</v>
      </c>
      <c r="N98" s="24">
        <v>3.190279E-2</v>
      </c>
      <c r="O98" s="24">
        <v>-1.5642643E-3</v>
      </c>
      <c r="P98" s="24">
        <v>-5.9026537000000004E-2</v>
      </c>
      <c r="Q98" s="24">
        <v>2.9727697000000001E-2</v>
      </c>
      <c r="R98" s="24">
        <v>-6.2257050000000006E-3</v>
      </c>
      <c r="S98" s="24">
        <v>0.19692314</v>
      </c>
      <c r="T98" s="24">
        <v>4.0043829999999996E-2</v>
      </c>
      <c r="U98" s="24">
        <v>-4.5092879999999995E-2</v>
      </c>
      <c r="V98" s="24">
        <v>8.093214E-2</v>
      </c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</row>
    <row r="99" spans="1:38" x14ac:dyDescent="0.35">
      <c r="A99" s="2">
        <v>44699</v>
      </c>
      <c r="B99" s="24">
        <v>-0.10399169000000001</v>
      </c>
      <c r="C99" s="24">
        <v>-2.2350370000000001E-2</v>
      </c>
      <c r="D99" s="24">
        <v>-5.9822139999999996E-2</v>
      </c>
      <c r="E99" s="24">
        <v>-5.3435086999999999E-2</v>
      </c>
      <c r="F99" s="24">
        <v>-0.16602945</v>
      </c>
      <c r="G99" s="24">
        <v>-0.17968977</v>
      </c>
      <c r="H99" s="24">
        <v>-6.6823899999999992E-2</v>
      </c>
      <c r="I99" s="24">
        <v>-7.0922017000000004E-2</v>
      </c>
      <c r="J99" s="24">
        <v>-7.0385574999999992E-2</v>
      </c>
      <c r="K99" s="24">
        <v>-6.4793229999999993E-2</v>
      </c>
      <c r="L99" s="24">
        <v>-0.14270478</v>
      </c>
      <c r="M99" s="24">
        <v>-0.14767134000000001</v>
      </c>
      <c r="N99" s="24">
        <v>-9.4221529999999998E-2</v>
      </c>
      <c r="O99" s="24">
        <v>-9.3554200000000004E-2</v>
      </c>
      <c r="P99" s="24">
        <v>-6.6203413000000003E-2</v>
      </c>
      <c r="Q99" s="24">
        <v>-6.9133816000000001E-2</v>
      </c>
      <c r="R99" s="24">
        <v>-2.8614163000000001E-2</v>
      </c>
      <c r="S99" s="24">
        <v>-0.12896317500000001</v>
      </c>
      <c r="T99" s="24">
        <v>-8.4915520000000008E-2</v>
      </c>
      <c r="U99" s="24">
        <v>-0.14333332000000001</v>
      </c>
      <c r="V99" s="24">
        <v>-0.10976094</v>
      </c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</row>
    <row r="100" spans="1:38" x14ac:dyDescent="0.35">
      <c r="A100" s="2">
        <v>44729</v>
      </c>
      <c r="B100" s="24">
        <v>0.12030506000000001</v>
      </c>
      <c r="C100" s="24">
        <v>-1.1275470000000001E-2</v>
      </c>
      <c r="D100" s="24">
        <v>-1.3798416000000001E-2</v>
      </c>
      <c r="E100" s="24">
        <v>-6.8752885E-2</v>
      </c>
      <c r="F100" s="24">
        <v>-4.0462789999999998E-2</v>
      </c>
      <c r="G100" s="24">
        <v>1.1300683000000001E-2</v>
      </c>
      <c r="H100" s="24">
        <v>-5.9074345E-2</v>
      </c>
      <c r="I100" s="24">
        <v>-2.5507330000000002E-2</v>
      </c>
      <c r="J100" s="24">
        <v>-6.3377260000000005E-2</v>
      </c>
      <c r="K100" s="24">
        <v>-7.0527850000000003E-2</v>
      </c>
      <c r="L100" s="24">
        <v>-8.993190999999999E-2</v>
      </c>
      <c r="M100" s="24">
        <v>-4.0287075000000006E-2</v>
      </c>
      <c r="N100" s="24">
        <v>-3.2913506000000002E-2</v>
      </c>
      <c r="O100" s="24">
        <v>-4.2592524999999999E-2</v>
      </c>
      <c r="P100" s="24">
        <v>9.7329979999999996E-2</v>
      </c>
      <c r="Q100" s="24">
        <v>-4.4212636999999999E-2</v>
      </c>
      <c r="R100" s="24">
        <v>-3.7609576999999998E-2</v>
      </c>
      <c r="S100" s="24">
        <v>-2.5239527000000001E-2</v>
      </c>
      <c r="T100" s="24">
        <v>-6.5153240000000001E-2</v>
      </c>
      <c r="U100" s="24">
        <v>-3.8910507999999996E-2</v>
      </c>
      <c r="V100" s="24">
        <v>-6.0714189999999994E-2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</row>
    <row r="101" spans="1:38" x14ac:dyDescent="0.35">
      <c r="A101" s="2">
        <v>44760</v>
      </c>
      <c r="B101" s="24">
        <v>-1.0433733000000001E-2</v>
      </c>
      <c r="C101" s="24">
        <v>-5.3917827999999994E-2</v>
      </c>
      <c r="D101" s="24">
        <v>-4.332453E-2</v>
      </c>
      <c r="E101" s="24">
        <v>-5.5238129999999996E-2</v>
      </c>
      <c r="F101" s="24">
        <v>-7.4380216999999998E-2</v>
      </c>
      <c r="G101" s="24">
        <v>-0.12315977</v>
      </c>
      <c r="H101" s="24">
        <v>-2.1470964000000002E-2</v>
      </c>
      <c r="I101" s="24">
        <v>-5.4260610000000001E-2</v>
      </c>
      <c r="J101" s="24">
        <v>-5.4573416999999999E-3</v>
      </c>
      <c r="K101" s="24">
        <v>-4.0536045999999999E-2</v>
      </c>
      <c r="L101" s="24">
        <v>-7.0200623999999989E-2</v>
      </c>
      <c r="M101" s="24">
        <v>-4.7562656000000002E-2</v>
      </c>
      <c r="N101" s="24">
        <v>-6.990093E-2</v>
      </c>
      <c r="O101" s="24">
        <v>3.1592488000000002E-2</v>
      </c>
      <c r="P101" s="24">
        <v>-1.1936307E-2</v>
      </c>
      <c r="Q101" s="24">
        <v>-2.2556365000000002E-2</v>
      </c>
      <c r="R101" s="24">
        <v>-9.3497633999999989E-3</v>
      </c>
      <c r="S101" s="24">
        <v>-4.8780499999999997E-2</v>
      </c>
      <c r="T101" s="24">
        <v>-3.8083255000000003E-2</v>
      </c>
      <c r="U101" s="24">
        <v>-3.7111938000000004E-2</v>
      </c>
      <c r="V101" s="24">
        <v>-1.9834696999999998E-2</v>
      </c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</row>
    <row r="102" spans="1:38" x14ac:dyDescent="0.35">
      <c r="A102" s="2">
        <v>44791</v>
      </c>
      <c r="B102" s="24">
        <v>-1.8590510000000001E-2</v>
      </c>
      <c r="C102" s="24">
        <v>7.6670766000000001E-2</v>
      </c>
      <c r="D102" s="24">
        <v>0.10258781</v>
      </c>
      <c r="E102" s="24">
        <v>0.11250007999999999</v>
      </c>
      <c r="F102" s="24">
        <v>4.2410730000000001E-2</v>
      </c>
      <c r="G102" s="24">
        <v>8.8861579999999996E-2</v>
      </c>
      <c r="H102" s="24">
        <v>5.8823585999999997E-2</v>
      </c>
      <c r="I102" s="24">
        <v>6.7474723E-2</v>
      </c>
      <c r="J102" s="24">
        <v>5.0263286000000004E-2</v>
      </c>
      <c r="K102" s="24">
        <v>4.8184395000000005E-2</v>
      </c>
      <c r="L102" s="24">
        <v>0.22727275999999999</v>
      </c>
      <c r="M102" s="24">
        <v>7.9751489999999994E-2</v>
      </c>
      <c r="N102" s="24">
        <v>0.13269925000000002</v>
      </c>
      <c r="O102" s="24">
        <v>9.9750039999999998E-2</v>
      </c>
      <c r="P102" s="24">
        <v>-6.3854275000000002E-2</v>
      </c>
      <c r="Q102" s="24">
        <v>0.14804066000000002</v>
      </c>
      <c r="R102" s="24">
        <v>5.9075116999999996E-2</v>
      </c>
      <c r="S102" s="24">
        <v>0.19639932999999998</v>
      </c>
      <c r="T102" s="24">
        <v>8.613003000000001E-2</v>
      </c>
      <c r="U102" s="24">
        <v>9.6005549999999995E-2</v>
      </c>
      <c r="V102" s="24">
        <v>0.10310781499999999</v>
      </c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</row>
    <row r="103" spans="1:38" x14ac:dyDescent="0.35">
      <c r="A103" s="2">
        <v>44820</v>
      </c>
      <c r="B103" s="24">
        <v>-8.9341219999999999E-2</v>
      </c>
      <c r="C103" s="24">
        <v>2.5894879999999999E-2</v>
      </c>
      <c r="D103" s="24">
        <v>1.7183542E-2</v>
      </c>
      <c r="E103" s="24">
        <v>-6.9952908000000008E-2</v>
      </c>
      <c r="F103" s="24">
        <v>-0.11634546</v>
      </c>
      <c r="G103" s="24">
        <v>-4.4753670000000002E-2</v>
      </c>
      <c r="H103" s="24">
        <v>-4.8941850000000002E-2</v>
      </c>
      <c r="I103" s="24">
        <v>-9.5382330000000001E-2</v>
      </c>
      <c r="J103" s="24">
        <v>-3.9498447999999999E-2</v>
      </c>
      <c r="K103" s="24">
        <v>-9.3937340000000008E-2</v>
      </c>
      <c r="L103" s="24">
        <v>-5.8380422999999994E-2</v>
      </c>
      <c r="M103" s="24">
        <v>-0.1122871</v>
      </c>
      <c r="N103" s="24">
        <v>-6.4774094000000004E-2</v>
      </c>
      <c r="O103" s="24">
        <v>-1.9549905999999999E-2</v>
      </c>
      <c r="P103" s="24">
        <v>-5.3871393000000004E-2</v>
      </c>
      <c r="Q103" s="24">
        <v>-6.1104060000000002E-2</v>
      </c>
      <c r="R103" s="24">
        <v>-3.4655930000000003E-3</v>
      </c>
      <c r="S103" s="24">
        <v>9.9407200000000001E-2</v>
      </c>
      <c r="T103" s="24">
        <v>-1.5087485000000001E-2</v>
      </c>
      <c r="U103" s="24">
        <v>-7.2250659999999994E-2</v>
      </c>
      <c r="V103" s="24">
        <v>-6.7700442999999999E-2</v>
      </c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</row>
    <row r="104" spans="1:38" x14ac:dyDescent="0.35">
      <c r="A104" s="2">
        <v>44852</v>
      </c>
      <c r="B104" s="24">
        <v>-5.0605353999999998E-2</v>
      </c>
      <c r="C104" s="24">
        <v>-0.1117298</v>
      </c>
      <c r="D104" s="24">
        <v>-6.7161140000000008E-2</v>
      </c>
      <c r="E104" s="24">
        <v>-8.7685109999999997E-2</v>
      </c>
      <c r="F104" s="24">
        <v>-8.077543999999999E-2</v>
      </c>
      <c r="G104" s="24">
        <v>7.8737735999999999E-4</v>
      </c>
      <c r="H104" s="24">
        <v>-7.0468244999999999E-2</v>
      </c>
      <c r="I104" s="24">
        <v>-0.11841004999999999</v>
      </c>
      <c r="J104" s="24">
        <v>6.7449809999999997E-3</v>
      </c>
      <c r="K104" s="24">
        <v>-7.7205895999999996E-2</v>
      </c>
      <c r="L104" s="24">
        <v>6.9999933E-2</v>
      </c>
      <c r="M104" s="24">
        <v>-2.0736216999999998E-2</v>
      </c>
      <c r="N104" s="24">
        <v>-1.1115849000000001E-2</v>
      </c>
      <c r="O104" s="24">
        <v>-4.6371460000000003E-2</v>
      </c>
      <c r="P104" s="24">
        <v>-0.11279493</v>
      </c>
      <c r="Q104" s="24">
        <v>-3.3213615000000002E-2</v>
      </c>
      <c r="R104" s="24">
        <v>-2.4558425000000002E-2</v>
      </c>
      <c r="S104" s="24">
        <v>0.11903774</v>
      </c>
      <c r="T104" s="24">
        <v>-6.4950942999999997E-2</v>
      </c>
      <c r="U104" s="24">
        <v>-0.14472782000000001</v>
      </c>
      <c r="V104" s="24">
        <v>9.6040963999999996E-3</v>
      </c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</row>
    <row r="105" spans="1:38" x14ac:dyDescent="0.35">
      <c r="A105" s="2">
        <v>44883</v>
      </c>
      <c r="B105" s="24">
        <v>1.1344075E-2</v>
      </c>
      <c r="C105" s="24">
        <v>5.0982E-2</v>
      </c>
      <c r="D105" s="24">
        <v>2.4293303000000002E-2</v>
      </c>
      <c r="E105" s="24">
        <v>8.5433599999999998E-2</v>
      </c>
      <c r="F105" s="24">
        <v>0.27065027000000003</v>
      </c>
      <c r="G105" s="24">
        <v>0.13532650000000002</v>
      </c>
      <c r="H105" s="24">
        <v>7.9800487000000003E-2</v>
      </c>
      <c r="I105" s="24">
        <v>0.15353584000000001</v>
      </c>
      <c r="J105" s="24">
        <v>0.15301489999999998</v>
      </c>
      <c r="K105" s="24">
        <v>0.15637445</v>
      </c>
      <c r="L105" s="24">
        <v>-8.193141000000001E-2</v>
      </c>
      <c r="M105" s="24">
        <v>0.15007949000000001</v>
      </c>
      <c r="N105" s="24">
        <v>0.10376143</v>
      </c>
      <c r="O105" s="24">
        <v>4.3763638000000001E-2</v>
      </c>
      <c r="P105" s="24">
        <v>7.5158715000000001E-2</v>
      </c>
      <c r="Q105" s="24">
        <v>-3.1675993999999999E-2</v>
      </c>
      <c r="R105" s="24">
        <v>1.6989826999999999E-2</v>
      </c>
      <c r="S105" s="24">
        <v>0.11934768999999999</v>
      </c>
      <c r="T105" s="24">
        <v>2.2280454999999998E-2</v>
      </c>
      <c r="U105" s="24">
        <v>-8.2997559999999998E-2</v>
      </c>
      <c r="V105" s="24">
        <v>-5.7540599999999997E-2</v>
      </c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</row>
    <row r="106" spans="1:38" x14ac:dyDescent="0.35">
      <c r="A106" s="2">
        <v>44911</v>
      </c>
      <c r="B106" s="24">
        <v>4.5692919999999998E-2</v>
      </c>
      <c r="C106" s="24">
        <v>3.5930036999999998E-2</v>
      </c>
      <c r="D106" s="24">
        <v>-8.198082399999999E-3</v>
      </c>
      <c r="E106" s="24">
        <v>1.6906737999999998E-2</v>
      </c>
      <c r="F106" s="24">
        <v>4.9210549999999999E-2</v>
      </c>
      <c r="G106" s="24">
        <v>-1.7323314999999999E-2</v>
      </c>
      <c r="H106" s="24">
        <v>4.7455790000000005E-2</v>
      </c>
      <c r="I106" s="24">
        <v>-6.7470669999999998E-3</v>
      </c>
      <c r="J106" s="24">
        <v>-5.0101399999999997E-2</v>
      </c>
      <c r="K106" s="24">
        <v>-1.8360257000000001E-2</v>
      </c>
      <c r="L106" s="24">
        <v>-4.2769073999999997E-2</v>
      </c>
      <c r="M106" s="24">
        <v>-4.3838796999999999E-2</v>
      </c>
      <c r="N106" s="24">
        <v>5.0137042999999999E-2</v>
      </c>
      <c r="O106" s="24">
        <v>-1.7004430000000001E-2</v>
      </c>
      <c r="P106" s="24">
        <v>9.0364090000000008E-2</v>
      </c>
      <c r="Q106" s="24">
        <v>-9.3397030000000006E-2</v>
      </c>
      <c r="R106" s="24">
        <v>1.0077953E-3</v>
      </c>
      <c r="S106" s="24">
        <v>0.16572046000000001</v>
      </c>
      <c r="T106" s="24">
        <v>-1.4521121999999999E-2</v>
      </c>
      <c r="U106" s="24">
        <v>9.9297049999999998E-2</v>
      </c>
      <c r="V106" s="24">
        <v>-8.2325400000000007E-2</v>
      </c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</row>
    <row r="107" spans="1:38" x14ac:dyDescent="0.35">
      <c r="A107" s="2">
        <v>44944</v>
      </c>
      <c r="B107" s="24">
        <v>7.5704812999999996E-2</v>
      </c>
      <c r="C107" s="24">
        <v>8.5039379999999998E-2</v>
      </c>
      <c r="D107" s="24">
        <v>-6.148517E-3</v>
      </c>
      <c r="E107" s="24">
        <v>0.12558329000000001</v>
      </c>
      <c r="F107" s="24">
        <v>9.792089000000001E-2</v>
      </c>
      <c r="G107" s="24">
        <v>0.12307131</v>
      </c>
      <c r="H107" s="24">
        <v>4.4523596999999998E-2</v>
      </c>
      <c r="I107" s="24">
        <v>6.1109780000000002E-2</v>
      </c>
      <c r="J107" s="24">
        <v>0.12867497999999999</v>
      </c>
      <c r="K107" s="24">
        <v>8.8971729999999999E-2</v>
      </c>
      <c r="L107" s="24">
        <v>0.1205647</v>
      </c>
      <c r="M107" s="24">
        <v>0.11705769000000001</v>
      </c>
      <c r="N107" s="24">
        <v>9.8692180000000004E-2</v>
      </c>
      <c r="O107" s="24">
        <v>6.1610940000000006E-3</v>
      </c>
      <c r="P107" s="24">
        <v>0.11026621</v>
      </c>
      <c r="Q107" s="24">
        <v>-3.9382755999999998E-2</v>
      </c>
      <c r="R107" s="24">
        <v>4.1031240000000004E-2</v>
      </c>
      <c r="S107" s="24">
        <v>2.8261542000000001E-2</v>
      </c>
      <c r="T107" s="24">
        <v>-1.8252908999999998E-2</v>
      </c>
      <c r="U107" s="24">
        <v>2.5529742000000001E-2</v>
      </c>
      <c r="V107" s="24">
        <v>4.1485906000000003E-2</v>
      </c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</row>
    <row r="108" spans="1:38" x14ac:dyDescent="0.35">
      <c r="A108" s="2">
        <v>44974</v>
      </c>
      <c r="B108" s="24">
        <v>-3.7102401E-2</v>
      </c>
      <c r="C108" s="24">
        <v>6.2227845000000004E-2</v>
      </c>
      <c r="D108" s="24">
        <v>2.4304032000000003E-2</v>
      </c>
      <c r="E108" s="24">
        <v>-4.3523310000000003E-2</v>
      </c>
      <c r="F108" s="24">
        <v>-2.7489363999999999E-2</v>
      </c>
      <c r="G108" s="24">
        <v>-5.4313064000000001E-2</v>
      </c>
      <c r="H108" s="24">
        <v>-3.8789449999999996E-2</v>
      </c>
      <c r="I108" s="24">
        <v>2.2575378E-2</v>
      </c>
      <c r="J108" s="24">
        <v>4.4424653000000001E-2</v>
      </c>
      <c r="K108" s="24">
        <v>-7.0124269999999999E-3</v>
      </c>
      <c r="L108" s="24">
        <v>-2.3152887999999996E-2</v>
      </c>
      <c r="M108" s="24">
        <v>-6.5412339999999999E-2</v>
      </c>
      <c r="N108" s="24">
        <v>0.11877394000000001</v>
      </c>
      <c r="O108" s="24">
        <v>-5.0400375999999997E-2</v>
      </c>
      <c r="P108" s="24">
        <v>-4.4140043000000004E-2</v>
      </c>
      <c r="Q108" s="24">
        <v>1.2188434999999999E-2</v>
      </c>
      <c r="R108" s="24">
        <v>-2.003628E-2</v>
      </c>
      <c r="S108" s="24">
        <v>-5.4136633999999996E-2</v>
      </c>
      <c r="T108" s="24">
        <v>-8.6321235E-3</v>
      </c>
      <c r="U108" s="24">
        <v>-6.5302905999999994E-2</v>
      </c>
      <c r="V108" s="24">
        <v>-1.1976004E-2</v>
      </c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</row>
    <row r="109" spans="1:38" x14ac:dyDescent="0.35">
      <c r="A109" s="2">
        <v>45002</v>
      </c>
      <c r="B109" s="24">
        <v>-3.1192660000000001E-2</v>
      </c>
      <c r="C109" s="24">
        <v>-8.7617449999999999E-2</v>
      </c>
      <c r="D109" s="24">
        <v>-5.0905943000000002E-2</v>
      </c>
      <c r="E109" s="24">
        <v>-5.5615783000000002E-2</v>
      </c>
      <c r="F109" s="24">
        <v>-9.3592939999999999E-2</v>
      </c>
      <c r="G109" s="24">
        <v>-3.5810768999999999E-2</v>
      </c>
      <c r="H109" s="24">
        <v>-5.2771569999999997E-2</v>
      </c>
      <c r="I109" s="24">
        <v>-1.8472611999999999E-2</v>
      </c>
      <c r="J109" s="24">
        <v>-6.7475259999999995E-2</v>
      </c>
      <c r="K109" s="24">
        <v>-4.2042970000000006E-2</v>
      </c>
      <c r="L109" s="24">
        <v>-8.0515919999999991E-2</v>
      </c>
      <c r="M109" s="24">
        <v>-8.263116999999999E-2</v>
      </c>
      <c r="N109" s="24">
        <v>-0.10242838000000001</v>
      </c>
      <c r="O109" s="24">
        <v>-4.8115069999999996E-2</v>
      </c>
      <c r="P109" s="24">
        <v>-6.3694295999999997E-2</v>
      </c>
      <c r="Q109" s="24">
        <v>-4.214561E-2</v>
      </c>
      <c r="R109" s="24">
        <v>-5.3279399999999998E-2</v>
      </c>
      <c r="S109" s="24">
        <v>2.8764248000000003E-2</v>
      </c>
      <c r="T109" s="24">
        <v>-8.1714690000000006E-2</v>
      </c>
      <c r="U109" s="24">
        <v>-2.1043777E-2</v>
      </c>
      <c r="V109" s="24">
        <v>-5.0592957000000001E-2</v>
      </c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</row>
    <row r="110" spans="1:38" x14ac:dyDescent="0.35">
      <c r="A110" s="2">
        <v>45034</v>
      </c>
      <c r="B110" s="24">
        <v>5.3977250000000004E-2</v>
      </c>
      <c r="C110" s="24">
        <v>0.10969675000000001</v>
      </c>
      <c r="D110" s="24">
        <v>9.0000040000000003E-2</v>
      </c>
      <c r="E110" s="24">
        <v>-1.2619495000000001E-2</v>
      </c>
      <c r="F110" s="24">
        <v>0.18364512999999999</v>
      </c>
      <c r="G110" s="24">
        <v>0.10896979999999999</v>
      </c>
      <c r="H110" s="24">
        <v>3.8857697999999996E-2</v>
      </c>
      <c r="I110" s="24">
        <v>3.0755161999999999E-2</v>
      </c>
      <c r="J110" s="24">
        <v>9.379005E-2</v>
      </c>
      <c r="K110" s="24">
        <v>7.9547405000000002E-2</v>
      </c>
      <c r="L110" s="24">
        <v>9.9696750000000001E-2</v>
      </c>
      <c r="M110" s="24">
        <v>0.10589445</v>
      </c>
      <c r="N110" s="24">
        <v>0.12001395000000001</v>
      </c>
      <c r="O110" s="24">
        <v>4.0646076000000003E-2</v>
      </c>
      <c r="P110" s="24">
        <v>5.6547640000000003E-2</v>
      </c>
      <c r="Q110" s="24">
        <v>2.3428559999999998E-2</v>
      </c>
      <c r="R110" s="24">
        <v>1.9300698999999998E-2</v>
      </c>
      <c r="S110" s="24">
        <v>-3.6804615999999998E-2</v>
      </c>
      <c r="T110" s="24">
        <v>7.8774570000000002E-2</v>
      </c>
      <c r="U110" s="24">
        <v>4.2992233999999997E-2</v>
      </c>
      <c r="V110" s="24">
        <v>0.12628375999999999</v>
      </c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</row>
    <row r="111" spans="1:38" x14ac:dyDescent="0.35">
      <c r="A111" s="2">
        <v>45064</v>
      </c>
      <c r="B111" s="24">
        <v>-7.4273705000000009E-2</v>
      </c>
      <c r="C111" s="24">
        <v>1.3832687999999999E-2</v>
      </c>
      <c r="D111" s="24">
        <v>-2.2101700000000002E-2</v>
      </c>
      <c r="E111" s="24">
        <v>3.7180542999999996E-2</v>
      </c>
      <c r="F111" s="24">
        <v>2.6346683999999999E-2</v>
      </c>
      <c r="G111" s="24">
        <v>-5.0868807000000002E-2</v>
      </c>
      <c r="H111" s="24">
        <v>-2.9292463999999997E-2</v>
      </c>
      <c r="I111" s="24">
        <v>1.1801361999999999E-2</v>
      </c>
      <c r="J111" s="24">
        <v>4.1031720000000001E-2</v>
      </c>
      <c r="K111" s="24">
        <v>-2.8108655999999999E-2</v>
      </c>
      <c r="L111" s="24">
        <v>3.1713247E-2</v>
      </c>
      <c r="M111" s="24">
        <v>-0.10544532999999999</v>
      </c>
      <c r="N111" s="24">
        <v>-8.671522000000001E-3</v>
      </c>
      <c r="O111" s="24">
        <v>2.4787188000000002E-2</v>
      </c>
      <c r="P111" s="24">
        <v>-6.5996050000000001E-2</v>
      </c>
      <c r="Q111" s="24">
        <v>7.9285263999999994E-2</v>
      </c>
      <c r="R111" s="24">
        <v>-4.2136964999999998E-2</v>
      </c>
      <c r="S111" s="24">
        <v>-0.12381512</v>
      </c>
      <c r="T111" s="24">
        <v>-1.1494279000000001E-2</v>
      </c>
      <c r="U111" s="24">
        <v>2.2258878000000003E-2</v>
      </c>
      <c r="V111" s="24">
        <v>2.2917627999999999E-2</v>
      </c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</row>
    <row r="112" spans="1:38" x14ac:dyDescent="0.35">
      <c r="A112" s="2">
        <v>45093</v>
      </c>
      <c r="B112" s="24">
        <v>-1.219368E-2</v>
      </c>
      <c r="C112" s="24">
        <v>1.5296936000000001E-2</v>
      </c>
      <c r="D112" s="24">
        <v>1.0286808000000001E-2</v>
      </c>
      <c r="E112" s="24">
        <v>-2.9481769000000001E-2</v>
      </c>
      <c r="F112" s="24">
        <v>0.10268105</v>
      </c>
      <c r="G112" s="24">
        <v>7.155454E-2</v>
      </c>
      <c r="H112" s="24">
        <v>-3.8155675E-2</v>
      </c>
      <c r="I112" s="24">
        <v>6.6241263999999994E-2</v>
      </c>
      <c r="J112" s="24">
        <v>3.8842796999999998E-2</v>
      </c>
      <c r="K112" s="24">
        <v>8.6274510000000013E-2</v>
      </c>
      <c r="L112" s="24">
        <v>0.10635757</v>
      </c>
      <c r="M112" s="24">
        <v>0.10867012000000001</v>
      </c>
      <c r="N112" s="24">
        <v>0.15245234999999999</v>
      </c>
      <c r="O112" s="24">
        <v>5.5743455999999997E-2</v>
      </c>
      <c r="P112" s="24">
        <v>3.6065578000000001E-2</v>
      </c>
      <c r="Q112" s="24">
        <v>-2.6325284999999997E-2</v>
      </c>
      <c r="R112" s="24">
        <v>2.1418929999999999E-2</v>
      </c>
      <c r="S112" s="24">
        <v>2.6515840999999998E-2</v>
      </c>
      <c r="T112" s="24">
        <v>2.2999762999999999E-2</v>
      </c>
      <c r="U112" s="24">
        <v>5.8871029999999998E-2</v>
      </c>
      <c r="V112" s="24">
        <v>2.1868824999999998E-2</v>
      </c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</row>
    <row r="113" spans="1:38" x14ac:dyDescent="0.35">
      <c r="A113" s="2">
        <v>45125</v>
      </c>
      <c r="B113" s="24">
        <v>-2.6911735999999999E-2</v>
      </c>
      <c r="C113" s="24">
        <v>6.6802979999999998E-2</v>
      </c>
      <c r="D113" s="24">
        <v>1.2925506E-2</v>
      </c>
      <c r="E113" s="24">
        <v>4.1861295999999999E-2</v>
      </c>
      <c r="F113" s="24">
        <v>8.6911559999999999E-2</v>
      </c>
      <c r="G113" s="24">
        <v>4.7073720000000006E-2</v>
      </c>
      <c r="H113" s="24">
        <v>2.8009772000000002E-2</v>
      </c>
      <c r="I113" s="24">
        <v>1.0319948000000001E-2</v>
      </c>
      <c r="J113" s="24">
        <v>1.8720627000000001E-3</v>
      </c>
      <c r="K113" s="24">
        <v>1.2936115E-2</v>
      </c>
      <c r="L113" s="24">
        <v>-3.4034848000000003E-3</v>
      </c>
      <c r="M113" s="24">
        <v>1.7278075E-2</v>
      </c>
      <c r="N113" s="24">
        <v>7.2131515000000007E-2</v>
      </c>
      <c r="O113" s="24">
        <v>3.2459973999999996E-2</v>
      </c>
      <c r="P113" s="24">
        <v>-4.638958E-2</v>
      </c>
      <c r="Q113" s="24">
        <v>-4.9696565E-3</v>
      </c>
      <c r="R113" s="24">
        <v>-1.5448332E-2</v>
      </c>
      <c r="S113" s="24">
        <v>1.467073E-2</v>
      </c>
      <c r="T113" s="24">
        <v>4.0521979999999999E-2</v>
      </c>
      <c r="U113" s="24">
        <v>7.3876620000000004E-2</v>
      </c>
      <c r="V113" s="24">
        <v>1.0019183000000001E-2</v>
      </c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</row>
    <row r="114" spans="1:38" x14ac:dyDescent="0.35">
      <c r="A114" s="2">
        <v>45156</v>
      </c>
      <c r="B114" s="24">
        <v>-3.8448572E-2</v>
      </c>
      <c r="C114" s="24">
        <v>-9.6485559999999998E-2</v>
      </c>
      <c r="D114" s="24">
        <v>-3.0199945000000002E-2</v>
      </c>
      <c r="E114" s="24">
        <v>-7.1949124000000003E-2</v>
      </c>
      <c r="F114" s="24">
        <v>-8.281767000000001E-2</v>
      </c>
      <c r="G114" s="24">
        <v>-5.619681E-2</v>
      </c>
      <c r="H114" s="24">
        <v>4.7802925000000002E-4</v>
      </c>
      <c r="I114" s="24">
        <v>-7.8243136000000005E-2</v>
      </c>
      <c r="J114" s="24">
        <v>-3.6904454000000003E-2</v>
      </c>
      <c r="K114" s="24">
        <v>-9.904956999999999E-2</v>
      </c>
      <c r="L114" s="24">
        <v>-5.1847219999999999E-2</v>
      </c>
      <c r="M114" s="24">
        <v>-0.10167514999999999</v>
      </c>
      <c r="N114" s="24">
        <v>-6.4598202999999993E-2</v>
      </c>
      <c r="O114" s="24">
        <v>-2.6948034999999999E-2</v>
      </c>
      <c r="P114" s="24">
        <v>-4.6445074000000003E-2</v>
      </c>
      <c r="Q114" s="24">
        <v>1.276362E-2</v>
      </c>
      <c r="R114" s="24">
        <v>-1.0538697E-2</v>
      </c>
      <c r="S114" s="24">
        <v>0.17854738000000001</v>
      </c>
      <c r="T114" s="24">
        <v>-6.6006184000000001E-3</v>
      </c>
      <c r="U114" s="24">
        <v>5.6737660000000002E-3</v>
      </c>
      <c r="V114" s="24">
        <v>-4.0859699999999999E-2</v>
      </c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</row>
    <row r="115" spans="1:38" x14ac:dyDescent="0.35">
      <c r="A115" s="2">
        <v>45187</v>
      </c>
      <c r="B115" s="24">
        <v>-7.0151090000000003E-3</v>
      </c>
      <c r="C115" s="24">
        <v>-4.7383309999999998E-2</v>
      </c>
      <c r="D115" s="24">
        <v>-4.3858886000000003E-3</v>
      </c>
      <c r="E115" s="24">
        <v>-2.8191745000000001E-2</v>
      </c>
      <c r="F115" s="24">
        <v>-8.7182159999999995E-2</v>
      </c>
      <c r="G115" s="24">
        <v>2.1506310000000001E-2</v>
      </c>
      <c r="H115" s="24">
        <v>1.2900114000000001E-2</v>
      </c>
      <c r="I115" s="24">
        <v>1.8838763000000001E-2</v>
      </c>
      <c r="J115" s="24">
        <v>-2.7809203000000001E-2</v>
      </c>
      <c r="K115" s="24">
        <v>4.2525170000000001E-2</v>
      </c>
      <c r="L115" s="24">
        <v>5.6319475000000001E-2</v>
      </c>
      <c r="M115" s="24">
        <v>-7.5110200000000002E-3</v>
      </c>
      <c r="N115" s="24">
        <v>-4.5948863E-2</v>
      </c>
      <c r="O115" s="24">
        <v>4.2464732999999998E-2</v>
      </c>
      <c r="P115" s="24">
        <v>1.8928884999999999E-2</v>
      </c>
      <c r="Q115" s="24">
        <v>-3.3972620000000002E-2</v>
      </c>
      <c r="R115" s="24">
        <v>5.5624247000000005E-3</v>
      </c>
      <c r="S115" s="24">
        <v>3.2239676000000002E-2</v>
      </c>
      <c r="T115" s="24">
        <v>1.1960149E-2</v>
      </c>
      <c r="U115" s="24">
        <v>4.4428824999999998E-2</v>
      </c>
      <c r="V115" s="24">
        <v>-3.3735514000000001E-2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</row>
    <row r="116" spans="1:38" x14ac:dyDescent="0.35">
      <c r="A116" s="2">
        <v>45217</v>
      </c>
      <c r="B116" s="24">
        <v>-4.3800774000000001E-2</v>
      </c>
      <c r="C116" s="24">
        <v>-7.6466265000000005E-2</v>
      </c>
      <c r="D116" s="24">
        <v>-6.0792979999999996E-2</v>
      </c>
      <c r="E116" s="24">
        <v>1.6991377000000002E-2</v>
      </c>
      <c r="F116" s="24">
        <v>9.8919870000000007E-2</v>
      </c>
      <c r="G116" s="24">
        <v>-8.4740099999999999E-2</v>
      </c>
      <c r="H116" s="24">
        <v>-2.4056612999999998E-2</v>
      </c>
      <c r="I116" s="24">
        <v>-3.5022854999999999E-2</v>
      </c>
      <c r="J116" s="24">
        <v>-9.8287049999999987E-2</v>
      </c>
      <c r="K116" s="24">
        <v>-7.5573086999999997E-2</v>
      </c>
      <c r="L116" s="24">
        <v>-6.6645919999999997E-2</v>
      </c>
      <c r="M116" s="24">
        <v>-8.3507299999999989E-3</v>
      </c>
      <c r="N116" s="24">
        <v>-6.2980889999999998E-2</v>
      </c>
      <c r="O116" s="24">
        <v>-2.1031618000000002E-2</v>
      </c>
      <c r="P116" s="24">
        <v>-4.3044805999999998E-2</v>
      </c>
      <c r="Q116" s="24">
        <v>-4.8780440000000001E-2</v>
      </c>
      <c r="R116" s="24">
        <v>-5.8733760000000003E-2</v>
      </c>
      <c r="S116" s="24">
        <v>-7.1863529999999995E-3</v>
      </c>
      <c r="T116" s="24">
        <v>-6.9599447000000009E-2</v>
      </c>
      <c r="U116" s="24">
        <v>-0.13706958999999999</v>
      </c>
      <c r="V116" s="24">
        <v>-4.0010269999999994E-2</v>
      </c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</row>
    <row r="117" spans="1:38" x14ac:dyDescent="0.35">
      <c r="A117" s="2">
        <v>45247</v>
      </c>
      <c r="B117" s="24">
        <v>2.0783185999999999E-2</v>
      </c>
      <c r="C117" s="24">
        <v>4.6623826E-2</v>
      </c>
      <c r="D117" s="24">
        <v>1.4540315E-2</v>
      </c>
      <c r="E117" s="24">
        <v>1.6299844000000001E-2</v>
      </c>
      <c r="F117" s="24">
        <v>0.11639939999999999</v>
      </c>
      <c r="G117" s="24">
        <v>5.7472466999999999E-2</v>
      </c>
      <c r="H117" s="24">
        <v>3.1899452000000002E-2</v>
      </c>
      <c r="I117" s="24">
        <v>7.8223705000000004E-2</v>
      </c>
      <c r="J117" s="24">
        <v>0.14514934999999998</v>
      </c>
      <c r="K117" s="24">
        <v>6.4648510000000006E-2</v>
      </c>
      <c r="L117" s="24">
        <v>0.1122551</v>
      </c>
      <c r="M117" s="24">
        <v>6.1578989999999993E-2</v>
      </c>
      <c r="N117" s="24">
        <v>0.12104618</v>
      </c>
      <c r="O117" s="24">
        <v>1.8656611E-2</v>
      </c>
      <c r="P117" s="24">
        <v>2.4384499E-2</v>
      </c>
      <c r="Q117" s="24">
        <v>5.1281929999999996E-2</v>
      </c>
      <c r="R117" s="24">
        <v>-1.5349269E-2</v>
      </c>
      <c r="S117" s="24">
        <v>-2.1158100000000003E-2</v>
      </c>
      <c r="T117" s="24">
        <v>5.9280157000000007E-2</v>
      </c>
      <c r="U117" s="24">
        <v>2.5821567E-2</v>
      </c>
      <c r="V117" s="24">
        <v>5.3889155000000001E-2</v>
      </c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</row>
    <row r="118" spans="1:38" x14ac:dyDescent="0.35">
      <c r="A118" s="2">
        <v>45278</v>
      </c>
      <c r="B118" s="24">
        <v>-5.3773460000000002E-2</v>
      </c>
      <c r="C118" s="24">
        <v>6.9508432999999994E-2</v>
      </c>
      <c r="D118" s="24">
        <v>9.7087619999999993E-3</v>
      </c>
      <c r="E118" s="24">
        <v>4.0497183999999999E-2</v>
      </c>
      <c r="F118" s="24">
        <v>7.3679330000000001E-2</v>
      </c>
      <c r="G118" s="24">
        <v>0.10789692000000001</v>
      </c>
      <c r="H118" s="24">
        <v>0</v>
      </c>
      <c r="I118" s="24">
        <v>3.366077E-2</v>
      </c>
      <c r="J118" s="24">
        <v>0.10517001000000001</v>
      </c>
      <c r="K118" s="24">
        <v>3.1164646000000001E-2</v>
      </c>
      <c r="L118" s="24">
        <v>5.0761339999999995E-2</v>
      </c>
      <c r="M118" s="24">
        <v>5.9494970000000006E-3</v>
      </c>
      <c r="N118" s="24">
        <v>1.8990754999999998E-2</v>
      </c>
      <c r="O118" s="24">
        <v>7.5702190000000003E-2</v>
      </c>
      <c r="P118" s="24">
        <v>-5.5696783E-2</v>
      </c>
      <c r="Q118" s="24">
        <v>-2.3255824999999997E-2</v>
      </c>
      <c r="R118" s="24">
        <v>-1.5800476000000001E-2</v>
      </c>
      <c r="S118" s="24">
        <v>-2.4459659999999998E-2</v>
      </c>
      <c r="T118" s="24">
        <v>-3.2644868E-2</v>
      </c>
      <c r="U118" s="24">
        <v>-4.9427152000000004E-3</v>
      </c>
      <c r="V118" s="24">
        <v>5.3652406E-2</v>
      </c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</row>
    <row r="119" spans="1:38" x14ac:dyDescent="0.35">
      <c r="A119" s="2">
        <v>45309</v>
      </c>
      <c r="B119" s="24">
        <v>-3.7874221999999999E-2</v>
      </c>
      <c r="C119" s="24">
        <v>-8.4994849999999997E-2</v>
      </c>
      <c r="D119" s="24">
        <v>2.423954E-2</v>
      </c>
      <c r="E119" s="24">
        <v>1.326251E-2</v>
      </c>
      <c r="F119" s="24">
        <v>-7.6045749999999995E-2</v>
      </c>
      <c r="G119" s="24">
        <v>-9.1292860000000003E-3</v>
      </c>
      <c r="H119" s="24">
        <v>-2.3448467000000001E-3</v>
      </c>
      <c r="I119" s="24">
        <v>-1.6610145999999999E-2</v>
      </c>
      <c r="J119" s="24">
        <v>-5.3820905999999995E-2</v>
      </c>
      <c r="K119" s="24">
        <v>-6.4325332999999998E-2</v>
      </c>
      <c r="L119" s="24">
        <v>-3.0988215999999999E-2</v>
      </c>
      <c r="M119" s="24">
        <v>-5.5134176999999999E-2</v>
      </c>
      <c r="N119" s="24">
        <v>4.4709800000000001E-2</v>
      </c>
      <c r="O119" s="24">
        <v>1.2898564E-2</v>
      </c>
      <c r="P119" s="24">
        <v>-7.3307570000000002E-2</v>
      </c>
      <c r="Q119" s="24">
        <v>1.8583179000000002E-2</v>
      </c>
      <c r="R119" s="24">
        <v>-1.1109412000000001E-2</v>
      </c>
      <c r="S119" s="24">
        <v>-5.8997870000000001E-3</v>
      </c>
      <c r="T119" s="24">
        <v>3.2872558000000003E-2</v>
      </c>
      <c r="U119" s="24">
        <v>4.3068886000000001E-2</v>
      </c>
      <c r="V119" s="24">
        <v>2.054131E-2</v>
      </c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</row>
    <row r="120" spans="1:38" x14ac:dyDescent="0.35">
      <c r="A120" s="2">
        <v>45338</v>
      </c>
      <c r="B120" s="24">
        <v>5.0517680000000002E-2</v>
      </c>
      <c r="C120" s="24">
        <v>1.0268569E-2</v>
      </c>
      <c r="D120" s="24">
        <v>2.4785875999999998E-2</v>
      </c>
      <c r="E120" s="24">
        <v>5.5981636000000001E-2</v>
      </c>
      <c r="F120" s="24">
        <v>8.798075000000001E-2</v>
      </c>
      <c r="G120" s="24">
        <v>6.1447979999999999E-2</v>
      </c>
      <c r="H120" s="24">
        <v>2.2455812000000002E-2</v>
      </c>
      <c r="I120" s="24">
        <v>6.8629740000000009E-2</v>
      </c>
      <c r="J120" s="24">
        <v>5.2549359999999996E-2</v>
      </c>
      <c r="K120" s="24">
        <v>9.670258000000001E-2</v>
      </c>
      <c r="L120" s="24">
        <v>6.0771704000000008E-3</v>
      </c>
      <c r="M120" s="24">
        <v>2.086091E-2</v>
      </c>
      <c r="N120" s="24">
        <v>3.8481474000000002E-2</v>
      </c>
      <c r="O120" s="24">
        <v>4.319477E-2</v>
      </c>
      <c r="P120" s="24">
        <v>5.0365567E-2</v>
      </c>
      <c r="Q120" s="24">
        <v>1.2542010000000001E-3</v>
      </c>
      <c r="R120" s="24">
        <v>6.0524940000000003E-3</v>
      </c>
      <c r="S120" s="24">
        <v>0.13900411999999998</v>
      </c>
      <c r="T120" s="24">
        <v>2.0134449E-3</v>
      </c>
      <c r="U120" s="24">
        <v>2.0534753999999999E-2</v>
      </c>
      <c r="V120" s="24">
        <v>5.7678580000000007E-2</v>
      </c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</row>
    <row r="121" spans="1:38" x14ac:dyDescent="0.35">
      <c r="A121" s="2">
        <v>45369</v>
      </c>
      <c r="B121" s="24">
        <v>5.7942390000000003E-2</v>
      </c>
      <c r="C121" s="24">
        <v>5.1211833999999998E-2</v>
      </c>
      <c r="D121" s="24">
        <v>-2.1987557E-3</v>
      </c>
      <c r="E121" s="24">
        <v>1.8155574999999999E-3</v>
      </c>
      <c r="F121" s="24">
        <v>1.1047244000000001E-2</v>
      </c>
      <c r="G121" s="24">
        <v>0.11069274</v>
      </c>
      <c r="H121" s="24">
        <v>3.1308413E-2</v>
      </c>
      <c r="I121" s="24">
        <v>4.9685360000000005E-2</v>
      </c>
      <c r="J121" s="24">
        <v>-5.2006839999999997E-3</v>
      </c>
      <c r="K121" s="24">
        <v>2.4458647E-2</v>
      </c>
      <c r="L121" s="24">
        <v>-3.382665E-2</v>
      </c>
      <c r="M121" s="24">
        <v>-2.897048E-2</v>
      </c>
      <c r="N121" s="24">
        <v>5.0075053999999999E-3</v>
      </c>
      <c r="O121" s="24">
        <v>-9.765625E-3</v>
      </c>
      <c r="P121" s="24">
        <v>3.8927554999999996E-2</v>
      </c>
      <c r="Q121" s="24">
        <v>3.0634283999999998E-2</v>
      </c>
      <c r="R121" s="24">
        <v>-2.3812056000000002E-4</v>
      </c>
      <c r="S121" s="24">
        <v>-0.10226387000000001</v>
      </c>
      <c r="T121" s="24">
        <v>-8.7072850000000004E-3</v>
      </c>
      <c r="U121" s="24">
        <v>1.2908101E-2</v>
      </c>
      <c r="V121" s="24">
        <v>4.4882298000000001E-3</v>
      </c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</row>
    <row r="122" spans="1:38" x14ac:dyDescent="0.35">
      <c r="A122" s="2">
        <v>45400</v>
      </c>
      <c r="B122" s="24">
        <v>-1.8256306999999999E-2</v>
      </c>
      <c r="C122" s="24">
        <v>-2.3056865000000003E-2</v>
      </c>
      <c r="D122" s="24">
        <v>-7.9330150000000002E-2</v>
      </c>
      <c r="E122" s="24">
        <v>-9.1337440000000006E-2</v>
      </c>
      <c r="F122" s="24">
        <v>1.3111949000000001E-2</v>
      </c>
      <c r="G122" s="24">
        <v>2.4139761999999999E-2</v>
      </c>
      <c r="H122" s="24">
        <v>-1.9483447000000001E-2</v>
      </c>
      <c r="I122" s="24">
        <v>-3.4931838999999999E-2</v>
      </c>
      <c r="J122" s="24">
        <v>-3.0321120999999999E-2</v>
      </c>
      <c r="K122" s="24">
        <v>-6.0219050000000003E-2</v>
      </c>
      <c r="L122" s="24">
        <v>-5.8768330000000008E-2</v>
      </c>
      <c r="M122" s="24">
        <v>1.9179463000000001E-2</v>
      </c>
      <c r="N122" s="24">
        <v>-4.1106043000000002E-2</v>
      </c>
      <c r="O122" s="24">
        <v>7.297754E-3</v>
      </c>
      <c r="P122" s="24">
        <v>-1.8858492000000001E-2</v>
      </c>
      <c r="Q122" s="24">
        <v>-4.3646455000000001E-2</v>
      </c>
      <c r="R122" s="24">
        <v>-1.7980515999999998E-2</v>
      </c>
      <c r="S122" s="24">
        <v>9.2753650000000007E-2</v>
      </c>
      <c r="T122" s="24">
        <v>-1.4864862000000001E-2</v>
      </c>
      <c r="U122" s="24">
        <v>-8.9955029999999991E-2</v>
      </c>
      <c r="V122" s="24">
        <v>-2.9713987999999997E-2</v>
      </c>
      <c r="W122" s="24"/>
      <c r="X122" s="24"/>
      <c r="Y122" s="24"/>
    </row>
    <row r="123" spans="1:38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38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38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38" x14ac:dyDescent="0.35">
      <c r="A126" t="s">
        <v>806</v>
      </c>
      <c r="B126" s="24" cm="1">
        <f t="array" ref="B126">MAX(_xlfn._xlws.FILTER(B1:B122, ISNUMBER(B1:B122)))</f>
        <v>0.15156459999999999</v>
      </c>
      <c r="C126" s="24" cm="1">
        <f t="array" ref="C126">MAX(_xlfn._xlws.FILTER(C1:C122, ISNUMBER(C1:C122)))</f>
        <v>0.33856499999999995</v>
      </c>
      <c r="D126" s="24" cm="1">
        <f t="array" ref="D126">MAX(_xlfn._xlws.FILTER(D1:D122, ISNUMBER(D1:D122)))</f>
        <v>0.18028317999999999</v>
      </c>
      <c r="E126" s="24" cm="1">
        <f t="array" ref="E126">MAX(_xlfn._xlws.FILTER(E1:E122, ISNUMBER(E1:E122)))</f>
        <v>0.28385411999999999</v>
      </c>
      <c r="F126" s="24" cm="1">
        <f t="array" ref="F126">MAX(_xlfn._xlws.FILTER(F1:F122, ISNUMBER(F1:F122)))</f>
        <v>0.27065027000000003</v>
      </c>
      <c r="G126" s="24" cm="1">
        <f t="array" ref="G126">MAX(_xlfn._xlws.FILTER(G1:G122, ISNUMBER(G1:G122)))</f>
        <v>0.22217023999999999</v>
      </c>
      <c r="H126" s="24" cm="1">
        <f t="array" ref="H126">MAX(_xlfn._xlws.FILTER(H1:H122, ISNUMBER(H1:H122)))</f>
        <v>0.18068075</v>
      </c>
      <c r="I126" s="24" cm="1">
        <f t="array" ref="I126">MAX(_xlfn._xlws.FILTER(I1:I122, ISNUMBER(I1:I122)))</f>
        <v>0.20864032999999998</v>
      </c>
      <c r="J126" s="24" cm="1">
        <f t="array" ref="J126">MAX(_xlfn._xlws.FILTER(J1:J122, ISNUMBER(J1:J122)))</f>
        <v>0.15825307999999999</v>
      </c>
      <c r="K126" s="24" cm="1">
        <f t="array" ref="K126">MAX(_xlfn._xlws.FILTER(K1:K122, ISNUMBER(K1:K122)))</f>
        <v>0.24834038</v>
      </c>
      <c r="L126" s="24" cm="1">
        <f t="array" ref="L126">MAX(_xlfn._xlws.FILTER(L1:L122, ISNUMBER(L1:L122)))</f>
        <v>0.36109699999999995</v>
      </c>
      <c r="M126" s="24" cm="1">
        <f t="array" ref="M126">MAX(_xlfn._xlws.FILTER(M1:M122, ISNUMBER(M1:M122)))</f>
        <v>0.21053982000000002</v>
      </c>
      <c r="N126" s="24" cm="1">
        <f t="array" ref="N126">MAX(_xlfn._xlws.FILTER(N1:N122, ISNUMBER(N1:N122)))</f>
        <v>0.29299365999999999</v>
      </c>
      <c r="O126" s="24" cm="1">
        <f t="array" ref="O126">MAX(_xlfn._xlws.FILTER(O1:O122, ISNUMBER(O1:O122)))</f>
        <v>0.11658405999999999</v>
      </c>
      <c r="P126" s="24" cm="1">
        <f t="array" ref="P126">MAX(_xlfn._xlws.FILTER(P1:P122, ISNUMBER(P1:P122)))</f>
        <v>0.15705918999999999</v>
      </c>
      <c r="Q126" s="24" cm="1">
        <f t="array" ref="Q126">MAX(_xlfn._xlws.FILTER(Q1:Q122, ISNUMBER(Q1:Q122)))</f>
        <v>0.15968286500000001</v>
      </c>
      <c r="R126" s="24" cm="1">
        <f t="array" ref="R126">MAX(_xlfn._xlws.FILTER(R1:R122, ISNUMBER(R1:R122)))</f>
        <v>0.18231165000000002</v>
      </c>
      <c r="S126" s="24" cm="1">
        <f t="array" ref="S126">MAX(_xlfn._xlws.FILTER(S1:S122, ISNUMBER(S1:S122)))</f>
        <v>0.19692314</v>
      </c>
      <c r="T126" s="24" cm="1">
        <f t="array" ref="T126">MAX(_xlfn._xlws.FILTER(T1:T122, ISNUMBER(T1:T122)))</f>
        <v>0.18181823999999999</v>
      </c>
      <c r="U126" s="24" cm="1">
        <f t="array" ref="U126">MAX(_xlfn._xlws.FILTER(U1:U122, ISNUMBER(U1:U122)))</f>
        <v>0.22011948000000001</v>
      </c>
      <c r="V126" s="24" cm="1">
        <f t="array" ref="V126">MAX(_xlfn._xlws.FILTER(V1:V122, ISNUMBER(V1:V122)))</f>
        <v>0.17655826999999999</v>
      </c>
    </row>
    <row r="127" spans="1:38" x14ac:dyDescent="0.35">
      <c r="A127" t="s">
        <v>85</v>
      </c>
      <c r="B127" s="24" cm="1">
        <f t="array" ref="B127">MIN(_xlfn._xlws.FILTER(B2:B122, ISNUMBER(B2:B122)))</f>
        <v>-0.140651045</v>
      </c>
      <c r="C127" s="24" cm="1">
        <f t="array" ref="C127">MIN(_xlfn._xlws.FILTER(C2:C122, ISNUMBER(C2:C122)))</f>
        <v>-0.41469810000000001</v>
      </c>
      <c r="D127" s="24" cm="1">
        <f t="array" ref="D127">MIN(_xlfn._xlws.FILTER(D2:D122, ISNUMBER(D2:D122)))</f>
        <v>-0.40486995999999997</v>
      </c>
      <c r="E127" s="24" cm="1">
        <f t="array" ref="E127">MIN(_xlfn._xlws.FILTER(E2:E122, ISNUMBER(E2:E122)))</f>
        <v>-0.40317059999999999</v>
      </c>
      <c r="F127" s="24" cm="1">
        <f t="array" ref="F127">MIN(_xlfn._xlws.FILTER(F2:F122, ISNUMBER(F2:F122)))</f>
        <v>-0.35835839999999997</v>
      </c>
      <c r="G127" s="24" cm="1">
        <f t="array" ref="G127">MIN(_xlfn._xlws.FILTER(G2:G122, ISNUMBER(G2:G122)))</f>
        <v>-0.37286068</v>
      </c>
      <c r="H127" s="24" cm="1">
        <f t="array" ref="H127">MIN(_xlfn._xlws.FILTER(H2:H122, ISNUMBER(H2:H122)))</f>
        <v>-0.25807655000000002</v>
      </c>
      <c r="I127" s="24" cm="1">
        <f t="array" ref="I127">MIN(_xlfn._xlws.FILTER(I2:I122, ISNUMBER(I2:I122)))</f>
        <v>-0.24823766999999999</v>
      </c>
      <c r="J127" s="24" cm="1">
        <f t="array" ref="J127">MIN(_xlfn._xlws.FILTER(J2:J122, ISNUMBER(J2:J122)))</f>
        <v>-0.39448189999999994</v>
      </c>
      <c r="K127" s="24" cm="1">
        <f t="array" ref="K127">MIN(_xlfn._xlws.FILTER(K2:K122, ISNUMBER(K2:K122)))</f>
        <v>-0.334152</v>
      </c>
      <c r="L127" s="24" cm="1">
        <f t="array" ref="L127">MIN(_xlfn._xlws.FILTER(L2:L122, ISNUMBER(L2:L122)))</f>
        <v>-0.50623271999999997</v>
      </c>
      <c r="M127" s="24" cm="1">
        <f t="array" ref="M127">MIN(_xlfn._xlws.FILTER(M2:M122, ISNUMBER(M2:M122)))</f>
        <v>-0.43189155999999995</v>
      </c>
      <c r="N127" s="24" cm="1">
        <f t="array" ref="N127">MIN(_xlfn._xlws.FILTER(N2:N122, ISNUMBER(N2:N122)))</f>
        <v>-0.48580783999999999</v>
      </c>
      <c r="O127" s="24" cm="1">
        <f t="array" ref="O127">MIN(_xlfn._xlws.FILTER(O2:O122, ISNUMBER(O2:O122)))</f>
        <v>-0.33075380000000004</v>
      </c>
      <c r="P127" s="24" cm="1">
        <f t="array" ref="P127">MIN(_xlfn._xlws.FILTER(P2:P122, ISNUMBER(P2:P122)))</f>
        <v>-0.19222462000000001</v>
      </c>
      <c r="Q127" s="24" cm="1">
        <f t="array" ref="Q127">MIN(_xlfn._xlws.FILTER(Q2:Q122, ISNUMBER(Q2:Q122)))</f>
        <v>-0.13657819999999998</v>
      </c>
      <c r="R127" s="24" cm="1">
        <f t="array" ref="R127">MIN(_xlfn._xlws.FILTER(R2:R122, ISNUMBER(R2:R122)))</f>
        <v>-0.30754851999999999</v>
      </c>
      <c r="S127" s="24" cm="1">
        <f t="array" ref="S127">MIN(_xlfn._xlws.FILTER(S2:S122, ISNUMBER(S2:S122)))</f>
        <v>-0.33959538</v>
      </c>
      <c r="T127" s="24" cm="1">
        <f t="array" ref="T127">MIN(_xlfn._xlws.FILTER(T2:T122, ISNUMBER(T2:T122)))</f>
        <v>-0.35549034000000002</v>
      </c>
      <c r="U127" s="24" cm="1">
        <f t="array" ref="U127">MIN(_xlfn._xlws.FILTER(U2:U122, ISNUMBER(U2:U122)))</f>
        <v>-0.33377570000000001</v>
      </c>
      <c r="V127" s="24" cm="1">
        <f t="array" ref="V127">MIN(_xlfn._xlws.FILTER(V2:V122, ISNUMBER(V2:V122)))</f>
        <v>-0.24268799999999999</v>
      </c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</row>
    <row r="129" spans="1:29" x14ac:dyDescent="0.35">
      <c r="A129" t="s">
        <v>87</v>
      </c>
      <c r="B129">
        <f>COUNTIF(B2:B122, "&lt;"&amp;Assumption!$E$50)</f>
        <v>13</v>
      </c>
      <c r="C129">
        <f>COUNTIF(C2:C122, "&lt;"&amp;Assumption!$E$50)</f>
        <v>26</v>
      </c>
      <c r="D129">
        <f>COUNTIF(D2:D122, "&lt;"&amp;Assumption!$E$50)</f>
        <v>20</v>
      </c>
      <c r="E129">
        <f>COUNTIF(E2:E122, "&lt;"&amp;Assumption!$E$50)</f>
        <v>20</v>
      </c>
      <c r="F129">
        <f>COUNTIF(F2:F122, "&lt;"&amp;Assumption!$E$50)</f>
        <v>30</v>
      </c>
      <c r="G129">
        <f>COUNTIF(G2:G122, "&lt;"&amp;Assumption!$E$50)</f>
        <v>24</v>
      </c>
      <c r="H129">
        <f>COUNTIF(H2:H122, "&lt;"&amp;Assumption!$E$50)</f>
        <v>19</v>
      </c>
      <c r="I129">
        <f>COUNTIF(I2:I122, "&lt;"&amp;Assumption!$E$50)</f>
        <v>14</v>
      </c>
      <c r="J129">
        <f>COUNTIF(J2:J122, "&lt;"&amp;Assumption!$E$50)</f>
        <v>21</v>
      </c>
      <c r="K129">
        <f>COUNTIF(K2:K122, "&lt;"&amp;Assumption!$E$50)</f>
        <v>20</v>
      </c>
      <c r="L129">
        <f>COUNTIF(L2:L122, "&lt;"&amp;Assumption!$E$50)</f>
        <v>34</v>
      </c>
      <c r="M129">
        <f>COUNTIF(M2:M122, "&lt;"&amp;Assumption!$E$50)</f>
        <v>27</v>
      </c>
      <c r="N129">
        <f>COUNTIF(N2:N122, "&lt;"&amp;Assumption!$E$50)</f>
        <v>35</v>
      </c>
      <c r="O129">
        <f>COUNTIF(O2:O122, "&lt;"&amp;Assumption!$E$50)</f>
        <v>16</v>
      </c>
      <c r="P129">
        <f>COUNTIF(P2:P122, "&lt;"&amp;Assumption!$E$50)</f>
        <v>28</v>
      </c>
      <c r="Q129">
        <f>COUNTIF(Q2:Q122, "&lt;"&amp;Assumption!$E$50)</f>
        <v>20</v>
      </c>
      <c r="R129">
        <f>COUNTIF(R2:R122, "&lt;"&amp;Assumption!$E$50)</f>
        <v>7</v>
      </c>
      <c r="S129">
        <f>COUNTIF(S2:S122, "&lt;"&amp;Assumption!$E$50)</f>
        <v>30</v>
      </c>
      <c r="T129">
        <f>COUNTIF(T2:T122, "&lt;"&amp;Assumption!$E$50)</f>
        <v>18</v>
      </c>
      <c r="U129">
        <f>COUNTIF(U2:U122, "&lt;"&amp;Assumption!$E$50)</f>
        <v>25</v>
      </c>
      <c r="V129">
        <f>COUNTIF(V2:V122, "&lt;"&amp;Assumption!$E$50)</f>
        <v>17</v>
      </c>
    </row>
    <row r="130" spans="1:29" x14ac:dyDescent="0.35">
      <c r="A130" t="s">
        <v>86</v>
      </c>
      <c r="B130">
        <f>COUNT(B1:B122)</f>
        <v>94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119</v>
      </c>
      <c r="R130">
        <f t="shared" si="0"/>
        <v>121</v>
      </c>
      <c r="S130">
        <f t="shared" si="0"/>
        <v>121</v>
      </c>
      <c r="T130">
        <f t="shared" si="0"/>
        <v>119</v>
      </c>
      <c r="U130">
        <f t="shared" si="0"/>
        <v>121</v>
      </c>
      <c r="V130">
        <f t="shared" si="0"/>
        <v>103</v>
      </c>
    </row>
    <row r="132" spans="1:29" x14ac:dyDescent="0.35">
      <c r="A132" t="s">
        <v>88</v>
      </c>
      <c r="B132" s="9">
        <f t="shared" ref="B132:V132" si="1">B129/B130</f>
        <v>0.13829787234042554</v>
      </c>
      <c r="C132" s="9">
        <f t="shared" si="1"/>
        <v>0.21487603305785125</v>
      </c>
      <c r="D132" s="9">
        <f t="shared" si="1"/>
        <v>0.16528925619834711</v>
      </c>
      <c r="E132" s="9">
        <f t="shared" si="1"/>
        <v>0.16528925619834711</v>
      </c>
      <c r="F132" s="9">
        <f t="shared" si="1"/>
        <v>0.24793388429752067</v>
      </c>
      <c r="G132" s="9">
        <f t="shared" si="1"/>
        <v>0.19834710743801653</v>
      </c>
      <c r="H132" s="9">
        <f t="shared" si="1"/>
        <v>0.15702479338842976</v>
      </c>
      <c r="I132" s="9">
        <f t="shared" si="1"/>
        <v>0.11570247933884298</v>
      </c>
      <c r="J132" s="9">
        <f t="shared" si="1"/>
        <v>0.17355371900826447</v>
      </c>
      <c r="K132" s="9">
        <f t="shared" si="1"/>
        <v>0.16528925619834711</v>
      </c>
      <c r="L132" s="9">
        <f t="shared" si="1"/>
        <v>0.28099173553719009</v>
      </c>
      <c r="M132" s="9">
        <f t="shared" si="1"/>
        <v>0.2231404958677686</v>
      </c>
      <c r="N132" s="9">
        <f t="shared" si="1"/>
        <v>0.28925619834710742</v>
      </c>
      <c r="O132" s="9">
        <f t="shared" si="1"/>
        <v>0.13223140495867769</v>
      </c>
      <c r="P132" s="9">
        <f t="shared" si="1"/>
        <v>0.23140495867768596</v>
      </c>
      <c r="Q132" s="9">
        <f t="shared" si="1"/>
        <v>0.16806722689075632</v>
      </c>
      <c r="R132" s="9">
        <f t="shared" si="1"/>
        <v>5.7851239669421489E-2</v>
      </c>
      <c r="S132" s="9">
        <f t="shared" si="1"/>
        <v>0.24793388429752067</v>
      </c>
      <c r="T132" s="9">
        <f t="shared" si="1"/>
        <v>0.15126050420168066</v>
      </c>
      <c r="U132" s="9">
        <f t="shared" si="1"/>
        <v>0.20661157024793389</v>
      </c>
      <c r="V132" s="9">
        <f t="shared" si="1"/>
        <v>0.1650485436893204</v>
      </c>
      <c r="W132" s="9"/>
      <c r="X132" s="9"/>
      <c r="Y132" s="9"/>
      <c r="Z132" s="9"/>
      <c r="AA132" s="9"/>
      <c r="AB132" s="9"/>
      <c r="AC132" s="9"/>
    </row>
    <row r="134" spans="1:29" x14ac:dyDescent="0.35">
      <c r="A134" t="s">
        <v>95</v>
      </c>
      <c r="B134" s="9" cm="1">
        <f t="array" ref="B134">_xlfn.PERCENTRANK.EXC(_xlfn._xlws.FILTER(B2:B122, ISNUMBER(B2:B122)),B122)</f>
        <v>0.36799999999999999</v>
      </c>
      <c r="C134" s="9" cm="1">
        <f t="array" ref="C134">_xlfn.PERCENTRANK.EXC(_xlfn._xlws.FILTER(C2:C122, ISNUMBER(C2:C122)),C122)</f>
        <v>0.33600000000000002</v>
      </c>
      <c r="D134" s="9" cm="1">
        <f t="array" ref="D134">_xlfn.PERCENTRANK.EXC(_xlfn._xlws.FILTER(D2:D122, ISNUMBER(D2:D122)),D122)</f>
        <v>9.8000000000000004E-2</v>
      </c>
      <c r="E134" s="9" cm="1">
        <f t="array" ref="E134">_xlfn.PERCENTRANK.EXC(_xlfn._xlws.FILTER(E2:E122, ISNUMBER(E2:E122)),E122)</f>
        <v>3.2000000000000001E-2</v>
      </c>
      <c r="F134" s="9" cm="1">
        <f t="array" ref="F134">_xlfn.PERCENTRANK.EXC(_xlfn._xlws.FILTER(F2:F122, ISNUMBER(F2:F122)),F122)</f>
        <v>0.56499999999999995</v>
      </c>
      <c r="G134" s="9" cm="1">
        <f t="array" ref="G134">_xlfn.PERCENTRANK.EXC(_xlfn._xlws.FILTER(G2:G122, ISNUMBER(G2:G122)),G122)</f>
        <v>0.58099999999999996</v>
      </c>
      <c r="H134" s="9" cm="1">
        <f t="array" ref="H134">_xlfn.PERCENTRANK.EXC(_xlfn._xlws.FILTER(H2:H122, ISNUMBER(H2:H122)),H122)</f>
        <v>0.311</v>
      </c>
      <c r="I134" s="9" cm="1">
        <f t="array" ref="I134">_xlfn.PERCENTRANK.EXC(_xlfn._xlws.FILTER(I2:I122, ISNUMBER(I2:I122)),I122)</f>
        <v>0.19600000000000001</v>
      </c>
      <c r="J134" s="9" cm="1">
        <f t="array" ref="J134">_xlfn.PERCENTRANK.EXC(_xlfn._xlws.FILTER(J2:J122, ISNUMBER(J2:J122)),J122)</f>
        <v>0.245</v>
      </c>
      <c r="K134" s="9" cm="1">
        <f t="array" ref="K134">_xlfn.PERCENTRANK.EXC(_xlfn._xlws.FILTER(K2:K122, ISNUMBER(K2:K122)),K122)</f>
        <v>0.155</v>
      </c>
      <c r="L134" s="9" cm="1">
        <f t="array" ref="L134">_xlfn.PERCENTRANK.EXC(_xlfn._xlws.FILTER(L2:L122, ISNUMBER(L2:L122)),L122)</f>
        <v>0.245</v>
      </c>
      <c r="M134" s="9" cm="1">
        <f t="array" ref="M134">_xlfn.PERCENTRANK.EXC(_xlfn._xlws.FILTER(M2:M122, ISNUMBER(M2:M122)),M122)</f>
        <v>0.58099999999999996</v>
      </c>
      <c r="N134" s="9" cm="1">
        <f t="array" ref="N134">_xlfn.PERCENTRANK.EXC(_xlfn._xlws.FILTER(N2:N122, ISNUMBER(N2:N122)),N122)</f>
        <v>0.30299999999999999</v>
      </c>
      <c r="O134" s="9" cm="1">
        <f t="array" ref="O134">_xlfn.PERCENTRANK.EXC(_xlfn._xlws.FILTER(O2:O122, ISNUMBER(O2:O122)),O122)</f>
        <v>0.442</v>
      </c>
      <c r="P134" s="9" cm="1">
        <f t="array" ref="P134">_xlfn.PERCENTRANK.EXC(_xlfn._xlws.FILTER(P2:P122, ISNUMBER(P2:P122)),P122)</f>
        <v>0.377</v>
      </c>
      <c r="Q134" s="9" cm="1">
        <f t="array" ref="Q134">_xlfn.PERCENTRANK.EXC(_xlfn._xlws.FILTER(Q2:Q122, ISNUMBER(Q2:Q122)),Q122)</f>
        <v>0.2</v>
      </c>
      <c r="R134" s="9" cm="1">
        <f t="array" ref="R134">_xlfn.PERCENTRANK.EXC(_xlfn._xlws.FILTER(R2:R122, ISNUMBER(R2:R122)),R122)</f>
        <v>0.28599999999999998</v>
      </c>
      <c r="S134" s="9" cm="1">
        <f t="array" ref="S134">_xlfn.PERCENTRANK.EXC(_xlfn._xlws.FILTER(S2:S122, ISNUMBER(S2:S122)),S122)</f>
        <v>0.78600000000000003</v>
      </c>
      <c r="T134" s="9" cm="1">
        <f t="array" ref="T134">_xlfn.PERCENTRANK.EXC(_xlfn._xlws.FILTER(T2:T122, ISNUMBER(T2:T122)),T122)</f>
        <v>0.33300000000000002</v>
      </c>
      <c r="U134" s="9" cm="1">
        <f t="array" ref="U134">_xlfn.PERCENTRANK.EXC(_xlfn._xlws.FILTER(U2:U122, ISNUMBER(U2:U122)),U122)</f>
        <v>8.1000000000000003E-2</v>
      </c>
      <c r="V134" s="9" cm="1">
        <f t="array" ref="V134">_xlfn.PERCENTRANK.EXC(_xlfn._xlws.FILTER(V2:V122, ISNUMBER(V2:V122)),V122)</f>
        <v>0.23</v>
      </c>
      <c r="W134" s="9"/>
      <c r="X134" s="9"/>
      <c r="Y134" s="9"/>
      <c r="Z134" s="9"/>
      <c r="AA134" s="9"/>
      <c r="AB134" s="9"/>
      <c r="AC134" s="9"/>
    </row>
    <row r="136" spans="1:29" x14ac:dyDescent="0.35">
      <c r="A136" s="9"/>
      <c r="B136" s="9" cm="1">
        <f t="array" ref="B136">_xlfn.PERCENTRANK.EXC(_xlfn._xlws.FILTER(B4:B125, ISNUMBER(B4:B125)),B113)</f>
        <v>0.30499999999999999</v>
      </c>
      <c r="C136" s="9" cm="1">
        <f t="array" ref="C136">_xlfn.PERCENTRANK.EXC(_xlfn._xlws.FILTER(C4:C125, ISNUMBER(C4:C125)),C113)</f>
        <v>0.86599999999999999</v>
      </c>
      <c r="D136" s="9" cm="1">
        <f t="array" ref="D136">_xlfn.PERCENTRANK.EXC(_xlfn._xlws.FILTER(D4:D125, ISNUMBER(D4:D125)),D113)</f>
        <v>0.6</v>
      </c>
      <c r="E136" s="9" cm="1">
        <f t="array" ref="E136">_xlfn.PERCENTRANK.EXC(_xlfn._xlws.FILTER(E4:E125, ISNUMBER(E4:E125)),E113)</f>
        <v>0.81599999999999995</v>
      </c>
      <c r="F136" s="9" cm="1">
        <f t="array" ref="F136">_xlfn.PERCENTRANK.EXC(_xlfn._xlws.FILTER(F4:F125, ISNUMBER(F4:F125)),F113)</f>
        <v>0.84099999999999997</v>
      </c>
      <c r="G136" s="9" cm="1">
        <f t="array" ref="G136">_xlfn.PERCENTRANK.EXC(_xlfn._xlws.FILTER(G4:G125, ISNUMBER(G4:G125)),G113)</f>
        <v>0.70799999999999996</v>
      </c>
      <c r="H136" s="9" cm="1">
        <f t="array" ref="H136">_xlfn.PERCENTRANK.EXC(_xlfn._xlws.FILTER(H4:H125, ISNUMBER(H4:H125)),H113)</f>
        <v>0.71599999999999997</v>
      </c>
      <c r="I136" s="9" cm="1">
        <f t="array" ref="I136">_xlfn.PERCENTRANK.EXC(_xlfn._xlws.FILTER(I4:I125, ISNUMBER(I4:I125)),I113)</f>
        <v>0.46600000000000003</v>
      </c>
      <c r="J136" s="9" cm="1">
        <f t="array" ref="J136">_xlfn.PERCENTRANK.EXC(_xlfn._xlws.FILTER(J4:J125, ISNUMBER(J4:J125)),J113)</f>
        <v>0.47499999999999998</v>
      </c>
      <c r="K136" s="9" cm="1">
        <f t="array" ref="K136">_xlfn.PERCENTRANK.EXC(_xlfn._xlws.FILTER(K4:K125, ISNUMBER(K4:K125)),K113)</f>
        <v>0.54100000000000004</v>
      </c>
      <c r="L136" s="9" cm="1">
        <f t="array" ref="L136">_xlfn.PERCENTRANK.EXC(_xlfn._xlws.FILTER(L4:L125, ISNUMBER(L4:L125)),L113)</f>
        <v>0.51600000000000001</v>
      </c>
      <c r="M136" s="9" cm="1">
        <f t="array" ref="M136">_xlfn.PERCENTRANK.EXC(_xlfn._xlws.FILTER(M4:M125, ISNUMBER(M4:M125)),M113)</f>
        <v>0.57499999999999996</v>
      </c>
      <c r="N136" s="9" cm="1">
        <f t="array" ref="N136">_xlfn.PERCENTRANK.EXC(_xlfn._xlws.FILTER(N4:N125, ISNUMBER(N4:N125)),N113)</f>
        <v>0.78300000000000003</v>
      </c>
      <c r="O136" s="9" cm="1">
        <f t="array" ref="O136">_xlfn.PERCENTRANK.EXC(_xlfn._xlws.FILTER(O4:O125, ISNUMBER(O4:O125)),O113)</f>
        <v>0.67500000000000004</v>
      </c>
      <c r="P136" s="9" cm="1">
        <f t="array" ref="P136">_xlfn.PERCENTRANK.EXC(_xlfn._xlws.FILTER(P4:P125, ISNUMBER(P4:P125)),P113)</f>
        <v>0.25</v>
      </c>
      <c r="Q136" s="9" cm="1">
        <f t="array" ref="Q136">_xlfn.PERCENTRANK.EXC(_xlfn._xlws.FILTER(Q4:Q125, ISNUMBER(Q4:Q125)),Q113)</f>
        <v>0.40799999999999997</v>
      </c>
      <c r="R136" s="9" cm="1">
        <f t="array" ref="R136">_xlfn.PERCENTRANK.EXC(_xlfn._xlws.FILTER(R4:R125, ISNUMBER(R4:R125)),R113)</f>
        <v>0.308</v>
      </c>
      <c r="S136" s="9" cm="1">
        <f t="array" ref="S136">_xlfn.PERCENTRANK.EXC(_xlfn._xlws.FILTER(S4:S125, ISNUMBER(S4:S125)),S113)</f>
        <v>0.53300000000000003</v>
      </c>
      <c r="T136" s="9" cm="1">
        <f t="array" ref="T136">_xlfn.PERCENTRANK.EXC(_xlfn._xlws.FILTER(T4:T125, ISNUMBER(T4:T125)),T113)</f>
        <v>0.75</v>
      </c>
      <c r="U136" s="9" cm="1">
        <f t="array" ref="U136">_xlfn.PERCENTRANK.EXC(_xlfn._xlws.FILTER(U4:U125, ISNUMBER(U4:U125)),U113)</f>
        <v>0.875</v>
      </c>
      <c r="V136" s="9" cm="1">
        <f t="array" ref="V136">_xlfn.PERCENTRANK.EXC(_xlfn._xlws.FILTER(V4:V125, ISNUMBER(V4:V125)),V113)</f>
        <v>0.46100000000000002</v>
      </c>
    </row>
    <row r="138" spans="1:29" x14ac:dyDescent="0.35">
      <c r="A138" t="s">
        <v>855</v>
      </c>
      <c r="B138">
        <f>STDEV(B40:B122)</f>
        <v>5.8727181895412456E-2</v>
      </c>
      <c r="C138">
        <f t="shared" ref="C138:V138" si="2">STDEV(C40:C122)</f>
        <v>8.5721329809435406E-2</v>
      </c>
      <c r="D138">
        <f t="shared" si="2"/>
        <v>7.6403972558169678E-2</v>
      </c>
      <c r="E138">
        <f t="shared" si="2"/>
        <v>7.7096847022576298E-2</v>
      </c>
      <c r="F138">
        <f t="shared" si="2"/>
        <v>8.8381264921260527E-2</v>
      </c>
      <c r="G138">
        <f t="shared" si="2"/>
        <v>8.2861459106601656E-2</v>
      </c>
      <c r="H138">
        <f t="shared" si="2"/>
        <v>5.1742010252949104E-2</v>
      </c>
      <c r="I138">
        <f t="shared" si="2"/>
        <v>6.2348813836252175E-2</v>
      </c>
      <c r="J138">
        <f t="shared" si="2"/>
        <v>7.745805108283392E-2</v>
      </c>
      <c r="K138">
        <f t="shared" si="2"/>
        <v>7.4252538766573284E-2</v>
      </c>
      <c r="L138">
        <f t="shared" si="2"/>
        <v>0.1047093653148187</v>
      </c>
      <c r="M138">
        <f t="shared" si="2"/>
        <v>8.4591587173936084E-2</v>
      </c>
      <c r="N138">
        <f t="shared" si="2"/>
        <v>9.7256127405946649E-2</v>
      </c>
      <c r="O138">
        <f t="shared" si="2"/>
        <v>6.0232056869998087E-2</v>
      </c>
      <c r="P138">
        <f t="shared" si="2"/>
        <v>6.4872331643805195E-2</v>
      </c>
      <c r="Q138">
        <f t="shared" si="2"/>
        <v>5.2781273846838395E-2</v>
      </c>
      <c r="R138">
        <f t="shared" si="2"/>
        <v>5.1081460087939561E-2</v>
      </c>
      <c r="S138">
        <f t="shared" si="2"/>
        <v>0.10067702073936897</v>
      </c>
      <c r="T138">
        <f t="shared" si="2"/>
        <v>6.2513222574122118E-2</v>
      </c>
      <c r="U138">
        <f t="shared" si="2"/>
        <v>7.0177138239019998E-2</v>
      </c>
      <c r="V138">
        <f t="shared" si="2"/>
        <v>5.7364124734974299E-2</v>
      </c>
    </row>
    <row r="139" spans="1:29" x14ac:dyDescent="0.35">
      <c r="A139" t="s">
        <v>856</v>
      </c>
      <c r="B139" s="77">
        <f>B138*SQRT(12)</f>
        <v>0.20343692565638696</v>
      </c>
      <c r="C139" s="77">
        <f t="shared" ref="C139:V139" si="3">C138*SQRT(12)</f>
        <v>0.29694739704462131</v>
      </c>
      <c r="D139" s="77">
        <f t="shared" si="3"/>
        <v>0.26467112474169624</v>
      </c>
      <c r="E139" s="77">
        <f t="shared" si="3"/>
        <v>0.2670713122929349</v>
      </c>
      <c r="F139" s="77">
        <f t="shared" si="3"/>
        <v>0.30616168256165632</v>
      </c>
      <c r="G139" s="77">
        <f t="shared" si="3"/>
        <v>0.2870405143238498</v>
      </c>
      <c r="H139" s="77">
        <f t="shared" si="3"/>
        <v>0.17923958128771525</v>
      </c>
      <c r="I139" s="77">
        <f t="shared" si="3"/>
        <v>0.21598262671208432</v>
      </c>
      <c r="J139" s="77">
        <f t="shared" si="3"/>
        <v>0.26832255986146769</v>
      </c>
      <c r="K139" s="77">
        <f t="shared" si="3"/>
        <v>0.25721833946936523</v>
      </c>
      <c r="L139" s="77">
        <f t="shared" si="3"/>
        <v>0.3627238815071126</v>
      </c>
      <c r="M139" s="77">
        <f t="shared" si="3"/>
        <v>0.29303385375629815</v>
      </c>
      <c r="N139" s="77">
        <f t="shared" si="3"/>
        <v>0.33690510802898299</v>
      </c>
      <c r="O139" s="77">
        <f t="shared" si="3"/>
        <v>0.20864996548642945</v>
      </c>
      <c r="P139" s="77">
        <f t="shared" si="3"/>
        <v>0.22472434882505762</v>
      </c>
      <c r="Q139" s="77">
        <f t="shared" si="3"/>
        <v>0.18283969598186101</v>
      </c>
      <c r="R139" s="77">
        <f t="shared" si="3"/>
        <v>0.17695136839422618</v>
      </c>
      <c r="S139" s="77">
        <f t="shared" si="3"/>
        <v>0.34875543015050525</v>
      </c>
      <c r="T139" s="77">
        <f t="shared" si="3"/>
        <v>0.21655215528648236</v>
      </c>
      <c r="U139" s="77">
        <f t="shared" si="3"/>
        <v>0.24310073791953465</v>
      </c>
      <c r="V139" s="77">
        <f t="shared" si="3"/>
        <v>0.19871515714538807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zoomScaleNormal="100" workbookViewId="0">
      <pane ySplit="1" topLeftCell="A113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2" max="2" width="10.54296875" customWidth="1"/>
    <col min="22" max="22" width="9.1796875" style="1"/>
  </cols>
  <sheetData>
    <row r="1" spans="1:23" x14ac:dyDescent="0.35">
      <c r="A1" s="2" t="s">
        <v>390</v>
      </c>
      <c r="B1" s="3" t="s">
        <v>432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757</v>
      </c>
      <c r="S1" s="3" t="s">
        <v>25</v>
      </c>
      <c r="T1" s="3" t="s">
        <v>34</v>
      </c>
      <c r="U1" s="3" t="s">
        <v>37</v>
      </c>
      <c r="V1" s="54" t="s">
        <v>36</v>
      </c>
    </row>
    <row r="2" spans="1:23" x14ac:dyDescent="0.35">
      <c r="A2" s="2" cm="1">
        <f t="array" ref="A2:A122">_xll.FDS(C1,"JULIAN(P_PRICE_RETURNS_PR('52W',2,-10AY,0,AM).dates)")</f>
        <v>41746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-22.558026999999999</v>
      </c>
      <c r="D2" s="7" cm="1">
        <f t="array" ref="D2:D122">_xll.FDS(D1,"P_PRICE_RETURNS_PR('52W',2,-10AY,0,AM)")</f>
        <v>-16.879822000000001</v>
      </c>
      <c r="E2" s="7" cm="1">
        <f t="array" ref="E2:E122">_xll.FDS(E1,"P_PRICE_RETURNS_PR('52W',2,-10AY,0,AM)")</f>
        <v>-8.1753309999999999</v>
      </c>
      <c r="F2" s="7" cm="1">
        <f t="array" ref="F2:F122">_xll.FDS(F1,"P_PRICE_RETURNS_PR('52W',2,-10AY,0,AM)")</f>
        <v>20.880163</v>
      </c>
      <c r="G2" s="7" cm="1">
        <f t="array" ref="G2:G122">_xll.FDS(G1,"P_PRICE_RETURNS_PR('52W',2,-10AY,0,AM)")</f>
        <v>-15.953265999999999</v>
      </c>
      <c r="H2" s="7" cm="1">
        <f t="array" ref="H2:H122">_xll.FDS(H1,"P_PRICE_RETURNS_PR('52W',2,-10AY,0,AM)")</f>
        <v>4.8919199999999998</v>
      </c>
      <c r="I2" s="7" cm="1">
        <f t="array" ref="I2:I122">_xll.FDS(I1,"P_PRICE_RETURNS_PR('52W',2,-10AY,0,AM)")</f>
        <v>16.829432000000001</v>
      </c>
      <c r="J2" s="7" cm="1">
        <f t="array" ref="J2:J122">_xll.FDS(J1,"P_PRICE_RETURNS_PR('52W',2,-10AY,0,AM)")</f>
        <v>-8.1101419999999997</v>
      </c>
      <c r="K2" s="7" cm="1">
        <f t="array" ref="K2:K122">_xll.FDS(K1,"P_PRICE_RETURNS_PR('52W',2,-10AY,0,AM)")</f>
        <v>16.100227</v>
      </c>
      <c r="L2" s="7" cm="1">
        <f t="array" ref="L2:L122">_xll.FDS(L1,"P_PRICE_RETURNS_PR('52W',2,-10AY,0,AM)")</f>
        <v>-6.5863430000000003</v>
      </c>
      <c r="M2" s="7" cm="1">
        <f t="array" ref="M2:M122">_xll.FDS(M1,"P_PRICE_RETURNS_PR('52W',2,-10AY,0,AM)")</f>
        <v>13.837289999999999</v>
      </c>
      <c r="N2" s="7" cm="1">
        <f t="array" ref="N2:N122">_xll.FDS(N1,"P_PRICE_RETURNS_PR('52W',2,-10AY,0,AM)")</f>
        <v>48.93956</v>
      </c>
      <c r="O2" s="7" cm="1">
        <f t="array" ref="O2:O122">_xll.FDS(O1,"P_PRICE_RETURNS_PR('52W',2,-10AY,0,AM)")</f>
        <v>7.4337244</v>
      </c>
      <c r="P2" s="7" cm="1">
        <f t="array" ref="P2:P122">_xll.FDS(P1,"P_PRICE_RETURNS_PR('52W',2,-10AY,0,AM)")</f>
        <v>8.5745330000000006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-7.8822793999999998</v>
      </c>
      <c r="S2" s="7" cm="1">
        <f t="array" ref="S2:S122">_xll.FDS(S1,"P_PRICE_RETURNS_PR('52W',2,-10AY,0,AM)")</f>
        <v>-24.663913999999998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13.424348999999999</v>
      </c>
      <c r="V2" s="154" t="e" cm="1">
        <f t="array" ref="V2:V122">_xll.FDS(V1,"P_PRICE_RETURNS_PR('52W',2,-10AY,0,AM)")</f>
        <v>#N/A</v>
      </c>
      <c r="W2" s="24"/>
    </row>
    <row r="3" spans="1:23" x14ac:dyDescent="0.35">
      <c r="A3" s="2">
        <v>41775</v>
      </c>
      <c r="B3" s="7" t="e">
        <v>#N/A</v>
      </c>
      <c r="C3" s="7">
        <v>-21.095102000000001</v>
      </c>
      <c r="D3" s="40">
        <v>-14.506662</v>
      </c>
      <c r="E3" s="40">
        <v>-11.345929</v>
      </c>
      <c r="F3" s="40">
        <v>16.243600000000001</v>
      </c>
      <c r="G3" s="40">
        <v>-7.2635529999999999</v>
      </c>
      <c r="H3" s="40">
        <v>0.9737015</v>
      </c>
      <c r="I3" s="40">
        <v>7.5063466999999999</v>
      </c>
      <c r="J3" s="40">
        <v>-4.4260739999999998</v>
      </c>
      <c r="K3" s="40">
        <v>13.467193</v>
      </c>
      <c r="L3" s="40">
        <v>-6.4874169999999998</v>
      </c>
      <c r="M3" s="40">
        <v>9.8907229999999995</v>
      </c>
      <c r="N3" s="40">
        <v>-5.3142966999999999</v>
      </c>
      <c r="O3" s="40">
        <v>9.6080419999999993</v>
      </c>
      <c r="P3" s="40">
        <v>7.9071520000000006E-2</v>
      </c>
      <c r="Q3" s="40" t="e">
        <v>#N/A</v>
      </c>
      <c r="R3" s="40">
        <v>-13.142424999999999</v>
      </c>
      <c r="S3" s="40">
        <v>-27.803927999999999</v>
      </c>
      <c r="T3" s="40" t="e">
        <v>#N/A</v>
      </c>
      <c r="U3" s="40">
        <v>-1.6541600000000001</v>
      </c>
      <c r="V3" s="155" t="e">
        <v>#N/A</v>
      </c>
      <c r="W3" s="24"/>
    </row>
    <row r="4" spans="1:23" x14ac:dyDescent="0.35">
      <c r="A4" s="2">
        <v>41808</v>
      </c>
      <c r="B4" s="7" t="e">
        <v>#N/A</v>
      </c>
      <c r="C4" s="7">
        <v>-15.176498</v>
      </c>
      <c r="D4" s="40">
        <v>-15.671891</v>
      </c>
      <c r="E4" s="40">
        <v>1.8287062999999999</v>
      </c>
      <c r="F4" s="40">
        <v>14.30353</v>
      </c>
      <c r="G4" s="40">
        <v>-4.2213079999999996</v>
      </c>
      <c r="H4" s="40">
        <v>5.2088140000000003</v>
      </c>
      <c r="I4" s="40">
        <v>17.796028</v>
      </c>
      <c r="J4" s="40">
        <v>8.5180279999999993</v>
      </c>
      <c r="K4" s="40">
        <v>19.823253999999999</v>
      </c>
      <c r="L4" s="40">
        <v>9.6039770000000004</v>
      </c>
      <c r="M4" s="40">
        <v>21.482430999999998</v>
      </c>
      <c r="N4" s="40">
        <v>45.287894999999999</v>
      </c>
      <c r="O4" s="40">
        <v>26.128589999999999</v>
      </c>
      <c r="P4" s="40">
        <v>13.582098</v>
      </c>
      <c r="Q4" s="40" t="e">
        <v>#N/A</v>
      </c>
      <c r="R4" s="40">
        <v>1.6771436</v>
      </c>
      <c r="S4" s="40">
        <v>-8.8057940000000006</v>
      </c>
      <c r="T4" s="40" t="e">
        <v>#N/A</v>
      </c>
      <c r="U4" s="40">
        <v>8.5846309999999999</v>
      </c>
      <c r="V4" s="155" t="e">
        <v>#N/A</v>
      </c>
      <c r="W4" s="24"/>
    </row>
    <row r="5" spans="1:23" x14ac:dyDescent="0.35">
      <c r="A5" s="2">
        <v>41838</v>
      </c>
      <c r="B5" s="7" t="e">
        <v>#N/A</v>
      </c>
      <c r="C5" s="7">
        <v>-13.504637000000001</v>
      </c>
      <c r="D5" s="40">
        <v>-3.0098677</v>
      </c>
      <c r="E5" s="40">
        <v>2.6435852</v>
      </c>
      <c r="F5" s="40">
        <v>16.050863</v>
      </c>
      <c r="G5" s="40">
        <v>11.855232000000001</v>
      </c>
      <c r="H5" s="40">
        <v>5.4963826999999998</v>
      </c>
      <c r="I5" s="40">
        <v>19.088055000000001</v>
      </c>
      <c r="J5" s="40">
        <v>7.1337339999999996</v>
      </c>
      <c r="K5" s="40">
        <v>19.885517</v>
      </c>
      <c r="L5" s="40">
        <v>17.600441</v>
      </c>
      <c r="M5" s="40">
        <v>21.188545000000001</v>
      </c>
      <c r="N5" s="40">
        <v>38.363030000000002</v>
      </c>
      <c r="O5" s="40">
        <v>23.428785000000001</v>
      </c>
      <c r="P5" s="40">
        <v>16.639327999999999</v>
      </c>
      <c r="Q5" s="40" t="e">
        <v>#N/A</v>
      </c>
      <c r="R5" s="40">
        <v>3.1078815</v>
      </c>
      <c r="S5" s="40">
        <v>-1.7637252999999999</v>
      </c>
      <c r="T5" s="40" t="e">
        <v>#N/A</v>
      </c>
      <c r="U5" s="40">
        <v>16.116534999999999</v>
      </c>
      <c r="V5" s="155" t="e">
        <v>#N/A</v>
      </c>
      <c r="W5" s="24"/>
    </row>
    <row r="6" spans="1:23" x14ac:dyDescent="0.35">
      <c r="A6" s="2">
        <v>41869</v>
      </c>
      <c r="B6" s="7" t="e">
        <v>#N/A</v>
      </c>
      <c r="C6" s="7">
        <v>-8.2765640000000005</v>
      </c>
      <c r="D6" s="40">
        <v>5.8140039999999997</v>
      </c>
      <c r="E6" s="40">
        <v>11.044359</v>
      </c>
      <c r="F6" s="40">
        <v>7.0333123000000004</v>
      </c>
      <c r="G6" s="40">
        <v>6.8852544</v>
      </c>
      <c r="H6" s="40">
        <v>10.937918</v>
      </c>
      <c r="I6" s="40">
        <v>22.451115000000001</v>
      </c>
      <c r="J6" s="40">
        <v>7.4817777000000003</v>
      </c>
      <c r="K6" s="40">
        <v>19.176805000000002</v>
      </c>
      <c r="L6" s="40">
        <v>20.011187</v>
      </c>
      <c r="M6" s="40">
        <v>20.585560000000001</v>
      </c>
      <c r="N6" s="40">
        <v>13.749123000000001</v>
      </c>
      <c r="O6" s="40">
        <v>44.823433000000001</v>
      </c>
      <c r="P6" s="40">
        <v>17.017353</v>
      </c>
      <c r="Q6" s="40" t="e">
        <v>#N/A</v>
      </c>
      <c r="R6" s="40">
        <v>6.6816089999999999</v>
      </c>
      <c r="S6" s="40">
        <v>-3.9099574000000001</v>
      </c>
      <c r="T6" s="40" t="e">
        <v>#N/A</v>
      </c>
      <c r="U6" s="40">
        <v>23.610389999999999</v>
      </c>
      <c r="V6" s="155" t="e">
        <v>#N/A</v>
      </c>
      <c r="W6" s="24"/>
    </row>
    <row r="7" spans="1:23" x14ac:dyDescent="0.35">
      <c r="A7" s="2">
        <v>41900</v>
      </c>
      <c r="B7" s="7" t="e">
        <v>#N/A</v>
      </c>
      <c r="C7" s="7">
        <v>-18.105602000000001</v>
      </c>
      <c r="D7" s="40">
        <v>3.1778336</v>
      </c>
      <c r="E7" s="40">
        <v>7.1543454999999998</v>
      </c>
      <c r="F7" s="40">
        <v>0.95614195000000002</v>
      </c>
      <c r="G7" s="40">
        <v>8.0402009999999997</v>
      </c>
      <c r="H7" s="40">
        <v>0.62537193000000002</v>
      </c>
      <c r="I7" s="40">
        <v>12.977636</v>
      </c>
      <c r="J7" s="40">
        <v>5.5685880000000001</v>
      </c>
      <c r="K7" s="40">
        <v>0.28187036999999998</v>
      </c>
      <c r="L7" s="40">
        <v>0.53310394000000005</v>
      </c>
      <c r="M7" s="40">
        <v>3.1044960000000001</v>
      </c>
      <c r="N7" s="40">
        <v>0.42748449999999999</v>
      </c>
      <c r="O7" s="40">
        <v>32.837975</v>
      </c>
      <c r="P7" s="40">
        <v>5.6313633999999997</v>
      </c>
      <c r="Q7" s="40" t="e">
        <v>#N/A</v>
      </c>
      <c r="R7" s="40">
        <v>10.082483</v>
      </c>
      <c r="S7" s="40">
        <v>-10.366994</v>
      </c>
      <c r="T7" s="40" t="e">
        <v>#N/A</v>
      </c>
      <c r="U7" s="40">
        <v>28.019749999999998</v>
      </c>
      <c r="V7" s="155" t="e">
        <v>#N/A</v>
      </c>
      <c r="W7" s="24"/>
    </row>
    <row r="8" spans="1:23" x14ac:dyDescent="0.35">
      <c r="A8" s="2">
        <v>41929</v>
      </c>
      <c r="B8" s="7" t="e">
        <v>#N/A</v>
      </c>
      <c r="C8" s="7">
        <v>-19.437849</v>
      </c>
      <c r="D8" s="40">
        <v>2.7158022000000002</v>
      </c>
      <c r="E8" s="40">
        <v>5.9109926000000002</v>
      </c>
      <c r="F8" s="40">
        <v>-9.9251749999999994</v>
      </c>
      <c r="G8" s="40">
        <v>-1.2054741</v>
      </c>
      <c r="H8" s="40">
        <v>-4.4519067000000003</v>
      </c>
      <c r="I8" s="40">
        <v>3.8908361999999999</v>
      </c>
      <c r="J8" s="40">
        <v>1.4640926999999999</v>
      </c>
      <c r="K8" s="40">
        <v>-11.749506</v>
      </c>
      <c r="L8" s="40">
        <v>-8.4769909999999999</v>
      </c>
      <c r="M8" s="40">
        <v>-2.5298178</v>
      </c>
      <c r="N8" s="40">
        <v>-24.661266000000001</v>
      </c>
      <c r="O8" s="40">
        <v>23.194980000000001</v>
      </c>
      <c r="P8" s="40">
        <v>1.470685</v>
      </c>
      <c r="Q8" s="40" t="e">
        <v>#N/A</v>
      </c>
      <c r="R8" s="40">
        <v>4.0582894999999999</v>
      </c>
      <c r="S8" s="40">
        <v>-13.806336999999999</v>
      </c>
      <c r="T8" s="40" t="e">
        <v>#N/A</v>
      </c>
      <c r="U8" s="40">
        <v>12.045788999999999</v>
      </c>
      <c r="V8" s="155" t="e">
        <v>#N/A</v>
      </c>
      <c r="W8" s="24"/>
    </row>
    <row r="9" spans="1:23" x14ac:dyDescent="0.35">
      <c r="A9" s="2">
        <v>41961</v>
      </c>
      <c r="B9" s="7" t="e">
        <v>#N/A</v>
      </c>
      <c r="C9" s="7">
        <v>-13.777875999999999</v>
      </c>
      <c r="D9" s="40">
        <v>15.997004499999999</v>
      </c>
      <c r="E9" s="40">
        <v>14.317417000000001</v>
      </c>
      <c r="F9" s="40">
        <v>-11.726808999999999</v>
      </c>
      <c r="G9" s="40">
        <v>4.2403219999999999</v>
      </c>
      <c r="H9" s="40">
        <v>-3.3877670000000002</v>
      </c>
      <c r="I9" s="40">
        <v>11.637032</v>
      </c>
      <c r="J9" s="40">
        <v>1.8039346000000001</v>
      </c>
      <c r="K9" s="40">
        <v>-9.8260400000000008</v>
      </c>
      <c r="L9" s="40">
        <v>-16.624243</v>
      </c>
      <c r="M9" s="40">
        <v>10.732424</v>
      </c>
      <c r="N9" s="40">
        <v>-25.420300999999998</v>
      </c>
      <c r="O9" s="40">
        <v>33.093165999999997</v>
      </c>
      <c r="P9" s="40">
        <v>-0.56955814000000005</v>
      </c>
      <c r="Q9" s="40" t="e">
        <v>#N/A</v>
      </c>
      <c r="R9" s="40">
        <v>11.047363000000001</v>
      </c>
      <c r="S9" s="40">
        <v>-0.29048323999999998</v>
      </c>
      <c r="T9" s="40" t="e">
        <v>#N/A</v>
      </c>
      <c r="U9" s="40">
        <v>10.527635</v>
      </c>
      <c r="V9" s="155" t="e">
        <v>#N/A</v>
      </c>
      <c r="W9" s="24"/>
    </row>
    <row r="10" spans="1:23" x14ac:dyDescent="0.35">
      <c r="A10" s="2">
        <v>41991</v>
      </c>
      <c r="B10" s="7" t="e">
        <v>#N/A</v>
      </c>
      <c r="C10" s="7">
        <v>-13.808197</v>
      </c>
      <c r="D10" s="40">
        <v>20.937109</v>
      </c>
      <c r="E10" s="40">
        <v>19.467925999999999</v>
      </c>
      <c r="F10" s="40">
        <v>-12.151217000000001</v>
      </c>
      <c r="G10" s="40">
        <v>-3.4296571999999999</v>
      </c>
      <c r="H10" s="40">
        <v>-12.415213</v>
      </c>
      <c r="I10" s="40">
        <v>6.9843890000000002</v>
      </c>
      <c r="J10" s="40">
        <v>-10.534883000000001</v>
      </c>
      <c r="K10" s="40">
        <v>-11.429346000000001</v>
      </c>
      <c r="L10" s="40">
        <v>-17.662465999999998</v>
      </c>
      <c r="M10" s="40">
        <v>7.7755213000000003</v>
      </c>
      <c r="N10" s="40">
        <v>-33.673690000000001</v>
      </c>
      <c r="O10" s="40">
        <v>23.435735999999999</v>
      </c>
      <c r="P10" s="40">
        <v>3.8534402999999999</v>
      </c>
      <c r="Q10" s="40" t="e">
        <v>#N/A</v>
      </c>
      <c r="R10" s="40">
        <v>12.366474</v>
      </c>
      <c r="S10" s="40">
        <v>2.9855250999999998</v>
      </c>
      <c r="T10" s="40" t="e">
        <v>#N/A</v>
      </c>
      <c r="U10" s="40">
        <v>3.2866716</v>
      </c>
      <c r="V10" s="155" t="e">
        <v>#N/A</v>
      </c>
      <c r="W10" s="24"/>
    </row>
    <row r="11" spans="1:23" x14ac:dyDescent="0.35">
      <c r="A11" s="2">
        <v>42020</v>
      </c>
      <c r="B11" s="7" t="e">
        <v>#N/A</v>
      </c>
      <c r="C11" s="7">
        <v>-15.981446999999999</v>
      </c>
      <c r="D11" s="40">
        <v>16.170096999999998</v>
      </c>
      <c r="E11" s="40">
        <v>31.425262</v>
      </c>
      <c r="F11" s="40">
        <v>-20.318491000000002</v>
      </c>
      <c r="G11" s="40">
        <v>-8.4378779999999995</v>
      </c>
      <c r="H11" s="40">
        <v>-8.5803449999999994</v>
      </c>
      <c r="I11" s="40">
        <v>8.8167190000000009</v>
      </c>
      <c r="J11" s="40">
        <v>-10.168666</v>
      </c>
      <c r="K11" s="40">
        <v>-6.3290176000000002</v>
      </c>
      <c r="L11" s="40">
        <v>-10.568523000000001</v>
      </c>
      <c r="M11" s="40">
        <v>8.8422889999999992</v>
      </c>
      <c r="N11" s="40">
        <v>-46.186</v>
      </c>
      <c r="O11" s="40">
        <v>30.541944999999998</v>
      </c>
      <c r="P11" s="40">
        <v>14.160466</v>
      </c>
      <c r="Q11" s="40" t="e">
        <v>#N/A</v>
      </c>
      <c r="R11" s="40">
        <v>16.616463</v>
      </c>
      <c r="S11" s="40">
        <v>25.653780000000001</v>
      </c>
      <c r="T11" s="40" t="e">
        <v>#N/A</v>
      </c>
      <c r="U11" s="40">
        <v>-6.6027699999999996</v>
      </c>
      <c r="V11" s="155" t="e">
        <v>#N/A</v>
      </c>
      <c r="W11" s="24"/>
    </row>
    <row r="12" spans="1:23" x14ac:dyDescent="0.35">
      <c r="A12" s="2">
        <v>42053</v>
      </c>
      <c r="B12" s="7" t="e">
        <v>#N/A</v>
      </c>
      <c r="C12" s="7">
        <v>-5.4007709999999998</v>
      </c>
      <c r="D12" s="40">
        <v>11.640131</v>
      </c>
      <c r="E12" s="40">
        <v>30.607127999999999</v>
      </c>
      <c r="F12" s="40">
        <v>-19.114612999999999</v>
      </c>
      <c r="G12" s="40">
        <v>-8.0838789999999996</v>
      </c>
      <c r="H12" s="40">
        <v>-7.8538360000000003</v>
      </c>
      <c r="I12" s="40">
        <v>16.088712999999998</v>
      </c>
      <c r="J12" s="40">
        <v>-5.0383149999999999</v>
      </c>
      <c r="K12" s="40">
        <v>-5.7839336000000001</v>
      </c>
      <c r="L12" s="40">
        <v>-7.5935183000000004</v>
      </c>
      <c r="M12" s="40">
        <v>15.486813</v>
      </c>
      <c r="N12" s="40">
        <v>-45.495575000000002</v>
      </c>
      <c r="O12" s="40">
        <v>40.744853999999997</v>
      </c>
      <c r="P12" s="40">
        <v>17.996072999999999</v>
      </c>
      <c r="Q12" s="40" t="e">
        <v>#N/A</v>
      </c>
      <c r="R12" s="40">
        <v>20.881308000000001</v>
      </c>
      <c r="S12" s="40">
        <v>19.701397</v>
      </c>
      <c r="T12" s="40" t="e">
        <v>#N/A</v>
      </c>
      <c r="U12" s="40">
        <v>-10.753363999999999</v>
      </c>
      <c r="V12" s="155" t="e">
        <v>#N/A</v>
      </c>
      <c r="W12" s="24"/>
    </row>
    <row r="13" spans="1:23" x14ac:dyDescent="0.35">
      <c r="A13" s="2">
        <v>42081</v>
      </c>
      <c r="B13" s="7" t="e">
        <v>#N/A</v>
      </c>
      <c r="C13" s="7">
        <v>-7.8274910000000002</v>
      </c>
      <c r="D13" s="40">
        <v>-2.5187314000000001</v>
      </c>
      <c r="E13" s="40">
        <v>20.561181999999999</v>
      </c>
      <c r="F13" s="40">
        <v>-17.90334</v>
      </c>
      <c r="G13" s="40">
        <v>-8.1329770000000003</v>
      </c>
      <c r="H13" s="40">
        <v>-10.101646000000001</v>
      </c>
      <c r="I13" s="40">
        <v>15.567446</v>
      </c>
      <c r="J13" s="40">
        <v>-1.5615523</v>
      </c>
      <c r="K13" s="40">
        <v>-2.0769774999999999</v>
      </c>
      <c r="L13" s="40">
        <v>-19.87114</v>
      </c>
      <c r="M13" s="40">
        <v>6.9740175999999998</v>
      </c>
      <c r="N13" s="40">
        <v>-58.529803999999999</v>
      </c>
      <c r="O13" s="40">
        <v>30.861270000000001</v>
      </c>
      <c r="P13" s="40">
        <v>25.577414000000001</v>
      </c>
      <c r="Q13" s="40" t="e">
        <v>#N/A</v>
      </c>
      <c r="R13" s="40">
        <v>11.537563</v>
      </c>
      <c r="S13" s="40">
        <v>5.8825135</v>
      </c>
      <c r="T13" s="40" t="e">
        <v>#N/A</v>
      </c>
      <c r="U13" s="40">
        <v>-16.210132999999999</v>
      </c>
      <c r="V13" s="155" t="e">
        <v>#N/A</v>
      </c>
      <c r="W13" s="24"/>
    </row>
    <row r="14" spans="1:23" x14ac:dyDescent="0.35">
      <c r="A14" s="2">
        <v>42111</v>
      </c>
      <c r="B14" s="7" t="e">
        <v>#N/A</v>
      </c>
      <c r="C14" s="7">
        <v>-8.1782760000000003</v>
      </c>
      <c r="D14" s="40">
        <v>-1.3202130999999999</v>
      </c>
      <c r="E14" s="40">
        <v>17.319762999999998</v>
      </c>
      <c r="F14" s="40">
        <v>-14.472026</v>
      </c>
      <c r="G14" s="40">
        <v>-9.9787350000000004</v>
      </c>
      <c r="H14" s="40">
        <v>-10.060560000000001</v>
      </c>
      <c r="I14" s="40">
        <v>7.8618290000000002</v>
      </c>
      <c r="J14" s="40">
        <v>-6.9668349999999997</v>
      </c>
      <c r="K14" s="40">
        <v>-3.0418693999999999</v>
      </c>
      <c r="L14" s="40">
        <v>-24.956250000000001</v>
      </c>
      <c r="M14" s="40">
        <v>6.3197374000000002</v>
      </c>
      <c r="N14" s="40">
        <v>-54.892060000000001</v>
      </c>
      <c r="O14" s="40">
        <v>21.466839</v>
      </c>
      <c r="P14" s="40">
        <v>38.168216999999999</v>
      </c>
      <c r="Q14" s="40" t="e">
        <v>#N/A</v>
      </c>
      <c r="R14" s="40">
        <v>11.220348</v>
      </c>
      <c r="S14" s="40">
        <v>-10.767567</v>
      </c>
      <c r="T14" s="40" t="e">
        <v>#N/A</v>
      </c>
      <c r="U14" s="40">
        <v>-9.5542010000000008</v>
      </c>
      <c r="V14" s="155" t="e">
        <v>#N/A</v>
      </c>
      <c r="W14" s="24"/>
    </row>
    <row r="15" spans="1:23" x14ac:dyDescent="0.35">
      <c r="A15" s="2">
        <v>42142</v>
      </c>
      <c r="B15" s="7" t="e">
        <v>#N/A</v>
      </c>
      <c r="C15" s="7">
        <v>-6.0253199999999998</v>
      </c>
      <c r="D15" s="40">
        <v>-11.391581</v>
      </c>
      <c r="E15" s="40">
        <v>12.214554</v>
      </c>
      <c r="F15" s="40">
        <v>-8.2937720000000006</v>
      </c>
      <c r="G15" s="40">
        <v>-9.4761550000000003</v>
      </c>
      <c r="H15" s="40">
        <v>-11.816877</v>
      </c>
      <c r="I15" s="40">
        <v>12.342369</v>
      </c>
      <c r="J15" s="40">
        <v>-8.1495580000000007</v>
      </c>
      <c r="K15" s="40">
        <v>-7.4999332000000001</v>
      </c>
      <c r="L15" s="40">
        <v>-24.325973999999999</v>
      </c>
      <c r="M15" s="40">
        <v>2.370727</v>
      </c>
      <c r="N15" s="40">
        <v>-37.468147000000002</v>
      </c>
      <c r="O15" s="40">
        <v>5.3992389999999997</v>
      </c>
      <c r="P15" s="40">
        <v>38.945259999999998</v>
      </c>
      <c r="Q15" s="40">
        <v>-3.4771562</v>
      </c>
      <c r="R15" s="40">
        <v>7.4825999999999997</v>
      </c>
      <c r="S15" s="40">
        <v>-3.7389695999999999</v>
      </c>
      <c r="T15" s="40">
        <v>-16.413408</v>
      </c>
      <c r="U15" s="40">
        <v>-11.4440975</v>
      </c>
      <c r="V15" s="155" t="e">
        <v>#N/A</v>
      </c>
      <c r="W15" s="24"/>
    </row>
    <row r="16" spans="1:23" x14ac:dyDescent="0.35">
      <c r="A16" s="2">
        <v>42173</v>
      </c>
      <c r="B16" s="7" t="e">
        <v>#N/A</v>
      </c>
      <c r="C16" s="7">
        <v>-12.561006000000001</v>
      </c>
      <c r="D16" s="40">
        <v>-9.1539750000000009</v>
      </c>
      <c r="E16" s="40">
        <v>10.292935</v>
      </c>
      <c r="F16" s="40">
        <v>-20.23732</v>
      </c>
      <c r="G16" s="40">
        <v>-12.968779</v>
      </c>
      <c r="H16" s="40">
        <v>-19.443327</v>
      </c>
      <c r="I16" s="40">
        <v>3.2217503000000001</v>
      </c>
      <c r="J16" s="40">
        <v>-12.188662000000001</v>
      </c>
      <c r="K16" s="40">
        <v>-12.774234999999999</v>
      </c>
      <c r="L16" s="40">
        <v>-28.690237</v>
      </c>
      <c r="M16" s="40">
        <v>-5.8066789999999999</v>
      </c>
      <c r="N16" s="40">
        <v>-55.611690000000003</v>
      </c>
      <c r="O16" s="40">
        <v>1.1783838</v>
      </c>
      <c r="P16" s="40">
        <v>24.865162000000002</v>
      </c>
      <c r="Q16" s="40">
        <v>-3.7520408999999999</v>
      </c>
      <c r="R16" s="40">
        <v>3.9053081999999999</v>
      </c>
      <c r="S16" s="40">
        <v>-17.903894000000001</v>
      </c>
      <c r="T16" s="40">
        <v>-8.5572604999999999</v>
      </c>
      <c r="U16" s="40">
        <v>-10.733116000000001</v>
      </c>
      <c r="V16" s="155" t="e">
        <v>#N/A</v>
      </c>
      <c r="W16" s="24"/>
    </row>
    <row r="17" spans="1:23" x14ac:dyDescent="0.35">
      <c r="A17" s="2">
        <v>42202</v>
      </c>
      <c r="B17" s="7" t="e">
        <v>#N/A</v>
      </c>
      <c r="C17" s="7">
        <v>-15.237576000000001</v>
      </c>
      <c r="D17" s="40">
        <v>-16.005659999999999</v>
      </c>
      <c r="E17" s="40">
        <v>6.7973970000000001</v>
      </c>
      <c r="F17" s="40">
        <v>-18.682390000000002</v>
      </c>
      <c r="G17" s="40">
        <v>-21.296382999999999</v>
      </c>
      <c r="H17" s="40">
        <v>-21.117079</v>
      </c>
      <c r="I17" s="40">
        <v>-0.27080177999999999</v>
      </c>
      <c r="J17" s="40">
        <v>-16.235600999999999</v>
      </c>
      <c r="K17" s="40">
        <v>-16.167486</v>
      </c>
      <c r="L17" s="40">
        <v>-33.235190000000003</v>
      </c>
      <c r="M17" s="40">
        <v>-3.0081391000000002</v>
      </c>
      <c r="N17" s="40">
        <v>-51.588290000000001</v>
      </c>
      <c r="O17" s="40">
        <v>7.8837276000000003</v>
      </c>
      <c r="P17" s="40">
        <v>13.102138500000001</v>
      </c>
      <c r="Q17" s="40">
        <v>-9.4655810000000002</v>
      </c>
      <c r="R17" s="40">
        <v>-3.6694287999999999</v>
      </c>
      <c r="S17" s="40">
        <v>-16.176169999999999</v>
      </c>
      <c r="T17" s="40">
        <v>-10.642302000000001</v>
      </c>
      <c r="U17" s="40">
        <v>-8.3365679999999998</v>
      </c>
      <c r="V17" s="155" t="e">
        <v>#N/A</v>
      </c>
      <c r="W17" s="24"/>
    </row>
    <row r="18" spans="1:23" x14ac:dyDescent="0.35">
      <c r="A18" s="2">
        <v>42234</v>
      </c>
      <c r="B18" s="7" t="e">
        <v>#N/A</v>
      </c>
      <c r="C18" s="7">
        <v>-21.446435999999999</v>
      </c>
      <c r="D18" s="40">
        <v>-29.075182000000002</v>
      </c>
      <c r="E18" s="40">
        <v>-4.3714404</v>
      </c>
      <c r="F18" s="40">
        <v>-22.898394</v>
      </c>
      <c r="G18" s="40">
        <v>-35.290424000000002</v>
      </c>
      <c r="H18" s="40">
        <v>-34.768383</v>
      </c>
      <c r="I18" s="40">
        <v>-15.230185000000001</v>
      </c>
      <c r="J18" s="40">
        <v>-22.525019</v>
      </c>
      <c r="K18" s="40">
        <v>-26.583815000000001</v>
      </c>
      <c r="L18" s="40">
        <v>-45.758659999999999</v>
      </c>
      <c r="M18" s="40">
        <v>-15.466557999999999</v>
      </c>
      <c r="N18" s="40">
        <v>-49.976199999999999</v>
      </c>
      <c r="O18" s="40">
        <v>-1.5816688999999999</v>
      </c>
      <c r="P18" s="40">
        <v>-3.559631</v>
      </c>
      <c r="Q18" s="40">
        <v>-13.815719</v>
      </c>
      <c r="R18" s="40">
        <v>-11.00586</v>
      </c>
      <c r="S18" s="40">
        <v>-26.26332</v>
      </c>
      <c r="T18" s="40">
        <v>-18.074231999999999</v>
      </c>
      <c r="U18" s="40">
        <v>-20.419360000000001</v>
      </c>
      <c r="V18" s="155" t="e">
        <v>#N/A</v>
      </c>
      <c r="W18" s="24"/>
    </row>
    <row r="19" spans="1:23" x14ac:dyDescent="0.35">
      <c r="A19" s="2">
        <v>42265</v>
      </c>
      <c r="B19" s="7" t="e">
        <v>#N/A</v>
      </c>
      <c r="C19" s="7">
        <v>-17.466963</v>
      </c>
      <c r="D19" s="40">
        <v>-33.419840000000001</v>
      </c>
      <c r="E19" s="40">
        <v>-8.188504</v>
      </c>
      <c r="F19" s="40">
        <v>-22.472840999999999</v>
      </c>
      <c r="G19" s="40">
        <v>-36.026108000000001</v>
      </c>
      <c r="H19" s="40">
        <v>-30.033695000000002</v>
      </c>
      <c r="I19" s="40">
        <v>-12.224859</v>
      </c>
      <c r="J19" s="40">
        <v>-24.180911999999999</v>
      </c>
      <c r="K19" s="40">
        <v>-20.393068</v>
      </c>
      <c r="L19" s="40">
        <v>-51.555329999999998</v>
      </c>
      <c r="M19" s="40">
        <v>-16.128899000000001</v>
      </c>
      <c r="N19" s="40">
        <v>-45.502865</v>
      </c>
      <c r="O19" s="40">
        <v>-10.508621</v>
      </c>
      <c r="P19" s="40">
        <v>-8.4565999999999999</v>
      </c>
      <c r="Q19" s="40">
        <v>-19.081973999999999</v>
      </c>
      <c r="R19" s="40">
        <v>-12.240017</v>
      </c>
      <c r="S19" s="40">
        <v>-28.540199999999999</v>
      </c>
      <c r="T19" s="40">
        <v>-26.024372</v>
      </c>
      <c r="U19" s="40">
        <v>-28.748629999999999</v>
      </c>
      <c r="V19" s="155" t="e">
        <v>#N/A</v>
      </c>
      <c r="W19" s="24"/>
    </row>
    <row r="20" spans="1:23" x14ac:dyDescent="0.35">
      <c r="A20" s="2">
        <v>42293</v>
      </c>
      <c r="B20" s="7" t="e">
        <v>#N/A</v>
      </c>
      <c r="C20" s="7">
        <v>-11.053777</v>
      </c>
      <c r="D20" s="40">
        <v>-17.218654999999998</v>
      </c>
      <c r="E20" s="40">
        <v>-1.0024667</v>
      </c>
      <c r="F20" s="40">
        <v>-15.693784000000001</v>
      </c>
      <c r="G20" s="40">
        <v>-27.780574999999999</v>
      </c>
      <c r="H20" s="40">
        <v>-21.689636</v>
      </c>
      <c r="I20" s="40">
        <v>-2.1702468000000001</v>
      </c>
      <c r="J20" s="40">
        <v>-13.872987</v>
      </c>
      <c r="K20" s="40">
        <v>-3.3718884</v>
      </c>
      <c r="L20" s="40">
        <v>-43.475960000000001</v>
      </c>
      <c r="M20" s="40">
        <v>-0.54517983999999997</v>
      </c>
      <c r="N20" s="40">
        <v>-32.164369999999998</v>
      </c>
      <c r="O20" s="40">
        <v>0.77198743999999997</v>
      </c>
      <c r="P20" s="40">
        <v>6.6184880000000001</v>
      </c>
      <c r="Q20" s="40">
        <v>-8.7468029999999999</v>
      </c>
      <c r="R20" s="40">
        <v>-7.0615587</v>
      </c>
      <c r="S20" s="40">
        <v>-15.898770000000001</v>
      </c>
      <c r="T20" s="40">
        <v>-9.4608310000000007</v>
      </c>
      <c r="U20" s="40">
        <v>-12.9830065</v>
      </c>
      <c r="V20" s="155" t="e">
        <v>#N/A</v>
      </c>
      <c r="W20" s="24"/>
    </row>
    <row r="21" spans="1:23" x14ac:dyDescent="0.35">
      <c r="A21" s="2">
        <v>42326</v>
      </c>
      <c r="B21" s="40" t="e">
        <v>#N/A</v>
      </c>
      <c r="C21" s="40">
        <v>-19.814968</v>
      </c>
      <c r="D21" s="40">
        <v>-24.061691</v>
      </c>
      <c r="E21" s="40">
        <v>-10.923677</v>
      </c>
      <c r="F21" s="40">
        <v>-25.586569000000001</v>
      </c>
      <c r="G21" s="40">
        <v>-32.565219999999997</v>
      </c>
      <c r="H21" s="40">
        <v>-28.1296</v>
      </c>
      <c r="I21" s="40">
        <v>-9.7922860000000007</v>
      </c>
      <c r="J21" s="40">
        <v>-16.625893000000001</v>
      </c>
      <c r="K21" s="40">
        <v>-7.5909195</v>
      </c>
      <c r="L21" s="40">
        <v>-36.20308</v>
      </c>
      <c r="M21" s="40">
        <v>-20.102608</v>
      </c>
      <c r="N21" s="40">
        <v>-40.650962999999997</v>
      </c>
      <c r="O21" s="40">
        <v>-14.396894</v>
      </c>
      <c r="P21" s="40">
        <v>-0.11825561499999999</v>
      </c>
      <c r="Q21" s="40">
        <v>-22.112852</v>
      </c>
      <c r="R21" s="40">
        <v>-12.929487</v>
      </c>
      <c r="S21" s="40">
        <v>-21.346723999999998</v>
      </c>
      <c r="T21" s="40">
        <v>-28.615635000000001</v>
      </c>
      <c r="U21" s="40">
        <v>-19.590150000000001</v>
      </c>
      <c r="V21" s="155" t="e">
        <v>#N/A</v>
      </c>
      <c r="W21" s="24"/>
    </row>
    <row r="22" spans="1:23" x14ac:dyDescent="0.35">
      <c r="A22" s="2">
        <v>42356</v>
      </c>
      <c r="B22" s="40" t="e">
        <v>#N/A</v>
      </c>
      <c r="C22" s="40">
        <v>-17.679463999999999</v>
      </c>
      <c r="D22" s="40">
        <v>-23.349029999999999</v>
      </c>
      <c r="E22" s="40">
        <v>-11.447710000000001</v>
      </c>
      <c r="F22" s="40">
        <v>-26.448286</v>
      </c>
      <c r="G22" s="40">
        <v>-36.079524999999997</v>
      </c>
      <c r="H22" s="40">
        <v>-21.476316000000001</v>
      </c>
      <c r="I22" s="40">
        <v>-10.440678</v>
      </c>
      <c r="J22" s="40">
        <v>-12.511474</v>
      </c>
      <c r="K22" s="40">
        <v>-7.3113203000000002</v>
      </c>
      <c r="L22" s="40">
        <v>-39.361083999999998</v>
      </c>
      <c r="M22" s="40">
        <v>-26.207858999999999</v>
      </c>
      <c r="N22" s="40">
        <v>-42.953879999999998</v>
      </c>
      <c r="O22" s="40">
        <v>-8.8526310000000006</v>
      </c>
      <c r="P22" s="40">
        <v>-5.931324</v>
      </c>
      <c r="Q22" s="40">
        <v>-18.581140000000001</v>
      </c>
      <c r="R22" s="40">
        <v>-15.286886000000001</v>
      </c>
      <c r="S22" s="40">
        <v>-29.564167000000001</v>
      </c>
      <c r="T22" s="40">
        <v>-14.986837</v>
      </c>
      <c r="U22" s="40">
        <v>-20.645958</v>
      </c>
      <c r="V22" s="155" t="e">
        <v>#N/A</v>
      </c>
      <c r="W22" s="24"/>
    </row>
    <row r="23" spans="1:23" x14ac:dyDescent="0.35">
      <c r="A23" s="2">
        <v>42384</v>
      </c>
      <c r="B23" s="40" t="e">
        <v>#N/A</v>
      </c>
      <c r="C23" s="40">
        <v>-19.417107000000001</v>
      </c>
      <c r="D23" s="40">
        <v>-23.15082</v>
      </c>
      <c r="E23" s="40">
        <v>-24.627334999999999</v>
      </c>
      <c r="F23" s="40">
        <v>-26.338047</v>
      </c>
      <c r="G23" s="40">
        <v>-38.493580000000001</v>
      </c>
      <c r="H23" s="40">
        <v>-23.690449999999998</v>
      </c>
      <c r="I23" s="40">
        <v>-22.116709</v>
      </c>
      <c r="J23" s="40">
        <v>-20.347178</v>
      </c>
      <c r="K23" s="40">
        <v>-17.298508000000002</v>
      </c>
      <c r="L23" s="40">
        <v>-46.838642</v>
      </c>
      <c r="M23" s="40">
        <v>-37.732567000000003</v>
      </c>
      <c r="N23" s="40">
        <v>-43.705784000000001</v>
      </c>
      <c r="O23" s="40">
        <v>-19.370471999999999</v>
      </c>
      <c r="P23" s="40">
        <v>-24.362797</v>
      </c>
      <c r="Q23" s="40">
        <v>-23.72176</v>
      </c>
      <c r="R23" s="40">
        <v>-17.966843000000001</v>
      </c>
      <c r="S23" s="40">
        <v>-37.113909999999997</v>
      </c>
      <c r="T23" s="40">
        <v>-23.244492999999999</v>
      </c>
      <c r="U23" s="40">
        <v>-28.003882999999998</v>
      </c>
      <c r="V23" s="155" t="e">
        <v>#N/A</v>
      </c>
      <c r="W23" s="24"/>
    </row>
    <row r="24" spans="1:23" x14ac:dyDescent="0.35">
      <c r="A24" s="2">
        <v>42418</v>
      </c>
      <c r="B24" s="40" t="e">
        <v>#N/A</v>
      </c>
      <c r="C24" s="40">
        <v>-16.436356</v>
      </c>
      <c r="D24" s="40">
        <v>-16.156942000000001</v>
      </c>
      <c r="E24" s="40">
        <v>-20.214945</v>
      </c>
      <c r="F24" s="40">
        <v>-22.979868</v>
      </c>
      <c r="G24" s="40">
        <v>-29.398738999999999</v>
      </c>
      <c r="H24" s="40">
        <v>-17.450565000000001</v>
      </c>
      <c r="I24" s="40">
        <v>-16.970586999999998</v>
      </c>
      <c r="J24" s="40">
        <v>-17.252333</v>
      </c>
      <c r="K24" s="40">
        <v>-14.287334</v>
      </c>
      <c r="L24" s="40">
        <v>-42.684044</v>
      </c>
      <c r="M24" s="40">
        <v>-29.296838999999999</v>
      </c>
      <c r="N24" s="40">
        <v>-49.493034000000002</v>
      </c>
      <c r="O24" s="40">
        <v>-25.835836</v>
      </c>
      <c r="P24" s="40">
        <v>-24.816053</v>
      </c>
      <c r="Q24" s="40">
        <v>-20.678709999999999</v>
      </c>
      <c r="R24" s="40">
        <v>-19.246608999999999</v>
      </c>
      <c r="S24" s="40">
        <v>-28.148126999999999</v>
      </c>
      <c r="T24" s="40">
        <v>-18.926684999999999</v>
      </c>
      <c r="U24" s="40">
        <v>-26.161557999999999</v>
      </c>
      <c r="V24" s="155" t="e">
        <v>#N/A</v>
      </c>
      <c r="W24" s="24"/>
    </row>
    <row r="25" spans="1:23" x14ac:dyDescent="0.35">
      <c r="A25" s="2">
        <v>42447</v>
      </c>
      <c r="B25" s="40" t="e">
        <v>#N/A</v>
      </c>
      <c r="C25" s="40">
        <v>-4.3047009999999997</v>
      </c>
      <c r="D25" s="40">
        <v>-11.063093</v>
      </c>
      <c r="E25" s="40">
        <v>-11.011809</v>
      </c>
      <c r="F25" s="40">
        <v>-13.927078</v>
      </c>
      <c r="G25" s="40">
        <v>-7.194191</v>
      </c>
      <c r="H25" s="40">
        <v>-11.727959</v>
      </c>
      <c r="I25" s="40">
        <v>-10.626507</v>
      </c>
      <c r="J25" s="40">
        <v>-8.6419110000000003</v>
      </c>
      <c r="K25" s="40">
        <v>-7.9072237000000003</v>
      </c>
      <c r="L25" s="40">
        <v>-11.906033499999999</v>
      </c>
      <c r="M25" s="40">
        <v>-20.708067</v>
      </c>
      <c r="N25" s="40">
        <v>-30.064551999999999</v>
      </c>
      <c r="O25" s="40">
        <v>-19.155163000000002</v>
      </c>
      <c r="P25" s="40">
        <v>-18.384350000000001</v>
      </c>
      <c r="Q25" s="40">
        <v>-10.677796000000001</v>
      </c>
      <c r="R25" s="40">
        <v>-9.6989929999999998</v>
      </c>
      <c r="S25" s="40">
        <v>-5.5896340000000002</v>
      </c>
      <c r="T25" s="40">
        <v>-1.7407714999999999</v>
      </c>
      <c r="U25" s="40">
        <v>-18.18375</v>
      </c>
      <c r="V25" s="155" t="e">
        <v>#N/A</v>
      </c>
      <c r="W25" s="24"/>
    </row>
    <row r="26" spans="1:23" x14ac:dyDescent="0.35">
      <c r="A26" s="2">
        <v>42478</v>
      </c>
      <c r="B26" s="40" t="e">
        <v>#N/A</v>
      </c>
      <c r="C26" s="40">
        <v>-10.361421999999999</v>
      </c>
      <c r="D26" s="40">
        <v>-12.108332000000001</v>
      </c>
      <c r="E26" s="40">
        <v>-12.262333</v>
      </c>
      <c r="F26" s="40">
        <v>-20.110453</v>
      </c>
      <c r="G26" s="40">
        <v>0.27110577000000002</v>
      </c>
      <c r="H26" s="40">
        <v>-10.783201</v>
      </c>
      <c r="I26" s="40">
        <v>-10.508114000000001</v>
      </c>
      <c r="J26" s="40">
        <v>-10.127008</v>
      </c>
      <c r="K26" s="40">
        <v>-10.730320000000001</v>
      </c>
      <c r="L26" s="40">
        <v>-17.281855</v>
      </c>
      <c r="M26" s="40">
        <v>-19.495726000000001</v>
      </c>
      <c r="N26" s="40">
        <v>-26.234477999999999</v>
      </c>
      <c r="O26" s="40">
        <v>-13.457012000000001</v>
      </c>
      <c r="P26" s="40">
        <v>-26.718347999999999</v>
      </c>
      <c r="Q26" s="40">
        <v>-13.362056000000001</v>
      </c>
      <c r="R26" s="40">
        <v>-10.727251000000001</v>
      </c>
      <c r="S26" s="40">
        <v>1.2467265000000001</v>
      </c>
      <c r="T26" s="40">
        <v>-13.602042000000001</v>
      </c>
      <c r="U26" s="40">
        <v>-19.660312999999999</v>
      </c>
      <c r="V26" s="155" t="e">
        <v>#N/A</v>
      </c>
      <c r="W26" s="24"/>
    </row>
    <row r="27" spans="1:23" x14ac:dyDescent="0.35">
      <c r="A27" s="2">
        <v>42508</v>
      </c>
      <c r="B27" s="40" t="e">
        <v>#N/A</v>
      </c>
      <c r="C27" s="40">
        <v>-18.105179</v>
      </c>
      <c r="D27" s="40">
        <v>-13.771725</v>
      </c>
      <c r="E27" s="40">
        <v>-9.1279690000000002</v>
      </c>
      <c r="F27" s="40">
        <v>-30.532419999999998</v>
      </c>
      <c r="G27" s="40">
        <v>-1.7981111999999999</v>
      </c>
      <c r="H27" s="40">
        <v>-19.034545999999999</v>
      </c>
      <c r="I27" s="40">
        <v>-20.715374000000001</v>
      </c>
      <c r="J27" s="40">
        <v>-15.56015</v>
      </c>
      <c r="K27" s="40">
        <v>-15.869617</v>
      </c>
      <c r="L27" s="40">
        <v>-23.699300000000001</v>
      </c>
      <c r="M27" s="40">
        <v>-29.535557000000001</v>
      </c>
      <c r="N27" s="40">
        <v>-31.066179999999999</v>
      </c>
      <c r="O27" s="40">
        <v>-11.452019</v>
      </c>
      <c r="P27" s="40">
        <v>-33.136401999999997</v>
      </c>
      <c r="Q27" s="40">
        <v>-19.87275</v>
      </c>
      <c r="R27" s="40">
        <v>-7.2768329999999999</v>
      </c>
      <c r="S27" s="40">
        <v>-23.56382</v>
      </c>
      <c r="T27" s="40">
        <v>-19.374131999999999</v>
      </c>
      <c r="U27" s="40">
        <v>-8.6554164999999994</v>
      </c>
      <c r="V27" s="155" t="e">
        <v>#N/A</v>
      </c>
      <c r="W27" s="24"/>
    </row>
    <row r="28" spans="1:23" x14ac:dyDescent="0.35">
      <c r="A28" s="2">
        <v>42538</v>
      </c>
      <c r="B28" s="40" t="e">
        <v>#N/A</v>
      </c>
      <c r="C28" s="40">
        <v>-6.8601369999999999</v>
      </c>
      <c r="D28" s="40">
        <v>-2.5050162999999999</v>
      </c>
      <c r="E28" s="40">
        <v>-0.24580956000000001</v>
      </c>
      <c r="F28" s="40">
        <v>-26.886797000000001</v>
      </c>
      <c r="G28" s="40">
        <v>1.8787860999999999</v>
      </c>
      <c r="H28" s="40">
        <v>-12.016577</v>
      </c>
      <c r="I28" s="40">
        <v>-10.340303</v>
      </c>
      <c r="J28" s="40">
        <v>-15.370119000000001</v>
      </c>
      <c r="K28" s="40">
        <v>-6.3346090000000004</v>
      </c>
      <c r="L28" s="40">
        <v>-16.662848</v>
      </c>
      <c r="M28" s="40">
        <v>-17.427534000000001</v>
      </c>
      <c r="N28" s="40">
        <v>-27.316410000000001</v>
      </c>
      <c r="O28" s="40">
        <v>-4.9608945999999996</v>
      </c>
      <c r="P28" s="40">
        <v>-27.378284000000001</v>
      </c>
      <c r="Q28" s="40">
        <v>-16.978000000000002</v>
      </c>
      <c r="R28" s="40">
        <v>-6.1704993000000004</v>
      </c>
      <c r="S28" s="40">
        <v>-11.526084000000001</v>
      </c>
      <c r="T28" s="40">
        <v>-17.018889999999999</v>
      </c>
      <c r="U28" s="40">
        <v>-17.258209999999998</v>
      </c>
      <c r="V28" s="155" t="e">
        <v>#N/A</v>
      </c>
      <c r="W28" s="24"/>
    </row>
    <row r="29" spans="1:23" x14ac:dyDescent="0.35">
      <c r="A29" s="2">
        <v>42569</v>
      </c>
      <c r="B29" s="40" t="e">
        <v>#N/A</v>
      </c>
      <c r="C29" s="40">
        <v>4.3895483000000004</v>
      </c>
      <c r="D29" s="40">
        <v>9.9182129999999997</v>
      </c>
      <c r="E29" s="40">
        <v>4.419327</v>
      </c>
      <c r="F29" s="40">
        <v>-21.729928999999998</v>
      </c>
      <c r="G29" s="40">
        <v>19.432186000000002</v>
      </c>
      <c r="H29" s="40">
        <v>-4.7603663999999997</v>
      </c>
      <c r="I29" s="40">
        <v>-0.50026179999999998</v>
      </c>
      <c r="J29" s="40">
        <v>-8.0978449999999995</v>
      </c>
      <c r="K29" s="40">
        <v>5.4851530000000004</v>
      </c>
      <c r="L29" s="40">
        <v>5.3665399999999996</v>
      </c>
      <c r="M29" s="40">
        <v>-10.182971</v>
      </c>
      <c r="N29" s="40">
        <v>-28.742349999999998</v>
      </c>
      <c r="O29" s="40">
        <v>-7.0409300000000004</v>
      </c>
      <c r="P29" s="40">
        <v>-14.376915</v>
      </c>
      <c r="Q29" s="40">
        <v>-12.324304</v>
      </c>
      <c r="R29" s="40">
        <v>0.35378933000000001</v>
      </c>
      <c r="S29" s="40">
        <v>-13.741159</v>
      </c>
      <c r="T29" s="40">
        <v>-11.447853</v>
      </c>
      <c r="U29" s="40">
        <v>-15.951681000000001</v>
      </c>
      <c r="V29" s="155" t="e">
        <v>#N/A</v>
      </c>
      <c r="W29" s="24"/>
    </row>
    <row r="30" spans="1:23" x14ac:dyDescent="0.35">
      <c r="A30" s="2">
        <v>42600</v>
      </c>
      <c r="B30" s="40" t="e">
        <v>#N/A</v>
      </c>
      <c r="C30" s="40">
        <v>15.090704000000001</v>
      </c>
      <c r="D30" s="40">
        <v>33.206142</v>
      </c>
      <c r="E30" s="40">
        <v>11.191738000000001</v>
      </c>
      <c r="F30" s="40">
        <v>-12.155932</v>
      </c>
      <c r="G30" s="40">
        <v>53.884551999999999</v>
      </c>
      <c r="H30" s="40">
        <v>15.507925</v>
      </c>
      <c r="I30" s="40">
        <v>20.127749999999999</v>
      </c>
      <c r="J30" s="40">
        <v>0.99871160000000003</v>
      </c>
      <c r="K30" s="40">
        <v>22.519625000000001</v>
      </c>
      <c r="L30" s="40">
        <v>32.639600000000002</v>
      </c>
      <c r="M30" s="40">
        <v>7.4864744999999999</v>
      </c>
      <c r="N30" s="40">
        <v>-25.171412</v>
      </c>
      <c r="O30" s="40">
        <v>-0.36660432999999998</v>
      </c>
      <c r="P30" s="40">
        <v>9.0289116000000003E-2</v>
      </c>
      <c r="Q30" s="40">
        <v>-1.5006660999999999</v>
      </c>
      <c r="R30" s="40">
        <v>12.705719</v>
      </c>
      <c r="S30" s="40">
        <v>4.459238</v>
      </c>
      <c r="T30" s="40">
        <v>-3.4540296000000001</v>
      </c>
      <c r="U30" s="40">
        <v>-6.8702100000000002</v>
      </c>
      <c r="V30" s="155" t="e">
        <v>#N/A</v>
      </c>
      <c r="W30" s="24"/>
    </row>
    <row r="31" spans="1:23" x14ac:dyDescent="0.35">
      <c r="A31" s="2">
        <v>42629</v>
      </c>
      <c r="B31" s="40" t="e">
        <v>#N/A</v>
      </c>
      <c r="C31" s="40">
        <v>3.6664127999999998</v>
      </c>
      <c r="D31" s="40">
        <v>36.243893</v>
      </c>
      <c r="E31" s="40">
        <v>4.2649508000000003</v>
      </c>
      <c r="F31" s="40">
        <v>-17.210668999999999</v>
      </c>
      <c r="G31" s="40">
        <v>43.105803999999999</v>
      </c>
      <c r="H31" s="40">
        <v>5.0817610000000002</v>
      </c>
      <c r="I31" s="40">
        <v>11.389386999999999</v>
      </c>
      <c r="J31" s="40">
        <v>-11.261755000000001</v>
      </c>
      <c r="K31" s="40">
        <v>11.612821</v>
      </c>
      <c r="L31" s="40">
        <v>36.293390000000002</v>
      </c>
      <c r="M31" s="40">
        <v>-0.20955204999999999</v>
      </c>
      <c r="N31" s="40">
        <v>-32.405589999999997</v>
      </c>
      <c r="O31" s="40">
        <v>5.5816410000000003</v>
      </c>
      <c r="P31" s="40">
        <v>6.3263892999999998</v>
      </c>
      <c r="Q31" s="40">
        <v>-7.711017</v>
      </c>
      <c r="R31" s="40">
        <v>7.0393559999999997</v>
      </c>
      <c r="S31" s="40">
        <v>5.4715037000000004</v>
      </c>
      <c r="T31" s="40">
        <v>-2.1680294999999998</v>
      </c>
      <c r="U31" s="40">
        <v>-7.4508850000000004</v>
      </c>
      <c r="V31" s="155" t="e">
        <v>#N/A</v>
      </c>
      <c r="W31" s="24"/>
    </row>
    <row r="32" spans="1:23" x14ac:dyDescent="0.35">
      <c r="A32" s="2">
        <v>42661</v>
      </c>
      <c r="B32" s="40" t="e">
        <v>#N/A</v>
      </c>
      <c r="C32" s="40">
        <v>8.8561770000000006</v>
      </c>
      <c r="D32" s="40">
        <v>26.602543000000001</v>
      </c>
      <c r="E32" s="40">
        <v>1.4426231</v>
      </c>
      <c r="F32" s="40">
        <v>-18.196117000000001</v>
      </c>
      <c r="G32" s="40">
        <v>39.355133000000002</v>
      </c>
      <c r="H32" s="40">
        <v>-9.4556810000000005E-2</v>
      </c>
      <c r="I32" s="40">
        <v>12.695252999999999</v>
      </c>
      <c r="J32" s="40">
        <v>-4.055542</v>
      </c>
      <c r="K32" s="40">
        <v>6.6889763000000002</v>
      </c>
      <c r="L32" s="40">
        <v>60.391173999999999</v>
      </c>
      <c r="M32" s="40">
        <v>-7.5742425999999998</v>
      </c>
      <c r="N32" s="40">
        <v>-27.689426000000001</v>
      </c>
      <c r="O32" s="40">
        <v>1.2142777</v>
      </c>
      <c r="P32" s="40">
        <v>0.75801609999999997</v>
      </c>
      <c r="Q32" s="40">
        <v>-7.7987313</v>
      </c>
      <c r="R32" s="40">
        <v>4.1709540000000001</v>
      </c>
      <c r="S32" s="40">
        <v>-5.5194080000000003</v>
      </c>
      <c r="T32" s="40">
        <v>-7.7327193999999997</v>
      </c>
      <c r="U32" s="40">
        <v>-12.34867</v>
      </c>
      <c r="V32" s="155">
        <v>-22.305</v>
      </c>
      <c r="W32" s="24"/>
    </row>
    <row r="33" spans="1:23" x14ac:dyDescent="0.35">
      <c r="A33" s="2">
        <v>42692</v>
      </c>
      <c r="B33" s="40" t="e">
        <v>#N/A</v>
      </c>
      <c r="C33" s="40">
        <v>14.307129</v>
      </c>
      <c r="D33" s="40">
        <v>15.677631</v>
      </c>
      <c r="E33" s="40">
        <v>-1.5453458</v>
      </c>
      <c r="F33" s="40">
        <v>-14.254928</v>
      </c>
      <c r="G33" s="40">
        <v>47.148192999999999</v>
      </c>
      <c r="H33" s="40">
        <v>-0.9109199</v>
      </c>
      <c r="I33" s="40">
        <v>13.140833000000001</v>
      </c>
      <c r="J33" s="40">
        <v>-18.39621</v>
      </c>
      <c r="K33" s="40">
        <v>2.215004</v>
      </c>
      <c r="L33" s="40">
        <v>34.937393</v>
      </c>
      <c r="M33" s="40">
        <v>-4.3696700000000002</v>
      </c>
      <c r="N33" s="40">
        <v>-18.144321000000001</v>
      </c>
      <c r="O33" s="40">
        <v>-2.4951994000000002</v>
      </c>
      <c r="P33" s="40">
        <v>-1.9312917999999999</v>
      </c>
      <c r="Q33" s="40">
        <v>-4.1841689999999998</v>
      </c>
      <c r="R33" s="40">
        <v>7.0481299999999996</v>
      </c>
      <c r="S33" s="40">
        <v>-19.775217000000001</v>
      </c>
      <c r="T33" s="40">
        <v>5.9342740000000003</v>
      </c>
      <c r="U33" s="40">
        <v>-13.571631999999999</v>
      </c>
      <c r="V33" s="155">
        <v>-1.2884438</v>
      </c>
      <c r="W33" s="24"/>
    </row>
    <row r="34" spans="1:23" x14ac:dyDescent="0.35">
      <c r="A34" s="2">
        <v>42720</v>
      </c>
      <c r="B34" s="40" t="e">
        <v>#N/A</v>
      </c>
      <c r="C34" s="40">
        <v>20.508611999999999</v>
      </c>
      <c r="D34" s="40">
        <v>16.053592999999999</v>
      </c>
      <c r="E34" s="40">
        <v>-5.554265</v>
      </c>
      <c r="F34" s="40">
        <v>2.021706</v>
      </c>
      <c r="G34" s="40">
        <v>58.032249999999998</v>
      </c>
      <c r="H34" s="40">
        <v>-2.178061</v>
      </c>
      <c r="I34" s="40">
        <v>18.262661000000001</v>
      </c>
      <c r="J34" s="40">
        <v>-12.634605000000001</v>
      </c>
      <c r="K34" s="40">
        <v>6.333196</v>
      </c>
      <c r="L34" s="40">
        <v>40.575336</v>
      </c>
      <c r="M34" s="40">
        <v>10.096275</v>
      </c>
      <c r="N34" s="40">
        <v>-4.8548220000000004</v>
      </c>
      <c r="O34" s="40">
        <v>-0.100916624</v>
      </c>
      <c r="P34" s="40">
        <v>-1.6195177999999999</v>
      </c>
      <c r="Q34" s="40">
        <v>5.4581046000000004</v>
      </c>
      <c r="R34" s="40">
        <v>17.195488000000001</v>
      </c>
      <c r="S34" s="40">
        <v>-10.481059999999999</v>
      </c>
      <c r="T34" s="40">
        <v>17.464233</v>
      </c>
      <c r="U34" s="40">
        <v>-9.7142330000000001</v>
      </c>
      <c r="V34" s="155">
        <v>7.5953840000000001</v>
      </c>
      <c r="W34" s="24"/>
    </row>
    <row r="35" spans="1:23" x14ac:dyDescent="0.35">
      <c r="A35" s="2">
        <v>42753</v>
      </c>
      <c r="B35" s="40" t="e">
        <v>#N/A</v>
      </c>
      <c r="C35" s="40">
        <v>33.485176000000003</v>
      </c>
      <c r="D35" s="40">
        <v>22.236084000000002</v>
      </c>
      <c r="E35" s="40">
        <v>12.18108</v>
      </c>
      <c r="F35" s="40">
        <v>20.388721</v>
      </c>
      <c r="G35" s="40">
        <v>88.743989999999997</v>
      </c>
      <c r="H35" s="40">
        <v>6.0293673999999999</v>
      </c>
      <c r="I35" s="40">
        <v>37.083041999999999</v>
      </c>
      <c r="J35" s="40">
        <v>-4.7684490000000004</v>
      </c>
      <c r="K35" s="40">
        <v>25.171683999999999</v>
      </c>
      <c r="L35" s="40">
        <v>98.417150000000007</v>
      </c>
      <c r="M35" s="40">
        <v>46.169969999999999</v>
      </c>
      <c r="N35" s="40">
        <v>14.468741</v>
      </c>
      <c r="O35" s="40">
        <v>10.390413000000001</v>
      </c>
      <c r="P35" s="40">
        <v>24.872292000000002</v>
      </c>
      <c r="Q35" s="40">
        <v>23.511087</v>
      </c>
      <c r="R35" s="40">
        <v>25.362825000000001</v>
      </c>
      <c r="S35" s="40">
        <v>-4.0390433999999997</v>
      </c>
      <c r="T35" s="40">
        <v>26.940655</v>
      </c>
      <c r="U35" s="40">
        <v>6.4285040000000002</v>
      </c>
      <c r="V35" s="155">
        <v>22.481297999999999</v>
      </c>
      <c r="W35" s="24"/>
    </row>
    <row r="36" spans="1:23" x14ac:dyDescent="0.35">
      <c r="A36" s="2">
        <v>42783</v>
      </c>
      <c r="B36" s="40" t="e">
        <v>#N/A</v>
      </c>
      <c r="C36" s="40">
        <v>23.783647999999999</v>
      </c>
      <c r="D36" s="40">
        <v>7.5850606000000003</v>
      </c>
      <c r="E36" s="40">
        <v>1.9787787999999999</v>
      </c>
      <c r="F36" s="40">
        <v>19.470155999999999</v>
      </c>
      <c r="G36" s="40">
        <v>67.864649999999997</v>
      </c>
      <c r="H36" s="40">
        <v>-2.3272634000000001</v>
      </c>
      <c r="I36" s="40">
        <v>30.648696999999999</v>
      </c>
      <c r="J36" s="40">
        <v>-2.7107418000000001</v>
      </c>
      <c r="K36" s="40">
        <v>23.831344999999999</v>
      </c>
      <c r="L36" s="40">
        <v>98.080399999999997</v>
      </c>
      <c r="M36" s="40">
        <v>24.725902999999999</v>
      </c>
      <c r="N36" s="40">
        <v>22.431516999999999</v>
      </c>
      <c r="O36" s="40">
        <v>20.404613000000001</v>
      </c>
      <c r="P36" s="40">
        <v>28.934501999999998</v>
      </c>
      <c r="Q36" s="40">
        <v>12.996459</v>
      </c>
      <c r="R36" s="40">
        <v>22.458421999999999</v>
      </c>
      <c r="S36" s="40">
        <v>1.1419535000000001</v>
      </c>
      <c r="T36" s="40">
        <v>19.898091999999998</v>
      </c>
      <c r="U36" s="40">
        <v>2.8331040999999999</v>
      </c>
      <c r="V36" s="155">
        <v>24.610137999999999</v>
      </c>
      <c r="W36" s="24"/>
    </row>
    <row r="37" spans="1:23" x14ac:dyDescent="0.35">
      <c r="A37" s="2">
        <v>42811</v>
      </c>
      <c r="B37" s="40" t="e">
        <v>#N/A</v>
      </c>
      <c r="C37" s="40">
        <v>17.934847000000001</v>
      </c>
      <c r="D37" s="40">
        <v>6.7329287999999998</v>
      </c>
      <c r="E37" s="40">
        <v>-4.2749940000000004</v>
      </c>
      <c r="F37" s="40">
        <v>16.894627</v>
      </c>
      <c r="G37" s="40">
        <v>31.531275000000001</v>
      </c>
      <c r="H37" s="40">
        <v>-4.5771480000000002</v>
      </c>
      <c r="I37" s="40">
        <v>22.149478999999999</v>
      </c>
      <c r="J37" s="40">
        <v>-3.7520945000000001</v>
      </c>
      <c r="K37" s="40">
        <v>18.697762000000001</v>
      </c>
      <c r="L37" s="40">
        <v>43.597244000000003</v>
      </c>
      <c r="M37" s="40">
        <v>20.081959999999999</v>
      </c>
      <c r="N37" s="40">
        <v>7.2902082999999998</v>
      </c>
      <c r="O37" s="40">
        <v>19.475735</v>
      </c>
      <c r="P37" s="40">
        <v>22.504996999999999</v>
      </c>
      <c r="Q37" s="40">
        <v>0.25583506</v>
      </c>
      <c r="R37" s="40">
        <v>13.098108</v>
      </c>
      <c r="S37" s="40">
        <v>-12.337875</v>
      </c>
      <c r="T37" s="40">
        <v>4.0703535000000004</v>
      </c>
      <c r="U37" s="40">
        <v>-1.497066</v>
      </c>
      <c r="V37" s="155">
        <v>11.421943000000001</v>
      </c>
      <c r="W37" s="24"/>
    </row>
    <row r="38" spans="1:23" x14ac:dyDescent="0.35">
      <c r="A38" s="2">
        <v>42843</v>
      </c>
      <c r="B38" s="40" t="e">
        <v>#N/A</v>
      </c>
      <c r="C38" s="40">
        <v>23.061502000000001</v>
      </c>
      <c r="D38" s="40">
        <v>9.751951</v>
      </c>
      <c r="E38" s="40">
        <v>-0.9022057</v>
      </c>
      <c r="F38" s="40">
        <v>16.074348000000001</v>
      </c>
      <c r="G38" s="40">
        <v>17.234909999999999</v>
      </c>
      <c r="H38" s="40">
        <v>-8.253622</v>
      </c>
      <c r="I38" s="40">
        <v>22.861575999999999</v>
      </c>
      <c r="J38" s="40">
        <v>-3.7413835999999999E-2</v>
      </c>
      <c r="K38" s="40">
        <v>13.287972999999999</v>
      </c>
      <c r="L38" s="40">
        <v>37.152839999999998</v>
      </c>
      <c r="M38" s="40">
        <v>8.7275030000000005</v>
      </c>
      <c r="N38" s="40">
        <v>6.9313764999999998</v>
      </c>
      <c r="O38" s="40">
        <v>14.068448999999999</v>
      </c>
      <c r="P38" s="40">
        <v>15.339506</v>
      </c>
      <c r="Q38" s="40">
        <v>6.5733550000000003</v>
      </c>
      <c r="R38" s="40">
        <v>12.557459</v>
      </c>
      <c r="S38" s="40">
        <v>-16.992640999999999</v>
      </c>
      <c r="T38" s="40">
        <v>1.2146592</v>
      </c>
      <c r="U38" s="40">
        <v>0.50114393000000002</v>
      </c>
      <c r="V38" s="155">
        <v>13.440096</v>
      </c>
      <c r="W38" s="24"/>
    </row>
    <row r="39" spans="1:23" x14ac:dyDescent="0.35">
      <c r="A39" s="2">
        <v>42873</v>
      </c>
      <c r="B39" s="40" t="e">
        <v>#N/A</v>
      </c>
      <c r="C39" s="40">
        <v>22.155905000000001</v>
      </c>
      <c r="D39" s="40">
        <v>19.817018999999998</v>
      </c>
      <c r="E39" s="40">
        <v>-3.7071942999999998</v>
      </c>
      <c r="F39" s="40">
        <v>35.388339999999999</v>
      </c>
      <c r="G39" s="40">
        <v>15.245509</v>
      </c>
      <c r="H39" s="40">
        <v>4.5615315000000001</v>
      </c>
      <c r="I39" s="40">
        <v>38.596809999999998</v>
      </c>
      <c r="J39" s="40">
        <v>3.0934333999999999</v>
      </c>
      <c r="K39" s="40">
        <v>35.671616</v>
      </c>
      <c r="L39" s="40">
        <v>24.854445999999999</v>
      </c>
      <c r="M39" s="40">
        <v>27.653420000000001</v>
      </c>
      <c r="N39" s="40">
        <v>14.975918</v>
      </c>
      <c r="O39" s="40">
        <v>20.725977</v>
      </c>
      <c r="P39" s="40">
        <v>33.873283000000001</v>
      </c>
      <c r="Q39" s="40">
        <v>3.8010000000000002</v>
      </c>
      <c r="R39" s="40">
        <v>10.380578</v>
      </c>
      <c r="S39" s="40">
        <v>3.7081122</v>
      </c>
      <c r="T39" s="40">
        <v>10.757959</v>
      </c>
      <c r="U39" s="40">
        <v>-3.1320453000000001</v>
      </c>
      <c r="V39" s="155">
        <v>5.5527806000000002</v>
      </c>
      <c r="W39" s="24"/>
    </row>
    <row r="40" spans="1:23" x14ac:dyDescent="0.35">
      <c r="A40" s="2">
        <v>42902</v>
      </c>
      <c r="B40" s="40">
        <v>11.110234</v>
      </c>
      <c r="C40" s="40">
        <v>23.598182999999999</v>
      </c>
      <c r="D40" s="40">
        <v>18.341887</v>
      </c>
      <c r="E40" s="40">
        <v>-3.7723599999999999</v>
      </c>
      <c r="F40" s="40">
        <v>45.50177</v>
      </c>
      <c r="G40" s="40">
        <v>14.614761</v>
      </c>
      <c r="H40" s="40">
        <v>8.9660049999999991</v>
      </c>
      <c r="I40" s="40">
        <v>30.00778</v>
      </c>
      <c r="J40" s="40">
        <v>14.473284</v>
      </c>
      <c r="K40" s="40">
        <v>34.526359999999997</v>
      </c>
      <c r="L40" s="40">
        <v>28.996670000000002</v>
      </c>
      <c r="M40" s="40">
        <v>19.582820000000002</v>
      </c>
      <c r="N40" s="40">
        <v>39.631607000000002</v>
      </c>
      <c r="O40" s="40">
        <v>19.208504000000001</v>
      </c>
      <c r="P40" s="40">
        <v>33.380794999999999</v>
      </c>
      <c r="Q40" s="40">
        <v>0.41359663000000002</v>
      </c>
      <c r="R40" s="40">
        <v>11.719894</v>
      </c>
      <c r="S40" s="40">
        <v>10.348129</v>
      </c>
      <c r="T40" s="40">
        <v>11.503325999999999</v>
      </c>
      <c r="U40" s="40">
        <v>2.8837204000000001</v>
      </c>
      <c r="V40" s="155">
        <v>7.4514389999999997</v>
      </c>
      <c r="W40" s="24"/>
    </row>
    <row r="41" spans="1:23" x14ac:dyDescent="0.35">
      <c r="A41" s="2">
        <v>42934</v>
      </c>
      <c r="B41" s="40">
        <v>9.2460869999999993</v>
      </c>
      <c r="C41" s="40">
        <v>18.576585999999999</v>
      </c>
      <c r="D41" s="40">
        <v>8.5054759999999998</v>
      </c>
      <c r="E41" s="40">
        <v>-9.5323030000000006</v>
      </c>
      <c r="F41" s="40">
        <v>49.228319999999997</v>
      </c>
      <c r="G41" s="40">
        <v>7.9660177000000001</v>
      </c>
      <c r="H41" s="40">
        <v>-0.37267803999999999</v>
      </c>
      <c r="I41" s="40">
        <v>25.281131999999999</v>
      </c>
      <c r="J41" s="40">
        <v>13.341570000000001</v>
      </c>
      <c r="K41" s="40">
        <v>30.704521</v>
      </c>
      <c r="L41" s="40">
        <v>16.275715000000002</v>
      </c>
      <c r="M41" s="40">
        <v>9.0836524999999995</v>
      </c>
      <c r="N41" s="40">
        <v>50.150931999999997</v>
      </c>
      <c r="O41" s="40">
        <v>17.548286000000001</v>
      </c>
      <c r="P41" s="40">
        <v>32.186126999999999</v>
      </c>
      <c r="Q41" s="40">
        <v>-4.3582497</v>
      </c>
      <c r="R41" s="40">
        <v>5.3297639999999999</v>
      </c>
      <c r="S41" s="40">
        <v>15.221643</v>
      </c>
      <c r="T41" s="40">
        <v>6.6336274</v>
      </c>
      <c r="U41" s="40">
        <v>-3.8747250000000002</v>
      </c>
      <c r="V41" s="155">
        <v>13.774108999999999</v>
      </c>
      <c r="W41" s="24"/>
    </row>
    <row r="42" spans="1:23" x14ac:dyDescent="0.35">
      <c r="A42" s="2">
        <v>42965</v>
      </c>
      <c r="B42" s="40">
        <v>10.025416999999999</v>
      </c>
      <c r="C42" s="40">
        <v>22.691381</v>
      </c>
      <c r="D42" s="40">
        <v>2.5845885000000002</v>
      </c>
      <c r="E42" s="40">
        <v>-10.525471</v>
      </c>
      <c r="F42" s="40">
        <v>38.021614</v>
      </c>
      <c r="G42" s="40">
        <v>4.0303230000000001</v>
      </c>
      <c r="H42" s="40">
        <v>-1.0868788</v>
      </c>
      <c r="I42" s="40">
        <v>20.207750000000001</v>
      </c>
      <c r="J42" s="40">
        <v>8.2483050000000002</v>
      </c>
      <c r="K42" s="40">
        <v>18.41452</v>
      </c>
      <c r="L42" s="40">
        <v>16.131460000000001</v>
      </c>
      <c r="M42" s="40">
        <v>2.8696655999999998</v>
      </c>
      <c r="N42" s="40">
        <v>42.019640000000003</v>
      </c>
      <c r="O42" s="40">
        <v>14.686847</v>
      </c>
      <c r="P42" s="40">
        <v>27.395856999999999</v>
      </c>
      <c r="Q42" s="40">
        <v>-16.151398</v>
      </c>
      <c r="R42" s="40">
        <v>1.2617946</v>
      </c>
      <c r="S42" s="40">
        <v>14.423465999999999</v>
      </c>
      <c r="T42" s="40">
        <v>4.8282385000000003</v>
      </c>
      <c r="U42" s="40">
        <v>-5.2182016000000004</v>
      </c>
      <c r="V42" s="155">
        <v>18.325710000000001</v>
      </c>
      <c r="W42" s="24"/>
    </row>
    <row r="43" spans="1:23" x14ac:dyDescent="0.35">
      <c r="A43" s="2">
        <v>42996</v>
      </c>
      <c r="B43" s="40">
        <v>20.39218</v>
      </c>
      <c r="C43" s="40">
        <v>37.099229999999999</v>
      </c>
      <c r="D43" s="40">
        <v>6.7930219999999997</v>
      </c>
      <c r="E43" s="40">
        <v>1.5625595999999999</v>
      </c>
      <c r="F43" s="40">
        <v>52.395690000000002</v>
      </c>
      <c r="G43" s="40">
        <v>19.570255</v>
      </c>
      <c r="H43" s="40">
        <v>8.0046649999999993</v>
      </c>
      <c r="I43" s="40">
        <v>27.437365</v>
      </c>
      <c r="J43" s="40">
        <v>21.414566000000001</v>
      </c>
      <c r="K43" s="40">
        <v>28.052319000000001</v>
      </c>
      <c r="L43" s="40">
        <v>34.812139999999999</v>
      </c>
      <c r="M43" s="40">
        <v>12.331033</v>
      </c>
      <c r="N43" s="40">
        <v>37.227069999999998</v>
      </c>
      <c r="O43" s="40">
        <v>18.201112999999999</v>
      </c>
      <c r="P43" s="40">
        <v>35.061202999999999</v>
      </c>
      <c r="Q43" s="40">
        <v>-15.373373000000001</v>
      </c>
      <c r="R43" s="40">
        <v>12.922311000000001</v>
      </c>
      <c r="S43" s="40">
        <v>19.618034000000002</v>
      </c>
      <c r="T43" s="40">
        <v>9.6230030000000006</v>
      </c>
      <c r="U43" s="40">
        <v>8.7719799999999992</v>
      </c>
      <c r="V43" s="155">
        <v>24.853276999999999</v>
      </c>
      <c r="W43" s="24"/>
    </row>
    <row r="44" spans="1:23" x14ac:dyDescent="0.35">
      <c r="A44" s="2">
        <v>43026</v>
      </c>
      <c r="B44" s="40">
        <v>20.413457999999999</v>
      </c>
      <c r="C44" s="40">
        <v>36.511253000000004</v>
      </c>
      <c r="D44" s="40">
        <v>1.8322349</v>
      </c>
      <c r="E44" s="40">
        <v>2.6384473000000002</v>
      </c>
      <c r="F44" s="40">
        <v>56.464016000000001</v>
      </c>
      <c r="G44" s="40">
        <v>29.885435000000001</v>
      </c>
      <c r="H44" s="40">
        <v>6.2981844000000002</v>
      </c>
      <c r="I44" s="40">
        <v>22.885693</v>
      </c>
      <c r="J44" s="40">
        <v>3.0046344</v>
      </c>
      <c r="K44" s="40">
        <v>29.677223000000001</v>
      </c>
      <c r="L44" s="40">
        <v>16.713106</v>
      </c>
      <c r="M44" s="40">
        <v>16.608274000000002</v>
      </c>
      <c r="N44" s="40">
        <v>29.450548000000001</v>
      </c>
      <c r="O44" s="40">
        <v>17.210781000000001</v>
      </c>
      <c r="P44" s="40">
        <v>38.973534000000001</v>
      </c>
      <c r="Q44" s="40">
        <v>-18.843508</v>
      </c>
      <c r="R44" s="40">
        <v>15.565740999999999</v>
      </c>
      <c r="S44" s="40">
        <v>14.74682</v>
      </c>
      <c r="T44" s="40">
        <v>13.454628</v>
      </c>
      <c r="U44" s="40">
        <v>7.1174619999999997</v>
      </c>
      <c r="V44" s="155">
        <v>26.669347999999999</v>
      </c>
      <c r="W44" s="24"/>
    </row>
    <row r="45" spans="1:23" x14ac:dyDescent="0.35">
      <c r="A45" s="2">
        <v>43056</v>
      </c>
      <c r="B45" s="40">
        <v>22.043096999999999</v>
      </c>
      <c r="C45" s="40">
        <v>36.412979999999997</v>
      </c>
      <c r="D45" s="40">
        <v>14.546239999999999</v>
      </c>
      <c r="E45" s="40">
        <v>11.713611999999999</v>
      </c>
      <c r="F45" s="40">
        <v>63.095115999999997</v>
      </c>
      <c r="G45" s="40">
        <v>29.739930000000001</v>
      </c>
      <c r="H45" s="40">
        <v>14.442897</v>
      </c>
      <c r="I45" s="40">
        <v>28.714953999999999</v>
      </c>
      <c r="J45" s="40">
        <v>15.465069</v>
      </c>
      <c r="K45" s="40">
        <v>47.245800000000003</v>
      </c>
      <c r="L45" s="40">
        <v>25.612269999999999</v>
      </c>
      <c r="M45" s="40">
        <v>26.452303000000001</v>
      </c>
      <c r="N45" s="40">
        <v>18.381357000000001</v>
      </c>
      <c r="O45" s="40">
        <v>33.088090000000001</v>
      </c>
      <c r="P45" s="40">
        <v>50.907960000000003</v>
      </c>
      <c r="Q45" s="40">
        <v>-22.451734999999999</v>
      </c>
      <c r="R45" s="40">
        <v>15.980601</v>
      </c>
      <c r="S45" s="40">
        <v>24.003457999999998</v>
      </c>
      <c r="T45" s="40">
        <v>11.400986</v>
      </c>
      <c r="U45" s="40">
        <v>23.917591000000002</v>
      </c>
      <c r="V45" s="155">
        <v>9.3214749999999995</v>
      </c>
      <c r="W45" s="24"/>
    </row>
    <row r="46" spans="1:23" x14ac:dyDescent="0.35">
      <c r="A46" s="2">
        <v>43087</v>
      </c>
      <c r="B46" s="40">
        <v>22.881699000000001</v>
      </c>
      <c r="C46" s="40">
        <v>41.060402000000003</v>
      </c>
      <c r="D46" s="40">
        <v>16.542625000000001</v>
      </c>
      <c r="E46" s="40">
        <v>20.411169999999998</v>
      </c>
      <c r="F46" s="40">
        <v>52.353583999999998</v>
      </c>
      <c r="G46" s="40">
        <v>22.403919999999999</v>
      </c>
      <c r="H46" s="40">
        <v>20.551289000000001</v>
      </c>
      <c r="I46" s="40">
        <v>22.592617000000001</v>
      </c>
      <c r="J46" s="40">
        <v>16.239023</v>
      </c>
      <c r="K46" s="40">
        <v>40.887405000000001</v>
      </c>
      <c r="L46" s="40">
        <v>27.022970000000001</v>
      </c>
      <c r="M46" s="40">
        <v>32.43618</v>
      </c>
      <c r="N46" s="40">
        <v>31.388795999999999</v>
      </c>
      <c r="O46" s="40">
        <v>33.795822000000001</v>
      </c>
      <c r="P46" s="40">
        <v>52.532195999999999</v>
      </c>
      <c r="Q46" s="40">
        <v>-13.191223000000001</v>
      </c>
      <c r="R46" s="40">
        <v>13.215017</v>
      </c>
      <c r="S46" s="40">
        <v>30.591142999999999</v>
      </c>
      <c r="T46" s="40">
        <v>1.4417648000000001</v>
      </c>
      <c r="U46" s="40">
        <v>33.57817</v>
      </c>
      <c r="V46" s="155">
        <v>3.3033133000000001</v>
      </c>
      <c r="W46" s="24"/>
    </row>
    <row r="47" spans="1:23" x14ac:dyDescent="0.35">
      <c r="A47" s="2">
        <v>43118</v>
      </c>
      <c r="B47" s="40">
        <v>38.240242000000002</v>
      </c>
      <c r="C47" s="40">
        <v>45.227276000000003</v>
      </c>
      <c r="D47" s="40">
        <v>23.538076</v>
      </c>
      <c r="E47" s="40">
        <v>16.693232999999999</v>
      </c>
      <c r="F47" s="40">
        <v>56.34836</v>
      </c>
      <c r="G47" s="40">
        <v>32.371234999999999</v>
      </c>
      <c r="H47" s="40">
        <v>27.325797999999999</v>
      </c>
      <c r="I47" s="40">
        <v>29.583036</v>
      </c>
      <c r="J47" s="40">
        <v>28.062809000000001</v>
      </c>
      <c r="K47" s="40">
        <v>41.483963000000003</v>
      </c>
      <c r="L47" s="40">
        <v>25.642527000000001</v>
      </c>
      <c r="M47" s="40">
        <v>34.221924000000001</v>
      </c>
      <c r="N47" s="40">
        <v>38.663196999999997</v>
      </c>
      <c r="O47" s="40">
        <v>35.580325999999999</v>
      </c>
      <c r="P47" s="40">
        <v>58.913634999999999</v>
      </c>
      <c r="Q47" s="40">
        <v>-10.290056</v>
      </c>
      <c r="R47" s="40">
        <v>16.561053999999999</v>
      </c>
      <c r="S47" s="40">
        <v>42.675960000000003</v>
      </c>
      <c r="T47" s="40">
        <v>5.5882690000000004</v>
      </c>
      <c r="U47" s="40">
        <v>41.027070000000002</v>
      </c>
      <c r="V47" s="155">
        <v>16.381799999999998</v>
      </c>
      <c r="W47" s="24"/>
    </row>
    <row r="48" spans="1:23" x14ac:dyDescent="0.35">
      <c r="A48" s="2">
        <v>43147</v>
      </c>
      <c r="B48" s="40">
        <v>28.22832</v>
      </c>
      <c r="C48" s="40">
        <v>34.755313999999998</v>
      </c>
      <c r="D48" s="40">
        <v>23.031663999999999</v>
      </c>
      <c r="E48" s="40">
        <v>10.028373999999999</v>
      </c>
      <c r="F48" s="40">
        <v>31.762087000000001</v>
      </c>
      <c r="G48" s="40">
        <v>21.048843000000002</v>
      </c>
      <c r="H48" s="40">
        <v>27.360308</v>
      </c>
      <c r="I48" s="40">
        <v>18.648434000000002</v>
      </c>
      <c r="J48" s="40">
        <v>15.764213</v>
      </c>
      <c r="K48" s="40">
        <v>34.140278000000002</v>
      </c>
      <c r="L48" s="40">
        <v>17.863035</v>
      </c>
      <c r="M48" s="40">
        <v>33.206200000000003</v>
      </c>
      <c r="N48" s="40">
        <v>46.143783999999997</v>
      </c>
      <c r="O48" s="40">
        <v>22.163307</v>
      </c>
      <c r="P48" s="40">
        <v>47.075797999999999</v>
      </c>
      <c r="Q48" s="40">
        <v>-13.563800000000001</v>
      </c>
      <c r="R48" s="40">
        <v>14.58329</v>
      </c>
      <c r="S48" s="40">
        <v>31.068539000000001</v>
      </c>
      <c r="T48" s="40">
        <v>1.7984747999999999</v>
      </c>
      <c r="U48" s="40">
        <v>37.392879999999998</v>
      </c>
      <c r="V48" s="155">
        <v>11.734294999999999</v>
      </c>
      <c r="W48" s="24"/>
    </row>
    <row r="49" spans="1:23" x14ac:dyDescent="0.35">
      <c r="A49" s="2">
        <v>43175</v>
      </c>
      <c r="B49" s="40">
        <v>24.673318999999999</v>
      </c>
      <c r="C49" s="40">
        <v>27.507591000000001</v>
      </c>
      <c r="D49" s="40">
        <v>8.8055610000000009</v>
      </c>
      <c r="E49" s="40">
        <v>3.2700895999999999</v>
      </c>
      <c r="F49" s="40">
        <v>16.816282000000001</v>
      </c>
      <c r="G49" s="40">
        <v>27.032364000000001</v>
      </c>
      <c r="H49" s="40">
        <v>21.729492</v>
      </c>
      <c r="I49" s="40">
        <v>18.891929999999999</v>
      </c>
      <c r="J49" s="40">
        <v>4.4212819999999997</v>
      </c>
      <c r="K49" s="40">
        <v>28.447842000000001</v>
      </c>
      <c r="L49" s="40">
        <v>20.123137</v>
      </c>
      <c r="M49" s="40">
        <v>20.863092000000002</v>
      </c>
      <c r="N49" s="40">
        <v>33.150419999999997</v>
      </c>
      <c r="O49" s="40">
        <v>9.7152119999999993</v>
      </c>
      <c r="P49" s="40">
        <v>46.456409999999998</v>
      </c>
      <c r="Q49" s="40">
        <v>-10.681671</v>
      </c>
      <c r="R49" s="40">
        <v>16.358494</v>
      </c>
      <c r="S49" s="40">
        <v>19.923866</v>
      </c>
      <c r="T49" s="40">
        <v>2.6818156000000002</v>
      </c>
      <c r="U49" s="40">
        <v>41.895355000000002</v>
      </c>
      <c r="V49" s="155">
        <v>18.874680999999999</v>
      </c>
      <c r="W49" s="24"/>
    </row>
    <row r="50" spans="1:23" x14ac:dyDescent="0.35">
      <c r="A50" s="2">
        <v>43208</v>
      </c>
      <c r="B50" s="40">
        <v>18.583130000000001</v>
      </c>
      <c r="C50" s="40">
        <v>25.318384000000002</v>
      </c>
      <c r="D50" s="40">
        <v>8.1032989999999998</v>
      </c>
      <c r="E50" s="40">
        <v>-4.7087849999999998</v>
      </c>
      <c r="F50" s="40">
        <v>22.705496</v>
      </c>
      <c r="G50" s="40">
        <v>36.819479999999999</v>
      </c>
      <c r="H50" s="40">
        <v>25.455475</v>
      </c>
      <c r="I50" s="40">
        <v>18.323457999999999</v>
      </c>
      <c r="J50" s="40">
        <v>7.2161200000000001</v>
      </c>
      <c r="K50" s="40">
        <v>31.120322999999999</v>
      </c>
      <c r="L50" s="40">
        <v>19.854676999999999</v>
      </c>
      <c r="M50" s="40">
        <v>24.202013000000001</v>
      </c>
      <c r="N50" s="40">
        <v>37.337482000000001</v>
      </c>
      <c r="O50" s="40">
        <v>13.279676</v>
      </c>
      <c r="P50" s="40">
        <v>38.708176000000002</v>
      </c>
      <c r="Q50" s="40">
        <v>-11.376887</v>
      </c>
      <c r="R50" s="40">
        <v>12.521433999999999</v>
      </c>
      <c r="S50" s="40">
        <v>13.362812999999999</v>
      </c>
      <c r="T50" s="40">
        <v>1.3255835</v>
      </c>
      <c r="U50" s="40">
        <v>40.937733000000001</v>
      </c>
      <c r="V50" s="155">
        <v>26.230049999999999</v>
      </c>
      <c r="W50" s="24"/>
    </row>
    <row r="51" spans="1:23" x14ac:dyDescent="0.35">
      <c r="A51" s="2">
        <v>43238</v>
      </c>
      <c r="B51" s="40">
        <v>23.144722000000002</v>
      </c>
      <c r="C51" s="40">
        <v>24.288702000000001</v>
      </c>
      <c r="D51" s="40">
        <v>-7.7500105000000001</v>
      </c>
      <c r="E51" s="40">
        <v>-7.8206959999999999</v>
      </c>
      <c r="F51" s="40">
        <v>1.9570708000000001</v>
      </c>
      <c r="G51" s="40">
        <v>28.902996000000002</v>
      </c>
      <c r="H51" s="40">
        <v>14.4697075</v>
      </c>
      <c r="I51" s="40">
        <v>10.704147000000001</v>
      </c>
      <c r="J51" s="40">
        <v>-8.2862015000000007</v>
      </c>
      <c r="K51" s="40">
        <v>14.816594</v>
      </c>
      <c r="L51" s="40">
        <v>19.192183</v>
      </c>
      <c r="M51" s="40">
        <v>9.7255339999999997</v>
      </c>
      <c r="N51" s="40">
        <v>0.42792560000000002</v>
      </c>
      <c r="O51" s="40">
        <v>4.0181994000000003</v>
      </c>
      <c r="P51" s="40">
        <v>33.966614</v>
      </c>
      <c r="Q51" s="40">
        <v>-8.3434159999999995</v>
      </c>
      <c r="R51" s="40">
        <v>13.473881</v>
      </c>
      <c r="S51" s="40">
        <v>-12.008029000000001</v>
      </c>
      <c r="T51" s="40">
        <v>-4.2614340000000004</v>
      </c>
      <c r="U51" s="40">
        <v>27.820813999999999</v>
      </c>
      <c r="V51" s="155">
        <v>23.277069999999998</v>
      </c>
      <c r="W51" s="24"/>
    </row>
    <row r="52" spans="1:23" x14ac:dyDescent="0.35">
      <c r="A52" s="2">
        <v>43269</v>
      </c>
      <c r="B52" s="40">
        <v>12.143302</v>
      </c>
      <c r="C52" s="40">
        <v>15.289629</v>
      </c>
      <c r="D52" s="40">
        <v>-9.6791859999999996</v>
      </c>
      <c r="E52" s="40">
        <v>-16.286176999999999</v>
      </c>
      <c r="F52" s="40">
        <v>-5.0759259999999999</v>
      </c>
      <c r="G52" s="40">
        <v>26.663626000000001</v>
      </c>
      <c r="H52" s="40">
        <v>5.260694</v>
      </c>
      <c r="I52" s="40">
        <v>7.9824685999999998</v>
      </c>
      <c r="J52" s="40">
        <v>-15.280455999999999</v>
      </c>
      <c r="K52" s="40">
        <v>6.2023044000000001</v>
      </c>
      <c r="L52" s="40">
        <v>-2.7668059999999999</v>
      </c>
      <c r="M52" s="40">
        <v>1.7221808000000001</v>
      </c>
      <c r="N52" s="40">
        <v>-4.4637623</v>
      </c>
      <c r="O52" s="40">
        <v>3.9662004</v>
      </c>
      <c r="P52" s="40">
        <v>31.021892999999999</v>
      </c>
      <c r="Q52" s="40">
        <v>0.28274060000000001</v>
      </c>
      <c r="R52" s="40">
        <v>6.5394759999999996</v>
      </c>
      <c r="S52" s="40">
        <v>-27.621572</v>
      </c>
      <c r="T52" s="40">
        <v>-3.319645</v>
      </c>
      <c r="U52" s="40">
        <v>13.3665085</v>
      </c>
      <c r="V52" s="155">
        <v>27.266729999999999</v>
      </c>
      <c r="W52" s="24"/>
    </row>
    <row r="53" spans="1:23" x14ac:dyDescent="0.35">
      <c r="A53" s="2">
        <v>43299</v>
      </c>
      <c r="B53" s="40">
        <v>-4.1874112999999999</v>
      </c>
      <c r="C53" s="40">
        <v>5.5136440000000002</v>
      </c>
      <c r="D53" s="40">
        <v>-11.680317000000001</v>
      </c>
      <c r="E53" s="40">
        <v>-13.393986</v>
      </c>
      <c r="F53" s="40">
        <v>-10.429394</v>
      </c>
      <c r="G53" s="40">
        <v>16.237663000000001</v>
      </c>
      <c r="H53" s="40">
        <v>8.6071380000000008</v>
      </c>
      <c r="I53" s="40">
        <v>3.0276418</v>
      </c>
      <c r="J53" s="40">
        <v>-9.2987900000000003</v>
      </c>
      <c r="K53" s="40">
        <v>-3.2539189999999998</v>
      </c>
      <c r="L53" s="40">
        <v>-4.8456372999999999</v>
      </c>
      <c r="M53" s="40">
        <v>1.3425231</v>
      </c>
      <c r="N53" s="40">
        <v>-10.472977</v>
      </c>
      <c r="O53" s="40">
        <v>2.1540879999999998</v>
      </c>
      <c r="P53" s="40">
        <v>13.022137000000001</v>
      </c>
      <c r="Q53" s="40">
        <v>1.7144918</v>
      </c>
      <c r="R53" s="40">
        <v>4.0934920000000004</v>
      </c>
      <c r="S53" s="40">
        <v>-34.93685</v>
      </c>
      <c r="T53" s="40">
        <v>-7.5783253000000004</v>
      </c>
      <c r="U53" s="40">
        <v>11.663675</v>
      </c>
      <c r="V53" s="155">
        <v>22.335756</v>
      </c>
      <c r="W53" s="24"/>
    </row>
    <row r="54" spans="1:23" x14ac:dyDescent="0.35">
      <c r="A54" s="2">
        <v>43329</v>
      </c>
      <c r="B54" s="40">
        <v>-12.518507</v>
      </c>
      <c r="C54" s="40">
        <v>-2.0600260000000001</v>
      </c>
      <c r="D54" s="40">
        <v>-13.137513</v>
      </c>
      <c r="E54" s="40">
        <v>-9.5568480000000005</v>
      </c>
      <c r="F54" s="40">
        <v>-7.0154610000000002</v>
      </c>
      <c r="G54" s="40">
        <v>6.0463550000000001</v>
      </c>
      <c r="H54" s="40">
        <v>9.4573739999999997</v>
      </c>
      <c r="I54" s="40">
        <v>4.1127799999999999</v>
      </c>
      <c r="J54" s="40">
        <v>-9.334028</v>
      </c>
      <c r="K54" s="40">
        <v>-0.31349062999999999</v>
      </c>
      <c r="L54" s="40">
        <v>-10.567152</v>
      </c>
      <c r="M54" s="40">
        <v>-9.2390779999999992</v>
      </c>
      <c r="N54" s="40">
        <v>-15.447044</v>
      </c>
      <c r="O54" s="40">
        <v>6.3039063999999998</v>
      </c>
      <c r="P54" s="40">
        <v>2.112031</v>
      </c>
      <c r="Q54" s="40">
        <v>7.4646590000000002</v>
      </c>
      <c r="R54" s="40">
        <v>7.7179073999999996</v>
      </c>
      <c r="S54" s="40">
        <v>-49.546210000000002</v>
      </c>
      <c r="T54" s="40">
        <v>-5.1742850000000002</v>
      </c>
      <c r="U54" s="40">
        <v>17.444873999999999</v>
      </c>
      <c r="V54" s="155">
        <v>18.415403000000001</v>
      </c>
      <c r="W54" s="24"/>
    </row>
    <row r="55" spans="1:23" x14ac:dyDescent="0.35">
      <c r="A55" s="2">
        <v>43361</v>
      </c>
      <c r="B55" s="40">
        <v>-17.021066999999999</v>
      </c>
      <c r="C55" s="40">
        <v>-5.5247840000000004</v>
      </c>
      <c r="D55" s="40">
        <v>-14.561921</v>
      </c>
      <c r="E55" s="40">
        <v>-17.632436999999999</v>
      </c>
      <c r="F55" s="40">
        <v>-12.040001</v>
      </c>
      <c r="G55" s="40">
        <v>-3.7693918000000002</v>
      </c>
      <c r="H55" s="40">
        <v>5.2587630000000001</v>
      </c>
      <c r="I55" s="40">
        <v>1.2650371</v>
      </c>
      <c r="J55" s="40">
        <v>-6.2322496999999997</v>
      </c>
      <c r="K55" s="40">
        <v>-1.8494486999999999</v>
      </c>
      <c r="L55" s="40">
        <v>-22.534369999999999</v>
      </c>
      <c r="M55" s="40">
        <v>-11.939549</v>
      </c>
      <c r="N55" s="40">
        <v>-10.113203</v>
      </c>
      <c r="O55" s="40">
        <v>-1.9069493</v>
      </c>
      <c r="P55" s="40">
        <v>-8.0655389999999993</v>
      </c>
      <c r="Q55" s="40">
        <v>16.504728</v>
      </c>
      <c r="R55" s="40">
        <v>4.4437885000000001</v>
      </c>
      <c r="S55" s="40">
        <v>-49.681843000000001</v>
      </c>
      <c r="T55" s="40">
        <v>-9.6543130000000001</v>
      </c>
      <c r="U55" s="40">
        <v>12.901581</v>
      </c>
      <c r="V55" s="155">
        <v>9.9102969999999999</v>
      </c>
      <c r="W55" s="24"/>
    </row>
    <row r="56" spans="1:23" x14ac:dyDescent="0.35">
      <c r="A56" s="2">
        <v>43391</v>
      </c>
      <c r="B56" s="40">
        <v>-24.715154999999999</v>
      </c>
      <c r="C56" s="40">
        <v>-14.943248000000001</v>
      </c>
      <c r="D56" s="40">
        <v>-17.937415999999999</v>
      </c>
      <c r="E56" s="40">
        <v>-21.236801</v>
      </c>
      <c r="F56" s="40">
        <v>-16.675536999999998</v>
      </c>
      <c r="G56" s="40">
        <v>-10.418533999999999</v>
      </c>
      <c r="H56" s="40">
        <v>1.1614561000000001</v>
      </c>
      <c r="I56" s="40">
        <v>-9.7078559999999996</v>
      </c>
      <c r="J56" s="40">
        <v>-6.9658040000000003</v>
      </c>
      <c r="K56" s="40">
        <v>-13.940573000000001</v>
      </c>
      <c r="L56" s="40">
        <v>-7.1779130000000002</v>
      </c>
      <c r="M56" s="40">
        <v>-18.731285</v>
      </c>
      <c r="N56" s="40">
        <v>-18.892664</v>
      </c>
      <c r="O56" s="40">
        <v>-12.849581000000001</v>
      </c>
      <c r="P56" s="40">
        <v>-18.849008999999999</v>
      </c>
      <c r="Q56" s="40">
        <v>24.319136</v>
      </c>
      <c r="R56" s="40">
        <v>-1.4418483</v>
      </c>
      <c r="S56" s="40">
        <v>-38.723300000000002</v>
      </c>
      <c r="T56" s="40">
        <v>-11.701298</v>
      </c>
      <c r="U56" s="40">
        <v>1.5697836999999999</v>
      </c>
      <c r="V56" s="155">
        <v>15.272558</v>
      </c>
      <c r="W56" s="24"/>
    </row>
    <row r="57" spans="1:23" x14ac:dyDescent="0.35">
      <c r="A57" s="2">
        <v>43420</v>
      </c>
      <c r="B57" s="40">
        <v>-21.136486000000001</v>
      </c>
      <c r="C57" s="40">
        <v>-8.6274149999999992</v>
      </c>
      <c r="D57" s="40">
        <v>-6.7971887999999998</v>
      </c>
      <c r="E57" s="40">
        <v>-16.738855000000001</v>
      </c>
      <c r="F57" s="40">
        <v>-13.818693</v>
      </c>
      <c r="G57" s="40">
        <v>-7.9673767</v>
      </c>
      <c r="H57" s="40">
        <v>1.7191171999999999</v>
      </c>
      <c r="I57" s="40">
        <v>-9.021115</v>
      </c>
      <c r="J57" s="40">
        <v>-14.934343</v>
      </c>
      <c r="K57" s="40">
        <v>-18.276423000000001</v>
      </c>
      <c r="L57" s="40">
        <v>5.8996915999999997</v>
      </c>
      <c r="M57" s="40">
        <v>-9.8344749999999994</v>
      </c>
      <c r="N57" s="40">
        <v>-10.108024</v>
      </c>
      <c r="O57" s="40">
        <v>-5.5945099999999996</v>
      </c>
      <c r="P57" s="40">
        <v>-14.941102000000001</v>
      </c>
      <c r="Q57" s="40">
        <v>46.684967</v>
      </c>
      <c r="R57" s="40">
        <v>-3.3259451000000002</v>
      </c>
      <c r="S57" s="40">
        <v>-34.296309999999998</v>
      </c>
      <c r="T57" s="40">
        <v>-5.040222</v>
      </c>
      <c r="U57" s="40">
        <v>-8.5290789999999994</v>
      </c>
      <c r="V57" s="155">
        <v>16.106033</v>
      </c>
      <c r="W57" s="24"/>
    </row>
    <row r="58" spans="1:23" x14ac:dyDescent="0.35">
      <c r="A58" s="2">
        <v>43452</v>
      </c>
      <c r="B58" s="40">
        <v>-21.969860000000001</v>
      </c>
      <c r="C58" s="40">
        <v>-18.254072000000001</v>
      </c>
      <c r="D58" s="40">
        <v>-7.6039076000000003</v>
      </c>
      <c r="E58" s="40">
        <v>-16.558546</v>
      </c>
      <c r="F58" s="40">
        <v>-10.406256000000001</v>
      </c>
      <c r="G58" s="40">
        <v>-6.0096319999999999</v>
      </c>
      <c r="H58" s="40">
        <v>-7.0359350000000003</v>
      </c>
      <c r="I58" s="40">
        <v>-8.3664529999999999</v>
      </c>
      <c r="J58" s="40">
        <v>-18.661463000000001</v>
      </c>
      <c r="K58" s="40">
        <v>-19.236474999999999</v>
      </c>
      <c r="L58" s="40">
        <v>0.12702942</v>
      </c>
      <c r="M58" s="40">
        <v>-21.545584000000002</v>
      </c>
      <c r="N58" s="40">
        <v>-26.012629</v>
      </c>
      <c r="O58" s="40">
        <v>-5.2940725999999998</v>
      </c>
      <c r="P58" s="40">
        <v>-16.887737000000001</v>
      </c>
      <c r="Q58" s="40">
        <v>26.753378000000001</v>
      </c>
      <c r="R58" s="40">
        <v>-8.1521869999999996</v>
      </c>
      <c r="S58" s="40">
        <v>-38.291550000000001</v>
      </c>
      <c r="T58" s="40">
        <v>-12.246352</v>
      </c>
      <c r="U58" s="40">
        <v>-9.57334</v>
      </c>
      <c r="V58" s="155">
        <v>17.540073</v>
      </c>
      <c r="W58" s="24"/>
    </row>
    <row r="59" spans="1:23" x14ac:dyDescent="0.35">
      <c r="A59" s="2">
        <v>43483</v>
      </c>
      <c r="B59" s="40">
        <v>-25.682682</v>
      </c>
      <c r="C59" s="40">
        <v>-15.610111</v>
      </c>
      <c r="D59" s="40">
        <v>-6.7582550000000001</v>
      </c>
      <c r="E59" s="40">
        <v>-10.201656</v>
      </c>
      <c r="F59" s="40">
        <v>-16.983635</v>
      </c>
      <c r="G59" s="40">
        <v>-14.603382</v>
      </c>
      <c r="H59" s="40">
        <v>-8.4613499999999995</v>
      </c>
      <c r="I59" s="40">
        <v>-12.840623000000001</v>
      </c>
      <c r="J59" s="40">
        <v>-12.434405</v>
      </c>
      <c r="K59" s="40">
        <v>-19.419039000000001</v>
      </c>
      <c r="L59" s="40">
        <v>1.3889909</v>
      </c>
      <c r="M59" s="40">
        <v>-21.442253000000001</v>
      </c>
      <c r="N59" s="40">
        <v>-33.246029999999998</v>
      </c>
      <c r="O59" s="40">
        <v>-10.450625</v>
      </c>
      <c r="P59" s="40">
        <v>-20.085906999999999</v>
      </c>
      <c r="Q59" s="40">
        <v>21.266472</v>
      </c>
      <c r="R59" s="40">
        <v>-12.947141999999999</v>
      </c>
      <c r="S59" s="40">
        <v>-37.549346999999997</v>
      </c>
      <c r="T59" s="40">
        <v>-16.660744000000001</v>
      </c>
      <c r="U59" s="40">
        <v>-16.731209</v>
      </c>
      <c r="V59" s="155">
        <v>19.892609</v>
      </c>
      <c r="W59" s="24"/>
    </row>
    <row r="60" spans="1:23" x14ac:dyDescent="0.35">
      <c r="A60" s="2">
        <v>43511</v>
      </c>
      <c r="B60" s="40">
        <v>-18.889123999999999</v>
      </c>
      <c r="C60" s="40">
        <v>-15.468209999999999</v>
      </c>
      <c r="D60" s="40">
        <v>-11.430788</v>
      </c>
      <c r="E60" s="40">
        <v>-7.5146856</v>
      </c>
      <c r="F60" s="40">
        <v>-17.099672000000002</v>
      </c>
      <c r="G60" s="40">
        <v>-9.1277069999999991</v>
      </c>
      <c r="H60" s="40">
        <v>-10.546589000000001</v>
      </c>
      <c r="I60" s="40">
        <v>-10.245073</v>
      </c>
      <c r="J60" s="40">
        <v>-14.187426</v>
      </c>
      <c r="K60" s="40">
        <v>-14.911251999999999</v>
      </c>
      <c r="L60" s="40">
        <v>0.76962710000000001</v>
      </c>
      <c r="M60" s="40">
        <v>-27.227841999999999</v>
      </c>
      <c r="N60" s="40">
        <v>-30.576729</v>
      </c>
      <c r="O60" s="40">
        <v>-10.343284000000001</v>
      </c>
      <c r="P60" s="40">
        <v>-16.652816999999999</v>
      </c>
      <c r="Q60" s="40">
        <v>14.401173999999999</v>
      </c>
      <c r="R60" s="40">
        <v>-9.4236140000000006</v>
      </c>
      <c r="S60" s="40">
        <v>-35.297029999999999</v>
      </c>
      <c r="T60" s="40">
        <v>-14.500439</v>
      </c>
      <c r="U60" s="40">
        <v>-12.165016</v>
      </c>
      <c r="V60" s="155">
        <v>20.693075</v>
      </c>
      <c r="W60" s="24"/>
    </row>
    <row r="61" spans="1:23" x14ac:dyDescent="0.35">
      <c r="A61" s="2">
        <v>43542</v>
      </c>
      <c r="B61" s="40">
        <v>-7.4678899999999997</v>
      </c>
      <c r="C61" s="40">
        <v>-13.057047000000001</v>
      </c>
      <c r="D61" s="40">
        <v>-2.2922516000000002</v>
      </c>
      <c r="E61" s="40">
        <v>-3.0795574000000001</v>
      </c>
      <c r="F61" s="40">
        <v>-5.8059989999999999</v>
      </c>
      <c r="G61" s="40">
        <v>-3.3069193000000001</v>
      </c>
      <c r="H61" s="40">
        <v>-8.5893750000000004</v>
      </c>
      <c r="I61" s="40">
        <v>-8.3755790000000001</v>
      </c>
      <c r="J61" s="40">
        <v>-11.023903000000001</v>
      </c>
      <c r="K61" s="40">
        <v>-17.368866000000001</v>
      </c>
      <c r="L61" s="40">
        <v>2.6870012000000001</v>
      </c>
      <c r="M61" s="40">
        <v>-21.517187</v>
      </c>
      <c r="N61" s="40">
        <v>-16.841251</v>
      </c>
      <c r="O61" s="40">
        <v>5.501449</v>
      </c>
      <c r="P61" s="40">
        <v>-12.47574</v>
      </c>
      <c r="Q61" s="40">
        <v>15.950787</v>
      </c>
      <c r="R61" s="40">
        <v>-10.718309</v>
      </c>
      <c r="S61" s="40">
        <v>-33.609200000000001</v>
      </c>
      <c r="T61" s="40">
        <v>-8.4424379999999992</v>
      </c>
      <c r="U61" s="40">
        <v>-9.2814150000000009</v>
      </c>
      <c r="V61" s="155">
        <v>16.229735999999999</v>
      </c>
      <c r="W61" s="24"/>
    </row>
    <row r="62" spans="1:23" x14ac:dyDescent="0.35">
      <c r="A62" s="2">
        <v>43573</v>
      </c>
      <c r="B62" s="40">
        <v>3.7062764000000001</v>
      </c>
      <c r="C62" s="40">
        <v>-17.988507999999999</v>
      </c>
      <c r="D62" s="40">
        <v>-1.4770209999999999</v>
      </c>
      <c r="E62" s="40">
        <v>2.3221729999999998</v>
      </c>
      <c r="F62" s="40">
        <v>-9.5991549999999997</v>
      </c>
      <c r="G62" s="40">
        <v>-12.512684</v>
      </c>
      <c r="H62" s="40">
        <v>-16.623926000000001</v>
      </c>
      <c r="I62" s="40">
        <v>-1.352644</v>
      </c>
      <c r="J62" s="40">
        <v>-10.953533</v>
      </c>
      <c r="K62" s="40">
        <v>-15.408277500000001</v>
      </c>
      <c r="L62" s="40">
        <v>-4.7817825999999997</v>
      </c>
      <c r="M62" s="40">
        <v>-13.660359</v>
      </c>
      <c r="N62" s="40">
        <v>-17.695640000000001</v>
      </c>
      <c r="O62" s="40">
        <v>3.4927367999999999</v>
      </c>
      <c r="P62" s="40">
        <v>-2.8486251999999999</v>
      </c>
      <c r="Q62" s="40">
        <v>16.776524999999999</v>
      </c>
      <c r="R62" s="40">
        <v>-5.4505644000000002</v>
      </c>
      <c r="S62" s="40">
        <v>-38.789867000000001</v>
      </c>
      <c r="T62" s="40">
        <v>-2.6618183000000002</v>
      </c>
      <c r="U62" s="40">
        <v>-12.82469</v>
      </c>
      <c r="V62" s="155">
        <v>15.723979999999999</v>
      </c>
      <c r="W62" s="24"/>
    </row>
    <row r="63" spans="1:23" x14ac:dyDescent="0.35">
      <c r="A63" s="2">
        <v>43602</v>
      </c>
      <c r="B63" s="40">
        <v>-11.751211</v>
      </c>
      <c r="C63" s="40">
        <v>-21.994949999999999</v>
      </c>
      <c r="D63" s="40">
        <v>-6.4259469999999999</v>
      </c>
      <c r="E63" s="40">
        <v>-1.3896942000000001</v>
      </c>
      <c r="F63" s="40">
        <v>-8.8388980000000004</v>
      </c>
      <c r="G63" s="40">
        <v>-15.513581</v>
      </c>
      <c r="H63" s="40">
        <v>-14.828324</v>
      </c>
      <c r="I63" s="40">
        <v>-7.2423754000000002</v>
      </c>
      <c r="J63" s="40">
        <v>-2.3574948</v>
      </c>
      <c r="K63" s="40">
        <v>-23.37923</v>
      </c>
      <c r="L63" s="40">
        <v>-2.3449957000000001</v>
      </c>
      <c r="M63" s="40">
        <v>-14.782648999999999</v>
      </c>
      <c r="N63" s="40">
        <v>-15.767455</v>
      </c>
      <c r="O63" s="40">
        <v>2.0068644999999998</v>
      </c>
      <c r="P63" s="40">
        <v>-15.793127</v>
      </c>
      <c r="Q63" s="40">
        <v>11.094295499999999</v>
      </c>
      <c r="R63" s="40">
        <v>-8.1709680000000002</v>
      </c>
      <c r="S63" s="40">
        <v>-35.536470000000001</v>
      </c>
      <c r="T63" s="40">
        <v>-9.7868980000000008</v>
      </c>
      <c r="U63" s="40">
        <v>-5.0258455</v>
      </c>
      <c r="V63" s="155">
        <v>10.970485999999999</v>
      </c>
      <c r="W63" s="24"/>
    </row>
    <row r="64" spans="1:23" x14ac:dyDescent="0.35">
      <c r="A64" s="2">
        <v>43634</v>
      </c>
      <c r="B64" s="40">
        <v>-4.4620632999999996</v>
      </c>
      <c r="C64" s="40">
        <v>-16.390084999999999</v>
      </c>
      <c r="D64" s="40">
        <v>9.1560839999999999</v>
      </c>
      <c r="E64" s="40">
        <v>14.359866999999999</v>
      </c>
      <c r="F64" s="40">
        <v>6.2049985000000003</v>
      </c>
      <c r="G64" s="40">
        <v>-10.007864</v>
      </c>
      <c r="H64" s="40">
        <v>-5.2396180000000001</v>
      </c>
      <c r="I64" s="40">
        <v>-2.8261303999999998</v>
      </c>
      <c r="J64" s="40">
        <v>0.83076954000000003</v>
      </c>
      <c r="K64" s="40">
        <v>-14.835972</v>
      </c>
      <c r="L64" s="40">
        <v>37.337090000000003</v>
      </c>
      <c r="M64" s="40">
        <v>-1.072973</v>
      </c>
      <c r="N64" s="40">
        <v>2.7826905000000002</v>
      </c>
      <c r="O64" s="40">
        <v>6.3076140000000001</v>
      </c>
      <c r="P64" s="40">
        <v>-15.056729000000001</v>
      </c>
      <c r="Q64" s="40">
        <v>14.6565075</v>
      </c>
      <c r="R64" s="40">
        <v>0.23337603000000001</v>
      </c>
      <c r="S64" s="40">
        <v>-16.789542999999998</v>
      </c>
      <c r="T64" s="40">
        <v>-10.466188000000001</v>
      </c>
      <c r="U64" s="40">
        <v>-1.2651443</v>
      </c>
      <c r="V64" s="155">
        <v>15.405809</v>
      </c>
      <c r="W64" s="24"/>
    </row>
    <row r="65" spans="1:23" x14ac:dyDescent="0.35">
      <c r="A65" s="2">
        <v>43664</v>
      </c>
      <c r="B65" s="40">
        <v>9.076632</v>
      </c>
      <c r="C65" s="40">
        <v>-11.639786000000001</v>
      </c>
      <c r="D65" s="40">
        <v>15.5444145</v>
      </c>
      <c r="E65" s="40">
        <v>18.74727</v>
      </c>
      <c r="F65" s="40">
        <v>6.5329193999999999</v>
      </c>
      <c r="G65" s="40">
        <v>-1.9905387999999999</v>
      </c>
      <c r="H65" s="40">
        <v>-4.4165254000000003</v>
      </c>
      <c r="I65" s="40">
        <v>0.93016624000000003</v>
      </c>
      <c r="J65" s="40">
        <v>-13.102328999999999</v>
      </c>
      <c r="K65" s="40">
        <v>-11.647815</v>
      </c>
      <c r="L65" s="40">
        <v>39.532482000000002</v>
      </c>
      <c r="M65" s="40">
        <v>-1.5584469000000001</v>
      </c>
      <c r="N65" s="40">
        <v>5.7623150000000001</v>
      </c>
      <c r="O65" s="40">
        <v>4.3287753999999996</v>
      </c>
      <c r="P65" s="40">
        <v>-5.9113740000000004</v>
      </c>
      <c r="Q65" s="40">
        <v>10.176479</v>
      </c>
      <c r="R65" s="40">
        <v>5.3544044</v>
      </c>
      <c r="S65" s="40">
        <v>-2.7847409999999999</v>
      </c>
      <c r="T65" s="40">
        <v>-5.3418454999999998</v>
      </c>
      <c r="U65" s="40">
        <v>2.0065426999999998</v>
      </c>
      <c r="V65" s="155">
        <v>11.087381000000001</v>
      </c>
      <c r="W65" s="24"/>
    </row>
    <row r="66" spans="1:23" x14ac:dyDescent="0.35">
      <c r="A66" s="2">
        <v>43693</v>
      </c>
      <c r="B66" s="40">
        <v>12.371456</v>
      </c>
      <c r="C66" s="40">
        <v>-15.558547000000001</v>
      </c>
      <c r="D66" s="40">
        <v>11.482656499999999</v>
      </c>
      <c r="E66" s="40">
        <v>7.3684335000000001</v>
      </c>
      <c r="F66" s="40">
        <v>-9.4540120000000005</v>
      </c>
      <c r="G66" s="40">
        <v>-7.7489970000000001</v>
      </c>
      <c r="H66" s="40">
        <v>-10.020607999999999</v>
      </c>
      <c r="I66" s="40">
        <v>-3.3169567999999998</v>
      </c>
      <c r="J66" s="40">
        <v>-18.196058000000001</v>
      </c>
      <c r="K66" s="40">
        <v>-17.243969</v>
      </c>
      <c r="L66" s="40">
        <v>27.337969000000001</v>
      </c>
      <c r="M66" s="40">
        <v>-6.6406489999999998</v>
      </c>
      <c r="N66" s="40">
        <v>3.6436320000000002</v>
      </c>
      <c r="O66" s="40">
        <v>-6.0374317</v>
      </c>
      <c r="P66" s="40">
        <v>-4.2902110000000002</v>
      </c>
      <c r="Q66" s="40">
        <v>-0.10357499000000001</v>
      </c>
      <c r="R66" s="40">
        <v>-2.9483139999999999</v>
      </c>
      <c r="S66" s="40">
        <v>19.133282000000001</v>
      </c>
      <c r="T66" s="40">
        <v>-7.9687539999999997</v>
      </c>
      <c r="U66" s="40">
        <v>-3.1618892999999999</v>
      </c>
      <c r="V66" s="155">
        <v>12.871242000000001</v>
      </c>
      <c r="W66" s="24"/>
    </row>
    <row r="67" spans="1:23" x14ac:dyDescent="0.35">
      <c r="A67" s="2">
        <v>43726</v>
      </c>
      <c r="B67" s="40">
        <v>16.127098</v>
      </c>
      <c r="C67" s="40">
        <v>-13.619667</v>
      </c>
      <c r="D67" s="40">
        <v>15.019512000000001</v>
      </c>
      <c r="E67" s="40">
        <v>12.141037000000001</v>
      </c>
      <c r="F67" s="40">
        <v>-6.8034705999999998</v>
      </c>
      <c r="G67" s="40">
        <v>-0.99533199999999999</v>
      </c>
      <c r="H67" s="40">
        <v>-10.435402</v>
      </c>
      <c r="I67" s="40">
        <v>2.4509907000000002</v>
      </c>
      <c r="J67" s="40">
        <v>-12.814014999999999</v>
      </c>
      <c r="K67" s="40">
        <v>-13.280993</v>
      </c>
      <c r="L67" s="40">
        <v>34.678184999999999</v>
      </c>
      <c r="M67" s="40">
        <v>4.4132470000000001</v>
      </c>
      <c r="N67" s="40">
        <v>17.678737999999999</v>
      </c>
      <c r="O67" s="40">
        <v>-3.5052240000000001</v>
      </c>
      <c r="P67" s="40">
        <v>2.8643369999999999</v>
      </c>
      <c r="Q67" s="40">
        <v>6.3191174999999999</v>
      </c>
      <c r="R67" s="40">
        <v>-5.1753580000000001</v>
      </c>
      <c r="S67" s="40">
        <v>23.509322999999998</v>
      </c>
      <c r="T67" s="40">
        <v>-3.4682870000000001</v>
      </c>
      <c r="U67" s="40">
        <v>-3.7555575000000001</v>
      </c>
      <c r="V67" s="155">
        <v>6.0226680000000004</v>
      </c>
      <c r="W67" s="24"/>
    </row>
    <row r="68" spans="1:23" x14ac:dyDescent="0.35">
      <c r="A68" s="2">
        <v>43756</v>
      </c>
      <c r="B68" s="40">
        <v>26.621319</v>
      </c>
      <c r="C68" s="40">
        <v>-6.2627195999999996</v>
      </c>
      <c r="D68" s="40">
        <v>18.338097000000001</v>
      </c>
      <c r="E68" s="40">
        <v>19.059086000000001</v>
      </c>
      <c r="F68" s="40">
        <v>-1.8586457000000001</v>
      </c>
      <c r="G68" s="40">
        <v>-1.8206059999999999</v>
      </c>
      <c r="H68" s="40">
        <v>-5.7531299999999996</v>
      </c>
      <c r="I68" s="40">
        <v>18.225216</v>
      </c>
      <c r="J68" s="40">
        <v>-3.9266527</v>
      </c>
      <c r="K68" s="40">
        <v>-3.6818086999999999</v>
      </c>
      <c r="L68" s="40">
        <v>13.022684999999999</v>
      </c>
      <c r="M68" s="40">
        <v>9.2184779999999993</v>
      </c>
      <c r="N68" s="40">
        <v>32.328353999999997</v>
      </c>
      <c r="O68" s="40">
        <v>16.404008999999999</v>
      </c>
      <c r="P68" s="40">
        <v>11.152053</v>
      </c>
      <c r="Q68" s="40">
        <v>4.1470529999999997</v>
      </c>
      <c r="R68" s="40">
        <v>-3.0589879</v>
      </c>
      <c r="S68" s="40">
        <v>1.3209223999999999</v>
      </c>
      <c r="T68" s="40">
        <v>0.33739805</v>
      </c>
      <c r="U68" s="40">
        <v>4.9787759999999999</v>
      </c>
      <c r="V68" s="155">
        <v>4.2744517000000002</v>
      </c>
      <c r="W68" s="24"/>
    </row>
    <row r="69" spans="1:23" x14ac:dyDescent="0.35">
      <c r="A69" s="2">
        <v>43787</v>
      </c>
      <c r="B69" s="40">
        <v>18.392074999999998</v>
      </c>
      <c r="C69" s="40">
        <v>-22.807221999999999</v>
      </c>
      <c r="D69" s="40">
        <v>2.1562695999999999</v>
      </c>
      <c r="E69" s="40">
        <v>14.944827999999999</v>
      </c>
      <c r="F69" s="40">
        <v>0.18963814000000001</v>
      </c>
      <c r="G69" s="40">
        <v>-1.0519266</v>
      </c>
      <c r="H69" s="40">
        <v>-3.7545860000000002</v>
      </c>
      <c r="I69" s="40">
        <v>23.837161999999999</v>
      </c>
      <c r="J69" s="40">
        <v>10.378563</v>
      </c>
      <c r="K69" s="40">
        <v>1.8354653999999999</v>
      </c>
      <c r="L69" s="40">
        <v>7.2123049999999997</v>
      </c>
      <c r="M69" s="40">
        <v>0.64707994000000002</v>
      </c>
      <c r="N69" s="40">
        <v>34.895072999999996</v>
      </c>
      <c r="O69" s="40">
        <v>7.2726845999999998</v>
      </c>
      <c r="P69" s="40">
        <v>6.7520021999999997</v>
      </c>
      <c r="Q69" s="40">
        <v>-2.3332655</v>
      </c>
      <c r="R69" s="40">
        <v>-1.6513765</v>
      </c>
      <c r="S69" s="40">
        <v>8.3157899999999998</v>
      </c>
      <c r="T69" s="40">
        <v>-6.5603075000000004</v>
      </c>
      <c r="U69" s="40">
        <v>8.780443</v>
      </c>
      <c r="V69" s="155">
        <v>8.1009030000000006</v>
      </c>
      <c r="W69" s="24"/>
    </row>
    <row r="70" spans="1:23" x14ac:dyDescent="0.35">
      <c r="A70" s="2">
        <v>43817</v>
      </c>
      <c r="B70" s="40">
        <v>28.2714</v>
      </c>
      <c r="C70" s="40">
        <v>-18.215757</v>
      </c>
      <c r="D70" s="40">
        <v>5.2735329999999996</v>
      </c>
      <c r="E70" s="40">
        <v>8.4800719999999998</v>
      </c>
      <c r="F70" s="40">
        <v>-9.2752090000000003</v>
      </c>
      <c r="G70" s="40">
        <v>2.385068</v>
      </c>
      <c r="H70" s="40">
        <v>0.86046460000000002</v>
      </c>
      <c r="I70" s="40">
        <v>33.704628</v>
      </c>
      <c r="J70" s="40">
        <v>19.286835</v>
      </c>
      <c r="K70" s="40">
        <v>7.3282002999999998</v>
      </c>
      <c r="L70" s="40">
        <v>25.786114000000001</v>
      </c>
      <c r="M70" s="40">
        <v>11.313438</v>
      </c>
      <c r="N70" s="40">
        <v>42.062331999999998</v>
      </c>
      <c r="O70" s="40">
        <v>7.2000979999999997</v>
      </c>
      <c r="P70" s="40">
        <v>20.194959999999998</v>
      </c>
      <c r="Q70" s="40">
        <v>-2.6275814</v>
      </c>
      <c r="R70" s="40">
        <v>-1.2285292000000001</v>
      </c>
      <c r="S70" s="40">
        <v>11.146259000000001</v>
      </c>
      <c r="T70" s="40">
        <v>0.5610347</v>
      </c>
      <c r="U70" s="40">
        <v>4.7799826000000003</v>
      </c>
      <c r="V70" s="155">
        <v>6.6021799999999997</v>
      </c>
      <c r="W70" s="24"/>
    </row>
    <row r="71" spans="1:23" x14ac:dyDescent="0.35">
      <c r="A71" s="2">
        <v>43847</v>
      </c>
      <c r="B71" s="40">
        <v>32.043922000000002</v>
      </c>
      <c r="C71" s="40">
        <v>-24.488579999999999</v>
      </c>
      <c r="D71" s="40">
        <v>0.30794144000000001</v>
      </c>
      <c r="E71" s="40">
        <v>-0.80154539999999996</v>
      </c>
      <c r="F71" s="40">
        <v>-7.8453064000000001</v>
      </c>
      <c r="G71" s="40">
        <v>3.5504102999999998</v>
      </c>
      <c r="H71" s="40">
        <v>-2.4717986999999999</v>
      </c>
      <c r="I71" s="40">
        <v>33.020985000000003</v>
      </c>
      <c r="J71" s="40">
        <v>9.6782679999999992</v>
      </c>
      <c r="K71" s="40">
        <v>7.0317388000000003</v>
      </c>
      <c r="L71" s="40">
        <v>11.702574</v>
      </c>
      <c r="M71" s="40">
        <v>-0.80087779999999997</v>
      </c>
      <c r="N71" s="40">
        <v>46.652209999999997</v>
      </c>
      <c r="O71" s="40">
        <v>10.707951</v>
      </c>
      <c r="P71" s="40">
        <v>21.334648000000001</v>
      </c>
      <c r="Q71" s="40">
        <v>-3.9188683000000002</v>
      </c>
      <c r="R71" s="40">
        <v>1.2769699000000001</v>
      </c>
      <c r="S71" s="40">
        <v>15.164446999999999</v>
      </c>
      <c r="T71" s="40">
        <v>1.5079260000000001</v>
      </c>
      <c r="U71" s="40">
        <v>5.0869106999999998</v>
      </c>
      <c r="V71" s="155">
        <v>1.0899901000000001</v>
      </c>
      <c r="W71" s="24"/>
    </row>
    <row r="72" spans="1:23" x14ac:dyDescent="0.35">
      <c r="A72" s="2">
        <v>43879</v>
      </c>
      <c r="B72" s="40">
        <v>18.716562</v>
      </c>
      <c r="C72" s="40">
        <v>-31.608307</v>
      </c>
      <c r="D72" s="40">
        <v>-5.0046324999999996</v>
      </c>
      <c r="E72" s="40">
        <v>-5.1984490000000001</v>
      </c>
      <c r="F72" s="40">
        <v>-11.3084135</v>
      </c>
      <c r="G72" s="40">
        <v>-7.1209908000000004</v>
      </c>
      <c r="H72" s="40">
        <v>-9.2273829999999997</v>
      </c>
      <c r="I72" s="40">
        <v>24.015986999999999</v>
      </c>
      <c r="J72" s="40">
        <v>11.687576</v>
      </c>
      <c r="K72" s="40">
        <v>-1.5859783000000001</v>
      </c>
      <c r="L72" s="40">
        <v>0.1557231</v>
      </c>
      <c r="M72" s="40">
        <v>-0.52105783999999999</v>
      </c>
      <c r="N72" s="40">
        <v>26.295995999999999</v>
      </c>
      <c r="O72" s="40">
        <v>10.406302999999999</v>
      </c>
      <c r="P72" s="40">
        <v>11.960006</v>
      </c>
      <c r="Q72" s="40">
        <v>-2.5587916000000002</v>
      </c>
      <c r="R72" s="40">
        <v>-7.4603615000000003</v>
      </c>
      <c r="S72" s="40">
        <v>2.6943207</v>
      </c>
      <c r="T72" s="40">
        <v>-3.5803318000000002</v>
      </c>
      <c r="U72" s="40">
        <v>-8.0231849999999998</v>
      </c>
      <c r="V72" s="155">
        <v>-9.3926850000000002</v>
      </c>
      <c r="W72" s="24"/>
    </row>
    <row r="73" spans="1:23" x14ac:dyDescent="0.35">
      <c r="A73" s="2">
        <v>43908</v>
      </c>
      <c r="B73" s="40">
        <v>-8.3289439999999999</v>
      </c>
      <c r="C73" s="40">
        <v>-59.507649999999998</v>
      </c>
      <c r="D73" s="40">
        <v>-43.961506</v>
      </c>
      <c r="E73" s="40">
        <v>-43.419646999999998</v>
      </c>
      <c r="F73" s="40">
        <v>-44.602620000000002</v>
      </c>
      <c r="G73" s="40">
        <v>-43.894480000000001</v>
      </c>
      <c r="H73" s="40">
        <v>-33.438282000000001</v>
      </c>
      <c r="I73" s="40">
        <v>-10.451757000000001</v>
      </c>
      <c r="J73" s="40">
        <v>-32.525230000000001</v>
      </c>
      <c r="K73" s="40">
        <v>-33.185726000000003</v>
      </c>
      <c r="L73" s="40">
        <v>-50.490684999999999</v>
      </c>
      <c r="M73" s="40">
        <v>-44.121720000000003</v>
      </c>
      <c r="N73" s="40">
        <v>-41.165089999999999</v>
      </c>
      <c r="O73" s="40">
        <v>-33.468640000000001</v>
      </c>
      <c r="P73" s="40">
        <v>-15.146219</v>
      </c>
      <c r="Q73" s="40">
        <v>-16.790659000000002</v>
      </c>
      <c r="R73" s="40">
        <v>-35.202182999999998</v>
      </c>
      <c r="S73" s="40">
        <v>-30.617422000000001</v>
      </c>
      <c r="T73" s="40">
        <v>-40.543640000000003</v>
      </c>
      <c r="U73" s="40">
        <v>-41.043914999999998</v>
      </c>
      <c r="V73" s="155">
        <v>-31.2971</v>
      </c>
      <c r="W73" s="24"/>
    </row>
    <row r="74" spans="1:23" x14ac:dyDescent="0.35">
      <c r="A74" s="2">
        <v>43938</v>
      </c>
      <c r="B74" s="40">
        <v>-7.3378920000000001</v>
      </c>
      <c r="C74" s="40">
        <v>-45.127696999999998</v>
      </c>
      <c r="D74" s="40">
        <v>-40.599586000000002</v>
      </c>
      <c r="E74" s="40">
        <v>-28.447025</v>
      </c>
      <c r="F74" s="40">
        <v>-35.62659</v>
      </c>
      <c r="G74" s="40">
        <v>-34.282367999999998</v>
      </c>
      <c r="H74" s="40">
        <v>-17.120349999999998</v>
      </c>
      <c r="I74" s="40">
        <v>2.5036453999999999</v>
      </c>
      <c r="J74" s="40">
        <v>-38.409424000000001</v>
      </c>
      <c r="K74" s="40">
        <v>-19.330041999999999</v>
      </c>
      <c r="L74" s="40">
        <v>-35.259830000000001</v>
      </c>
      <c r="M74" s="40">
        <v>-41.00855</v>
      </c>
      <c r="N74" s="40">
        <v>-27.637720000000002</v>
      </c>
      <c r="O74" s="40">
        <v>-26.962143000000001</v>
      </c>
      <c r="P74" s="40">
        <v>-5.7964444000000004</v>
      </c>
      <c r="Q74" s="40">
        <v>-13.893682</v>
      </c>
      <c r="R74" s="40">
        <v>-25.935929999999999</v>
      </c>
      <c r="S74" s="40">
        <v>-15.3873625</v>
      </c>
      <c r="T74" s="40">
        <v>-33.216929999999998</v>
      </c>
      <c r="U74" s="40">
        <v>-26.5688</v>
      </c>
      <c r="V74" s="155">
        <v>-28.765308000000001</v>
      </c>
      <c r="W74" s="24"/>
    </row>
    <row r="75" spans="1:23" x14ac:dyDescent="0.35">
      <c r="A75" s="2">
        <v>43969</v>
      </c>
      <c r="B75" s="40">
        <v>11.838997000000001</v>
      </c>
      <c r="C75" s="40">
        <v>-36.84843</v>
      </c>
      <c r="D75" s="40">
        <v>-26.113151999999999</v>
      </c>
      <c r="E75" s="40">
        <v>-24.91657</v>
      </c>
      <c r="F75" s="40">
        <v>-28.033584999999999</v>
      </c>
      <c r="G75" s="40">
        <v>-21.90795</v>
      </c>
      <c r="H75" s="40">
        <v>-12.158155000000001</v>
      </c>
      <c r="I75" s="40">
        <v>15.568137</v>
      </c>
      <c r="J75" s="40">
        <v>-29.131347999999999</v>
      </c>
      <c r="K75" s="40">
        <v>-4.0428759999999997</v>
      </c>
      <c r="L75" s="40">
        <v>-34.12717</v>
      </c>
      <c r="M75" s="40">
        <v>-30.432265999999998</v>
      </c>
      <c r="N75" s="40">
        <v>-20.342366999999999</v>
      </c>
      <c r="O75" s="40">
        <v>-21.218563</v>
      </c>
      <c r="P75" s="40">
        <v>10.401116999999999</v>
      </c>
      <c r="Q75" s="40">
        <v>-5.7003617000000002</v>
      </c>
      <c r="R75" s="40">
        <v>-19.997388999999998</v>
      </c>
      <c r="S75" s="40">
        <v>4.7689795000000004</v>
      </c>
      <c r="T75" s="40">
        <v>-23.357469999999999</v>
      </c>
      <c r="U75" s="40">
        <v>-18.319738000000001</v>
      </c>
      <c r="V75" s="155">
        <v>-18.928505000000001</v>
      </c>
      <c r="W75" s="24"/>
    </row>
    <row r="76" spans="1:23" x14ac:dyDescent="0.35">
      <c r="A76" s="2">
        <v>44000</v>
      </c>
      <c r="B76" s="40">
        <v>12.311721</v>
      </c>
      <c r="C76" s="40">
        <v>-34.080570000000002</v>
      </c>
      <c r="D76" s="40">
        <v>-25.712800000000001</v>
      </c>
      <c r="E76" s="40">
        <v>-20.682585</v>
      </c>
      <c r="F76" s="40">
        <v>-24.526764</v>
      </c>
      <c r="G76" s="40">
        <v>-19.594460999999999</v>
      </c>
      <c r="H76" s="40">
        <v>-10.09695</v>
      </c>
      <c r="I76" s="40">
        <v>19.557559999999999</v>
      </c>
      <c r="J76" s="40">
        <v>-25.497596999999999</v>
      </c>
      <c r="K76" s="40">
        <v>0.32778977999999998</v>
      </c>
      <c r="L76" s="40">
        <v>-29.491351999999999</v>
      </c>
      <c r="M76" s="40">
        <v>-27.086400999999999</v>
      </c>
      <c r="N76" s="40">
        <v>-25.996542000000002</v>
      </c>
      <c r="O76" s="40">
        <v>-19.031894999999999</v>
      </c>
      <c r="P76" s="40">
        <v>14.19487</v>
      </c>
      <c r="Q76" s="40">
        <v>-6.7776737000000002</v>
      </c>
      <c r="R76" s="40">
        <v>-18.449746999999999</v>
      </c>
      <c r="S76" s="40">
        <v>0.25935173</v>
      </c>
      <c r="T76" s="40">
        <v>-20.9849</v>
      </c>
      <c r="U76" s="40">
        <v>-14.1024885</v>
      </c>
      <c r="V76" s="155">
        <v>-19.25637</v>
      </c>
      <c r="W76" s="24"/>
    </row>
    <row r="77" spans="1:23" x14ac:dyDescent="0.35">
      <c r="A77" s="2">
        <v>44029</v>
      </c>
      <c r="B77" s="40">
        <v>26.631142000000001</v>
      </c>
      <c r="C77" s="40">
        <v>-32.982486999999999</v>
      </c>
      <c r="D77" s="40">
        <v>-27.521587</v>
      </c>
      <c r="E77" s="40">
        <v>-25.32677</v>
      </c>
      <c r="F77" s="40">
        <v>-23.153358000000001</v>
      </c>
      <c r="G77" s="40">
        <v>-21.334956999999999</v>
      </c>
      <c r="H77" s="40">
        <v>-4.5960070000000002</v>
      </c>
      <c r="I77" s="40">
        <v>23.987483999999998</v>
      </c>
      <c r="J77" s="40">
        <v>-26.307858</v>
      </c>
      <c r="K77" s="40">
        <v>6.5977930000000002</v>
      </c>
      <c r="L77" s="40">
        <v>-29.981548</v>
      </c>
      <c r="M77" s="40">
        <v>-20.079262</v>
      </c>
      <c r="N77" s="40">
        <v>-27.655702999999999</v>
      </c>
      <c r="O77" s="40">
        <v>-9.5664619999999996</v>
      </c>
      <c r="P77" s="40">
        <v>21.640968000000001</v>
      </c>
      <c r="Q77" s="40">
        <v>-2.9235302999999999</v>
      </c>
      <c r="R77" s="40">
        <v>-20.901769999999999</v>
      </c>
      <c r="S77" s="40">
        <v>-3.9778411</v>
      </c>
      <c r="T77" s="40">
        <v>-23.336155000000002</v>
      </c>
      <c r="U77" s="40">
        <v>-10.471755</v>
      </c>
      <c r="V77" s="155">
        <v>-17.413246000000001</v>
      </c>
      <c r="W77" s="24"/>
    </row>
    <row r="78" spans="1:23" x14ac:dyDescent="0.35">
      <c r="A78" s="2">
        <v>44061</v>
      </c>
      <c r="B78" s="40">
        <v>38.656889999999997</v>
      </c>
      <c r="C78" s="40">
        <v>-25.783348</v>
      </c>
      <c r="D78" s="40">
        <v>-19.498515999999999</v>
      </c>
      <c r="E78" s="40">
        <v>-16.523122999999998</v>
      </c>
      <c r="F78" s="40">
        <v>-5.2580650000000002</v>
      </c>
      <c r="G78" s="40">
        <v>-3.2885610000000001</v>
      </c>
      <c r="H78" s="40">
        <v>1.1325002</v>
      </c>
      <c r="I78" s="40">
        <v>36.252285000000001</v>
      </c>
      <c r="J78" s="40">
        <v>-10.505122</v>
      </c>
      <c r="K78" s="40">
        <v>26.28144</v>
      </c>
      <c r="L78" s="40">
        <v>-24.29729</v>
      </c>
      <c r="M78" s="40">
        <v>-9.6984019999999997</v>
      </c>
      <c r="N78" s="40">
        <v>-15.320587</v>
      </c>
      <c r="O78" s="40">
        <v>4.3870089999999999</v>
      </c>
      <c r="P78" s="40">
        <v>35.397039999999997</v>
      </c>
      <c r="Q78" s="40">
        <v>8.9751359999999991</v>
      </c>
      <c r="R78" s="40">
        <v>-18.46819</v>
      </c>
      <c r="S78" s="40">
        <v>-16.278744</v>
      </c>
      <c r="T78" s="40">
        <v>-17.619467</v>
      </c>
      <c r="U78" s="40">
        <v>-6.9955587000000001</v>
      </c>
      <c r="V78" s="155">
        <v>-8.8666619999999998</v>
      </c>
      <c r="W78" s="24"/>
    </row>
    <row r="79" spans="1:23" x14ac:dyDescent="0.35">
      <c r="A79" s="2">
        <v>44092</v>
      </c>
      <c r="B79" s="40">
        <v>32.849406999999999</v>
      </c>
      <c r="C79" s="40">
        <v>-33.403365999999998</v>
      </c>
      <c r="D79" s="40">
        <v>-27.947013999999999</v>
      </c>
      <c r="E79" s="40">
        <v>-20.880179999999999</v>
      </c>
      <c r="F79" s="40">
        <v>-17.364830000000001</v>
      </c>
      <c r="G79" s="40">
        <v>-10.341291999999999</v>
      </c>
      <c r="H79" s="40">
        <v>-3.7273765000000001</v>
      </c>
      <c r="I79" s="40">
        <v>27.050697</v>
      </c>
      <c r="J79" s="40">
        <v>-22.078842000000002</v>
      </c>
      <c r="K79" s="40">
        <v>18.475628</v>
      </c>
      <c r="L79" s="40">
        <v>-28.172165</v>
      </c>
      <c r="M79" s="40">
        <v>-17.182366999999999</v>
      </c>
      <c r="N79" s="40">
        <v>-23.312355</v>
      </c>
      <c r="O79" s="40">
        <v>7.8854920000000002</v>
      </c>
      <c r="P79" s="40">
        <v>27.551196999999998</v>
      </c>
      <c r="Q79" s="40">
        <v>3.9891361999999999</v>
      </c>
      <c r="R79" s="40">
        <v>-22.111189</v>
      </c>
      <c r="S79" s="40">
        <v>-21.160506999999999</v>
      </c>
      <c r="T79" s="40">
        <v>-18.669229999999999</v>
      </c>
      <c r="U79" s="40">
        <v>-6.6658792</v>
      </c>
      <c r="V79" s="155">
        <v>4.4763564999999996</v>
      </c>
      <c r="W79" s="24"/>
    </row>
    <row r="80" spans="1:23" x14ac:dyDescent="0.35">
      <c r="A80" s="2">
        <v>44120</v>
      </c>
      <c r="B80" s="40">
        <v>35.871684999999999</v>
      </c>
      <c r="C80" s="40">
        <v>-36.845215000000003</v>
      </c>
      <c r="D80" s="40">
        <v>-24.73188</v>
      </c>
      <c r="E80" s="40">
        <v>-22.658097999999999</v>
      </c>
      <c r="F80" s="40">
        <v>-23.784327999999999</v>
      </c>
      <c r="G80" s="40">
        <v>-11.12898</v>
      </c>
      <c r="H80" s="40">
        <v>-2.0272434000000001</v>
      </c>
      <c r="I80" s="40">
        <v>23.616099999999999</v>
      </c>
      <c r="J80" s="40">
        <v>-19.834291</v>
      </c>
      <c r="K80" s="40">
        <v>16.926777000000001</v>
      </c>
      <c r="L80" s="40">
        <v>-30.512249000000001</v>
      </c>
      <c r="M80" s="40">
        <v>-15.588723999999999</v>
      </c>
      <c r="N80" s="40">
        <v>-30.286567999999999</v>
      </c>
      <c r="O80" s="40">
        <v>5.164504</v>
      </c>
      <c r="P80" s="40">
        <v>34.525680000000001</v>
      </c>
      <c r="Q80" s="40">
        <v>3.8375615999999999</v>
      </c>
      <c r="R80" s="40">
        <v>-24.520630000000001</v>
      </c>
      <c r="S80" s="40">
        <v>-11.311477999999999</v>
      </c>
      <c r="T80" s="40">
        <v>-19.344626999999999</v>
      </c>
      <c r="U80" s="40">
        <v>-5.8653649999999997</v>
      </c>
      <c r="V80" s="155">
        <v>12.069808999999999</v>
      </c>
      <c r="W80" s="24"/>
    </row>
    <row r="81" spans="1:23" x14ac:dyDescent="0.35">
      <c r="A81" s="2">
        <v>44153</v>
      </c>
      <c r="B81" s="40">
        <v>39.618564999999997</v>
      </c>
      <c r="C81" s="40">
        <v>-15.116197</v>
      </c>
      <c r="D81" s="40">
        <v>-11.198288</v>
      </c>
      <c r="E81" s="40">
        <v>-8.0670409999999997</v>
      </c>
      <c r="F81" s="40">
        <v>-17.947244999999999</v>
      </c>
      <c r="G81" s="40">
        <v>-6.5028610000000002</v>
      </c>
      <c r="H81" s="40">
        <v>0.56163070000000004</v>
      </c>
      <c r="I81" s="40">
        <v>27.674579999999999</v>
      </c>
      <c r="J81" s="40">
        <v>-6.6872299999999996</v>
      </c>
      <c r="K81" s="40">
        <v>25.082063999999999</v>
      </c>
      <c r="L81" s="40">
        <v>-21.238249</v>
      </c>
      <c r="M81" s="40">
        <v>-7.2457848</v>
      </c>
      <c r="N81" s="40">
        <v>-23.742712000000001</v>
      </c>
      <c r="O81" s="40">
        <v>7.8777432000000003</v>
      </c>
      <c r="P81" s="40">
        <v>36.433909999999997</v>
      </c>
      <c r="Q81" s="40">
        <v>4.6181799999999997</v>
      </c>
      <c r="R81" s="40">
        <v>-15.13744</v>
      </c>
      <c r="S81" s="40">
        <v>-13.888031</v>
      </c>
      <c r="T81" s="40">
        <v>-12.438613</v>
      </c>
      <c r="U81" s="40">
        <v>-4.8905669999999999</v>
      </c>
      <c r="V81" s="155">
        <v>4.5361995999999998</v>
      </c>
      <c r="W81" s="24"/>
    </row>
    <row r="82" spans="1:23" x14ac:dyDescent="0.35">
      <c r="A82" s="2">
        <v>44183</v>
      </c>
      <c r="B82" s="40">
        <v>39.455067</v>
      </c>
      <c r="C82" s="40">
        <v>-9.1100580000000004</v>
      </c>
      <c r="D82" s="40">
        <v>-4.6614646999999998</v>
      </c>
      <c r="E82" s="40">
        <v>-2.3444593</v>
      </c>
      <c r="F82" s="40">
        <v>-6.3808737000000004</v>
      </c>
      <c r="G82" s="40">
        <v>1.0414481</v>
      </c>
      <c r="H82" s="40">
        <v>5.7956934000000002</v>
      </c>
      <c r="I82" s="40">
        <v>27.204632</v>
      </c>
      <c r="J82" s="40">
        <v>-6.9184010000000002</v>
      </c>
      <c r="K82" s="40">
        <v>33.39188</v>
      </c>
      <c r="L82" s="40">
        <v>-16.591363999999999</v>
      </c>
      <c r="M82" s="40">
        <v>-1.7757177</v>
      </c>
      <c r="N82" s="40">
        <v>-11.643326</v>
      </c>
      <c r="O82" s="40">
        <v>11.999582999999999</v>
      </c>
      <c r="P82" s="40">
        <v>28.149246000000002</v>
      </c>
      <c r="Q82" s="40">
        <v>7.6916219999999997</v>
      </c>
      <c r="R82" s="40">
        <v>-5.2029075999999996</v>
      </c>
      <c r="S82" s="40">
        <v>-4.7805549999999997</v>
      </c>
      <c r="T82" s="40">
        <v>-4.7152877000000002</v>
      </c>
      <c r="U82" s="40">
        <v>7.1190357000000004</v>
      </c>
      <c r="V82" s="155">
        <v>4.9156069999999996</v>
      </c>
      <c r="W82" s="24"/>
    </row>
    <row r="83" spans="1:23" x14ac:dyDescent="0.35">
      <c r="A83" s="2">
        <v>44211</v>
      </c>
      <c r="B83" s="40">
        <v>43.745387999999998</v>
      </c>
      <c r="C83" s="40">
        <v>-3.0127524999999999</v>
      </c>
      <c r="D83" s="40">
        <v>-4.4947805000000001</v>
      </c>
      <c r="E83" s="40">
        <v>-1.2186170000000001</v>
      </c>
      <c r="F83" s="40">
        <v>-9.1818989999999996</v>
      </c>
      <c r="G83" s="40">
        <v>-2.6489197999999998</v>
      </c>
      <c r="H83" s="40">
        <v>1.8403649</v>
      </c>
      <c r="I83" s="40">
        <v>41.213394000000001</v>
      </c>
      <c r="J83" s="40">
        <v>-2.4033725000000001</v>
      </c>
      <c r="K83" s="40">
        <v>47.134030000000003</v>
      </c>
      <c r="L83" s="40">
        <v>-17.767954</v>
      </c>
      <c r="M83" s="40">
        <v>-3.5012484000000001</v>
      </c>
      <c r="N83" s="40">
        <v>-15.387976</v>
      </c>
      <c r="O83" s="40">
        <v>14.389633999999999</v>
      </c>
      <c r="P83" s="40">
        <v>29.802536</v>
      </c>
      <c r="Q83" s="40">
        <v>7.5338719999999997</v>
      </c>
      <c r="R83" s="40">
        <v>-5.6451796999999999</v>
      </c>
      <c r="S83" s="40">
        <v>-4.9035190000000002</v>
      </c>
      <c r="T83" s="40">
        <v>-1.5283704</v>
      </c>
      <c r="U83" s="40">
        <v>15.874207</v>
      </c>
      <c r="V83" s="155">
        <v>5.1939010000000003</v>
      </c>
      <c r="W83" s="24"/>
    </row>
    <row r="84" spans="1:23" x14ac:dyDescent="0.35">
      <c r="A84" s="2">
        <v>44245</v>
      </c>
      <c r="B84" s="40">
        <v>60.3078</v>
      </c>
      <c r="C84" s="40">
        <v>8.7678910000000005</v>
      </c>
      <c r="D84" s="40">
        <v>-1.4464915</v>
      </c>
      <c r="E84" s="40">
        <v>-3.7260591999999999</v>
      </c>
      <c r="F84" s="40">
        <v>-7.1072579999999996E-2</v>
      </c>
      <c r="G84" s="40">
        <v>12.250244</v>
      </c>
      <c r="H84" s="40">
        <v>4.5925500000000001</v>
      </c>
      <c r="I84" s="40">
        <v>52.845350000000003</v>
      </c>
      <c r="J84" s="40">
        <v>-10.366510999999999</v>
      </c>
      <c r="K84" s="40">
        <v>51.145650000000003</v>
      </c>
      <c r="L84" s="40">
        <v>-16.239149999999999</v>
      </c>
      <c r="M84" s="40">
        <v>11.531734</v>
      </c>
      <c r="N84" s="40">
        <v>-9.3534579999999998</v>
      </c>
      <c r="O84" s="40">
        <v>23.56391</v>
      </c>
      <c r="P84" s="40">
        <v>48.080944000000002</v>
      </c>
      <c r="Q84" s="40">
        <v>11.815739000000001</v>
      </c>
      <c r="R84" s="40">
        <v>-0.17507075999999999</v>
      </c>
      <c r="S84" s="40">
        <v>8.7023849999999996</v>
      </c>
      <c r="T84" s="40">
        <v>5.2153109999999998</v>
      </c>
      <c r="U84" s="40">
        <v>21.272064</v>
      </c>
      <c r="V84" s="155">
        <v>15.072144</v>
      </c>
      <c r="W84" s="24"/>
    </row>
    <row r="85" spans="1:23" x14ac:dyDescent="0.35">
      <c r="A85" s="2">
        <v>44273</v>
      </c>
      <c r="B85" s="40">
        <v>56.193793999999997</v>
      </c>
      <c r="C85" s="40">
        <v>96.689139999999995</v>
      </c>
      <c r="D85" s="40">
        <v>61.154792999999998</v>
      </c>
      <c r="E85" s="40">
        <v>54.640293</v>
      </c>
      <c r="F85" s="40">
        <v>45.282899999999998</v>
      </c>
      <c r="G85" s="40">
        <v>69.957565000000002</v>
      </c>
      <c r="H85" s="40">
        <v>42.559420000000003</v>
      </c>
      <c r="I85" s="40">
        <v>97.241805999999997</v>
      </c>
      <c r="J85" s="40">
        <v>56.610619999999997</v>
      </c>
      <c r="K85" s="40">
        <v>117.13531</v>
      </c>
      <c r="L85" s="40">
        <v>59.385635000000001</v>
      </c>
      <c r="M85" s="40">
        <v>95.115814</v>
      </c>
      <c r="N85" s="40">
        <v>90.252750000000006</v>
      </c>
      <c r="O85" s="40">
        <v>77.79804</v>
      </c>
      <c r="P85" s="40">
        <v>62.823996999999999</v>
      </c>
      <c r="Q85" s="40">
        <v>30.031036</v>
      </c>
      <c r="R85" s="40">
        <v>49.675133000000002</v>
      </c>
      <c r="S85" s="40">
        <v>56.698462999999997</v>
      </c>
      <c r="T85" s="40">
        <v>67.667563999999999</v>
      </c>
      <c r="U85" s="40">
        <v>78.128240000000005</v>
      </c>
      <c r="V85" s="155">
        <v>59.780014000000001</v>
      </c>
      <c r="W85" s="24"/>
    </row>
    <row r="86" spans="1:23" x14ac:dyDescent="0.35">
      <c r="A86" s="2">
        <v>44302</v>
      </c>
      <c r="B86" s="40">
        <v>46.286797</v>
      </c>
      <c r="C86" s="40">
        <v>54.478476999999998</v>
      </c>
      <c r="D86" s="40">
        <v>51.92512</v>
      </c>
      <c r="E86" s="40">
        <v>24.5425</v>
      </c>
      <c r="F86" s="40">
        <v>39.54128</v>
      </c>
      <c r="G86" s="40">
        <v>48.237312000000003</v>
      </c>
      <c r="H86" s="40">
        <v>23.091484000000001</v>
      </c>
      <c r="I86" s="40">
        <v>78.556179999999998</v>
      </c>
      <c r="J86" s="40">
        <v>75.028989999999993</v>
      </c>
      <c r="K86" s="40">
        <v>92.367590000000007</v>
      </c>
      <c r="L86" s="40">
        <v>44.873966000000003</v>
      </c>
      <c r="M86" s="40">
        <v>86.698319999999995</v>
      </c>
      <c r="N86" s="40">
        <v>62.86589</v>
      </c>
      <c r="O86" s="40">
        <v>65.274720000000002</v>
      </c>
      <c r="P86" s="40">
        <v>39.247250000000001</v>
      </c>
      <c r="Q86" s="40">
        <v>29.212904000000002</v>
      </c>
      <c r="R86" s="40">
        <v>29.063856000000001</v>
      </c>
      <c r="S86" s="40">
        <v>23.425174999999999</v>
      </c>
      <c r="T86" s="40">
        <v>44.609116</v>
      </c>
      <c r="U86" s="40">
        <v>60.084567999999997</v>
      </c>
      <c r="V86" s="155">
        <v>52.794646999999998</v>
      </c>
      <c r="W86" s="24"/>
    </row>
    <row r="87" spans="1:23" x14ac:dyDescent="0.35">
      <c r="A87" s="2">
        <v>44334</v>
      </c>
      <c r="B87" s="40">
        <v>47.584556999999997</v>
      </c>
      <c r="C87" s="40">
        <v>21.147537</v>
      </c>
      <c r="D87" s="40">
        <v>34.237957000000002</v>
      </c>
      <c r="E87" s="40">
        <v>20.364903999999999</v>
      </c>
      <c r="F87" s="40">
        <v>44.497703999999999</v>
      </c>
      <c r="G87" s="40">
        <v>30.452013000000001</v>
      </c>
      <c r="H87" s="40">
        <v>15.303922</v>
      </c>
      <c r="I87" s="40">
        <v>63.449931999999997</v>
      </c>
      <c r="J87" s="40">
        <v>59.777484999999999</v>
      </c>
      <c r="K87" s="40">
        <v>75.438559999999995</v>
      </c>
      <c r="L87" s="40">
        <v>63.4465</v>
      </c>
      <c r="M87" s="40">
        <v>66.631140000000002</v>
      </c>
      <c r="N87" s="40">
        <v>61.923780000000001</v>
      </c>
      <c r="O87" s="40">
        <v>64.646850000000001</v>
      </c>
      <c r="P87" s="40">
        <v>28.890587</v>
      </c>
      <c r="Q87" s="40">
        <v>24.883210999999999</v>
      </c>
      <c r="R87" s="40">
        <v>21.784962</v>
      </c>
      <c r="S87" s="40">
        <v>15.157007999999999</v>
      </c>
      <c r="T87" s="40">
        <v>48.620699999999999</v>
      </c>
      <c r="U87" s="40">
        <v>41.457428</v>
      </c>
      <c r="V87" s="155">
        <v>50.717354</v>
      </c>
      <c r="W87" s="24"/>
    </row>
    <row r="88" spans="1:23" x14ac:dyDescent="0.35">
      <c r="A88" s="2">
        <v>44365</v>
      </c>
      <c r="B88" s="40">
        <v>40.795326000000003</v>
      </c>
      <c r="C88" s="40">
        <v>13.007365999999999</v>
      </c>
      <c r="D88" s="40">
        <v>12.653744</v>
      </c>
      <c r="E88" s="40">
        <v>13.081348</v>
      </c>
      <c r="F88" s="40">
        <v>26.716840000000001</v>
      </c>
      <c r="G88" s="40">
        <v>2.3492217000000002</v>
      </c>
      <c r="H88" s="40">
        <v>6.6312670000000002</v>
      </c>
      <c r="I88" s="40">
        <v>60.061549999999997</v>
      </c>
      <c r="J88" s="40">
        <v>48.708903999999997</v>
      </c>
      <c r="K88" s="40">
        <v>60.387504999999997</v>
      </c>
      <c r="L88" s="40">
        <v>39.690758000000002</v>
      </c>
      <c r="M88" s="40">
        <v>45.837676999999999</v>
      </c>
      <c r="N88" s="40">
        <v>44.968615999999997</v>
      </c>
      <c r="O88" s="40">
        <v>56.119</v>
      </c>
      <c r="P88" s="40">
        <v>24.482953999999999</v>
      </c>
      <c r="Q88" s="40">
        <v>17.758633</v>
      </c>
      <c r="R88" s="40">
        <v>17.480229999999999</v>
      </c>
      <c r="S88" s="40">
        <v>-2.3123621999999999</v>
      </c>
      <c r="T88" s="40">
        <v>46.688473000000002</v>
      </c>
      <c r="U88" s="40">
        <v>46.132553000000001</v>
      </c>
      <c r="V88" s="155">
        <v>46.540579999999999</v>
      </c>
      <c r="W88" s="24"/>
    </row>
    <row r="89" spans="1:23" x14ac:dyDescent="0.35">
      <c r="A89" s="2">
        <v>44393</v>
      </c>
      <c r="B89" s="40">
        <v>24.12585</v>
      </c>
      <c r="C89" s="40">
        <v>2.2275925000000001</v>
      </c>
      <c r="D89" s="40">
        <v>7.829237</v>
      </c>
      <c r="E89" s="40">
        <v>7.6364993999999999</v>
      </c>
      <c r="F89" s="40">
        <v>27.484535000000001</v>
      </c>
      <c r="G89" s="40">
        <v>2.3269653000000001E-2</v>
      </c>
      <c r="H89" s="40">
        <v>-3.660196</v>
      </c>
      <c r="I89" s="40">
        <v>53.48847</v>
      </c>
      <c r="J89" s="40">
        <v>55.240189999999998</v>
      </c>
      <c r="K89" s="40">
        <v>55.173636999999999</v>
      </c>
      <c r="L89" s="40">
        <v>30.041253999999999</v>
      </c>
      <c r="M89" s="40">
        <v>30.529748999999999</v>
      </c>
      <c r="N89" s="40">
        <v>37.44726</v>
      </c>
      <c r="O89" s="40">
        <v>42.926501999999999</v>
      </c>
      <c r="P89" s="40">
        <v>11.334491</v>
      </c>
      <c r="Q89" s="40">
        <v>14.739096</v>
      </c>
      <c r="R89" s="40">
        <v>16.805160000000001</v>
      </c>
      <c r="S89" s="40">
        <v>-7.3371529999999998</v>
      </c>
      <c r="T89" s="40">
        <v>43.132052999999999</v>
      </c>
      <c r="U89" s="40">
        <v>34.026206999999999</v>
      </c>
      <c r="V89" s="155">
        <v>44.882809999999999</v>
      </c>
      <c r="W89" s="24"/>
    </row>
    <row r="90" spans="1:23" x14ac:dyDescent="0.35">
      <c r="A90" s="2">
        <v>44426</v>
      </c>
      <c r="B90" s="40">
        <v>12.401617</v>
      </c>
      <c r="C90" s="40">
        <v>3.8465858000000002</v>
      </c>
      <c r="D90" s="40">
        <v>7.3405860000000001</v>
      </c>
      <c r="E90" s="40">
        <v>4.5736910000000002</v>
      </c>
      <c r="F90" s="40">
        <v>17.410923</v>
      </c>
      <c r="G90" s="40">
        <v>-18.811900000000001</v>
      </c>
      <c r="H90" s="40">
        <v>-6.4604699999999999</v>
      </c>
      <c r="I90" s="40">
        <v>37.773586000000002</v>
      </c>
      <c r="J90" s="40">
        <v>47.282134999999997</v>
      </c>
      <c r="K90" s="40">
        <v>31.794394</v>
      </c>
      <c r="L90" s="40">
        <v>16.134823000000001</v>
      </c>
      <c r="M90" s="40">
        <v>32.002482999999998</v>
      </c>
      <c r="N90" s="40">
        <v>35.562263000000002</v>
      </c>
      <c r="O90" s="40">
        <v>37.556710000000002</v>
      </c>
      <c r="P90" s="40">
        <v>-6.8039236000000001</v>
      </c>
      <c r="Q90" s="40">
        <v>16.253674</v>
      </c>
      <c r="R90" s="40">
        <v>16.672301999999998</v>
      </c>
      <c r="S90" s="40">
        <v>16.879427</v>
      </c>
      <c r="T90" s="40">
        <v>41.032124000000003</v>
      </c>
      <c r="U90" s="40">
        <v>35.470709999999997</v>
      </c>
      <c r="V90" s="155">
        <v>45.852640000000001</v>
      </c>
      <c r="W90" s="24"/>
    </row>
    <row r="91" spans="1:23" x14ac:dyDescent="0.35">
      <c r="A91" s="2">
        <v>44456</v>
      </c>
      <c r="B91" s="40">
        <v>15.170859999999999</v>
      </c>
      <c r="C91" s="40">
        <v>10.405803000000001</v>
      </c>
      <c r="D91" s="40">
        <v>18.754887</v>
      </c>
      <c r="E91" s="40">
        <v>14.942169</v>
      </c>
      <c r="F91" s="40">
        <v>31.43637</v>
      </c>
      <c r="G91" s="40">
        <v>-10.078687</v>
      </c>
      <c r="H91" s="40">
        <v>0.86716413000000003</v>
      </c>
      <c r="I91" s="40">
        <v>44.198799999999999</v>
      </c>
      <c r="J91" s="40">
        <v>49.342379999999999</v>
      </c>
      <c r="K91" s="40">
        <v>26.032935999999999</v>
      </c>
      <c r="L91" s="40">
        <v>9.0863340000000008</v>
      </c>
      <c r="M91" s="40">
        <v>24.622237999999999</v>
      </c>
      <c r="N91" s="40">
        <v>34.677590000000002</v>
      </c>
      <c r="O91" s="40">
        <v>42.953240000000001</v>
      </c>
      <c r="P91" s="40">
        <v>-6.0604277</v>
      </c>
      <c r="Q91" s="40">
        <v>12.7144575</v>
      </c>
      <c r="R91" s="40">
        <v>26.568829999999998</v>
      </c>
      <c r="S91" s="40">
        <v>14.418888000000001</v>
      </c>
      <c r="T91" s="40">
        <v>43.349502999999999</v>
      </c>
      <c r="U91" s="40">
        <v>33.350203999999998</v>
      </c>
      <c r="V91" s="155">
        <v>41.36486</v>
      </c>
      <c r="W91" s="24"/>
    </row>
    <row r="92" spans="1:23" x14ac:dyDescent="0.35">
      <c r="A92" s="2">
        <v>44487</v>
      </c>
      <c r="B92" s="40">
        <v>12.337517999999999</v>
      </c>
      <c r="C92" s="40">
        <v>2.9122352999999999</v>
      </c>
      <c r="D92" s="40">
        <v>35.839866999999998</v>
      </c>
      <c r="E92" s="40">
        <v>22.673119</v>
      </c>
      <c r="F92" s="40">
        <v>52.085760000000001</v>
      </c>
      <c r="G92" s="40">
        <v>2.2736668999999998</v>
      </c>
      <c r="H92" s="40">
        <v>4.7504900000000001</v>
      </c>
      <c r="I92" s="40">
        <v>37.573086000000004</v>
      </c>
      <c r="J92" s="40">
        <v>44.056213</v>
      </c>
      <c r="K92" s="40">
        <v>20.596563</v>
      </c>
      <c r="L92" s="40">
        <v>17.297696999999999</v>
      </c>
      <c r="M92" s="40">
        <v>36.427750000000003</v>
      </c>
      <c r="N92" s="40">
        <v>46.536290000000001</v>
      </c>
      <c r="O92" s="40">
        <v>45.329329999999999</v>
      </c>
      <c r="P92" s="40">
        <v>-8.1885220000000007</v>
      </c>
      <c r="Q92" s="40">
        <v>18.652581999999999</v>
      </c>
      <c r="R92" s="40">
        <v>33.253349999999998</v>
      </c>
      <c r="S92" s="40">
        <v>5.1625370000000004</v>
      </c>
      <c r="T92" s="40">
        <v>43.575049999999997</v>
      </c>
      <c r="U92" s="40">
        <v>29.767263</v>
      </c>
      <c r="V92" s="155">
        <v>42.145919999999997</v>
      </c>
      <c r="W92" s="24"/>
    </row>
    <row r="93" spans="1:23" x14ac:dyDescent="0.35">
      <c r="A93" s="2">
        <v>44518</v>
      </c>
      <c r="B93" s="40">
        <v>8.8999629999999996</v>
      </c>
      <c r="C93" s="40">
        <v>-7.9803762000000003</v>
      </c>
      <c r="D93" s="40">
        <v>10.038149000000001</v>
      </c>
      <c r="E93" s="40">
        <v>3.4692525999999999</v>
      </c>
      <c r="F93" s="40">
        <v>22.74624</v>
      </c>
      <c r="G93" s="40">
        <v>-5.499625</v>
      </c>
      <c r="H93" s="40">
        <v>-6.352341</v>
      </c>
      <c r="I93" s="40">
        <v>36.346687000000003</v>
      </c>
      <c r="J93" s="40">
        <v>18.681775999999999</v>
      </c>
      <c r="K93" s="40">
        <v>5.3395270000000004</v>
      </c>
      <c r="L93" s="40">
        <v>-7.8715029999999997</v>
      </c>
      <c r="M93" s="40">
        <v>17.007339999999999</v>
      </c>
      <c r="N93" s="40">
        <v>29.358899999999998</v>
      </c>
      <c r="O93" s="40">
        <v>36.21116</v>
      </c>
      <c r="P93" s="40">
        <v>-13.616370999999999</v>
      </c>
      <c r="Q93" s="40">
        <v>19.303702999999999</v>
      </c>
      <c r="R93" s="40">
        <v>20.990192</v>
      </c>
      <c r="S93" s="40">
        <v>-1.8839300000000001</v>
      </c>
      <c r="T93" s="40">
        <v>52.844093000000001</v>
      </c>
      <c r="U93" s="40">
        <v>35.337555000000002</v>
      </c>
      <c r="V93" s="155">
        <v>42.054653000000002</v>
      </c>
      <c r="W93" s="24"/>
    </row>
    <row r="94" spans="1:23" x14ac:dyDescent="0.35">
      <c r="A94" s="2">
        <v>44547</v>
      </c>
      <c r="B94" s="40">
        <v>7.2515130000000001</v>
      </c>
      <c r="C94" s="40">
        <v>-15.200692</v>
      </c>
      <c r="D94" s="40">
        <v>-4.1231274999999998</v>
      </c>
      <c r="E94" s="40">
        <v>-0.14543533</v>
      </c>
      <c r="F94" s="40">
        <v>3.9955497000000002</v>
      </c>
      <c r="G94" s="40">
        <v>-16.657029999999999</v>
      </c>
      <c r="H94" s="40">
        <v>-14.406656999999999</v>
      </c>
      <c r="I94" s="40">
        <v>28.138314999999999</v>
      </c>
      <c r="J94" s="40">
        <v>15.140461999999999</v>
      </c>
      <c r="K94" s="40">
        <v>-1.7744005</v>
      </c>
      <c r="L94" s="40">
        <v>-18.898499000000001</v>
      </c>
      <c r="M94" s="40">
        <v>3.8590908000000002</v>
      </c>
      <c r="N94" s="40">
        <v>4.606509</v>
      </c>
      <c r="O94" s="40">
        <v>19.244492000000001</v>
      </c>
      <c r="P94" s="40">
        <v>-22.022103999999999</v>
      </c>
      <c r="Q94" s="40">
        <v>12.227285</v>
      </c>
      <c r="R94" s="40">
        <v>10.636901999999999</v>
      </c>
      <c r="S94" s="40">
        <v>-27.646996000000001</v>
      </c>
      <c r="T94" s="40">
        <v>47.974440000000001</v>
      </c>
      <c r="U94" s="40">
        <v>23.556805000000001</v>
      </c>
      <c r="V94" s="155">
        <v>32.130768000000003</v>
      </c>
      <c r="W94" s="24"/>
    </row>
    <row r="95" spans="1:23" x14ac:dyDescent="0.35">
      <c r="A95" s="2">
        <v>44579</v>
      </c>
      <c r="B95" s="40">
        <v>-4.1541220000000001</v>
      </c>
      <c r="C95" s="40">
        <v>-17.499458000000001</v>
      </c>
      <c r="D95" s="40">
        <v>-4.6959280000000003</v>
      </c>
      <c r="E95" s="40">
        <v>-3.4844518</v>
      </c>
      <c r="F95" s="40">
        <v>15.969122</v>
      </c>
      <c r="G95" s="40">
        <v>-0.81341859999999999</v>
      </c>
      <c r="H95" s="40">
        <v>-6.9791555000000001</v>
      </c>
      <c r="I95" s="40">
        <v>19.806587</v>
      </c>
      <c r="J95" s="40">
        <v>16.113555999999999</v>
      </c>
      <c r="K95" s="40">
        <v>-16.943377000000002</v>
      </c>
      <c r="L95" s="40">
        <v>-14.443659999999999</v>
      </c>
      <c r="M95" s="40">
        <v>11.780810000000001</v>
      </c>
      <c r="N95" s="40">
        <v>16.689003</v>
      </c>
      <c r="O95" s="40">
        <v>23.372173</v>
      </c>
      <c r="P95" s="40">
        <v>-25.879716999999999</v>
      </c>
      <c r="Q95" s="40">
        <v>17.116463</v>
      </c>
      <c r="R95" s="40">
        <v>9.9421859999999995</v>
      </c>
      <c r="S95" s="40">
        <v>-26.761078000000001</v>
      </c>
      <c r="T95" s="40">
        <v>35.221829999999997</v>
      </c>
      <c r="U95" s="40">
        <v>7.2586417000000001</v>
      </c>
      <c r="V95" s="155">
        <v>41.599262000000003</v>
      </c>
      <c r="W95" s="24"/>
    </row>
    <row r="96" spans="1:23" x14ac:dyDescent="0.35">
      <c r="A96" s="2">
        <v>44610</v>
      </c>
      <c r="B96" s="40">
        <v>-14.038741999999999</v>
      </c>
      <c r="C96" s="40">
        <v>-16.095661</v>
      </c>
      <c r="D96" s="40">
        <v>3.6345242999999998</v>
      </c>
      <c r="E96" s="40">
        <v>7.4316740000000001</v>
      </c>
      <c r="F96" s="40">
        <v>4.3375373000000002</v>
      </c>
      <c r="G96" s="40">
        <v>-5.3696989999999998</v>
      </c>
      <c r="H96" s="40">
        <v>-0.87663530000000001</v>
      </c>
      <c r="I96" s="40">
        <v>12.893748</v>
      </c>
      <c r="J96" s="40">
        <v>22.453426</v>
      </c>
      <c r="K96" s="40">
        <v>-18.622540999999998</v>
      </c>
      <c r="L96" s="40">
        <v>1.0804533999999999</v>
      </c>
      <c r="M96" s="40">
        <v>9.0789679999999997</v>
      </c>
      <c r="N96" s="40">
        <v>22.588598000000001</v>
      </c>
      <c r="O96" s="40">
        <v>10.667752999999999</v>
      </c>
      <c r="P96" s="40">
        <v>-34.497959999999999</v>
      </c>
      <c r="Q96" s="40">
        <v>26.23893</v>
      </c>
      <c r="R96" s="40">
        <v>13.37961</v>
      </c>
      <c r="S96" s="40">
        <v>-30.141300000000001</v>
      </c>
      <c r="T96" s="40">
        <v>38.664099999999998</v>
      </c>
      <c r="U96" s="40">
        <v>9.2804789999999997</v>
      </c>
      <c r="V96" s="155">
        <v>43.234206999999998</v>
      </c>
      <c r="W96" s="24"/>
    </row>
    <row r="97" spans="1:23" x14ac:dyDescent="0.35">
      <c r="A97" s="2">
        <v>44638</v>
      </c>
      <c r="B97" s="40">
        <v>-6.6953240000000003</v>
      </c>
      <c r="C97" s="40">
        <v>-13.640374</v>
      </c>
      <c r="D97" s="40">
        <v>8.4454775000000009</v>
      </c>
      <c r="E97" s="40">
        <v>3.2805442999999999</v>
      </c>
      <c r="F97" s="40">
        <v>2.8949259999999999</v>
      </c>
      <c r="G97" s="40">
        <v>6.1538814999999998</v>
      </c>
      <c r="H97" s="40">
        <v>-2.01661</v>
      </c>
      <c r="I97" s="40">
        <v>11.143886999999999</v>
      </c>
      <c r="J97" s="40">
        <v>21.228812999999999</v>
      </c>
      <c r="K97" s="40">
        <v>-16.651768000000001</v>
      </c>
      <c r="L97" s="40">
        <v>13.234864999999999</v>
      </c>
      <c r="M97" s="40">
        <v>14.687203999999999</v>
      </c>
      <c r="N97" s="40">
        <v>2.8493284999999999</v>
      </c>
      <c r="O97" s="40">
        <v>15.307629</v>
      </c>
      <c r="P97" s="40">
        <v>-34.050415000000001</v>
      </c>
      <c r="Q97" s="40">
        <v>32.554400000000001</v>
      </c>
      <c r="R97" s="40">
        <v>6.9918870000000002</v>
      </c>
      <c r="S97" s="40">
        <v>-28.88006</v>
      </c>
      <c r="T97" s="40">
        <v>44.438040000000001</v>
      </c>
      <c r="U97" s="40">
        <v>6.3691380000000004</v>
      </c>
      <c r="V97" s="155">
        <v>40.838326000000002</v>
      </c>
      <c r="W97" s="24"/>
    </row>
    <row r="98" spans="1:23" x14ac:dyDescent="0.35">
      <c r="A98" s="2">
        <v>44669</v>
      </c>
      <c r="B98" s="40">
        <v>-9.9611870000000007</v>
      </c>
      <c r="C98" s="40">
        <v>-18.332778999999999</v>
      </c>
      <c r="D98" s="40">
        <v>14.227713</v>
      </c>
      <c r="E98" s="40">
        <v>2.6515126000000002</v>
      </c>
      <c r="F98" s="40">
        <v>-5.7554603000000002</v>
      </c>
      <c r="G98" s="40">
        <v>0.29907226999999997</v>
      </c>
      <c r="H98" s="40">
        <v>-2.8188110000000002</v>
      </c>
      <c r="I98" s="40">
        <v>-4.5912265999999997</v>
      </c>
      <c r="J98" s="40">
        <v>17.195118000000001</v>
      </c>
      <c r="K98" s="40">
        <v>-24.917179999999998</v>
      </c>
      <c r="L98" s="40">
        <v>16.819906</v>
      </c>
      <c r="M98" s="40">
        <v>3.2728195000000002</v>
      </c>
      <c r="N98" s="40">
        <v>-1.8602371</v>
      </c>
      <c r="O98" s="40">
        <v>15.630364</v>
      </c>
      <c r="P98" s="40">
        <v>-36.357613000000001</v>
      </c>
      <c r="Q98" s="40">
        <v>29.617547999999999</v>
      </c>
      <c r="R98" s="40">
        <v>7.6890349999999996</v>
      </c>
      <c r="S98" s="40">
        <v>1.5200853000000001</v>
      </c>
      <c r="T98" s="40">
        <v>47.931609999999999</v>
      </c>
      <c r="U98" s="40">
        <v>-6.2203939999999998</v>
      </c>
      <c r="V98" s="155">
        <v>41.674506999999998</v>
      </c>
      <c r="W98" s="24"/>
    </row>
    <row r="99" spans="1:23" x14ac:dyDescent="0.35">
      <c r="A99" s="2">
        <v>44699</v>
      </c>
      <c r="B99" s="40">
        <v>-23.963785000000001</v>
      </c>
      <c r="C99" s="40">
        <v>-1.8007696</v>
      </c>
      <c r="D99" s="40">
        <v>10.15451</v>
      </c>
      <c r="E99" s="40">
        <v>-0.20937919999999999</v>
      </c>
      <c r="F99" s="40">
        <v>-27.343738999999999</v>
      </c>
      <c r="G99" s="40">
        <v>-14.700174000000001</v>
      </c>
      <c r="H99" s="40">
        <v>-7.6573552999999999</v>
      </c>
      <c r="I99" s="40">
        <v>-7.8346309999999999</v>
      </c>
      <c r="J99" s="40">
        <v>6.0109972999999997</v>
      </c>
      <c r="K99" s="40">
        <v>-27.396630999999999</v>
      </c>
      <c r="L99" s="40">
        <v>-7.5992290000000002</v>
      </c>
      <c r="M99" s="40">
        <v>-11.125505</v>
      </c>
      <c r="N99" s="40">
        <v>-13.073634999999999</v>
      </c>
      <c r="O99" s="40">
        <v>5.1748753000000002E-2</v>
      </c>
      <c r="P99" s="40">
        <v>-38.867671999999999</v>
      </c>
      <c r="Q99" s="40">
        <v>20.78079</v>
      </c>
      <c r="R99" s="40">
        <v>3.4165144000000001</v>
      </c>
      <c r="S99" s="40">
        <v>-12.089812999999999</v>
      </c>
      <c r="T99" s="40">
        <v>27.482164000000001</v>
      </c>
      <c r="U99" s="40">
        <v>-17.348402</v>
      </c>
      <c r="V99" s="155">
        <v>20.748066000000001</v>
      </c>
      <c r="W99" s="24"/>
    </row>
    <row r="100" spans="1:23" x14ac:dyDescent="0.35">
      <c r="A100" s="2">
        <v>44729</v>
      </c>
      <c r="B100" s="40">
        <v>-14.229226000000001</v>
      </c>
      <c r="C100" s="40">
        <v>-4.2332945000000004</v>
      </c>
      <c r="D100" s="40">
        <v>8.9162710000000001</v>
      </c>
      <c r="E100" s="40">
        <v>-14.616156</v>
      </c>
      <c r="F100" s="40">
        <v>-30.699359999999999</v>
      </c>
      <c r="G100" s="40">
        <v>2.2242069999999998</v>
      </c>
      <c r="H100" s="40">
        <v>-12.307877</v>
      </c>
      <c r="I100" s="40">
        <v>-15.305650999999999</v>
      </c>
      <c r="J100" s="40">
        <v>-0.18716455000000001</v>
      </c>
      <c r="K100" s="40">
        <v>-33.510444999999997</v>
      </c>
      <c r="L100" s="40">
        <v>-21.845794999999999</v>
      </c>
      <c r="M100" s="40">
        <v>-12.730043999999999</v>
      </c>
      <c r="N100" s="40">
        <v>-15.847415</v>
      </c>
      <c r="O100" s="40">
        <v>-6.9084763999999996</v>
      </c>
      <c r="P100" s="40">
        <v>-33.503979999999999</v>
      </c>
      <c r="Q100" s="40">
        <v>16.46105</v>
      </c>
      <c r="R100" s="40">
        <v>-3.6015212999999999</v>
      </c>
      <c r="S100" s="40">
        <v>-9.1908159999999999</v>
      </c>
      <c r="T100" s="40">
        <v>15.618968000000001</v>
      </c>
      <c r="U100" s="40">
        <v>-25.751888000000001</v>
      </c>
      <c r="V100" s="155">
        <v>10.196256999999999</v>
      </c>
      <c r="W100" s="24"/>
    </row>
    <row r="101" spans="1:23" x14ac:dyDescent="0.35">
      <c r="A101" s="2">
        <v>44760</v>
      </c>
      <c r="B101" s="40">
        <v>-16.133265999999999</v>
      </c>
      <c r="C101" s="40">
        <v>-1.9002736</v>
      </c>
      <c r="D101" s="40">
        <v>9.191179</v>
      </c>
      <c r="E101" s="40">
        <v>-13.396274999999999</v>
      </c>
      <c r="F101" s="40">
        <v>-36.360219999999998</v>
      </c>
      <c r="G101" s="40">
        <v>-8.7566380000000006</v>
      </c>
      <c r="H101" s="40">
        <v>-9.8385700000000007</v>
      </c>
      <c r="I101" s="40">
        <v>-21.06964</v>
      </c>
      <c r="J101" s="40">
        <v>-3.1700431999999998</v>
      </c>
      <c r="K101" s="40">
        <v>-35.495358000000003</v>
      </c>
      <c r="L101" s="40">
        <v>-25.519735000000001</v>
      </c>
      <c r="M101" s="40">
        <v>-13.364858</v>
      </c>
      <c r="N101" s="40">
        <v>-15.753823000000001</v>
      </c>
      <c r="O101" s="40">
        <v>-3.6852299999999998</v>
      </c>
      <c r="P101" s="40">
        <v>-32.259500000000003</v>
      </c>
      <c r="Q101" s="40">
        <v>12.697554</v>
      </c>
      <c r="R101" s="40">
        <v>-1.8775702000000001</v>
      </c>
      <c r="S101" s="40">
        <v>-11.189591999999999</v>
      </c>
      <c r="T101" s="40">
        <v>13.402772000000001</v>
      </c>
      <c r="U101" s="40">
        <v>-25.998867000000001</v>
      </c>
      <c r="V101" s="155">
        <v>7.8446030000000002</v>
      </c>
      <c r="W101" s="24"/>
    </row>
    <row r="102" spans="1:23" x14ac:dyDescent="0.35">
      <c r="A102" s="2">
        <v>44791</v>
      </c>
      <c r="B102" s="40">
        <v>-14.5660515</v>
      </c>
      <c r="C102" s="40">
        <v>4.7193645999999996</v>
      </c>
      <c r="D102" s="40">
        <v>16.591000000000001</v>
      </c>
      <c r="E102" s="40">
        <v>-2.5474608000000001</v>
      </c>
      <c r="F102" s="40">
        <v>-34.331904999999999</v>
      </c>
      <c r="G102" s="40">
        <v>12.229538</v>
      </c>
      <c r="H102" s="40">
        <v>-3.6887645999999998</v>
      </c>
      <c r="I102" s="40">
        <v>-11.744678499999999</v>
      </c>
      <c r="J102" s="40">
        <v>-1.2779533999999999</v>
      </c>
      <c r="K102" s="40">
        <v>-27.315079999999998</v>
      </c>
      <c r="L102" s="40">
        <v>3.0532240000000002</v>
      </c>
      <c r="M102" s="40">
        <v>-4.6879530000000003</v>
      </c>
      <c r="N102" s="40">
        <v>-7.7357950000000004</v>
      </c>
      <c r="O102" s="40">
        <v>1.9351125</v>
      </c>
      <c r="P102" s="40">
        <v>-27.569514999999999</v>
      </c>
      <c r="Q102" s="40">
        <v>24.287106000000001</v>
      </c>
      <c r="R102" s="40">
        <v>5.4257035</v>
      </c>
      <c r="S102" s="40">
        <v>-1.5083550999999999</v>
      </c>
      <c r="T102" s="40">
        <v>18.062687</v>
      </c>
      <c r="U102" s="40">
        <v>-18.977958999999998</v>
      </c>
      <c r="V102" s="155">
        <v>13.195717</v>
      </c>
      <c r="W102" s="24"/>
    </row>
    <row r="103" spans="1:23" x14ac:dyDescent="0.35">
      <c r="A103" s="2">
        <v>44820</v>
      </c>
      <c r="B103" s="40">
        <v>-22.862207000000001</v>
      </c>
      <c r="C103" s="40">
        <v>4.7103166999999999</v>
      </c>
      <c r="D103" s="40">
        <v>15.499711</v>
      </c>
      <c r="E103" s="40">
        <v>-15.176779</v>
      </c>
      <c r="F103" s="40">
        <v>-45.326377999999998</v>
      </c>
      <c r="G103" s="40">
        <v>0.79448222999999996</v>
      </c>
      <c r="H103" s="40">
        <v>-12.357283000000001</v>
      </c>
      <c r="I103" s="40">
        <v>-24.086666000000001</v>
      </c>
      <c r="J103" s="40">
        <v>-6.8752409999999999</v>
      </c>
      <c r="K103" s="40">
        <v>-33.544350000000001</v>
      </c>
      <c r="L103" s="40">
        <v>-1.2343109000000001</v>
      </c>
      <c r="M103" s="40">
        <v>-14.519125000000001</v>
      </c>
      <c r="N103" s="40">
        <v>-16.624414000000002</v>
      </c>
      <c r="O103" s="40">
        <v>-8.022672</v>
      </c>
      <c r="P103" s="40">
        <v>-31.330680000000001</v>
      </c>
      <c r="Q103" s="40">
        <v>16.928768000000002</v>
      </c>
      <c r="R103" s="40">
        <v>-7.9667569999999993E-2</v>
      </c>
      <c r="S103" s="40">
        <v>10.639524</v>
      </c>
      <c r="T103" s="40">
        <v>11.526071999999999</v>
      </c>
      <c r="U103" s="40">
        <v>-26.609860999999999</v>
      </c>
      <c r="V103" s="155">
        <v>3.7873625999999998</v>
      </c>
      <c r="W103" s="24"/>
    </row>
    <row r="104" spans="1:23" x14ac:dyDescent="0.35">
      <c r="A104" s="2">
        <v>44852</v>
      </c>
      <c r="B104" s="40">
        <v>-27.94342</v>
      </c>
      <c r="C104" s="40">
        <v>6.8950294999999997</v>
      </c>
      <c r="D104" s="40">
        <v>-6.0098944000000003</v>
      </c>
      <c r="E104" s="40">
        <v>-26.490974000000001</v>
      </c>
      <c r="F104" s="40">
        <v>-51.066895000000002</v>
      </c>
      <c r="G104" s="40">
        <v>-10.974085000000001</v>
      </c>
      <c r="H104" s="40">
        <v>-21.235716</v>
      </c>
      <c r="I104" s="40">
        <v>-29.776024</v>
      </c>
      <c r="J104" s="40">
        <v>-4.3652829999999998</v>
      </c>
      <c r="K104" s="40">
        <v>-35.610419999999998</v>
      </c>
      <c r="L104" s="40">
        <v>10.117424</v>
      </c>
      <c r="M104" s="40">
        <v>-20.761787000000002</v>
      </c>
      <c r="N104" s="40">
        <v>-15.613306</v>
      </c>
      <c r="O104" s="40">
        <v>-13.31194</v>
      </c>
      <c r="P104" s="40">
        <v>-41.298217999999999</v>
      </c>
      <c r="Q104" s="40">
        <v>6.6779137000000004</v>
      </c>
      <c r="R104" s="40">
        <v>-3.2580673999999998</v>
      </c>
      <c r="S104" s="40">
        <v>36.281596999999998</v>
      </c>
      <c r="T104" s="40">
        <v>6.7532779999999999</v>
      </c>
      <c r="U104" s="40">
        <v>-36.464024000000002</v>
      </c>
      <c r="V104" s="155">
        <v>1.1249423000000001</v>
      </c>
      <c r="W104" s="24"/>
    </row>
    <row r="105" spans="1:23" x14ac:dyDescent="0.35">
      <c r="A105" s="2">
        <v>44883</v>
      </c>
      <c r="B105" s="40">
        <v>-26.989889999999999</v>
      </c>
      <c r="C105" s="40">
        <v>8.596921</v>
      </c>
      <c r="D105" s="40">
        <v>0.69414379999999998</v>
      </c>
      <c r="E105" s="40">
        <v>-20.895714000000002</v>
      </c>
      <c r="F105" s="40">
        <v>-30.399483</v>
      </c>
      <c r="G105" s="40">
        <v>3.4978747000000001</v>
      </c>
      <c r="H105" s="40">
        <v>-9.5567170000000008</v>
      </c>
      <c r="I105" s="40">
        <v>-25.058926</v>
      </c>
      <c r="J105" s="40">
        <v>15.556668999999999</v>
      </c>
      <c r="K105" s="40">
        <v>-24.199508999999999</v>
      </c>
      <c r="L105" s="40">
        <v>13.96203</v>
      </c>
      <c r="M105" s="40">
        <v>-4.8512936</v>
      </c>
      <c r="N105" s="40">
        <v>-6.6577789999999997</v>
      </c>
      <c r="O105" s="40">
        <v>-8.154928</v>
      </c>
      <c r="P105" s="40">
        <v>-34.650689999999997</v>
      </c>
      <c r="Q105" s="40">
        <v>2.2253036000000002</v>
      </c>
      <c r="R105" s="40">
        <v>-2.0375310999999998</v>
      </c>
      <c r="S105" s="40">
        <v>44.894362999999998</v>
      </c>
      <c r="T105" s="40">
        <v>-2.8341413000000002</v>
      </c>
      <c r="U105" s="40">
        <v>-45.146500000000003</v>
      </c>
      <c r="V105" s="155">
        <v>-4.3842673000000003</v>
      </c>
      <c r="W105" s="24"/>
    </row>
    <row r="106" spans="1:23" x14ac:dyDescent="0.35">
      <c r="A106" s="2">
        <v>44911</v>
      </c>
      <c r="B106" s="40">
        <v>-26.612400000000001</v>
      </c>
      <c r="C106" s="40">
        <v>11.716377</v>
      </c>
      <c r="D106" s="40">
        <v>1.5424131999999999</v>
      </c>
      <c r="E106" s="40">
        <v>-19.209105000000001</v>
      </c>
      <c r="F106" s="40">
        <v>-24.842178000000001</v>
      </c>
      <c r="G106" s="40">
        <v>5.8551549999999999</v>
      </c>
      <c r="H106" s="40">
        <v>-2.6457964999999999</v>
      </c>
      <c r="I106" s="40">
        <v>-24.91132</v>
      </c>
      <c r="J106" s="40">
        <v>7.353294</v>
      </c>
      <c r="K106" s="40">
        <v>-27.158142000000002</v>
      </c>
      <c r="L106" s="40">
        <v>3.8542627999999999</v>
      </c>
      <c r="M106" s="40">
        <v>-6.9947900000000001</v>
      </c>
      <c r="N106" s="40">
        <v>2.1033525000000002</v>
      </c>
      <c r="O106" s="40">
        <v>-5.3189634999999997</v>
      </c>
      <c r="P106" s="40">
        <v>-23.090017</v>
      </c>
      <c r="Q106" s="40">
        <v>-4.2423544</v>
      </c>
      <c r="R106" s="40">
        <v>-1.5990793999999999</v>
      </c>
      <c r="S106" s="40">
        <v>82.111999999999995</v>
      </c>
      <c r="T106" s="40">
        <v>-8.9633280000000006</v>
      </c>
      <c r="U106" s="40">
        <v>-39.292071999999997</v>
      </c>
      <c r="V106" s="155">
        <v>-8.2165180000000007</v>
      </c>
      <c r="W106" s="24"/>
    </row>
    <row r="107" spans="1:23" x14ac:dyDescent="0.35">
      <c r="A107" s="2">
        <v>44944</v>
      </c>
      <c r="B107" s="40">
        <v>-17.506492999999999</v>
      </c>
      <c r="C107" s="40">
        <v>17.801642999999999</v>
      </c>
      <c r="D107" s="40">
        <v>0.65516233000000001</v>
      </c>
      <c r="E107" s="40">
        <v>-6.5804004999999997</v>
      </c>
      <c r="F107" s="40">
        <v>-23.49211</v>
      </c>
      <c r="G107" s="40">
        <v>-1.5334904</v>
      </c>
      <c r="H107" s="40">
        <v>-2.4165570000000001</v>
      </c>
      <c r="I107" s="40">
        <v>-23.155045000000001</v>
      </c>
      <c r="J107" s="40">
        <v>14.932383</v>
      </c>
      <c r="K107" s="40">
        <v>-17.250071999999999</v>
      </c>
      <c r="L107" s="40">
        <v>14.627969999999999</v>
      </c>
      <c r="M107" s="40">
        <v>-1.4793217000000001</v>
      </c>
      <c r="N107" s="40">
        <v>4.2765500000000003</v>
      </c>
      <c r="O107" s="40">
        <v>-10.497469000000001</v>
      </c>
      <c r="P107" s="40">
        <v>-14.677345000000001</v>
      </c>
      <c r="Q107" s="40">
        <v>-13.912815</v>
      </c>
      <c r="R107" s="40">
        <v>1.5160084</v>
      </c>
      <c r="S107" s="40">
        <v>92.090019999999996</v>
      </c>
      <c r="T107" s="40">
        <v>-5.1317750000000002</v>
      </c>
      <c r="U107" s="40">
        <v>-34.810077999999997</v>
      </c>
      <c r="V107" s="155">
        <v>-12.174462999999999</v>
      </c>
      <c r="W107" s="24"/>
    </row>
    <row r="108" spans="1:23" x14ac:dyDescent="0.35">
      <c r="A108" s="2">
        <v>44974</v>
      </c>
      <c r="B108" s="40">
        <v>-17.134916</v>
      </c>
      <c r="C108" s="40">
        <v>19.483543000000001</v>
      </c>
      <c r="D108" s="40">
        <v>-0.52671429999999997</v>
      </c>
      <c r="E108" s="40">
        <v>-13.951672</v>
      </c>
      <c r="F108" s="40">
        <v>-20.569873999999999</v>
      </c>
      <c r="G108" s="40">
        <v>-10.212778999999999</v>
      </c>
      <c r="H108" s="40">
        <v>-9.3491079999999993</v>
      </c>
      <c r="I108" s="40">
        <v>-19.747055</v>
      </c>
      <c r="J108" s="40">
        <v>20.157109999999999</v>
      </c>
      <c r="K108" s="40">
        <v>-15.705852999999999</v>
      </c>
      <c r="L108" s="40">
        <v>-1.7037749</v>
      </c>
      <c r="M108" s="40">
        <v>-15.999423999999999</v>
      </c>
      <c r="N108" s="40">
        <v>12.9912615</v>
      </c>
      <c r="O108" s="40">
        <v>-9.5964069999999992</v>
      </c>
      <c r="P108" s="40">
        <v>-18.287545999999999</v>
      </c>
      <c r="Q108" s="40">
        <v>-15.626269000000001</v>
      </c>
      <c r="R108" s="40">
        <v>-3.5002708</v>
      </c>
      <c r="S108" s="40">
        <v>75.531899999999993</v>
      </c>
      <c r="T108" s="40">
        <v>-9.8035755000000009</v>
      </c>
      <c r="U108" s="40">
        <v>-39.482300000000002</v>
      </c>
      <c r="V108" s="155">
        <v>-15.503292999999999</v>
      </c>
      <c r="W108" s="24"/>
    </row>
    <row r="109" spans="1:23" x14ac:dyDescent="0.35">
      <c r="A109" s="2">
        <v>45002</v>
      </c>
      <c r="B109" s="40">
        <v>-12.855757000000001</v>
      </c>
      <c r="C109" s="40">
        <v>2.0646095</v>
      </c>
      <c r="D109" s="40">
        <v>-8.3175419999999995</v>
      </c>
      <c r="E109" s="40">
        <v>-13.218992999999999</v>
      </c>
      <c r="F109" s="40">
        <v>-21.893597</v>
      </c>
      <c r="G109" s="40">
        <v>-18.391597999999998</v>
      </c>
      <c r="H109" s="40">
        <v>-14.499848999999999</v>
      </c>
      <c r="I109" s="40">
        <v>-17.988264000000001</v>
      </c>
      <c r="J109" s="40">
        <v>9.9156139999999997</v>
      </c>
      <c r="K109" s="40">
        <v>-17.013394999999999</v>
      </c>
      <c r="L109" s="40">
        <v>-12.050103999999999</v>
      </c>
      <c r="M109" s="40">
        <v>-25.604026999999999</v>
      </c>
      <c r="N109" s="40">
        <v>12.455629999999999</v>
      </c>
      <c r="O109" s="40">
        <v>-13.616925</v>
      </c>
      <c r="P109" s="40">
        <v>-8.7835789999999996</v>
      </c>
      <c r="Q109" s="40">
        <v>-24.24034</v>
      </c>
      <c r="R109" s="40">
        <v>-7.0218086</v>
      </c>
      <c r="S109" s="40">
        <v>83.974266</v>
      </c>
      <c r="T109" s="40">
        <v>-23.341846</v>
      </c>
      <c r="U109" s="40">
        <v>-36.953631999999999</v>
      </c>
      <c r="V109" s="155">
        <v>-22.194248000000002</v>
      </c>
      <c r="W109" s="24"/>
    </row>
    <row r="110" spans="1:23" x14ac:dyDescent="0.35">
      <c r="A110" s="2">
        <v>45034</v>
      </c>
      <c r="B110" s="40">
        <v>-5.7262420000000001</v>
      </c>
      <c r="C110" s="40">
        <v>13.995706999999999</v>
      </c>
      <c r="D110" s="40">
        <v>-0.71241259999999995</v>
      </c>
      <c r="E110" s="40">
        <v>-12.892187</v>
      </c>
      <c r="F110" s="40">
        <v>-4.2172966000000001</v>
      </c>
      <c r="G110" s="40">
        <v>-4.0650187000000004</v>
      </c>
      <c r="H110" s="40">
        <v>-10.130077</v>
      </c>
      <c r="I110" s="40">
        <v>-8.3154789999999998</v>
      </c>
      <c r="J110" s="40">
        <v>15.81353</v>
      </c>
      <c r="K110" s="40">
        <v>-7.2161856000000002</v>
      </c>
      <c r="L110" s="40">
        <v>-12.749796999999999</v>
      </c>
      <c r="M110" s="40">
        <v>-14.828711500000001</v>
      </c>
      <c r="N110" s="40">
        <v>22.243320000000001</v>
      </c>
      <c r="O110" s="40">
        <v>-10.608774</v>
      </c>
      <c r="P110" s="40">
        <v>-2.0815969000000001</v>
      </c>
      <c r="Q110" s="40">
        <v>-24.168074000000001</v>
      </c>
      <c r="R110" s="40">
        <v>-4.4488849999999998</v>
      </c>
      <c r="S110" s="40">
        <v>49.491467</v>
      </c>
      <c r="T110" s="40">
        <v>-20.05096</v>
      </c>
      <c r="U110" s="40">
        <v>-31.978166999999999</v>
      </c>
      <c r="V110" s="155">
        <v>-19.015705000000001</v>
      </c>
      <c r="W110" s="24"/>
    </row>
    <row r="111" spans="1:23" x14ac:dyDescent="0.35">
      <c r="A111" s="2">
        <v>45064</v>
      </c>
      <c r="B111" s="40">
        <v>-2.5994540000000002</v>
      </c>
      <c r="C111" s="40">
        <v>18.214714000000001</v>
      </c>
      <c r="D111" s="40">
        <v>3.2710552000000002</v>
      </c>
      <c r="E111" s="40">
        <v>-4.5532703000000003</v>
      </c>
      <c r="F111" s="40">
        <v>17.877376999999999</v>
      </c>
      <c r="G111" s="40">
        <v>11.000538000000001</v>
      </c>
      <c r="H111" s="40">
        <v>-6.5155982999999997</v>
      </c>
      <c r="I111" s="40">
        <v>-0.15204549000000001</v>
      </c>
      <c r="J111" s="40">
        <v>29.694153</v>
      </c>
      <c r="K111" s="40">
        <v>-3.5766244</v>
      </c>
      <c r="L111" s="40">
        <v>5.0013899999999998</v>
      </c>
      <c r="M111" s="40">
        <v>-10.609168</v>
      </c>
      <c r="N111" s="40">
        <v>33.789110000000001</v>
      </c>
      <c r="O111" s="40">
        <v>1.0617255999999999</v>
      </c>
      <c r="P111" s="40">
        <v>-2.0598412000000001</v>
      </c>
      <c r="Q111" s="40">
        <v>-12.077284000000001</v>
      </c>
      <c r="R111" s="40">
        <v>-5.7790699999999999</v>
      </c>
      <c r="S111" s="40">
        <v>50.374985000000002</v>
      </c>
      <c r="T111" s="40">
        <v>-13.636303</v>
      </c>
      <c r="U111" s="40">
        <v>-18.829668000000002</v>
      </c>
      <c r="V111" s="155">
        <v>-6.9460572999999997</v>
      </c>
      <c r="W111" s="24"/>
    </row>
    <row r="112" spans="1:23" x14ac:dyDescent="0.35">
      <c r="A112" s="2">
        <v>45093</v>
      </c>
      <c r="B112" s="40">
        <v>-12.631721000000001</v>
      </c>
      <c r="C112" s="40">
        <v>20.596551999999999</v>
      </c>
      <c r="D112" s="40">
        <v>4.499638</v>
      </c>
      <c r="E112" s="40">
        <v>-1.0934174000000001</v>
      </c>
      <c r="F112" s="40">
        <v>39.695526000000001</v>
      </c>
      <c r="G112" s="40">
        <v>16.195452</v>
      </c>
      <c r="H112" s="40">
        <v>-5.6441784000000004</v>
      </c>
      <c r="I112" s="40">
        <v>9.0195290000000004</v>
      </c>
      <c r="J112" s="40">
        <v>45.564450000000001</v>
      </c>
      <c r="K112" s="40">
        <v>13.565075</v>
      </c>
      <c r="L112" s="40">
        <v>26.068401000000001</v>
      </c>
      <c r="M112" s="40">
        <v>3.3140898000000001</v>
      </c>
      <c r="N112" s="40">
        <v>61.193992999999999</v>
      </c>
      <c r="O112" s="40">
        <v>11.140907</v>
      </c>
      <c r="P112" s="40">
        <v>-5.9237003000000001</v>
      </c>
      <c r="Q112" s="40">
        <v>-10.444521999999999</v>
      </c>
      <c r="R112" s="40">
        <v>-0.109535456</v>
      </c>
      <c r="S112" s="40">
        <v>60.525120000000001</v>
      </c>
      <c r="T112" s="40">
        <v>-6.0257616000000001</v>
      </c>
      <c r="U112" s="40">
        <v>-10.991794000000001</v>
      </c>
      <c r="V112" s="155">
        <v>0.73581934000000004</v>
      </c>
      <c r="W112" s="24"/>
    </row>
    <row r="113" spans="1:23" x14ac:dyDescent="0.35">
      <c r="A113" s="2">
        <v>45125</v>
      </c>
      <c r="B113" s="40">
        <v>-15.549117000000001</v>
      </c>
      <c r="C113" s="40">
        <v>36.881459999999997</v>
      </c>
      <c r="D113" s="40">
        <v>12.013531</v>
      </c>
      <c r="E113" s="40">
        <v>9.6951370000000008</v>
      </c>
      <c r="F113" s="40">
        <v>59.066997999999998</v>
      </c>
      <c r="G113" s="40">
        <v>40.448104999999998</v>
      </c>
      <c r="H113" s="40">
        <v>0.39502382000000003</v>
      </c>
      <c r="I113" s="40">
        <v>16.708767000000002</v>
      </c>
      <c r="J113" s="40">
        <v>44.908679999999997</v>
      </c>
      <c r="K113" s="40">
        <v>18.970393999999999</v>
      </c>
      <c r="L113" s="40">
        <v>36.819122</v>
      </c>
      <c r="M113" s="40">
        <v>10.295367000000001</v>
      </c>
      <c r="N113" s="40">
        <v>83.779570000000007</v>
      </c>
      <c r="O113" s="40">
        <v>11.535584999999999</v>
      </c>
      <c r="P113" s="40">
        <v>-10.752333</v>
      </c>
      <c r="Q113" s="40">
        <v>-8.8202529999999992</v>
      </c>
      <c r="R113" s="40">
        <v>-0.61560870000000001</v>
      </c>
      <c r="S113" s="40">
        <v>68.922614999999993</v>
      </c>
      <c r="T113" s="40">
        <v>2.2304176999999998</v>
      </c>
      <c r="U113" s="40">
        <v>-0.26324987</v>
      </c>
      <c r="V113" s="155">
        <v>4.3187499999999996</v>
      </c>
      <c r="W113" s="24"/>
    </row>
    <row r="114" spans="1:23" x14ac:dyDescent="0.35">
      <c r="A114" s="2">
        <v>45156</v>
      </c>
      <c r="B114" s="40">
        <v>-17.257904</v>
      </c>
      <c r="C114" s="40">
        <v>14.867413000000001</v>
      </c>
      <c r="D114" s="40">
        <v>-1.4765798999999999</v>
      </c>
      <c r="E114" s="40">
        <v>-8.491987</v>
      </c>
      <c r="F114" s="40">
        <v>39.957737000000002</v>
      </c>
      <c r="G114" s="40">
        <v>21.737576000000001</v>
      </c>
      <c r="H114" s="40">
        <v>-5.1371517000000004</v>
      </c>
      <c r="I114" s="40">
        <v>0.77718496000000004</v>
      </c>
      <c r="J114" s="40">
        <v>32.881798000000003</v>
      </c>
      <c r="K114" s="40">
        <v>2.2591351999999998</v>
      </c>
      <c r="L114" s="40">
        <v>5.7021975999999999</v>
      </c>
      <c r="M114" s="40">
        <v>-8.2371599999999994</v>
      </c>
      <c r="N114" s="40">
        <v>51.768208000000001</v>
      </c>
      <c r="O114" s="40">
        <v>-1.3140141999999999</v>
      </c>
      <c r="P114" s="40">
        <v>-9.0926229999999997</v>
      </c>
      <c r="Q114" s="40">
        <v>-19.564236000000001</v>
      </c>
      <c r="R114" s="40">
        <v>-7.1482239999999999</v>
      </c>
      <c r="S114" s="40">
        <v>66.40204</v>
      </c>
      <c r="T114" s="40">
        <v>-6.4977289999999996</v>
      </c>
      <c r="U114" s="40">
        <v>-8.4834759999999996</v>
      </c>
      <c r="V114" s="155">
        <v>-9.2959639999999997</v>
      </c>
      <c r="W114" s="24"/>
    </row>
    <row r="115" spans="1:23" x14ac:dyDescent="0.35">
      <c r="A115" s="2">
        <v>45187</v>
      </c>
      <c r="B115" s="40">
        <v>-9.7777840000000005</v>
      </c>
      <c r="C115" s="40">
        <v>6.6625953000000004</v>
      </c>
      <c r="D115" s="40">
        <v>-3.5657823</v>
      </c>
      <c r="E115" s="40">
        <v>-4.3830749999999998</v>
      </c>
      <c r="F115" s="40">
        <v>44.576763</v>
      </c>
      <c r="G115" s="40">
        <v>30.181812000000001</v>
      </c>
      <c r="H115" s="40">
        <v>1.0312437999999999</v>
      </c>
      <c r="I115" s="40">
        <v>13.501763</v>
      </c>
      <c r="J115" s="40">
        <v>34.498978000000001</v>
      </c>
      <c r="K115" s="40">
        <v>17.660439</v>
      </c>
      <c r="L115" s="40">
        <v>18.577919999999999</v>
      </c>
      <c r="M115" s="40">
        <v>2.5935410999999999</v>
      </c>
      <c r="N115" s="40">
        <v>54.823174000000002</v>
      </c>
      <c r="O115" s="40">
        <v>4.9279929999999998</v>
      </c>
      <c r="P115" s="40">
        <v>-2.0977199999999998</v>
      </c>
      <c r="Q115" s="40">
        <v>-17.239874</v>
      </c>
      <c r="R115" s="40">
        <v>-6.307048</v>
      </c>
      <c r="S115" s="40">
        <v>56.235840000000003</v>
      </c>
      <c r="T115" s="40">
        <v>-3.9299726000000001</v>
      </c>
      <c r="U115" s="40">
        <v>3.0261993</v>
      </c>
      <c r="V115" s="155">
        <v>-5.9914946999999996</v>
      </c>
      <c r="W115" s="24"/>
    </row>
    <row r="116" spans="1:23" x14ac:dyDescent="0.35">
      <c r="A116" s="2">
        <v>45217</v>
      </c>
      <c r="B116" s="40">
        <v>-9.1311339999999994</v>
      </c>
      <c r="C116" s="40">
        <v>10.896993</v>
      </c>
      <c r="D116" s="40">
        <v>-2.9074550000000001</v>
      </c>
      <c r="E116" s="40">
        <v>6.5877438000000001</v>
      </c>
      <c r="F116" s="40">
        <v>72.839449999999999</v>
      </c>
      <c r="G116" s="40">
        <v>19.056438</v>
      </c>
      <c r="H116" s="40">
        <v>6.0757519999999996</v>
      </c>
      <c r="I116" s="40">
        <v>24.237584999999999</v>
      </c>
      <c r="J116" s="40">
        <v>20.466911</v>
      </c>
      <c r="K116" s="40">
        <v>17.868614000000001</v>
      </c>
      <c r="L116" s="40">
        <v>3.4347534</v>
      </c>
      <c r="M116" s="40">
        <v>3.8911104000000001</v>
      </c>
      <c r="N116" s="40">
        <v>46.703003000000002</v>
      </c>
      <c r="O116" s="40">
        <v>7.7161309999999999</v>
      </c>
      <c r="P116" s="40">
        <v>5.5991530000000003</v>
      </c>
      <c r="Q116" s="40">
        <v>-18.572437000000001</v>
      </c>
      <c r="R116" s="40">
        <v>-9.5896539999999995</v>
      </c>
      <c r="S116" s="40">
        <v>38.612915000000001</v>
      </c>
      <c r="T116" s="40">
        <v>-4.4075784999999996</v>
      </c>
      <c r="U116" s="40">
        <v>3.9487123</v>
      </c>
      <c r="V116" s="155">
        <v>-10.611307</v>
      </c>
      <c r="W116" s="24"/>
    </row>
    <row r="117" spans="1:23" x14ac:dyDescent="0.35">
      <c r="A117" s="2">
        <v>45247</v>
      </c>
      <c r="B117" s="40">
        <v>-8.5288105000000005</v>
      </c>
      <c r="C117" s="40">
        <v>9.3501569999999994</v>
      </c>
      <c r="D117" s="40">
        <v>-2.6990829999999999</v>
      </c>
      <c r="E117" s="40">
        <v>0.79057217000000002</v>
      </c>
      <c r="F117" s="40">
        <v>51.022039999999997</v>
      </c>
      <c r="G117" s="40">
        <v>9.4885459999999995</v>
      </c>
      <c r="H117" s="40">
        <v>1.7932773</v>
      </c>
      <c r="I117" s="40">
        <v>16.293811999999999</v>
      </c>
      <c r="J117" s="40">
        <v>19.712437000000001</v>
      </c>
      <c r="K117" s="40">
        <v>9.2151639999999997</v>
      </c>
      <c r="L117" s="40">
        <v>25.270403000000002</v>
      </c>
      <c r="M117" s="40">
        <v>-4.2797090000000004</v>
      </c>
      <c r="N117" s="40">
        <v>49.234188000000003</v>
      </c>
      <c r="O117" s="40">
        <v>5.1006080000000003</v>
      </c>
      <c r="P117" s="40">
        <v>-2.1634161000000001</v>
      </c>
      <c r="Q117" s="40">
        <v>-11.859667</v>
      </c>
      <c r="R117" s="40">
        <v>-12.332886999999999</v>
      </c>
      <c r="S117" s="40">
        <v>22.881817000000002</v>
      </c>
      <c r="T117" s="40">
        <v>-1.0112285999999999</v>
      </c>
      <c r="U117" s="40">
        <v>15.271210999999999</v>
      </c>
      <c r="V117" s="155">
        <v>-0.45921803</v>
      </c>
      <c r="W117" s="24"/>
    </row>
    <row r="118" spans="1:23" x14ac:dyDescent="0.35">
      <c r="A118" s="2">
        <v>45278</v>
      </c>
      <c r="B118" s="40">
        <v>-17.007154</v>
      </c>
      <c r="C118" s="40">
        <v>14.016843</v>
      </c>
      <c r="D118" s="40">
        <v>-2.0956516000000001</v>
      </c>
      <c r="E118" s="40">
        <v>2.1140933</v>
      </c>
      <c r="F118" s="40">
        <v>55.399059999999999</v>
      </c>
      <c r="G118" s="40">
        <v>25.022984000000001</v>
      </c>
      <c r="H118" s="40">
        <v>-3.222531</v>
      </c>
      <c r="I118" s="40">
        <v>20.850646999999999</v>
      </c>
      <c r="J118" s="40">
        <v>39.202440000000003</v>
      </c>
      <c r="K118" s="40">
        <v>13.993967</v>
      </c>
      <c r="L118" s="40">
        <v>37.557136999999997</v>
      </c>
      <c r="M118" s="40">
        <v>0.88995694999999997</v>
      </c>
      <c r="N118" s="40">
        <v>44.581116000000002</v>
      </c>
      <c r="O118" s="40">
        <v>15.039479999999999</v>
      </c>
      <c r="P118" s="40">
        <v>-12.865375999999999</v>
      </c>
      <c r="Q118" s="40">
        <v>-4.7568799999999998</v>
      </c>
      <c r="R118" s="40">
        <v>-13.93444</v>
      </c>
      <c r="S118" s="40">
        <v>1.4383078</v>
      </c>
      <c r="T118" s="40">
        <v>-2.7694345</v>
      </c>
      <c r="U118" s="40">
        <v>5.2576064999999996</v>
      </c>
      <c r="V118" s="155">
        <v>14.768706999999999</v>
      </c>
      <c r="W118" s="24"/>
    </row>
    <row r="119" spans="1:23" x14ac:dyDescent="0.35">
      <c r="A119" s="2">
        <v>45309</v>
      </c>
      <c r="B119" s="40">
        <v>-25.770008000000001</v>
      </c>
      <c r="C119" s="40">
        <v>-3.8504958</v>
      </c>
      <c r="D119" s="40">
        <v>0.89787245000000004</v>
      </c>
      <c r="E119" s="40">
        <v>-8.0757619999999992</v>
      </c>
      <c r="F119" s="40">
        <v>30.775939999999999</v>
      </c>
      <c r="G119" s="40">
        <v>10.306096</v>
      </c>
      <c r="H119" s="40">
        <v>-7.5649977000000002</v>
      </c>
      <c r="I119" s="40">
        <v>11.999071000000001</v>
      </c>
      <c r="J119" s="40">
        <v>16.694735999999999</v>
      </c>
      <c r="K119" s="40">
        <v>-2.0532249999999999</v>
      </c>
      <c r="L119" s="40">
        <v>18.952964999999999</v>
      </c>
      <c r="M119" s="40">
        <v>-14.662008999999999</v>
      </c>
      <c r="N119" s="40">
        <v>37.477398000000001</v>
      </c>
      <c r="O119" s="40">
        <v>15.809798000000001</v>
      </c>
      <c r="P119" s="40">
        <v>-27.272392</v>
      </c>
      <c r="Q119" s="40">
        <v>0.99031924999999998</v>
      </c>
      <c r="R119" s="40">
        <v>-18.245083000000001</v>
      </c>
      <c r="S119" s="40">
        <v>-1.9317089999999999</v>
      </c>
      <c r="T119" s="40">
        <v>2.2939444</v>
      </c>
      <c r="U119" s="40">
        <v>7.0577620000000003</v>
      </c>
      <c r="V119" s="155">
        <v>12.460685</v>
      </c>
      <c r="W119" s="24"/>
    </row>
    <row r="120" spans="1:23" x14ac:dyDescent="0.35">
      <c r="A120" s="2">
        <v>45338</v>
      </c>
      <c r="B120" s="40">
        <v>-20.162856999999999</v>
      </c>
      <c r="C120" s="40">
        <v>-10.525054000000001</v>
      </c>
      <c r="D120" s="40">
        <v>0.46856403000000002</v>
      </c>
      <c r="E120" s="40">
        <v>0.9768367</v>
      </c>
      <c r="F120" s="40">
        <v>47.042392999999997</v>
      </c>
      <c r="G120" s="40">
        <v>23.350216</v>
      </c>
      <c r="H120" s="40">
        <v>-2.5397419999999999</v>
      </c>
      <c r="I120" s="40">
        <v>17.148792</v>
      </c>
      <c r="J120" s="40">
        <v>18.086646999999999</v>
      </c>
      <c r="K120" s="40">
        <v>7.1912289999999999</v>
      </c>
      <c r="L120" s="40">
        <v>22.726261000000001</v>
      </c>
      <c r="M120" s="40">
        <v>-7.3697749999999997</v>
      </c>
      <c r="N120" s="40">
        <v>28.834247999999999</v>
      </c>
      <c r="O120" s="40">
        <v>26.784110999999999</v>
      </c>
      <c r="P120" s="40">
        <v>-21.687370000000001</v>
      </c>
      <c r="Q120" s="40">
        <v>-1.0752678</v>
      </c>
      <c r="R120" s="40">
        <v>-16.403645000000001</v>
      </c>
      <c r="S120" s="40">
        <v>18.232165999999999</v>
      </c>
      <c r="T120" s="40">
        <v>3.670156</v>
      </c>
      <c r="U120" s="40">
        <v>15.720473999999999</v>
      </c>
      <c r="V120" s="155">
        <v>20.104195000000001</v>
      </c>
      <c r="W120" s="24"/>
    </row>
    <row r="121" spans="1:23" x14ac:dyDescent="0.35">
      <c r="A121" s="2">
        <v>45369</v>
      </c>
      <c r="B121" s="40">
        <v>-11.564368</v>
      </c>
      <c r="C121" s="40">
        <v>5.3608893999999996</v>
      </c>
      <c r="D121" s="40">
        <v>6.1258197000000001</v>
      </c>
      <c r="E121" s="40">
        <v>7.659173</v>
      </c>
      <c r="F121" s="40">
        <v>63.1935</v>
      </c>
      <c r="G121" s="40">
        <v>42.620669999999997</v>
      </c>
      <c r="H121" s="40">
        <v>7.0523619999999996</v>
      </c>
      <c r="I121" s="40">
        <v>25.170791999999999</v>
      </c>
      <c r="J121" s="40">
        <v>25.456083</v>
      </c>
      <c r="K121" s="40">
        <v>15.686738999999999</v>
      </c>
      <c r="L121" s="40">
        <v>28.733264999999999</v>
      </c>
      <c r="M121" s="40">
        <v>-1.3317645</v>
      </c>
      <c r="N121" s="40">
        <v>42.885420000000003</v>
      </c>
      <c r="O121" s="40">
        <v>32.349921999999999</v>
      </c>
      <c r="P121" s="40">
        <v>-11.322576</v>
      </c>
      <c r="Q121" s="40">
        <v>7.4899434999999999</v>
      </c>
      <c r="R121" s="40">
        <v>-11.366213</v>
      </c>
      <c r="S121" s="40">
        <v>3.0524372999999998</v>
      </c>
      <c r="T121" s="40">
        <v>11.612534500000001</v>
      </c>
      <c r="U121" s="40">
        <v>20.943307999999998</v>
      </c>
      <c r="V121" s="155">
        <v>27.373577000000001</v>
      </c>
      <c r="W121" s="24"/>
    </row>
    <row r="122" spans="1:23" x14ac:dyDescent="0.35">
      <c r="A122" s="2">
        <v>45400</v>
      </c>
      <c r="B122">
        <v>-17.625242</v>
      </c>
      <c r="C122">
        <v>-7.2434845000000001</v>
      </c>
      <c r="D122">
        <v>-10.360694000000001</v>
      </c>
      <c r="E122">
        <v>-0.92384219999999995</v>
      </c>
      <c r="F122">
        <v>39.681457999999999</v>
      </c>
      <c r="G122">
        <v>31.710982999999999</v>
      </c>
      <c r="H122">
        <v>1.0404229</v>
      </c>
      <c r="I122">
        <v>17.194033000000001</v>
      </c>
      <c r="J122">
        <v>11.220717</v>
      </c>
      <c r="K122">
        <v>0.70905684999999996</v>
      </c>
      <c r="L122">
        <v>10.182952999999999</v>
      </c>
      <c r="M122">
        <v>-9.0684950000000004</v>
      </c>
      <c r="N122">
        <v>22.330593</v>
      </c>
      <c r="O122">
        <v>28.10867</v>
      </c>
      <c r="P122">
        <v>-17.651509999999998</v>
      </c>
      <c r="Q122">
        <v>0.44510365000000002</v>
      </c>
      <c r="R122">
        <v>-14.60802</v>
      </c>
      <c r="S122">
        <v>16.913902</v>
      </c>
      <c r="T122">
        <v>1.9243598</v>
      </c>
      <c r="U122">
        <v>5.5269956999999996</v>
      </c>
      <c r="V122" s="1">
        <v>9.7315070000000006</v>
      </c>
    </row>
    <row r="123" spans="1:23" x14ac:dyDescent="0.35">
      <c r="A123" s="2"/>
    </row>
    <row r="124" spans="1:23" x14ac:dyDescent="0.35">
      <c r="A124" s="2"/>
    </row>
    <row r="125" spans="1:23" x14ac:dyDescent="0.35">
      <c r="A125" s="2"/>
    </row>
    <row r="126" spans="1:23" x14ac:dyDescent="0.35">
      <c r="A126" s="2" t="s">
        <v>85</v>
      </c>
      <c r="B126" s="40" cm="1">
        <f t="array" ref="B126">MIN(_xlfn._xlws.FILTER(B2:B122, ISNUMBER(B2:B122)))</f>
        <v>-27.94342</v>
      </c>
      <c r="C126" s="40" cm="1">
        <f t="array" ref="C126">MIN(_xlfn._xlws.FILTER(C2:C122, ISNUMBER(C2:C122)))</f>
        <v>-59.507649999999998</v>
      </c>
      <c r="D126" s="40" cm="1">
        <f t="array" ref="D126">MIN(_xlfn._xlws.FILTER(D2:D122, ISNUMBER(D2:D122)))</f>
        <v>-43.961506</v>
      </c>
      <c r="E126" s="40" cm="1">
        <f t="array" ref="E126">MIN(_xlfn._xlws.FILTER(E2:E122, ISNUMBER(E2:E122)))</f>
        <v>-43.419646999999998</v>
      </c>
      <c r="F126" s="40" cm="1">
        <f t="array" ref="F126">MIN(_xlfn._xlws.FILTER(F2:F122, ISNUMBER(F2:F122)))</f>
        <v>-51.066895000000002</v>
      </c>
      <c r="G126" s="40" cm="1">
        <f t="array" ref="G126">MIN(_xlfn._xlws.FILTER(G2:G122, ISNUMBER(G2:G122)))</f>
        <v>-43.894480000000001</v>
      </c>
      <c r="H126" s="40" cm="1">
        <f t="array" ref="H126">MIN(_xlfn._xlws.FILTER(H2:H122, ISNUMBER(H2:H122)))</f>
        <v>-34.768383</v>
      </c>
      <c r="I126" s="40" cm="1">
        <f t="array" ref="I126">MIN(_xlfn._xlws.FILTER(I2:I122, ISNUMBER(I2:I122)))</f>
        <v>-29.776024</v>
      </c>
      <c r="J126" s="40" cm="1">
        <f t="array" ref="J126">MIN(_xlfn._xlws.FILTER(J2:J122, ISNUMBER(J2:J122)))</f>
        <v>-38.409424000000001</v>
      </c>
      <c r="K126" s="40" cm="1">
        <f t="array" ref="K126">MIN(_xlfn._xlws.FILTER(K2:K122, ISNUMBER(K2:K122)))</f>
        <v>-35.610419999999998</v>
      </c>
      <c r="L126" s="40" cm="1">
        <f t="array" ref="L126">MIN(_xlfn._xlws.FILTER(L2:L122, ISNUMBER(L2:L122)))</f>
        <v>-51.555329999999998</v>
      </c>
      <c r="M126" s="40" cm="1">
        <f t="array" ref="M126">MIN(_xlfn._xlws.FILTER(M2:M122, ISNUMBER(M2:M122)))</f>
        <v>-44.121720000000003</v>
      </c>
      <c r="N126" s="40" cm="1">
        <f t="array" ref="N126">MIN(_xlfn._xlws.FILTER(N2:N122, ISNUMBER(N2:N122)))</f>
        <v>-58.529803999999999</v>
      </c>
      <c r="O126" s="40" cm="1">
        <f t="array" ref="O126">MIN(_xlfn._xlws.FILTER(O2:O122, ISNUMBER(O2:O122)))</f>
        <v>-33.468640000000001</v>
      </c>
      <c r="P126" s="40" cm="1">
        <f t="array" ref="P126">MIN(_xlfn._xlws.FILTER(P2:P122, ISNUMBER(P2:P122)))</f>
        <v>-41.298217999999999</v>
      </c>
      <c r="Q126" s="40" cm="1">
        <f t="array" ref="Q126">MIN(_xlfn._xlws.FILTER(Q2:Q122, ISNUMBER(Q2:Q122)))</f>
        <v>-24.24034</v>
      </c>
      <c r="R126" s="40" cm="1">
        <f t="array" ref="R126">MIN(_xlfn._xlws.FILTER(R2:R122, ISNUMBER(R2:R122)))</f>
        <v>-35.202182999999998</v>
      </c>
      <c r="S126" s="40" cm="1">
        <f t="array" ref="S126">MIN(_xlfn._xlws.FILTER(S2:S122, ISNUMBER(S2:S122)))</f>
        <v>-49.681843000000001</v>
      </c>
      <c r="T126" s="40" cm="1">
        <f t="array" ref="T126">MIN(_xlfn._xlws.FILTER(T2:T122, ISNUMBER(T2:T122)))</f>
        <v>-40.543640000000003</v>
      </c>
      <c r="U126" s="40" cm="1">
        <f t="array" ref="U126">MIN(_xlfn._xlws.FILTER(U2:U122, ISNUMBER(U2:U122)))</f>
        <v>-45.146500000000003</v>
      </c>
      <c r="V126" s="155" cm="1">
        <f t="array" ref="V126">MIN(_xlfn._xlws.FILTER(V2:V122, ISNUMBER(V2:V122)))</f>
        <v>-31.2971</v>
      </c>
      <c r="W126" s="24"/>
    </row>
    <row r="127" spans="1:23" x14ac:dyDescent="0.35">
      <c r="A127" s="2" t="s">
        <v>396</v>
      </c>
      <c r="B127" s="42" cm="1">
        <f t="array" ref="B127">MAX(_xlfn._xlws.FILTER(B1:B122, ISNUMBER(B1:B122)))</f>
        <v>60.3078</v>
      </c>
      <c r="C127" s="42" cm="1">
        <f t="array" ref="C127">MAX(_xlfn._xlws.FILTER(C1:C122, ISNUMBER(C1:C122)))</f>
        <v>96.689139999999995</v>
      </c>
      <c r="D127" s="42" cm="1">
        <f t="array" ref="D127">MAX(_xlfn._xlws.FILTER(D1:D122, ISNUMBER(D1:D122)))</f>
        <v>61.154792999999998</v>
      </c>
      <c r="E127" s="42" cm="1">
        <f t="array" ref="E127">MAX(_xlfn._xlws.FILTER(E1:E122, ISNUMBER(E1:E122)))</f>
        <v>54.640293</v>
      </c>
      <c r="F127" s="42" cm="1">
        <f t="array" ref="F127">MAX(_xlfn._xlws.FILTER(F1:F122, ISNUMBER(F1:F122)))</f>
        <v>72.839449999999999</v>
      </c>
      <c r="G127" s="42" cm="1">
        <f t="array" ref="G127">MAX(_xlfn._xlws.FILTER(G1:G122, ISNUMBER(G1:G122)))</f>
        <v>88.743989999999997</v>
      </c>
      <c r="H127" s="42" cm="1">
        <f t="array" ref="H127">MAX(_xlfn._xlws.FILTER(H1:H122, ISNUMBER(H1:H122)))</f>
        <v>42.559420000000003</v>
      </c>
      <c r="I127" s="42" cm="1">
        <f t="array" ref="I127">MAX(_xlfn._xlws.FILTER(I1:I122, ISNUMBER(I1:I122)))</f>
        <v>97.241805999999997</v>
      </c>
      <c r="J127" s="42" cm="1">
        <f t="array" ref="J127">MAX(_xlfn._xlws.FILTER(J1:J122, ISNUMBER(J1:J122)))</f>
        <v>75.028989999999993</v>
      </c>
      <c r="K127" s="42" cm="1">
        <f t="array" ref="K127">MAX(_xlfn._xlws.FILTER(K1:K122, ISNUMBER(K1:K122)))</f>
        <v>117.13531</v>
      </c>
      <c r="L127" s="42" cm="1">
        <f t="array" ref="L127">MAX(_xlfn._xlws.FILTER(L1:L122, ISNUMBER(L1:L122)))</f>
        <v>98.417150000000007</v>
      </c>
      <c r="M127" s="42" cm="1">
        <f t="array" ref="M127">MAX(_xlfn._xlws.FILTER(M1:M122, ISNUMBER(M1:M122)))</f>
        <v>95.115814</v>
      </c>
      <c r="N127" s="42" cm="1">
        <f t="array" ref="N127">MAX(_xlfn._xlws.FILTER(N1:N122, ISNUMBER(N1:N122)))</f>
        <v>90.252750000000006</v>
      </c>
      <c r="O127" s="42" cm="1">
        <f t="array" ref="O127">MAX(_xlfn._xlws.FILTER(O1:O122, ISNUMBER(O1:O122)))</f>
        <v>77.79804</v>
      </c>
      <c r="P127" s="42" cm="1">
        <f t="array" ref="P127">MAX(_xlfn._xlws.FILTER(P1:P122, ISNUMBER(P1:P122)))</f>
        <v>62.823996999999999</v>
      </c>
      <c r="Q127" s="42" cm="1">
        <f t="array" ref="Q127">MAX(_xlfn._xlws.FILTER(Q1:Q122, ISNUMBER(Q1:Q122)))</f>
        <v>46.684967</v>
      </c>
      <c r="R127" s="42" cm="1">
        <f t="array" ref="R127">MAX(_xlfn._xlws.FILTER(R1:R122, ISNUMBER(R1:R122)))</f>
        <v>49.675133000000002</v>
      </c>
      <c r="S127" s="42" cm="1">
        <f t="array" ref="S127">MAX(_xlfn._xlws.FILTER(S1:S122, ISNUMBER(S1:S122)))</f>
        <v>92.090019999999996</v>
      </c>
      <c r="T127" s="42" cm="1">
        <f t="array" ref="T127">MAX(_xlfn._xlws.FILTER(T1:T122, ISNUMBER(T1:T122)))</f>
        <v>67.667563999999999</v>
      </c>
      <c r="U127" s="42" cm="1">
        <f t="array" ref="U127">MAX(_xlfn._xlws.FILTER(U1:U122, ISNUMBER(U1:U122)))</f>
        <v>78.128240000000005</v>
      </c>
      <c r="V127" s="156" cm="1">
        <f t="array" ref="V127">MAX(_xlfn._xlws.FILTER(V1:V122, ISNUMBER(V1:V122)))</f>
        <v>59.780014000000001</v>
      </c>
    </row>
    <row r="128" spans="1:23" x14ac:dyDescent="0.35">
      <c r="A128" s="2" t="s">
        <v>397</v>
      </c>
      <c r="B128" s="40" cm="1">
        <f t="array" ref="B128">MEDIAN(_xlfn._xlws.FILTER(B1:B122, ISNUMBER(B1:B122)))</f>
        <v>3.7062764000000001</v>
      </c>
      <c r="C128" s="40" cm="1">
        <f t="array" ref="C128">MEDIAN(_xlfn._xlws.FILTER(C1:C122, ISNUMBER(C1:C122)))</f>
        <v>-5.5247840000000004</v>
      </c>
      <c r="D128" s="40" cm="1">
        <f t="array" ref="D128">MEDIAN(_xlfn._xlws.FILTER(D1:D122, ISNUMBER(D1:D122)))</f>
        <v>0.65516233000000001</v>
      </c>
      <c r="E128" s="40" cm="1">
        <f t="array" ref="E128">MEDIAN(_xlfn._xlws.FILTER(E1:E122, ISNUMBER(E1:E122)))</f>
        <v>-1.0934174000000001</v>
      </c>
      <c r="F128" s="40" cm="1">
        <f t="array" ref="F128">MEDIAN(_xlfn._xlws.FILTER(F1:F122, ISNUMBER(F1:F122)))</f>
        <v>-6.8034705999999998</v>
      </c>
      <c r="G128" s="40" cm="1">
        <f t="array" ref="G128">MEDIAN(_xlfn._xlws.FILTER(G1:G122, ISNUMBER(G1:G122)))</f>
        <v>2.3269653000000001E-2</v>
      </c>
      <c r="H128" s="40" cm="1">
        <f t="array" ref="H128">MEDIAN(_xlfn._xlws.FILTER(H1:H122, ISNUMBER(H1:H122)))</f>
        <v>-3.660196</v>
      </c>
      <c r="I128" s="40" cm="1">
        <f t="array" ref="I128">MEDIAN(_xlfn._xlws.FILTER(I1:I122, ISNUMBER(I1:I122)))</f>
        <v>12.893748</v>
      </c>
      <c r="J128" s="40" cm="1">
        <f t="array" ref="J128">MEDIAN(_xlfn._xlws.FILTER(J1:J122, ISNUMBER(J1:J122)))</f>
        <v>-1.5615523</v>
      </c>
      <c r="K128" s="40" cm="1">
        <f t="array" ref="K128">MEDIAN(_xlfn._xlws.FILTER(K1:K122, ISNUMBER(K1:K122)))</f>
        <v>0.28187036999999998</v>
      </c>
      <c r="L128" s="40" cm="1">
        <f t="array" ref="L128">MEDIAN(_xlfn._xlws.FILTER(L1:L122, ISNUMBER(L1:L122)))</f>
        <v>3.4347534</v>
      </c>
      <c r="M128" s="40" cm="1">
        <f t="array" ref="M128">MEDIAN(_xlfn._xlws.FILTER(M1:M122, ISNUMBER(M1:M122)))</f>
        <v>-0.54517983999999997</v>
      </c>
      <c r="N128" s="40" cm="1">
        <f t="array" ref="N128">MEDIAN(_xlfn._xlws.FILTER(N1:N122, ISNUMBER(N1:N122)))</f>
        <v>0.42748449999999999</v>
      </c>
      <c r="O128" s="40" cm="1">
        <f t="array" ref="O128">MEDIAN(_xlfn._xlws.FILTER(O1:O122, ISNUMBER(O1:O122)))</f>
        <v>7.2726845999999998</v>
      </c>
      <c r="P128" s="40" cm="1">
        <f t="array" ref="P128">MEDIAN(_xlfn._xlws.FILTER(P1:P122, ISNUMBER(P1:P122)))</f>
        <v>7.9071520000000006E-2</v>
      </c>
      <c r="Q128" s="40" cm="1">
        <f t="array" ref="Q128">MEDIAN(_xlfn._xlws.FILTER(Q1:Q122, ISNUMBER(Q1:Q122)))</f>
        <v>7.6130035000000013E-2</v>
      </c>
      <c r="R128" s="40" cm="1">
        <f t="array" ref="R128">MEDIAN(_xlfn._xlws.FILTER(R1:R122, ISNUMBER(R1:R122)))</f>
        <v>-7.9667569999999993E-2</v>
      </c>
      <c r="S128" s="40" cm="1">
        <f t="array" ref="S128">MEDIAN(_xlfn._xlws.FILTER(S1:S122, ISNUMBER(S1:S122)))</f>
        <v>-1.9317089999999999</v>
      </c>
      <c r="T128" s="40" cm="1">
        <f t="array" ref="T128">MEDIAN(_xlfn._xlws.FILTER(T1:T122, ISNUMBER(T1:T122)))</f>
        <v>-3.0768931500000001</v>
      </c>
      <c r="U128" s="40" cm="1">
        <f t="array" ref="U128">MEDIAN(_xlfn._xlws.FILTER(U1:U122, ISNUMBER(U1:U122)))</f>
        <v>-3.1618892999999999</v>
      </c>
      <c r="V128" s="155" cm="1">
        <f t="array" ref="V128">MEDIAN(_xlfn._xlws.FILTER(V1:V122, ISNUMBER(V1:V122)))</f>
        <v>11.734294999999999</v>
      </c>
      <c r="W128" s="9"/>
    </row>
    <row r="129" spans="1:22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157"/>
    </row>
    <row r="130" spans="1:22" x14ac:dyDescent="0.35">
      <c r="A130" s="2" t="s">
        <v>87</v>
      </c>
      <c r="B130">
        <f>COUNTIF(B2:B122, "&lt;"&amp;Assumption!$F$50)</f>
        <v>28</v>
      </c>
      <c r="C130">
        <f>COUNTIF(C2:C122, "&lt;"&amp;Assumption!$F$50)</f>
        <v>50</v>
      </c>
      <c r="D130">
        <f>COUNTIF(D2:D122, "&lt;"&amp;Assumption!$F$50)</f>
        <v>30</v>
      </c>
      <c r="E130">
        <f>COUNTIF(E2:E122, "&lt;"&amp;Assumption!$F$50)</f>
        <v>32</v>
      </c>
      <c r="F130">
        <f>COUNTIF(F2:F122, "&lt;"&amp;Assumption!$F$50)</f>
        <v>51</v>
      </c>
      <c r="G130">
        <f>COUNTIF(G2:G122, "&lt;"&amp;Assumption!$F$50)</f>
        <v>29</v>
      </c>
      <c r="H130">
        <f>COUNTIF(H2:H122, "&lt;"&amp;Assumption!$F$50)</f>
        <v>32</v>
      </c>
      <c r="I130">
        <f>COUNTIF(I2:I122, "&lt;"&amp;Assumption!$F$50)</f>
        <v>22</v>
      </c>
      <c r="J130">
        <f>COUNTIF(J2:J122, "&lt;"&amp;Assumption!$F$50)</f>
        <v>36</v>
      </c>
      <c r="K130">
        <f>COUNTIF(K2:K122, "&lt;"&amp;Assumption!$F$50)</f>
        <v>39</v>
      </c>
      <c r="L130">
        <f>COUNTIF(L2:L122, "&lt;"&amp;Assumption!$F$50)</f>
        <v>39</v>
      </c>
      <c r="M130">
        <f>COUNTIF(M2:M122, "&lt;"&amp;Assumption!$F$50)</f>
        <v>36</v>
      </c>
      <c r="N130">
        <f>COUNTIF(N2:N122, "&lt;"&amp;Assumption!$F$50)</f>
        <v>53</v>
      </c>
      <c r="O130">
        <f>COUNTIF(O2:O122, "&lt;"&amp;Assumption!$F$50)</f>
        <v>18</v>
      </c>
      <c r="P130">
        <f>COUNTIF(P2:P122, "&lt;"&amp;Assumption!$F$50)</f>
        <v>38</v>
      </c>
      <c r="Q130">
        <f>COUNTIF(Q2:Q122, "&lt;"&amp;Assumption!$F$50)</f>
        <v>32</v>
      </c>
      <c r="R130">
        <f>COUNTIF(R2:R122, "&lt;"&amp;Assumption!$F$50)</f>
        <v>25</v>
      </c>
      <c r="S130">
        <f>COUNTIF(S2:S122, "&lt;"&amp;Assumption!$F$50)</f>
        <v>47</v>
      </c>
      <c r="T130">
        <f>COUNTIF(T2:T122, "&lt;"&amp;Assumption!$F$50)</f>
        <v>29</v>
      </c>
      <c r="U130">
        <f>COUNTIF(U2:U122, "&lt;"&amp;Assumption!$F$50)</f>
        <v>39</v>
      </c>
      <c r="V130" s="1">
        <f>COUNTIF(V2:V122, "&lt;"&amp;Assumption!$F$50)</f>
        <v>11</v>
      </c>
    </row>
    <row r="131" spans="1:22" x14ac:dyDescent="0.35">
      <c r="A131" s="2" t="s">
        <v>86</v>
      </c>
      <c r="B131">
        <f>COUNT(B1:B122)</f>
        <v>83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108</v>
      </c>
      <c r="R131">
        <f t="shared" si="0"/>
        <v>121</v>
      </c>
      <c r="S131">
        <f t="shared" si="0"/>
        <v>121</v>
      </c>
      <c r="T131">
        <f t="shared" si="0"/>
        <v>108</v>
      </c>
      <c r="U131">
        <f t="shared" si="0"/>
        <v>121</v>
      </c>
      <c r="V131" s="1">
        <f t="shared" si="0"/>
        <v>91</v>
      </c>
    </row>
    <row r="132" spans="1:22" x14ac:dyDescent="0.35">
      <c r="A132" s="2"/>
    </row>
    <row r="133" spans="1:22" x14ac:dyDescent="0.35">
      <c r="A133" s="2" t="s">
        <v>400</v>
      </c>
      <c r="B133" s="9">
        <f>B130/B131</f>
        <v>0.33734939759036142</v>
      </c>
      <c r="C133" s="9">
        <f t="shared" ref="C133:V133" si="1">C130/C131</f>
        <v>0.41322314049586778</v>
      </c>
      <c r="D133" s="9">
        <f t="shared" si="1"/>
        <v>0.24793388429752067</v>
      </c>
      <c r="E133" s="9">
        <f t="shared" si="1"/>
        <v>0.26446280991735538</v>
      </c>
      <c r="F133" s="9">
        <f t="shared" si="1"/>
        <v>0.42148760330578511</v>
      </c>
      <c r="G133" s="9">
        <f t="shared" si="1"/>
        <v>0.23966942148760331</v>
      </c>
      <c r="H133" s="9">
        <f t="shared" si="1"/>
        <v>0.26446280991735538</v>
      </c>
      <c r="I133" s="9">
        <f t="shared" si="1"/>
        <v>0.18181818181818182</v>
      </c>
      <c r="J133" s="9">
        <f t="shared" si="1"/>
        <v>0.2975206611570248</v>
      </c>
      <c r="K133" s="9">
        <f t="shared" si="1"/>
        <v>0.32231404958677684</v>
      </c>
      <c r="L133" s="9">
        <f t="shared" si="1"/>
        <v>0.32231404958677684</v>
      </c>
      <c r="M133" s="9">
        <f t="shared" si="1"/>
        <v>0.2975206611570248</v>
      </c>
      <c r="N133" s="9">
        <f t="shared" si="1"/>
        <v>0.43801652892561982</v>
      </c>
      <c r="O133" s="9">
        <f t="shared" si="1"/>
        <v>0.1487603305785124</v>
      </c>
      <c r="P133" s="9">
        <f t="shared" si="1"/>
        <v>0.31404958677685951</v>
      </c>
      <c r="Q133" s="9">
        <f t="shared" si="1"/>
        <v>0.29629629629629628</v>
      </c>
      <c r="R133" s="9">
        <f t="shared" si="1"/>
        <v>0.20661157024793389</v>
      </c>
      <c r="S133" s="9">
        <f t="shared" si="1"/>
        <v>0.38842975206611569</v>
      </c>
      <c r="T133" s="9">
        <f t="shared" si="1"/>
        <v>0.26851851851851855</v>
      </c>
      <c r="U133" s="9">
        <f t="shared" si="1"/>
        <v>0.32231404958677684</v>
      </c>
      <c r="V133" s="48">
        <f t="shared" si="1"/>
        <v>0.12087912087912088</v>
      </c>
    </row>
    <row r="134" spans="1:22" x14ac:dyDescent="0.35">
      <c r="A134" s="2"/>
    </row>
    <row r="135" spans="1:22" x14ac:dyDescent="0.35">
      <c r="A135" s="2"/>
      <c r="B135" s="115"/>
      <c r="C135" s="115"/>
      <c r="D135" s="115"/>
      <c r="E135" s="115"/>
      <c r="F135" s="115"/>
      <c r="G135" s="115"/>
      <c r="H135" s="115"/>
      <c r="I135" s="115"/>
      <c r="J135" s="1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48"/>
    </row>
    <row r="136" spans="1:22" x14ac:dyDescent="0.35">
      <c r="A136" s="2" t="s">
        <v>403</v>
      </c>
      <c r="B136" s="40" cm="1">
        <f t="array" ref="B136">_xlfn.PERCENTRANK.EXC(_xlfn._xlws.FILTER(B2:B122, ISNUMBER(B2:B122)),B120)</f>
        <v>0.13</v>
      </c>
      <c r="C136" s="40" cm="1">
        <f t="array" ref="C136">_xlfn.PERCENTRANK.EXC(_xlfn._xlws.FILTER(C2:C122, ISNUMBER(C2:C122)),C120)</f>
        <v>0.40100000000000002</v>
      </c>
      <c r="D136" s="40" cm="1">
        <f t="array" ref="D136">_xlfn.PERCENTRANK.EXC(_xlfn._xlws.FILTER(D2:D122, ISNUMBER(D2:D122)),D120)</f>
        <v>0.49099999999999999</v>
      </c>
      <c r="E136" s="40" cm="1">
        <f t="array" ref="E136">_xlfn.PERCENTRANK.EXC(_xlfn._xlws.FILTER(E2:E122, ISNUMBER(E2:E122)),E120)</f>
        <v>0.57299999999999995</v>
      </c>
      <c r="F136" s="40" cm="1">
        <f t="array" ref="F136">_xlfn.PERCENTRANK.EXC(_xlfn._xlws.FILTER(F2:F122, ISNUMBER(F2:F122)),F120)</f>
        <v>0.89300000000000002</v>
      </c>
      <c r="G136" s="40" cm="1">
        <f t="array" ref="G136">_xlfn.PERCENTRANK.EXC(_xlfn._xlws.FILTER(G2:G122, ISNUMBER(G2:G122)),G120)</f>
        <v>0.80300000000000005</v>
      </c>
      <c r="H136" s="40" cm="1">
        <f t="array" ref="H136">_xlfn.PERCENTRANK.EXC(_xlfn._xlws.FILTER(H2:H122, ISNUMBER(H2:H122)),H120)</f>
        <v>0.54</v>
      </c>
      <c r="I136" s="40" cm="1">
        <f t="array" ref="I136">_xlfn.PERCENTRANK.EXC(_xlfn._xlws.FILTER(I2:I122, ISNUMBER(I2:I122)),I120)</f>
        <v>0.58099999999999996</v>
      </c>
      <c r="J136" s="40" cm="1">
        <f t="array" ref="J136">_xlfn.PERCENTRANK.EXC(_xlfn._xlws.FILTER(J2:J122, ISNUMBER(J2:J122)),J120)</f>
        <v>0.79500000000000004</v>
      </c>
      <c r="K136" s="40" cm="1">
        <f t="array" ref="K136">_xlfn.PERCENTRANK.EXC(_xlfn._xlws.FILTER(K2:K122, ISNUMBER(K2:K122)),K120)</f>
        <v>0.60599999999999998</v>
      </c>
      <c r="L136" s="40" cm="1">
        <f t="array" ref="L136">_xlfn.PERCENTRANK.EXC(_xlfn._xlws.FILTER(L2:L122, ISNUMBER(L2:L122)),L120)</f>
        <v>0.745</v>
      </c>
      <c r="M136" s="40" cm="1">
        <f t="array" ref="M136">_xlfn.PERCENTRANK.EXC(_xlfn._xlws.FILTER(M2:M122, ISNUMBER(M2:M122)),M120)</f>
        <v>0.35199999999999998</v>
      </c>
      <c r="N136" s="40" cm="1">
        <f t="array" ref="N136">_xlfn.PERCENTRANK.EXC(_xlfn._xlws.FILTER(N2:N122, ISNUMBER(N2:N122)),N120)</f>
        <v>0.69599999999999995</v>
      </c>
      <c r="O136" s="40" cm="1">
        <f t="array" ref="O136">_xlfn.PERCENTRANK.EXC(_xlfn._xlws.FILTER(O2:O122, ISNUMBER(O2:O122)),O120)</f>
        <v>0.82699999999999996</v>
      </c>
      <c r="P136" s="40" cm="1">
        <f t="array" ref="P136">_xlfn.PERCENTRANK.EXC(_xlfn._xlws.FILTER(P2:P122, ISNUMBER(P2:P122)),P120)</f>
        <v>0.16300000000000001</v>
      </c>
      <c r="Q136" s="40" cm="1">
        <f t="array" ref="Q136">_xlfn.PERCENTRANK.EXC(_xlfn._xlws.FILTER(Q2:Q122, ISNUMBER(Q2:Q122)),Q120)</f>
        <v>0.48599999999999999</v>
      </c>
      <c r="R136" s="40" cm="1">
        <f t="array" ref="R136">_xlfn.PERCENTRANK.EXC(_xlfn._xlws.FILTER(R2:R122, ISNUMBER(R2:R122)),R120)</f>
        <v>9.8000000000000004E-2</v>
      </c>
      <c r="S136" s="40" cm="1">
        <f t="array" ref="S136">_xlfn.PERCENTRANK.EXC(_xlfn._xlws.FILTER(S2:S122, ISNUMBER(S2:S122)),S120)</f>
        <v>0.77800000000000002</v>
      </c>
      <c r="T136" s="40" cm="1">
        <f t="array" ref="T136">_xlfn.PERCENTRANK.EXC(_xlfn._xlws.FILTER(T2:T122, ISNUMBER(T2:T122)),T120)</f>
        <v>0.66900000000000004</v>
      </c>
      <c r="U136" s="40" cm="1">
        <f t="array" ref="U136">_xlfn.PERCENTRANK.EXC(_xlfn._xlws.FILTER(U2:U122, ISNUMBER(U2:U122)),U120)</f>
        <v>0.79500000000000004</v>
      </c>
      <c r="V136" s="155" cm="1">
        <f t="array" ref="V136">_xlfn.PERCENTRANK.EXC(_xlfn._xlws.FILTER(V2:V122, ISNUMBER(V2:V122)),V120)</f>
        <v>0.71699999999999997</v>
      </c>
    </row>
    <row r="137" spans="1:22" x14ac:dyDescent="0.35">
      <c r="A137" s="2" t="s">
        <v>402</v>
      </c>
      <c r="B137" s="40" cm="1">
        <f t="array" ref="B137">_xlfn.PERCENTRANK.EXC(_xlfn._xlws.FILTER(B2:B122, ISNUMBER(B2:B122)),B121)</f>
        <v>0.33300000000000002</v>
      </c>
      <c r="C137" s="40" cm="1">
        <f t="array" ref="C137">_xlfn.PERCENTRANK.EXC(_xlfn._xlws.FILTER(C2:C122, ISNUMBER(C2:C122)),C121)</f>
        <v>0.63900000000000001</v>
      </c>
      <c r="D137" s="40" cm="1">
        <f t="array" ref="D137">_xlfn.PERCENTRANK.EXC(_xlfn._xlws.FILTER(D2:D122, ISNUMBER(D2:D122)),D121)</f>
        <v>0.61399999999999999</v>
      </c>
      <c r="E137" s="40" cm="1">
        <f t="array" ref="E137">_xlfn.PERCENTRANK.EXC(_xlfn._xlws.FILTER(E2:E122, ISNUMBER(E2:E122)),E121)</f>
        <v>0.76200000000000001</v>
      </c>
      <c r="F137" s="40" cm="1">
        <f t="array" ref="F137">_xlfn.PERCENTRANK.EXC(_xlfn._xlws.FILTER(F2:F122, ISNUMBER(F2:F122)),F121)</f>
        <v>0.98299999999999998</v>
      </c>
      <c r="G137" s="40" cm="1">
        <f t="array" ref="G137">_xlfn.PERCENTRANK.EXC(_xlfn._xlws.FILTER(G2:G122, ISNUMBER(G2:G122)),G121)</f>
        <v>0.92600000000000005</v>
      </c>
      <c r="H137" s="40" cm="1">
        <f t="array" ref="H137">_xlfn.PERCENTRANK.EXC(_xlfn._xlws.FILTER(H2:H122, ISNUMBER(H2:H122)),H121)</f>
        <v>0.86</v>
      </c>
      <c r="I137" s="40" cm="1">
        <f t="array" ref="I137">_xlfn.PERCENTRANK.EXC(_xlfn._xlws.FILTER(I2:I122, ISNUMBER(I2:I122)),I121)</f>
        <v>0.77800000000000002</v>
      </c>
      <c r="J137" s="40" cm="1">
        <f t="array" ref="J137">_xlfn.PERCENTRANK.EXC(_xlfn._xlws.FILTER(J2:J122, ISNUMBER(J2:J122)),J121)</f>
        <v>0.86799999999999999</v>
      </c>
      <c r="K137" s="40" cm="1">
        <f t="array" ref="K137">_xlfn.PERCENTRANK.EXC(_xlfn._xlws.FILTER(K2:K122, ISNUMBER(K2:K122)),K121)</f>
        <v>0.68</v>
      </c>
      <c r="L137" s="40" cm="1">
        <f t="array" ref="L137">_xlfn.PERCENTRANK.EXC(_xlfn._xlws.FILTER(L2:L122, ISNUMBER(L2:L122)),L121)</f>
        <v>0.81899999999999995</v>
      </c>
      <c r="M137" s="40" cm="1">
        <f t="array" ref="M137">_xlfn.PERCENTRANK.EXC(_xlfn._xlws.FILTER(M2:M122, ISNUMBER(M2:M122)),M121)</f>
        <v>0.47499999999999998</v>
      </c>
      <c r="N137" s="40" cm="1">
        <f t="array" ref="N137">_xlfn.PERCENTRANK.EXC(_xlfn._xlws.FILTER(N2:N122, ISNUMBER(N2:N122)),N121)</f>
        <v>0.85199999999999998</v>
      </c>
      <c r="O137" s="40" cm="1">
        <f t="array" ref="O137">_xlfn.PERCENTRANK.EXC(_xlfn._xlws.FILTER(O2:O122, ISNUMBER(O2:O122)),O121)</f>
        <v>0.86</v>
      </c>
      <c r="P137" s="40" cm="1">
        <f t="array" ref="P137">_xlfn.PERCENTRANK.EXC(_xlfn._xlws.FILTER(P2:P122, ISNUMBER(P2:P122)),P121)</f>
        <v>0.30299999999999999</v>
      </c>
      <c r="Q137" s="40" cm="1">
        <f t="array" ref="Q137">_xlfn.PERCENTRANK.EXC(_xlfn._xlws.FILTER(Q2:Q122, ISNUMBER(Q2:Q122)),Q121)</f>
        <v>0.66</v>
      </c>
      <c r="R137" s="40" cm="1">
        <f t="array" ref="R137">_xlfn.PERCENTRANK.EXC(_xlfn._xlws.FILTER(R2:R122, ISNUMBER(R2:R122)),R121)</f>
        <v>0.18</v>
      </c>
      <c r="S137" s="40" cm="1">
        <f t="array" ref="S137">_xlfn.PERCENTRANK.EXC(_xlfn._xlws.FILTER(S2:S122, ISNUMBER(S2:S122)),S121)</f>
        <v>0.60599999999999998</v>
      </c>
      <c r="T137" s="40" cm="1">
        <f t="array" ref="T137">_xlfn.PERCENTRANK.EXC(_xlfn._xlws.FILTER(T2:T122, ISNUMBER(T2:T122)),T121)</f>
        <v>0.78800000000000003</v>
      </c>
      <c r="U137" s="40" cm="1">
        <f t="array" ref="U137">_xlfn.PERCENTRANK.EXC(_xlfn._xlws.FILTER(U2:U122, ISNUMBER(U2:U122)),U121)</f>
        <v>0.82699999999999996</v>
      </c>
      <c r="V137" s="155" cm="1">
        <f t="array" ref="V137">_xlfn.PERCENTRANK.EXC(_xlfn._xlws.FILTER(V2:V122, ISNUMBER(V2:V122)),V121)</f>
        <v>0.83599999999999997</v>
      </c>
    </row>
    <row r="138" spans="1:22" x14ac:dyDescent="0.35">
      <c r="A138" s="2" t="s">
        <v>507</v>
      </c>
      <c r="B138" s="40" cm="1">
        <f t="array" ref="B138">_xlfn.PERCENTRANK.EXC(_xlfn._xlws.FILTER(B2:B122, ISNUMBER(B2:B122)),B122)</f>
        <v>0.154</v>
      </c>
      <c r="C138" s="40" cm="1">
        <f t="array" ref="C138">_xlfn.PERCENTRANK.EXC(_xlfn._xlws.FILTER(C2:C122, ISNUMBER(C2:C122)),C122)</f>
        <v>0.46700000000000003</v>
      </c>
      <c r="D138" s="40" cm="1">
        <f t="array" ref="D138">_xlfn.PERCENTRANK.EXC(_xlfn._xlws.FILTER(D2:D122, ISNUMBER(D2:D122)),D122)</f>
        <v>0.245</v>
      </c>
      <c r="E138" s="40" cm="1">
        <f t="array" ref="E138">_xlfn.PERCENTRANK.EXC(_xlfn._xlws.FILTER(E2:E122, ISNUMBER(E2:E122)),E122)</f>
        <v>0.51600000000000001</v>
      </c>
      <c r="F138" s="40" cm="1">
        <f t="array" ref="F138">_xlfn.PERCENTRANK.EXC(_xlfn._xlws.FILTER(F2:F122, ISNUMBER(F2:F122)),F122)</f>
        <v>0.83599999999999997</v>
      </c>
      <c r="G138" s="40" cm="1">
        <f t="array" ref="G138">_xlfn.PERCENTRANK.EXC(_xlfn._xlws.FILTER(G2:G122, ISNUMBER(G2:G122)),G122)</f>
        <v>0.88500000000000001</v>
      </c>
      <c r="H138" s="40" cm="1">
        <f t="array" ref="H138">_xlfn.PERCENTRANK.EXC(_xlfn._xlws.FILTER(H2:H122, ISNUMBER(H2:H122)),H122)</f>
        <v>0.69599999999999995</v>
      </c>
      <c r="I138" s="40" cm="1">
        <f t="array" ref="I138">_xlfn.PERCENTRANK.EXC(_xlfn._xlws.FILTER(I2:I122, ISNUMBER(I2:I122)),I122)</f>
        <v>0.59</v>
      </c>
      <c r="J138" s="40" cm="1">
        <f t="array" ref="J138">_xlfn.PERCENTRANK.EXC(_xlfn._xlws.FILTER(J2:J122, ISNUMBER(J2:J122)),J122)</f>
        <v>0.68</v>
      </c>
      <c r="K138" s="40" cm="1">
        <f t="array" ref="K138">_xlfn.PERCENTRANK.EXC(_xlfn._xlws.FILTER(K2:K122, ISNUMBER(K2:K122)),K122)</f>
        <v>0.51600000000000001</v>
      </c>
      <c r="L138" s="40" cm="1">
        <f t="array" ref="L138">_xlfn.PERCENTRANK.EXC(_xlfn._xlws.FILTER(L2:L122, ISNUMBER(L2:L122)),L122)</f>
        <v>0.58099999999999996</v>
      </c>
      <c r="M138" s="40" cm="1">
        <f t="array" ref="M138">_xlfn.PERCENTRANK.EXC(_xlfn._xlws.FILTER(M2:M122, ISNUMBER(M2:M122)),M122)</f>
        <v>0.32700000000000001</v>
      </c>
      <c r="N138" s="40" cm="1">
        <f t="array" ref="N138">_xlfn.PERCENTRANK.EXC(_xlfn._xlws.FILTER(N2:N122, ISNUMBER(N2:N122)),N122)</f>
        <v>0.66300000000000003</v>
      </c>
      <c r="O138" s="40" cm="1">
        <f t="array" ref="O138">_xlfn.PERCENTRANK.EXC(_xlfn._xlws.FILTER(O2:O122, ISNUMBER(O2:O122)),O122)</f>
        <v>0.83599999999999997</v>
      </c>
      <c r="P138" s="40" cm="1">
        <f t="array" ref="P138">_xlfn.PERCENTRANK.EXC(_xlfn._xlws.FILTER(P2:P122, ISNUMBER(P2:P122)),P122)</f>
        <v>0.20399999999999999</v>
      </c>
      <c r="Q138" s="40" cm="1">
        <f t="array" ref="Q138">_xlfn.PERCENTRANK.EXC(_xlfn._xlws.FILTER(Q2:Q122, ISNUMBER(Q2:Q122)),Q122)</f>
        <v>0.53200000000000003</v>
      </c>
      <c r="R138" s="40" cm="1">
        <f t="array" ref="R138">_xlfn.PERCENTRANK.EXC(_xlfn._xlws.FILTER(R2:R122, ISNUMBER(R2:R122)),R122)</f>
        <v>0.122</v>
      </c>
      <c r="S138" s="40" cm="1">
        <f t="array" ref="S138">_xlfn.PERCENTRANK.EXC(_xlfn._xlws.FILTER(S2:S122, ISNUMBER(S2:S122)),S122)</f>
        <v>0.77</v>
      </c>
      <c r="T138" s="40" cm="1">
        <f t="array" ref="T138">_xlfn.PERCENTRANK.EXC(_xlfn._xlws.FILTER(T2:T122, ISNUMBER(T2:T122)),T122)</f>
        <v>0.63300000000000001</v>
      </c>
      <c r="U138" s="40" cm="1">
        <f t="array" ref="U138">_xlfn.PERCENTRANK.EXC(_xlfn._xlws.FILTER(U2:U122, ISNUMBER(U2:U122)),U122)</f>
        <v>0.64700000000000002</v>
      </c>
      <c r="V138" s="155" cm="1">
        <f t="array" ref="V138">_xlfn.PERCENTRANK.EXC(_xlfn._xlws.FILTER(V2:V122, ISNUMBER(V2:V122)),V122)</f>
        <v>0.434</v>
      </c>
    </row>
    <row r="139" spans="1:22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155"/>
    </row>
    <row r="140" spans="1:22" x14ac:dyDescent="0.35">
      <c r="A140" s="2" t="s">
        <v>467</v>
      </c>
      <c r="B140" s="40">
        <f t="shared" ref="B140:V140" si="2">AVERAGE(B136:B138)</f>
        <v>0.20566666666666666</v>
      </c>
      <c r="C140" s="40">
        <f t="shared" si="2"/>
        <v>0.50233333333333341</v>
      </c>
      <c r="D140" s="40">
        <f t="shared" si="2"/>
        <v>0.45</v>
      </c>
      <c r="E140" s="40">
        <f t="shared" si="2"/>
        <v>0.61699999999999999</v>
      </c>
      <c r="F140" s="40">
        <f t="shared" si="2"/>
        <v>0.90399999999999991</v>
      </c>
      <c r="G140" s="40">
        <f t="shared" si="2"/>
        <v>0.87133333333333329</v>
      </c>
      <c r="H140" s="40">
        <f t="shared" si="2"/>
        <v>0.69866666666666666</v>
      </c>
      <c r="I140" s="40">
        <f t="shared" si="2"/>
        <v>0.64966666666666661</v>
      </c>
      <c r="J140" s="40">
        <f t="shared" si="2"/>
        <v>0.78100000000000003</v>
      </c>
      <c r="K140" s="40">
        <f t="shared" si="2"/>
        <v>0.60066666666666668</v>
      </c>
      <c r="L140" s="40">
        <f t="shared" si="2"/>
        <v>0.71499999999999997</v>
      </c>
      <c r="M140" s="40">
        <f t="shared" si="2"/>
        <v>0.38466666666666666</v>
      </c>
      <c r="N140" s="40">
        <f t="shared" si="2"/>
        <v>0.7370000000000001</v>
      </c>
      <c r="O140" s="40">
        <f t="shared" si="2"/>
        <v>0.84099999999999986</v>
      </c>
      <c r="P140" s="40">
        <f t="shared" si="2"/>
        <v>0.2233333333333333</v>
      </c>
      <c r="Q140" s="40">
        <f t="shared" si="2"/>
        <v>0.55933333333333335</v>
      </c>
      <c r="R140" s="40">
        <f t="shared" si="2"/>
        <v>0.13333333333333333</v>
      </c>
      <c r="S140" s="40">
        <f t="shared" si="2"/>
        <v>0.71799999999999997</v>
      </c>
      <c r="T140" s="40">
        <f t="shared" si="2"/>
        <v>0.69666666666666666</v>
      </c>
      <c r="U140" s="40">
        <f t="shared" si="2"/>
        <v>0.75633333333333341</v>
      </c>
      <c r="V140" s="155">
        <f t="shared" si="2"/>
        <v>0.66233333333333333</v>
      </c>
    </row>
    <row r="141" spans="1:22" x14ac:dyDescent="0.35">
      <c r="A141" s="2"/>
    </row>
    <row r="142" spans="1:22" x14ac:dyDescent="0.35">
      <c r="A142" s="2"/>
    </row>
    <row r="143" spans="1:22" x14ac:dyDescent="0.35">
      <c r="A143" s="2"/>
    </row>
    <row r="144" spans="1:2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B2" t="s">
        <v>864</v>
      </c>
      <c r="C2" t="s">
        <v>865</v>
      </c>
      <c r="D2" t="s">
        <v>866</v>
      </c>
      <c r="E2" t="s">
        <v>867</v>
      </c>
      <c r="F2" t="s">
        <v>868</v>
      </c>
      <c r="G2" t="s">
        <v>29</v>
      </c>
      <c r="H2" t="s">
        <v>870</v>
      </c>
      <c r="I2" t="s">
        <v>871</v>
      </c>
      <c r="J2" t="s">
        <v>872</v>
      </c>
      <c r="K2" t="s">
        <v>873</v>
      </c>
      <c r="L2" t="s">
        <v>874</v>
      </c>
      <c r="M2" t="s">
        <v>875</v>
      </c>
      <c r="N2" t="s">
        <v>876</v>
      </c>
      <c r="O2" t="s">
        <v>877</v>
      </c>
      <c r="P2" t="s">
        <v>864</v>
      </c>
      <c r="Q2" t="s">
        <v>878</v>
      </c>
      <c r="R2" t="s">
        <v>914</v>
      </c>
      <c r="S2" t="s">
        <v>879</v>
      </c>
      <c r="T2" t="s">
        <v>880</v>
      </c>
      <c r="U2" t="s">
        <v>37</v>
      </c>
      <c r="V2" t="s">
        <v>882</v>
      </c>
    </row>
    <row r="3" spans="1:22" x14ac:dyDescent="0.3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t="str" cm="1">
        <f t="array" ref="G3:G22">_xll.FDSB(G2,"FMA_EPS(NTMA,-20AY,0,CY,,""PORTAGG"",""MEANR"")")</f>
        <v/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3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 t="str">
        <v/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3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 t="str">
        <v/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3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 t="str">
        <v/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3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 t="str">
        <v/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3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2.32525395129155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3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>
        <v>3.7045509962640399</v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3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3.9100031056468501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3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3.95899801372697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3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2.8202218503368601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3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2.5800472765187399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3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1.7402921975997001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2.8587512141432998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3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>
        <v>3.0493946041890001</v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35">
      <c r="A17" s="2">
        <v>43465</v>
      </c>
      <c r="B17">
        <v>18.005603285854001</v>
      </c>
      <c r="C17">
        <v>21.6808239098782</v>
      </c>
      <c r="D17">
        <v>62.720518466032097</v>
      </c>
      <c r="E17">
        <v>29.617777137877201</v>
      </c>
      <c r="F17">
        <v>18.0244220851928</v>
      </c>
      <c r="G17">
        <v>2.6545938156590698</v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35">
      <c r="A18" s="2">
        <v>43830</v>
      </c>
      <c r="B18">
        <v>17.637359717981901</v>
      </c>
      <c r="C18">
        <v>17.386192150320198</v>
      </c>
      <c r="D18">
        <v>63.732476692739603</v>
      </c>
      <c r="E18">
        <v>33.663276014182301</v>
      </c>
      <c r="F18">
        <v>16.918160023137599</v>
      </c>
      <c r="G18">
        <v>2.4380740580264901</v>
      </c>
      <c r="H18">
        <v>15.698795472643599</v>
      </c>
      <c r="I18">
        <v>12.9786240187251</v>
      </c>
      <c r="J18">
        <v>25.369127380402499</v>
      </c>
      <c r="K18">
        <v>35.904278154026699</v>
      </c>
      <c r="L18">
        <v>20.121177809876102</v>
      </c>
      <c r="M18">
        <v>31.8033411117562</v>
      </c>
      <c r="N18">
        <v>0.58009613257671799</v>
      </c>
      <c r="O18">
        <v>36.314788297091397</v>
      </c>
      <c r="P18">
        <v>17.637359717981901</v>
      </c>
      <c r="Q18">
        <v>7.7374565221448997</v>
      </c>
      <c r="R18">
        <v>48.124032377940502</v>
      </c>
      <c r="S18">
        <v>22.565965383258501</v>
      </c>
      <c r="T18">
        <v>7.0206655012913197</v>
      </c>
      <c r="U18">
        <v>1.1160182264929299</v>
      </c>
      <c r="V18">
        <v>2.35315851175775</v>
      </c>
    </row>
    <row r="19" spans="1:22" x14ac:dyDescent="0.35">
      <c r="A19" s="2">
        <v>44196</v>
      </c>
      <c r="B19">
        <v>17.494770704903601</v>
      </c>
      <c r="C19">
        <v>15.4747210424778</v>
      </c>
      <c r="D19">
        <v>51.526922598559203</v>
      </c>
      <c r="E19">
        <v>25.625710924974001</v>
      </c>
      <c r="F19">
        <v>12.725119300051601</v>
      </c>
      <c r="G19">
        <v>2.41141007958222</v>
      </c>
      <c r="H19">
        <v>16.388226158260899</v>
      </c>
      <c r="I19">
        <v>15.943997006635501</v>
      </c>
      <c r="J19">
        <v>22.3569609150342</v>
      </c>
      <c r="K19">
        <v>42.801850776181801</v>
      </c>
      <c r="L19">
        <v>14.9233563414379</v>
      </c>
      <c r="M19">
        <v>34.321902012147902</v>
      </c>
      <c r="N19">
        <v>0.55741767368310902</v>
      </c>
      <c r="O19">
        <v>33.705878491195698</v>
      </c>
      <c r="P19">
        <v>17.494770704903601</v>
      </c>
      <c r="Q19">
        <v>7.7846531590948196</v>
      </c>
      <c r="R19">
        <v>34.710630743957502</v>
      </c>
      <c r="S19">
        <v>23.281427883573102</v>
      </c>
      <c r="T19">
        <v>5.1277339653251497</v>
      </c>
      <c r="U19">
        <v>1.03737377793235</v>
      </c>
      <c r="V19">
        <v>1.93303150117598</v>
      </c>
    </row>
    <row r="20" spans="1:22" x14ac:dyDescent="0.35">
      <c r="A20" s="2">
        <v>44561</v>
      </c>
      <c r="B20">
        <v>21.276244855504601</v>
      </c>
      <c r="C20">
        <v>18.685686268485899</v>
      </c>
      <c r="D20">
        <v>58.771705582256502</v>
      </c>
      <c r="E20">
        <v>24.890007195199502</v>
      </c>
      <c r="F20">
        <v>16.795925418676902</v>
      </c>
      <c r="G20">
        <v>2.9485498666274501</v>
      </c>
      <c r="H20">
        <v>16.008552451410601</v>
      </c>
      <c r="I20">
        <v>24.3051164443579</v>
      </c>
      <c r="J20">
        <v>28.181628189906998</v>
      </c>
      <c r="K20">
        <v>51.305065736085901</v>
      </c>
      <c r="L20">
        <v>18.556868920401399</v>
      </c>
      <c r="M20">
        <v>36.7799117251597</v>
      </c>
      <c r="N20">
        <v>0.62188546902171704</v>
      </c>
      <c r="O20">
        <v>47.020016328110003</v>
      </c>
      <c r="P20">
        <v>21.276244855504601</v>
      </c>
      <c r="Q20">
        <v>9.3577310145755703</v>
      </c>
      <c r="R20">
        <v>40.272341530845601</v>
      </c>
      <c r="S20">
        <v>19.758356629899801</v>
      </c>
      <c r="T20">
        <v>7.5479683630346104</v>
      </c>
      <c r="U20">
        <v>1.28884335629541</v>
      </c>
      <c r="V20">
        <v>3.0736788271556299</v>
      </c>
    </row>
    <row r="21" spans="1:22" x14ac:dyDescent="0.35">
      <c r="A21" s="2">
        <v>44925</v>
      </c>
      <c r="B21">
        <v>20.3723993153625</v>
      </c>
      <c r="C21">
        <v>25.909162089116698</v>
      </c>
      <c r="D21">
        <v>64.972794209119996</v>
      </c>
      <c r="E21">
        <v>26.836878630773299</v>
      </c>
      <c r="F21">
        <v>17.088924383662398</v>
      </c>
      <c r="G21">
        <v>3.1160967706628702</v>
      </c>
      <c r="H21">
        <v>16.699781014266399</v>
      </c>
      <c r="I21">
        <v>19.760160861166302</v>
      </c>
      <c r="J21">
        <v>32.531987143471497</v>
      </c>
      <c r="K21">
        <v>35.389415154761302</v>
      </c>
      <c r="L21">
        <v>21.0713566871922</v>
      </c>
      <c r="M21">
        <v>38.543131762931402</v>
      </c>
      <c r="N21">
        <v>0.86953187662514597</v>
      </c>
      <c r="O21">
        <v>46.046977005916403</v>
      </c>
      <c r="P21">
        <v>20.3723993153625</v>
      </c>
      <c r="Q21">
        <v>9.9739874595000497</v>
      </c>
      <c r="R21">
        <v>42.481578267256303</v>
      </c>
      <c r="S21">
        <v>36.400826514230097</v>
      </c>
      <c r="T21">
        <v>11.391861361310101</v>
      </c>
      <c r="U21">
        <v>1.1112749295061899</v>
      </c>
      <c r="V21">
        <v>3.62874668671579</v>
      </c>
    </row>
    <row r="22" spans="1:22" x14ac:dyDescent="0.35">
      <c r="A22" s="2">
        <v>45289</v>
      </c>
      <c r="B22">
        <v>19.112221744555701</v>
      </c>
      <c r="C22">
        <v>28.7106028961196</v>
      </c>
      <c r="D22">
        <v>67.989178023672693</v>
      </c>
      <c r="E22">
        <v>30.831567949236799</v>
      </c>
      <c r="F22">
        <v>23.395588724849102</v>
      </c>
      <c r="G22">
        <v>2.9600670388112098</v>
      </c>
      <c r="H22">
        <v>16.756842039171499</v>
      </c>
      <c r="I22">
        <v>19.096368854288599</v>
      </c>
      <c r="J22">
        <v>39.366218679884803</v>
      </c>
      <c r="K22">
        <v>41.703318141205102</v>
      </c>
      <c r="L22">
        <v>24.0594592102074</v>
      </c>
      <c r="M22">
        <v>33.871410151644902</v>
      </c>
      <c r="N22">
        <v>1.21959709581891</v>
      </c>
      <c r="O22">
        <v>54.686243363499102</v>
      </c>
      <c r="P22">
        <v>19.112221744555701</v>
      </c>
      <c r="Q22">
        <v>9.6132080179228101</v>
      </c>
      <c r="R22">
        <v>40.181585140706098</v>
      </c>
      <c r="S22">
        <v>47.716877016372699</v>
      </c>
      <c r="T22">
        <v>11.0560462201591</v>
      </c>
      <c r="U22">
        <v>0.88605728251453697</v>
      </c>
      <c r="V22">
        <v>3.0114214688538201</v>
      </c>
    </row>
    <row r="24" spans="1:22" x14ac:dyDescent="0.3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15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35">
      <c r="A26" t="s">
        <v>90</v>
      </c>
      <c r="B26" s="50" cm="1">
        <f t="array" ref="B26">(B22/INDEX(B3:B22,MATCH(TRUE,INDEX(ISNUMBER(B3:B22),0),0)))^(1/B24)-1</f>
        <v>7.2171886711234645E-2</v>
      </c>
      <c r="C26" s="50" cm="1">
        <f t="array" ref="C26">(C22/INDEX(C3:C22,MATCH(TRUE,INDEX(ISNUMBER(C3:C22),0),0)))^(1/C24)-1</f>
        <v>3.8701923493088319E-2</v>
      </c>
      <c r="D26" s="50" cm="1">
        <f t="array" ref="D26">(D22/INDEX(D3:D22,MATCH(TRUE,INDEX(ISNUMBER(D3:D22),0),0)))^(1/D24)-1</f>
        <v>4.2935776314919183E-2</v>
      </c>
      <c r="E26" s="50" cm="1">
        <f t="array" ref="E26">(E22/INDEX(E3:E22,MATCH(TRUE,INDEX(ISNUMBER(E3:E22),0),0)))^(1/E24)-1</f>
        <v>6.5968962402024767E-2</v>
      </c>
      <c r="F26" s="50" cm="1">
        <f t="array" ref="F26">(F22/INDEX(F3:F22,MATCH(TRUE,INDEX(ISNUMBER(F3:F22),0),0)))^(1/F24)-1</f>
        <v>3.6620331475524681E-2</v>
      </c>
      <c r="G26" s="50" cm="1">
        <f t="array" ref="G26">(G22/INDEX(G3:G22,MATCH(TRUE,INDEX(ISNUMBER(G3:G22),0),0)))^(1/G24)-1</f>
        <v>1.6222353544926627E-2</v>
      </c>
      <c r="H26" s="50" cm="1">
        <f t="array" ref="H26">(H22/INDEX(H3:H22,MATCH(TRUE,INDEX(ISNUMBER(H3:H22),0),0)))^(1/H24)-1</f>
        <v>2.538209198042507E-2</v>
      </c>
      <c r="I26" s="50" cm="1">
        <f t="array" ref="I26">(I22/INDEX(I3:I22,MATCH(TRUE,INDEX(ISNUMBER(I3:I22),0),0)))^(1/I24)-1</f>
        <v>3.7640823203299423E-2</v>
      </c>
      <c r="J26" s="50" cm="1">
        <f t="array" ref="J26">(J22/INDEX(J3:J22,MATCH(TRUE,INDEX(ISNUMBER(J3:J22),0),0)))^(1/J24)-1</f>
        <v>5.7936521380949291E-2</v>
      </c>
      <c r="K26" s="50" cm="1">
        <f t="array" ref="K26">(K22/INDEX(K3:K22,MATCH(TRUE,INDEX(ISNUMBER(K3:K22),0),0)))^(1/K24)-1</f>
        <v>2.4574898578836768E-2</v>
      </c>
      <c r="L26" s="50" cm="1">
        <f t="array" ref="L26">(L22/INDEX(L3:L22,MATCH(TRUE,INDEX(ISNUMBER(L3:L22),0),0)))^(1/L24)-1</f>
        <v>2.072298429354813E-2</v>
      </c>
      <c r="M26" s="50" cm="1">
        <f t="array" ref="M26">(M22/INDEX(M3:M22,MATCH(TRUE,INDEX(ISNUMBER(M3:M22),0),0)))^(1/M24)-1</f>
        <v>2.3768265976742642E-2</v>
      </c>
      <c r="N26" s="50" cm="1">
        <f t="array" ref="N26">(N22/INDEX(N3:N22,MATCH(TRUE,INDEX(ISNUMBER(N3:N22),0),0)))^(1/N24)-1</f>
        <v>-9.9977006807554725E-2</v>
      </c>
      <c r="O26" s="50" cm="1">
        <f t="array" ref="O26">(O22/INDEX(O3:O22,MATCH(TRUE,INDEX(ISNUMBER(O3:O22),0),0)))^(1/O24)-1</f>
        <v>6.0151494419149687E-2</v>
      </c>
      <c r="P26" s="50" cm="1">
        <f t="array" ref="P26">(P22/INDEX(P3:P22,MATCH(TRUE,INDEX(ISNUMBER(P3:P22),0),0)))^(1/P24)-1</f>
        <v>7.2171886711234645E-2</v>
      </c>
      <c r="Q26" s="50" cm="1">
        <f t="array" ref="Q26">(Q22/INDEX(Q3:Q22,MATCH(TRUE,INDEX(ISNUMBER(Q3:Q22),0),0)))^(1/Q24)-1</f>
        <v>8.8740466700483189E-3</v>
      </c>
      <c r="R26" s="50" cm="1">
        <f t="array" ref="R26">(R22/INDEX(R3:R22,MATCH(TRUE,INDEX(ISNUMBER(R3:R22),0),0)))^(1/R24)-1</f>
        <v>1.2617017471639347E-2</v>
      </c>
      <c r="S26" s="50" cm="1">
        <f t="array" ref="S26">(S22/INDEX(S3:S22,MATCH(TRUE,INDEX(ISNUMBER(S3:S22),0),0)))^(1/S24)-1</f>
        <v>8.2005714106922367E-2</v>
      </c>
      <c r="T26" s="50" cm="1">
        <f t="array" ref="T26">(T22/INDEX(T3:T22,MATCH(TRUE,INDEX(ISNUMBER(T3:T22),0),0)))^(1/T24)-1</f>
        <v>8.3481706038399661E-3</v>
      </c>
      <c r="U26" s="50" cm="1">
        <f t="array" ref="U26">(U22/INDEX(U3:U22,MATCH(TRUE,INDEX(ISNUMBER(U3:U22),0),0)))^(1/U24)-1</f>
        <v>-4.4922819308067519E-2</v>
      </c>
      <c r="V26" s="50" cm="1">
        <f t="array" ref="V26">(V22/INDEX(V3:V22,MATCH(TRUE,INDEX(ISNUMBER(V3:V22),0),0)))^(1/V24)-1</f>
        <v>-1.6027932468093198E-2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4" customWidth="1"/>
    <col min="23" max="23" width="9.453125" customWidth="1"/>
  </cols>
  <sheetData>
    <row r="1" spans="1:24" ht="18.5" x14ac:dyDescent="0.45">
      <c r="A1" s="86" t="s">
        <v>569</v>
      </c>
      <c r="B1" s="87"/>
      <c r="C1" s="84"/>
      <c r="D1" s="84"/>
      <c r="E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spans="1:24" x14ac:dyDescent="0.35">
      <c r="A2" s="84"/>
      <c r="B2" s="87"/>
      <c r="C2" s="84"/>
      <c r="D2" s="84"/>
      <c r="E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4" ht="21" x14ac:dyDescent="0.5">
      <c r="A3" s="88" t="s">
        <v>740</v>
      </c>
      <c r="B3" s="89"/>
      <c r="C3" s="84"/>
      <c r="D3" s="84"/>
      <c r="E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1:24" x14ac:dyDescent="0.35">
      <c r="A4" s="106" t="s">
        <v>570</v>
      </c>
      <c r="B4" s="89"/>
      <c r="C4" s="84"/>
      <c r="D4" s="84"/>
      <c r="E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r="5" spans="1:24" x14ac:dyDescent="0.35">
      <c r="A5" s="84"/>
      <c r="B5" s="87"/>
      <c r="C5" s="84"/>
      <c r="D5" s="84"/>
      <c r="E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r="6" spans="1:24" x14ac:dyDescent="0.35">
      <c r="A6" s="96"/>
      <c r="B6" s="99"/>
      <c r="C6" s="84"/>
      <c r="D6" s="84"/>
      <c r="E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r="7" spans="1:24" x14ac:dyDescent="0.35">
      <c r="A7" s="216"/>
      <c r="B7" s="216"/>
      <c r="C7" s="84"/>
      <c r="D7" s="84"/>
      <c r="E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r="8" spans="1:24" x14ac:dyDescent="0.35">
      <c r="A8" s="104"/>
      <c r="B8" s="104"/>
      <c r="C8" s="217" t="s">
        <v>571</v>
      </c>
      <c r="D8" s="218"/>
      <c r="E8" s="219"/>
      <c r="G8" s="84"/>
      <c r="H8" s="84"/>
      <c r="I8" s="84"/>
      <c r="J8" s="84"/>
      <c r="K8" s="84"/>
      <c r="L8" s="217" t="s">
        <v>572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90" t="s">
        <v>573</v>
      </c>
      <c r="B9" s="90" t="s">
        <v>574</v>
      </c>
      <c r="C9" s="108" t="s">
        <v>575</v>
      </c>
      <c r="D9" s="109" t="s">
        <v>576</v>
      </c>
      <c r="E9" s="110" t="s">
        <v>577</v>
      </c>
      <c r="F9" s="114" t="s">
        <v>745</v>
      </c>
      <c r="G9" s="100" t="s">
        <v>741</v>
      </c>
      <c r="H9" s="102" t="s">
        <v>742</v>
      </c>
      <c r="I9" s="102" t="s">
        <v>743</v>
      </c>
      <c r="J9" s="101" t="s">
        <v>744</v>
      </c>
      <c r="K9" s="103"/>
      <c r="L9" s="113">
        <v>2012</v>
      </c>
      <c r="M9" s="91">
        <v>2013</v>
      </c>
      <c r="N9" s="91">
        <v>2014</v>
      </c>
      <c r="O9" s="91">
        <v>2015</v>
      </c>
      <c r="P9" s="91">
        <v>2016</v>
      </c>
      <c r="Q9" s="91">
        <v>2017</v>
      </c>
      <c r="R9" s="91">
        <v>2018</v>
      </c>
      <c r="S9" s="91">
        <v>2019</v>
      </c>
      <c r="T9" s="91">
        <v>2020</v>
      </c>
      <c r="U9" s="91">
        <v>2021</v>
      </c>
      <c r="V9" s="92">
        <v>2022</v>
      </c>
      <c r="W9" s="101" t="s">
        <v>751</v>
      </c>
      <c r="X9" s="101" t="s">
        <v>752</v>
      </c>
    </row>
    <row r="10" spans="1:24" x14ac:dyDescent="0.35">
      <c r="A10" s="85" t="s">
        <v>578</v>
      </c>
      <c r="B10" s="85" t="s">
        <v>579</v>
      </c>
      <c r="C10" s="93">
        <v>-6.330015897488761</v>
      </c>
      <c r="D10" s="94">
        <v>-1.9803203632740796</v>
      </c>
      <c r="E10" s="95">
        <v>1.4438839505667156</v>
      </c>
      <c r="G10" s="107" t="s">
        <v>580</v>
      </c>
      <c r="H10" s="105">
        <v>34.781666666666666</v>
      </c>
      <c r="I10" s="97">
        <v>154</v>
      </c>
      <c r="J10" s="98">
        <v>32</v>
      </c>
      <c r="K10" s="85"/>
      <c r="L10" s="93">
        <v>19.865459911417584</v>
      </c>
      <c r="M10" s="94">
        <v>9.8957883924851959</v>
      </c>
      <c r="N10" s="94">
        <v>6.5854081038949879</v>
      </c>
      <c r="O10" s="94">
        <v>0.98799999999999999</v>
      </c>
      <c r="P10" s="94">
        <v>2.1640000000000001</v>
      </c>
      <c r="Q10" s="94">
        <v>2.6469999999999998</v>
      </c>
      <c r="R10" s="94">
        <v>1.1890000000000001</v>
      </c>
      <c r="S10" s="94">
        <v>3.9119999999999999</v>
      </c>
      <c r="T10" s="94">
        <v>-2.351</v>
      </c>
      <c r="U10" s="94">
        <v>-2.4</v>
      </c>
      <c r="V10" s="95">
        <v>-5</v>
      </c>
      <c r="W10" s="95">
        <f>AVERAGE(D10,E10)</f>
        <v>-0.26821820635368199</v>
      </c>
    </row>
    <row r="11" spans="1:24" x14ac:dyDescent="0.35">
      <c r="A11" s="85" t="s">
        <v>227</v>
      </c>
      <c r="B11" s="85" t="s">
        <v>581</v>
      </c>
      <c r="C11" s="93">
        <v>2.8369230771995602</v>
      </c>
      <c r="D11" s="94">
        <v>2.527708680261509</v>
      </c>
      <c r="E11" s="95">
        <v>2.499335307066497</v>
      </c>
      <c r="G11" s="107" t="s">
        <v>401</v>
      </c>
      <c r="H11" s="105">
        <v>71.94876523650197</v>
      </c>
      <c r="I11" s="97">
        <v>80</v>
      </c>
      <c r="J11" s="98">
        <v>40</v>
      </c>
      <c r="K11" s="85"/>
      <c r="L11" s="93">
        <v>1.4329514555018943</v>
      </c>
      <c r="M11" s="94">
        <v>1.0096624423848639</v>
      </c>
      <c r="N11" s="94">
        <v>1.7987489151280414</v>
      </c>
      <c r="O11" s="94">
        <v>2.2189999999999999</v>
      </c>
      <c r="P11" s="94">
        <v>3.3149999999999999</v>
      </c>
      <c r="Q11" s="94">
        <v>3.802</v>
      </c>
      <c r="R11" s="94">
        <v>4.0190000000000001</v>
      </c>
      <c r="S11" s="94">
        <v>2.0880000000000001</v>
      </c>
      <c r="T11" s="94">
        <v>-3.4820000000000002</v>
      </c>
      <c r="U11" s="94">
        <v>8.516</v>
      </c>
      <c r="V11" s="95">
        <v>3.74</v>
      </c>
      <c r="W11" s="95">
        <f t="shared" ref="W11:W74" si="0">AVERAGE(D11,E11)</f>
        <v>2.513521993664003</v>
      </c>
    </row>
    <row r="12" spans="1:24" x14ac:dyDescent="0.35">
      <c r="A12" s="85" t="s">
        <v>582</v>
      </c>
      <c r="B12" s="85" t="s">
        <v>583</v>
      </c>
      <c r="C12" s="93">
        <v>0.36545353196819619</v>
      </c>
      <c r="D12" s="94">
        <v>0.98216884294510809</v>
      </c>
      <c r="E12" s="95">
        <v>1.9643097765769557</v>
      </c>
      <c r="G12" s="107" t="s">
        <v>584</v>
      </c>
      <c r="H12" s="105">
        <v>77.429986450518911</v>
      </c>
      <c r="I12" s="97">
        <v>59</v>
      </c>
      <c r="J12" s="98">
        <v>2</v>
      </c>
      <c r="K12" s="85"/>
      <c r="L12" s="93">
        <v>3.3999999982054412</v>
      </c>
      <c r="M12" s="94">
        <v>2.8000000002529002</v>
      </c>
      <c r="N12" s="94">
        <v>3.8000000007790273</v>
      </c>
      <c r="O12" s="94">
        <v>3.7</v>
      </c>
      <c r="P12" s="94">
        <v>3.2</v>
      </c>
      <c r="Q12" s="94">
        <v>1.4</v>
      </c>
      <c r="R12" s="94">
        <v>1.2</v>
      </c>
      <c r="S12" s="94">
        <v>1</v>
      </c>
      <c r="T12" s="94">
        <v>-5.0999999999999996</v>
      </c>
      <c r="U12" s="94">
        <v>3.4</v>
      </c>
      <c r="V12" s="95">
        <v>2.931</v>
      </c>
      <c r="W12" s="95">
        <f t="shared" si="0"/>
        <v>1.4732393097610319</v>
      </c>
    </row>
    <row r="13" spans="1:24" x14ac:dyDescent="0.35">
      <c r="A13" s="85" t="s">
        <v>582</v>
      </c>
      <c r="B13" s="85" t="s">
        <v>585</v>
      </c>
      <c r="C13" s="93">
        <v>-0.62057485054567429</v>
      </c>
      <c r="D13" s="94">
        <v>-0.7759815069387388</v>
      </c>
      <c r="E13" s="95">
        <v>0.38358743648301274</v>
      </c>
      <c r="G13" s="107" t="s">
        <v>580</v>
      </c>
      <c r="H13" s="105">
        <v>43.142397643089645</v>
      </c>
      <c r="I13" s="97">
        <v>147</v>
      </c>
      <c r="J13" s="98">
        <v>42</v>
      </c>
      <c r="K13" s="85"/>
      <c r="L13" s="93">
        <v>8.5421473366219605</v>
      </c>
      <c r="M13" s="94">
        <v>4.9545904703972692</v>
      </c>
      <c r="N13" s="94">
        <v>4.8226255512268246</v>
      </c>
      <c r="O13" s="94">
        <v>0.94399999999999995</v>
      </c>
      <c r="P13" s="94">
        <v>-2.58</v>
      </c>
      <c r="Q13" s="94">
        <v>-0.15</v>
      </c>
      <c r="R13" s="94">
        <v>-1.3160000000000001</v>
      </c>
      <c r="S13" s="94">
        <v>-0.70199999999999996</v>
      </c>
      <c r="T13" s="94">
        <v>-5.6379999999999999</v>
      </c>
      <c r="U13" s="94">
        <v>1.0920000000000001</v>
      </c>
      <c r="V13" s="95">
        <v>2.8410000000000002</v>
      </c>
      <c r="W13" s="95">
        <f t="shared" si="0"/>
        <v>-0.19619703522786303</v>
      </c>
    </row>
    <row r="14" spans="1:24" x14ac:dyDescent="0.35">
      <c r="A14" s="85" t="s">
        <v>586</v>
      </c>
      <c r="B14" s="85" t="s">
        <v>587</v>
      </c>
      <c r="C14" s="93">
        <v>1.5213184649000233</v>
      </c>
      <c r="D14" s="94">
        <v>2.4231703477095579E-4</v>
      </c>
      <c r="E14" s="95">
        <v>0.30638889849419204</v>
      </c>
      <c r="G14" s="107" t="s">
        <v>424</v>
      </c>
      <c r="H14" s="105">
        <v>63.902477118742887</v>
      </c>
      <c r="I14" s="97">
        <v>116</v>
      </c>
      <c r="J14" s="98">
        <v>16</v>
      </c>
      <c r="K14" s="85"/>
      <c r="L14" s="93">
        <v>-1.0264204544320839</v>
      </c>
      <c r="M14" s="94">
        <v>2.4053237807943506</v>
      </c>
      <c r="N14" s="94">
        <v>-2.5126153208139428</v>
      </c>
      <c r="O14" s="94">
        <v>2.7309999999999999</v>
      </c>
      <c r="P14" s="94">
        <v>-2.08</v>
      </c>
      <c r="Q14" s="94">
        <v>2.819</v>
      </c>
      <c r="R14" s="94">
        <v>-2.617</v>
      </c>
      <c r="S14" s="94">
        <v>-2.0009999999999999</v>
      </c>
      <c r="T14" s="94">
        <v>-9.9429999999999996</v>
      </c>
      <c r="U14" s="94">
        <v>10.398</v>
      </c>
      <c r="V14" s="95">
        <v>5.2430000000000003</v>
      </c>
      <c r="W14" s="95">
        <f t="shared" si="0"/>
        <v>0.1533156077644815</v>
      </c>
    </row>
    <row r="15" spans="1:24" x14ac:dyDescent="0.35">
      <c r="A15" s="85" t="s">
        <v>227</v>
      </c>
      <c r="B15" s="85" t="s">
        <v>588</v>
      </c>
      <c r="C15" s="93">
        <v>3.3694630969417716</v>
      </c>
      <c r="D15" s="94">
        <v>4.5685193344935815</v>
      </c>
      <c r="E15" s="95">
        <v>4.0499977792169295</v>
      </c>
      <c r="G15" s="107" t="s">
        <v>584</v>
      </c>
      <c r="H15" s="105">
        <v>81.866330149150926</v>
      </c>
      <c r="I15" s="97">
        <v>42</v>
      </c>
      <c r="J15" s="98">
        <v>28</v>
      </c>
      <c r="K15" s="85"/>
      <c r="L15" s="93">
        <v>7.200000000964871</v>
      </c>
      <c r="M15" s="94">
        <v>3.2999999999999674</v>
      </c>
      <c r="N15" s="94">
        <v>3.6000000005899464</v>
      </c>
      <c r="O15" s="94">
        <v>3.254</v>
      </c>
      <c r="P15" s="94">
        <v>0.19500000000000001</v>
      </c>
      <c r="Q15" s="94">
        <v>7.5179999999999998</v>
      </c>
      <c r="R15" s="94">
        <v>5.2249999999999996</v>
      </c>
      <c r="S15" s="94">
        <v>7.6310000000000002</v>
      </c>
      <c r="T15" s="94">
        <v>-7.1509999999999998</v>
      </c>
      <c r="U15" s="94">
        <v>5.6840000000000002</v>
      </c>
      <c r="V15" s="95">
        <v>12.603999999999999</v>
      </c>
      <c r="W15" s="95">
        <f t="shared" si="0"/>
        <v>4.3092585568552551</v>
      </c>
    </row>
    <row r="16" spans="1:24" x14ac:dyDescent="0.35">
      <c r="A16" s="85" t="s">
        <v>578</v>
      </c>
      <c r="B16" s="85" t="s">
        <v>589</v>
      </c>
      <c r="C16" s="93">
        <v>1.9372779726990919</v>
      </c>
      <c r="D16" s="94">
        <v>1.9542949107595797</v>
      </c>
      <c r="E16" s="95">
        <v>2.221593328352145</v>
      </c>
      <c r="G16" s="107" t="s">
        <v>417</v>
      </c>
      <c r="H16" s="105">
        <v>96.36744549025839</v>
      </c>
      <c r="I16" s="97">
        <v>11</v>
      </c>
      <c r="J16" s="98">
        <v>3</v>
      </c>
      <c r="K16" s="85"/>
      <c r="L16" s="93">
        <v>3.9181617722068416</v>
      </c>
      <c r="M16" s="94">
        <v>2.5848751108311681</v>
      </c>
      <c r="N16" s="94">
        <v>2.5331154467594699</v>
      </c>
      <c r="O16" s="94">
        <v>2.2829999999999999</v>
      </c>
      <c r="P16" s="94">
        <v>2.6909999999999998</v>
      </c>
      <c r="Q16" s="94">
        <v>2.383</v>
      </c>
      <c r="R16" s="94">
        <v>2.8149999999999999</v>
      </c>
      <c r="S16" s="94">
        <v>1.9430000000000001</v>
      </c>
      <c r="T16" s="94">
        <v>-1.8140000000000001</v>
      </c>
      <c r="U16" s="94">
        <v>5.1959999999999997</v>
      </c>
      <c r="V16" s="95">
        <v>3.661</v>
      </c>
      <c r="W16" s="95">
        <f t="shared" si="0"/>
        <v>2.0879441195558623</v>
      </c>
    </row>
    <row r="17" spans="1:23" x14ac:dyDescent="0.35">
      <c r="A17" s="85" t="s">
        <v>227</v>
      </c>
      <c r="B17" s="85" t="s">
        <v>590</v>
      </c>
      <c r="C17" s="93">
        <v>0.89080434606740866</v>
      </c>
      <c r="D17" s="94">
        <v>1.1485693717847134</v>
      </c>
      <c r="E17" s="95">
        <v>1.1982825816158282</v>
      </c>
      <c r="G17" s="107" t="s">
        <v>417</v>
      </c>
      <c r="H17" s="105">
        <v>95.913594407477049</v>
      </c>
      <c r="I17" s="97">
        <v>15</v>
      </c>
      <c r="J17" s="98">
        <v>10</v>
      </c>
      <c r="K17" s="85"/>
      <c r="L17" s="93">
        <v>0.68044557681670037</v>
      </c>
      <c r="M17" s="94">
        <v>2.5504712197222973E-2</v>
      </c>
      <c r="N17" s="94">
        <v>0.66127284885259119</v>
      </c>
      <c r="O17" s="94">
        <v>1.0149999999999999</v>
      </c>
      <c r="P17" s="94">
        <v>1.9890000000000001</v>
      </c>
      <c r="Q17" s="94">
        <v>2.2589999999999999</v>
      </c>
      <c r="R17" s="94">
        <v>2.4249999999999998</v>
      </c>
      <c r="S17" s="94">
        <v>1.5169999999999999</v>
      </c>
      <c r="T17" s="94">
        <v>-6.4539999999999997</v>
      </c>
      <c r="U17" s="94">
        <v>4.5570000000000004</v>
      </c>
      <c r="V17" s="95">
        <v>4.9969999999999999</v>
      </c>
      <c r="W17" s="95">
        <f t="shared" si="0"/>
        <v>1.1734259767002708</v>
      </c>
    </row>
    <row r="18" spans="1:23" x14ac:dyDescent="0.35">
      <c r="A18" s="85" t="s">
        <v>578</v>
      </c>
      <c r="B18" s="85" t="s">
        <v>591</v>
      </c>
      <c r="C18" s="93">
        <v>1.8824891899037688</v>
      </c>
      <c r="D18" s="94">
        <v>1.9289874111129146</v>
      </c>
      <c r="E18" s="95">
        <v>1.6182050869221642</v>
      </c>
      <c r="G18" s="107" t="s">
        <v>424</v>
      </c>
      <c r="H18" s="105">
        <v>66.732349416312132</v>
      </c>
      <c r="I18" s="97">
        <v>106</v>
      </c>
      <c r="J18" s="98">
        <v>20</v>
      </c>
      <c r="K18" s="85"/>
      <c r="L18" s="93">
        <v>2.1652394301296014</v>
      </c>
      <c r="M18" s="94">
        <v>5.8098009451315624</v>
      </c>
      <c r="N18" s="94">
        <v>2.7505070296654104</v>
      </c>
      <c r="O18" s="94">
        <v>1.05</v>
      </c>
      <c r="P18" s="94">
        <v>-3.0640000000000001</v>
      </c>
      <c r="Q18" s="94">
        <v>0.154</v>
      </c>
      <c r="R18" s="94">
        <v>1.5</v>
      </c>
      <c r="S18" s="94">
        <v>2.48</v>
      </c>
      <c r="T18" s="94">
        <v>-4.1989999999999998</v>
      </c>
      <c r="U18" s="94">
        <v>5.6</v>
      </c>
      <c r="V18" s="95">
        <v>4.6459999999999999</v>
      </c>
      <c r="W18" s="95">
        <f t="shared" si="0"/>
        <v>1.7735962490175394</v>
      </c>
    </row>
    <row r="19" spans="1:23" x14ac:dyDescent="0.35">
      <c r="A19" s="85" t="s">
        <v>586</v>
      </c>
      <c r="B19" s="85" t="s">
        <v>592</v>
      </c>
      <c r="C19" s="93">
        <v>-1.3025041762945944</v>
      </c>
      <c r="D19" s="94">
        <v>-5.1450420089638182E-2</v>
      </c>
      <c r="E19" s="95">
        <v>0.16369977541730307</v>
      </c>
      <c r="G19" s="107" t="s">
        <v>584</v>
      </c>
      <c r="H19" s="105">
        <v>79.378460082017611</v>
      </c>
      <c r="I19" s="97">
        <v>54</v>
      </c>
      <c r="J19" s="98">
        <v>8</v>
      </c>
      <c r="K19" s="85"/>
      <c r="L19" s="93">
        <v>3.0868791768834938</v>
      </c>
      <c r="M19" s="94">
        <v>-3.5838746627962172</v>
      </c>
      <c r="N19" s="94">
        <v>2.2881473175630553</v>
      </c>
      <c r="O19" s="94">
        <v>0.997</v>
      </c>
      <c r="P19" s="94">
        <v>-0.85799999999999998</v>
      </c>
      <c r="Q19" s="94">
        <v>3.05</v>
      </c>
      <c r="R19" s="94">
        <v>1.831</v>
      </c>
      <c r="S19" s="94">
        <v>1.8959999999999999</v>
      </c>
      <c r="T19" s="94">
        <v>-23.823</v>
      </c>
      <c r="U19" s="94">
        <v>13.72</v>
      </c>
      <c r="V19" s="95">
        <v>10.983000000000001</v>
      </c>
      <c r="W19" s="95">
        <f t="shared" si="0"/>
        <v>5.6124677663832445E-2</v>
      </c>
    </row>
    <row r="20" spans="1:23" x14ac:dyDescent="0.35">
      <c r="A20" s="85" t="s">
        <v>593</v>
      </c>
      <c r="B20" s="85" t="s">
        <v>594</v>
      </c>
      <c r="C20" s="93">
        <v>0.41671802598486352</v>
      </c>
      <c r="D20" s="94">
        <v>1.1307360567982316</v>
      </c>
      <c r="E20" s="95">
        <v>2.5452347834856504</v>
      </c>
      <c r="G20" s="107" t="s">
        <v>584</v>
      </c>
      <c r="H20" s="105">
        <v>77.128033983685327</v>
      </c>
      <c r="I20" s="97">
        <v>60</v>
      </c>
      <c r="J20" s="98">
        <v>7</v>
      </c>
      <c r="K20" s="85"/>
      <c r="L20" s="93">
        <v>3.7281084304601642</v>
      </c>
      <c r="M20" s="94">
        <v>5.41683981012069</v>
      </c>
      <c r="N20" s="94">
        <v>4.3503908525296939</v>
      </c>
      <c r="O20" s="94">
        <v>2.4849999999999999</v>
      </c>
      <c r="P20" s="94">
        <v>3.5579999999999998</v>
      </c>
      <c r="Q20" s="94">
        <v>4.2919999999999998</v>
      </c>
      <c r="R20" s="94">
        <v>2.11</v>
      </c>
      <c r="S20" s="94">
        <v>2.1669999999999998</v>
      </c>
      <c r="T20" s="94">
        <v>-4.6449999999999996</v>
      </c>
      <c r="U20" s="94">
        <v>2.67</v>
      </c>
      <c r="V20" s="95">
        <v>4.194</v>
      </c>
      <c r="W20" s="95">
        <f t="shared" si="0"/>
        <v>1.837985420141941</v>
      </c>
    </row>
    <row r="21" spans="1:23" x14ac:dyDescent="0.35">
      <c r="A21" s="85" t="s">
        <v>578</v>
      </c>
      <c r="B21" s="85" t="s">
        <v>595</v>
      </c>
      <c r="C21" s="93">
        <v>8.4780836054535911</v>
      </c>
      <c r="D21" s="94">
        <v>9.4495577005361255</v>
      </c>
      <c r="E21" s="95">
        <v>9.0902336923363691</v>
      </c>
      <c r="G21" s="107" t="s">
        <v>424</v>
      </c>
      <c r="H21" s="105">
        <v>59.78425810407569</v>
      </c>
      <c r="I21" s="97">
        <v>125</v>
      </c>
      <c r="J21" s="98">
        <v>25</v>
      </c>
      <c r="K21" s="85"/>
      <c r="L21" s="93">
        <v>15.458182784890836</v>
      </c>
      <c r="M21" s="94">
        <v>8.997951209804727</v>
      </c>
      <c r="N21" s="94">
        <v>9.1371359215878698</v>
      </c>
      <c r="O21" s="94">
        <v>6.5529999999999999</v>
      </c>
      <c r="P21" s="94">
        <v>7.1139999999999999</v>
      </c>
      <c r="Q21" s="94">
        <v>6.59</v>
      </c>
      <c r="R21" s="94">
        <v>7.319</v>
      </c>
      <c r="S21" s="94">
        <v>7.8819999999999997</v>
      </c>
      <c r="T21" s="94">
        <v>3.448</v>
      </c>
      <c r="U21" s="94">
        <v>6.9390000000000001</v>
      </c>
      <c r="V21" s="95">
        <v>7.1</v>
      </c>
      <c r="W21" s="95">
        <f t="shared" si="0"/>
        <v>9.2698956964362473</v>
      </c>
    </row>
    <row r="22" spans="1:23" x14ac:dyDescent="0.35">
      <c r="A22" s="85" t="s">
        <v>227</v>
      </c>
      <c r="B22" s="85" t="s">
        <v>596</v>
      </c>
      <c r="C22" s="93">
        <v>-1.0891270418666776</v>
      </c>
      <c r="D22" s="94">
        <v>0.24141365794498881</v>
      </c>
      <c r="E22" s="95">
        <v>-4.7343951578571186E-3</v>
      </c>
      <c r="G22" s="107" t="s">
        <v>584</v>
      </c>
      <c r="H22" s="105">
        <v>78.939379492547943</v>
      </c>
      <c r="I22" s="97">
        <v>55</v>
      </c>
      <c r="J22" s="98">
        <v>34</v>
      </c>
      <c r="K22" s="85"/>
      <c r="L22" s="93">
        <v>1.6871355364283958</v>
      </c>
      <c r="M22" s="94">
        <v>1.0034708408564619</v>
      </c>
      <c r="N22" s="94">
        <v>1.7263848541700804</v>
      </c>
      <c r="O22" s="94">
        <v>-3.83</v>
      </c>
      <c r="P22" s="94">
        <v>-2.536</v>
      </c>
      <c r="Q22" s="94">
        <v>2.5409999999999999</v>
      </c>
      <c r="R22" s="94">
        <v>3.1379999999999999</v>
      </c>
      <c r="S22" s="94">
        <v>1.446</v>
      </c>
      <c r="T22" s="94">
        <v>-0.67300000000000004</v>
      </c>
      <c r="U22" s="94">
        <v>2.2730000000000001</v>
      </c>
      <c r="V22" s="95">
        <v>-4.7409999999999997</v>
      </c>
      <c r="W22" s="95">
        <f t="shared" si="0"/>
        <v>0.11833963139356585</v>
      </c>
    </row>
    <row r="23" spans="1:23" x14ac:dyDescent="0.35">
      <c r="A23" s="85" t="s">
        <v>227</v>
      </c>
      <c r="B23" s="85" t="s">
        <v>597</v>
      </c>
      <c r="C23" s="93">
        <v>1.1690569098094628</v>
      </c>
      <c r="D23" s="94">
        <v>1.3937649310878042</v>
      </c>
      <c r="E23" s="95">
        <v>1.4413818728578276</v>
      </c>
      <c r="G23" s="107" t="s">
        <v>417</v>
      </c>
      <c r="H23" s="105">
        <v>93.483251457156101</v>
      </c>
      <c r="I23" s="97">
        <v>21</v>
      </c>
      <c r="J23" s="98">
        <v>14</v>
      </c>
      <c r="K23" s="85"/>
      <c r="L23" s="93">
        <v>0.73922990508162567</v>
      </c>
      <c r="M23" s="94">
        <v>0.45922805011605522</v>
      </c>
      <c r="N23" s="94">
        <v>1.578523229524472</v>
      </c>
      <c r="O23" s="94">
        <v>2.0409999999999999</v>
      </c>
      <c r="P23" s="94">
        <v>1.2669999999999999</v>
      </c>
      <c r="Q23" s="94">
        <v>1.62</v>
      </c>
      <c r="R23" s="94">
        <v>1.7929999999999999</v>
      </c>
      <c r="S23" s="94">
        <v>2.2410000000000001</v>
      </c>
      <c r="T23" s="94">
        <v>-5.3620000000000001</v>
      </c>
      <c r="U23" s="94">
        <v>6.1340000000000003</v>
      </c>
      <c r="V23" s="95">
        <v>3.0910000000000002</v>
      </c>
      <c r="W23" s="95">
        <f t="shared" si="0"/>
        <v>1.4175734019728159</v>
      </c>
    </row>
    <row r="24" spans="1:23" x14ac:dyDescent="0.35">
      <c r="A24" s="85" t="s">
        <v>582</v>
      </c>
      <c r="B24" s="85" t="s">
        <v>598</v>
      </c>
      <c r="C24" s="93">
        <v>5.666147255627263</v>
      </c>
      <c r="D24" s="94">
        <v>6.110859714036887</v>
      </c>
      <c r="E24" s="95">
        <v>5.477732246862832</v>
      </c>
      <c r="G24" s="107" t="s">
        <v>401</v>
      </c>
      <c r="H24" s="105">
        <v>73.01184037118577</v>
      </c>
      <c r="I24" s="97">
        <v>75</v>
      </c>
      <c r="J24" s="98">
        <v>7</v>
      </c>
      <c r="K24" s="85"/>
      <c r="L24" s="93">
        <v>4.811223315687994</v>
      </c>
      <c r="M24" s="94">
        <v>7.1914337214494379</v>
      </c>
      <c r="N24" s="94">
        <v>6.3576790979193039</v>
      </c>
      <c r="O24" s="94">
        <v>1.778</v>
      </c>
      <c r="P24" s="94">
        <v>3.34</v>
      </c>
      <c r="Q24" s="94">
        <v>5.6719999999999997</v>
      </c>
      <c r="R24" s="94">
        <v>6.6970000000000001</v>
      </c>
      <c r="S24" s="94">
        <v>6.8659999999999997</v>
      </c>
      <c r="T24" s="94">
        <v>3.8490000000000002</v>
      </c>
      <c r="U24" s="94">
        <v>7.1550000000000002</v>
      </c>
      <c r="V24" s="95">
        <v>6.0209999999999999</v>
      </c>
      <c r="W24" s="95">
        <f t="shared" si="0"/>
        <v>5.7942959804498599</v>
      </c>
    </row>
    <row r="25" spans="1:23" x14ac:dyDescent="0.35">
      <c r="A25" s="85" t="s">
        <v>578</v>
      </c>
      <c r="B25" s="85" t="s">
        <v>599</v>
      </c>
      <c r="C25" s="93">
        <v>-0.76587225840651918</v>
      </c>
      <c r="D25" s="94">
        <v>1.2676841708430198</v>
      </c>
      <c r="E25" s="95">
        <v>3.3347663550896245</v>
      </c>
      <c r="G25" s="107" t="s">
        <v>580</v>
      </c>
      <c r="H25" s="105">
        <v>55.154482190816807</v>
      </c>
      <c r="I25" s="97">
        <v>132</v>
      </c>
      <c r="J25" s="98">
        <v>28</v>
      </c>
      <c r="K25" s="85"/>
      <c r="L25" s="93">
        <v>5.1184008580053391</v>
      </c>
      <c r="M25" s="94">
        <v>2.1199726329821678</v>
      </c>
      <c r="N25" s="94">
        <v>5.7764956801372422</v>
      </c>
      <c r="O25" s="94">
        <v>6.2210000000000001</v>
      </c>
      <c r="P25" s="94">
        <v>7.4080000000000004</v>
      </c>
      <c r="Q25" s="94">
        <v>6.3220000000000001</v>
      </c>
      <c r="R25" s="94">
        <v>3.835</v>
      </c>
      <c r="S25" s="94">
        <v>4.4249999999999998</v>
      </c>
      <c r="T25" s="94">
        <v>-2.3479999999999999</v>
      </c>
      <c r="U25" s="94">
        <v>-3.3319999999999999</v>
      </c>
      <c r="V25" s="95">
        <v>4.3250000000000002</v>
      </c>
      <c r="W25" s="95">
        <f t="shared" si="0"/>
        <v>2.3012252629663221</v>
      </c>
    </row>
    <row r="26" spans="1:23" x14ac:dyDescent="0.35">
      <c r="A26" s="85" t="s">
        <v>586</v>
      </c>
      <c r="B26" s="85" t="s">
        <v>600</v>
      </c>
      <c r="C26" s="93">
        <v>-2.2304131763273283E-2</v>
      </c>
      <c r="D26" s="94">
        <v>1.2603639469641159</v>
      </c>
      <c r="E26" s="95">
        <v>3.1673454908146104</v>
      </c>
      <c r="G26" s="107" t="s">
        <v>580</v>
      </c>
      <c r="H26" s="105">
        <v>31.085526545532133</v>
      </c>
      <c r="I26" s="97">
        <v>155</v>
      </c>
      <c r="J26" s="98">
        <v>25</v>
      </c>
      <c r="K26" s="85"/>
      <c r="L26" s="93">
        <v>5.122274660983769</v>
      </c>
      <c r="M26" s="94">
        <v>6.7960117055974338</v>
      </c>
      <c r="N26" s="94">
        <v>5.4605671536850453</v>
      </c>
      <c r="O26" s="94">
        <v>4.8570000000000002</v>
      </c>
      <c r="P26" s="94">
        <v>4.2640000000000002</v>
      </c>
      <c r="Q26" s="94">
        <v>4.1950000000000003</v>
      </c>
      <c r="R26" s="94">
        <v>4.2240000000000002</v>
      </c>
      <c r="S26" s="94">
        <v>2.2170000000000001</v>
      </c>
      <c r="T26" s="94">
        <v>-8.7379999999999995</v>
      </c>
      <c r="U26" s="94">
        <v>6.1059999999999999</v>
      </c>
      <c r="V26" s="95">
        <v>3.2</v>
      </c>
      <c r="W26" s="95">
        <f t="shared" si="0"/>
        <v>2.2138547188893631</v>
      </c>
    </row>
    <row r="27" spans="1:23" x14ac:dyDescent="0.35">
      <c r="A27" s="85" t="s">
        <v>227</v>
      </c>
      <c r="B27" s="85" t="s">
        <v>601</v>
      </c>
      <c r="C27" s="93">
        <v>2.6460933550704002</v>
      </c>
      <c r="D27" s="94">
        <v>2.9046927076515017</v>
      </c>
      <c r="E27" s="95">
        <v>2.7421493700034771</v>
      </c>
      <c r="G27" s="107" t="s">
        <v>424</v>
      </c>
      <c r="H27" s="105">
        <v>66.414016463166035</v>
      </c>
      <c r="I27" s="97">
        <v>108</v>
      </c>
      <c r="J27" s="98">
        <v>41</v>
      </c>
      <c r="K27" s="85"/>
      <c r="L27" s="93">
        <v>-0.82183647421687545</v>
      </c>
      <c r="M27" s="94">
        <v>2.3498566632458062</v>
      </c>
      <c r="N27" s="94">
        <v>1.1538510920040257</v>
      </c>
      <c r="O27" s="94">
        <v>4.3140000000000001</v>
      </c>
      <c r="P27" s="94">
        <v>3.242</v>
      </c>
      <c r="Q27" s="94">
        <v>3.2440000000000002</v>
      </c>
      <c r="R27" s="94">
        <v>3.8290000000000002</v>
      </c>
      <c r="S27" s="94">
        <v>2.8860000000000001</v>
      </c>
      <c r="T27" s="94">
        <v>-3.0150000000000001</v>
      </c>
      <c r="U27" s="94">
        <v>7.3920000000000003</v>
      </c>
      <c r="V27" s="95">
        <v>3.8</v>
      </c>
      <c r="W27" s="95">
        <f t="shared" si="0"/>
        <v>2.8234210388274894</v>
      </c>
    </row>
    <row r="28" spans="1:23" x14ac:dyDescent="0.35">
      <c r="A28" s="85" t="s">
        <v>582</v>
      </c>
      <c r="B28" s="85" t="s">
        <v>602</v>
      </c>
      <c r="C28" s="93">
        <v>2.6588943634134665</v>
      </c>
      <c r="D28" s="94">
        <v>1.4503583241093798</v>
      </c>
      <c r="E28" s="95">
        <v>2.7752039527026096</v>
      </c>
      <c r="G28" s="107" t="s">
        <v>401</v>
      </c>
      <c r="H28" s="105">
        <v>74.531513757725932</v>
      </c>
      <c r="I28" s="97">
        <v>70</v>
      </c>
      <c r="J28" s="98">
        <v>6</v>
      </c>
      <c r="K28" s="85"/>
      <c r="L28" s="93">
        <v>4.4561672130978769</v>
      </c>
      <c r="M28" s="94">
        <v>11.343424252775241</v>
      </c>
      <c r="N28" s="94">
        <v>4.149289893135184</v>
      </c>
      <c r="O28" s="94">
        <v>-4.851</v>
      </c>
      <c r="P28" s="94">
        <v>7.202</v>
      </c>
      <c r="Q28" s="94">
        <v>4.1130000000000004</v>
      </c>
      <c r="R28" s="94">
        <v>4.1900000000000004</v>
      </c>
      <c r="S28" s="94">
        <v>3.0329999999999999</v>
      </c>
      <c r="T28" s="94">
        <v>-8.7260000000000009</v>
      </c>
      <c r="U28" s="94">
        <v>11.84</v>
      </c>
      <c r="V28" s="95">
        <v>6.4329999999999998</v>
      </c>
      <c r="W28" s="95">
        <f t="shared" si="0"/>
        <v>2.1127811384059947</v>
      </c>
    </row>
    <row r="29" spans="1:23" x14ac:dyDescent="0.35">
      <c r="A29" s="85" t="s">
        <v>586</v>
      </c>
      <c r="B29" s="85" t="s">
        <v>603</v>
      </c>
      <c r="C29" s="93">
        <v>1.146428167182445</v>
      </c>
      <c r="D29" s="94">
        <v>1.295085878975577</v>
      </c>
      <c r="E29" s="95">
        <v>0.42795301380476047</v>
      </c>
      <c r="G29" s="107" t="s">
        <v>584</v>
      </c>
      <c r="H29" s="105">
        <v>79.569249143394813</v>
      </c>
      <c r="I29" s="97">
        <v>51</v>
      </c>
      <c r="J29" s="98">
        <v>7</v>
      </c>
      <c r="K29" s="85"/>
      <c r="L29" s="93">
        <v>1.9211503183629988</v>
      </c>
      <c r="M29" s="94">
        <v>3.0048463050570873</v>
      </c>
      <c r="N29" s="94">
        <v>0.50395574024224987</v>
      </c>
      <c r="O29" s="94">
        <v>-3.5459999999999998</v>
      </c>
      <c r="P29" s="94">
        <v>-3.2759999999999998</v>
      </c>
      <c r="Q29" s="94">
        <v>1.323</v>
      </c>
      <c r="R29" s="94">
        <v>1.784</v>
      </c>
      <c r="S29" s="94">
        <v>1.2210000000000001</v>
      </c>
      <c r="T29" s="94">
        <v>-3.2770000000000001</v>
      </c>
      <c r="U29" s="94">
        <v>4.9889999999999999</v>
      </c>
      <c r="V29" s="95">
        <v>2.9009999999999998</v>
      </c>
      <c r="W29" s="95">
        <f t="shared" si="0"/>
        <v>0.86151944639016875</v>
      </c>
    </row>
    <row r="30" spans="1:23" x14ac:dyDescent="0.35">
      <c r="A30" s="85" t="s">
        <v>578</v>
      </c>
      <c r="B30" s="85" t="s">
        <v>604</v>
      </c>
      <c r="C30" s="93">
        <v>-0.66374440025495085</v>
      </c>
      <c r="D30" s="94">
        <v>0.37078358077795581</v>
      </c>
      <c r="E30" s="95">
        <v>-0.44114896551331606</v>
      </c>
      <c r="G30" s="107" t="s">
        <v>580</v>
      </c>
      <c r="H30" s="105">
        <v>47.581995606084838</v>
      </c>
      <c r="I30" s="97">
        <v>142</v>
      </c>
      <c r="J30" s="98">
        <v>30</v>
      </c>
      <c r="K30" s="85"/>
      <c r="L30" s="93">
        <v>0.91284167096442625</v>
      </c>
      <c r="M30" s="94">
        <v>-2.1260285174017546</v>
      </c>
      <c r="N30" s="94">
        <v>-2.5083525664456063</v>
      </c>
      <c r="O30" s="94">
        <v>-0.40500000000000003</v>
      </c>
      <c r="P30" s="94">
        <v>-2.4649999999999999</v>
      </c>
      <c r="Q30" s="94">
        <v>1.329</v>
      </c>
      <c r="R30" s="94">
        <v>5.1999999999999998E-2</v>
      </c>
      <c r="S30" s="94">
        <v>3.8690000000000002</v>
      </c>
      <c r="T30" s="94">
        <v>1.1339999999999999</v>
      </c>
      <c r="U30" s="94">
        <v>-1.591</v>
      </c>
      <c r="V30" s="95">
        <v>-1.51</v>
      </c>
      <c r="W30" s="95">
        <f t="shared" si="0"/>
        <v>-3.5182692367680124E-2</v>
      </c>
    </row>
    <row r="31" spans="1:23" x14ac:dyDescent="0.35">
      <c r="A31" s="85" t="s">
        <v>227</v>
      </c>
      <c r="B31" s="85" t="s">
        <v>605</v>
      </c>
      <c r="C31" s="93">
        <v>2.2325090532704595</v>
      </c>
      <c r="D31" s="94">
        <v>2.7879873369299979</v>
      </c>
      <c r="E31" s="95">
        <v>2.7412414949005814</v>
      </c>
      <c r="G31" s="107" t="s">
        <v>584</v>
      </c>
      <c r="H31" s="105">
        <v>82.826908120877093</v>
      </c>
      <c r="I31" s="97">
        <v>40</v>
      </c>
      <c r="J31" s="98">
        <v>26</v>
      </c>
      <c r="K31" s="85"/>
      <c r="L31" s="93">
        <v>0.36058318828756941</v>
      </c>
      <c r="M31" s="94">
        <v>0.31873576132258219</v>
      </c>
      <c r="N31" s="94">
        <v>1.8945471424192788</v>
      </c>
      <c r="O31" s="94">
        <v>3.4279999999999999</v>
      </c>
      <c r="P31" s="94">
        <v>3.04</v>
      </c>
      <c r="Q31" s="94">
        <v>2.762</v>
      </c>
      <c r="R31" s="94">
        <v>2.6850000000000001</v>
      </c>
      <c r="S31" s="94">
        <v>4.0380000000000003</v>
      </c>
      <c r="T31" s="94">
        <v>-3.9590000000000001</v>
      </c>
      <c r="U31" s="94">
        <v>7.6349999999999998</v>
      </c>
      <c r="V31" s="95">
        <v>3.3610000000000002</v>
      </c>
      <c r="W31" s="95">
        <f t="shared" si="0"/>
        <v>2.7646144159152897</v>
      </c>
    </row>
    <row r="32" spans="1:23" x14ac:dyDescent="0.35">
      <c r="A32" s="85" t="s">
        <v>582</v>
      </c>
      <c r="B32" s="85" t="s">
        <v>606</v>
      </c>
      <c r="C32" s="93">
        <v>3.7461786866062718</v>
      </c>
      <c r="D32" s="94">
        <v>4.6060819779328632</v>
      </c>
      <c r="E32" s="95">
        <v>4.9153359042722222</v>
      </c>
      <c r="G32" s="107" t="s">
        <v>401</v>
      </c>
      <c r="H32" s="105">
        <v>71.439342263551737</v>
      </c>
      <c r="I32" s="97">
        <v>81</v>
      </c>
      <c r="J32" s="98">
        <v>11</v>
      </c>
      <c r="K32" s="85"/>
      <c r="L32" s="93">
        <v>6.4526723809054332</v>
      </c>
      <c r="M32" s="94">
        <v>5.7926055919056534</v>
      </c>
      <c r="N32" s="94">
        <v>4.3268456132150384</v>
      </c>
      <c r="O32" s="94">
        <v>3.9209999999999998</v>
      </c>
      <c r="P32" s="94">
        <v>5.9580000000000002</v>
      </c>
      <c r="Q32" s="94">
        <v>6.2030000000000003</v>
      </c>
      <c r="R32" s="94">
        <v>6.6029999999999998</v>
      </c>
      <c r="S32" s="94">
        <v>5.6890000000000001</v>
      </c>
      <c r="T32" s="94">
        <v>1.931</v>
      </c>
      <c r="U32" s="94">
        <v>6.9050000000000002</v>
      </c>
      <c r="V32" s="95">
        <v>2.4729999999999999</v>
      </c>
      <c r="W32" s="95">
        <f t="shared" si="0"/>
        <v>4.7607089411025427</v>
      </c>
    </row>
    <row r="33" spans="1:23" x14ac:dyDescent="0.35">
      <c r="A33" s="85" t="s">
        <v>582</v>
      </c>
      <c r="B33" s="85" t="s">
        <v>607</v>
      </c>
      <c r="C33" s="93">
        <v>1.3140617594302739</v>
      </c>
      <c r="D33" s="94">
        <v>1.4727306023839093</v>
      </c>
      <c r="E33" s="95">
        <v>1.2263384025287261</v>
      </c>
      <c r="G33" s="107" t="s">
        <v>580</v>
      </c>
      <c r="H33" s="105">
        <v>45.872398734881529</v>
      </c>
      <c r="I33" s="97">
        <v>144</v>
      </c>
      <c r="J33" s="98">
        <v>40</v>
      </c>
      <c r="K33" s="85"/>
      <c r="L33" s="93">
        <v>4.4467082221454284</v>
      </c>
      <c r="M33" s="94">
        <v>4.9241952612883146</v>
      </c>
      <c r="N33" s="94">
        <v>4.2406516436807848</v>
      </c>
      <c r="O33" s="94">
        <v>-3.9</v>
      </c>
      <c r="P33" s="94">
        <v>-0.6</v>
      </c>
      <c r="Q33" s="94">
        <v>0.5</v>
      </c>
      <c r="R33" s="94">
        <v>1.61</v>
      </c>
      <c r="S33" s="94">
        <v>1.8420000000000001</v>
      </c>
      <c r="T33" s="94">
        <v>0.33500000000000002</v>
      </c>
      <c r="U33" s="94">
        <v>3.1190000000000002</v>
      </c>
      <c r="V33" s="95">
        <v>1.827</v>
      </c>
      <c r="W33" s="95">
        <f t="shared" si="0"/>
        <v>1.3495345024563177</v>
      </c>
    </row>
    <row r="34" spans="1:23" x14ac:dyDescent="0.35">
      <c r="A34" s="85" t="s">
        <v>582</v>
      </c>
      <c r="B34" s="85" t="s">
        <v>608</v>
      </c>
      <c r="C34" s="93">
        <v>0.23646198785876038</v>
      </c>
      <c r="D34" s="94">
        <v>2.1534613712418604</v>
      </c>
      <c r="E34" s="95">
        <v>2.1525774639498785</v>
      </c>
      <c r="G34" s="107" t="s">
        <v>401</v>
      </c>
      <c r="H34" s="105">
        <v>72.784877013329833</v>
      </c>
      <c r="I34" s="97">
        <v>78</v>
      </c>
      <c r="J34" s="98">
        <v>9</v>
      </c>
      <c r="K34" s="85"/>
      <c r="L34" s="93">
        <v>1.0819182787712764</v>
      </c>
      <c r="M34" s="94">
        <v>0.80279760057422567</v>
      </c>
      <c r="N34" s="94">
        <v>0.61121266620786829</v>
      </c>
      <c r="O34" s="94">
        <v>1.0069999999999999</v>
      </c>
      <c r="P34" s="94">
        <v>4.7060000000000004</v>
      </c>
      <c r="Q34" s="94">
        <v>3.702</v>
      </c>
      <c r="R34" s="94">
        <v>14.566000000000001</v>
      </c>
      <c r="S34" s="94">
        <v>5.6680000000000001</v>
      </c>
      <c r="T34" s="94">
        <v>-14.782999999999999</v>
      </c>
      <c r="U34" s="94">
        <v>7</v>
      </c>
      <c r="V34" s="95">
        <v>10.5</v>
      </c>
      <c r="W34" s="95">
        <f t="shared" si="0"/>
        <v>2.1530194175958695</v>
      </c>
    </row>
    <row r="35" spans="1:23" x14ac:dyDescent="0.35">
      <c r="A35" s="85" t="s">
        <v>578</v>
      </c>
      <c r="B35" s="85" t="s">
        <v>609</v>
      </c>
      <c r="C35" s="93">
        <v>1.5881444792890331</v>
      </c>
      <c r="D35" s="94">
        <v>3.8205347927408928</v>
      </c>
      <c r="E35" s="95">
        <v>5.437149341759695</v>
      </c>
      <c r="G35" s="107" t="s">
        <v>580</v>
      </c>
      <c r="H35" s="105">
        <v>41.696651110677628</v>
      </c>
      <c r="I35" s="97">
        <v>149</v>
      </c>
      <c r="J35" s="98">
        <v>31</v>
      </c>
      <c r="K35" s="85"/>
      <c r="L35" s="93">
        <v>7.3133455053000533</v>
      </c>
      <c r="M35" s="94">
        <v>7.3566651488797472</v>
      </c>
      <c r="N35" s="94">
        <v>7.1425711007429467</v>
      </c>
      <c r="O35" s="94">
        <v>7.0359999999999996</v>
      </c>
      <c r="P35" s="94">
        <v>6.8630000000000004</v>
      </c>
      <c r="Q35" s="94">
        <v>6.9969999999999999</v>
      </c>
      <c r="R35" s="94">
        <v>7.4690000000000003</v>
      </c>
      <c r="S35" s="94">
        <v>7.0540000000000003</v>
      </c>
      <c r="T35" s="94">
        <v>-3.0960000000000001</v>
      </c>
      <c r="U35" s="94">
        <v>3.0259999999999998</v>
      </c>
      <c r="V35" s="95">
        <v>5.0119999999999996</v>
      </c>
      <c r="W35" s="95">
        <f t="shared" si="0"/>
        <v>4.6288420672502939</v>
      </c>
    </row>
    <row r="36" spans="1:23" x14ac:dyDescent="0.35">
      <c r="A36" s="85" t="s">
        <v>582</v>
      </c>
      <c r="B36" s="85" t="s">
        <v>610</v>
      </c>
      <c r="C36" s="93">
        <v>2.4193069652844734</v>
      </c>
      <c r="D36" s="94">
        <v>3.5683606479580687</v>
      </c>
      <c r="E36" s="95">
        <v>4.2936580650607903</v>
      </c>
      <c r="G36" s="107" t="s">
        <v>424</v>
      </c>
      <c r="H36" s="105">
        <v>66.487838229569903</v>
      </c>
      <c r="I36" s="97">
        <v>107</v>
      </c>
      <c r="J36" s="98">
        <v>24</v>
      </c>
      <c r="K36" s="85"/>
      <c r="L36" s="93">
        <v>4.5432650156673571</v>
      </c>
      <c r="M36" s="94">
        <v>5.4042657097173343</v>
      </c>
      <c r="N36" s="94">
        <v>5.8840593266804415</v>
      </c>
      <c r="O36" s="94">
        <v>5.6</v>
      </c>
      <c r="P36" s="94">
        <v>4.4790000000000001</v>
      </c>
      <c r="Q36" s="94">
        <v>3.5409999999999999</v>
      </c>
      <c r="R36" s="94">
        <v>4.0220000000000002</v>
      </c>
      <c r="S36" s="94">
        <v>3.4220000000000002</v>
      </c>
      <c r="T36" s="94">
        <v>0.53900000000000003</v>
      </c>
      <c r="U36" s="94">
        <v>3.649</v>
      </c>
      <c r="V36" s="95">
        <v>3.383</v>
      </c>
      <c r="W36" s="95">
        <f t="shared" si="0"/>
        <v>3.9310093565094295</v>
      </c>
    </row>
    <row r="37" spans="1:23" x14ac:dyDescent="0.35">
      <c r="A37" s="85" t="s">
        <v>586</v>
      </c>
      <c r="B37" s="85" t="s">
        <v>611</v>
      </c>
      <c r="C37" s="93">
        <v>0.80505563787092171</v>
      </c>
      <c r="D37" s="94">
        <v>1.279888102037452</v>
      </c>
      <c r="E37" s="95">
        <v>1.6398804050051563</v>
      </c>
      <c r="G37" s="107" t="s">
        <v>417</v>
      </c>
      <c r="H37" s="105">
        <v>95.837528170961207</v>
      </c>
      <c r="I37" s="97">
        <v>17</v>
      </c>
      <c r="J37" s="98">
        <v>2</v>
      </c>
      <c r="K37" s="85"/>
      <c r="L37" s="93">
        <v>1.762222549554276</v>
      </c>
      <c r="M37" s="94">
        <v>2.3291225223044822</v>
      </c>
      <c r="N37" s="94">
        <v>2.8700360387422155</v>
      </c>
      <c r="O37" s="94">
        <v>0.65900000000000003</v>
      </c>
      <c r="P37" s="94">
        <v>1.0009999999999999</v>
      </c>
      <c r="Q37" s="94">
        <v>3.04</v>
      </c>
      <c r="R37" s="94">
        <v>2.7770000000000001</v>
      </c>
      <c r="S37" s="94">
        <v>1.8879999999999999</v>
      </c>
      <c r="T37" s="94">
        <v>-5.0739999999999998</v>
      </c>
      <c r="U37" s="94">
        <v>5.0119999999999996</v>
      </c>
      <c r="V37" s="95">
        <v>3.3959999999999999</v>
      </c>
      <c r="W37" s="95">
        <f t="shared" si="0"/>
        <v>1.4598842535213041</v>
      </c>
    </row>
    <row r="38" spans="1:23" x14ac:dyDescent="0.35">
      <c r="A38" s="85" t="s">
        <v>582</v>
      </c>
      <c r="B38" s="85" t="s">
        <v>612</v>
      </c>
      <c r="C38" s="93">
        <v>0.72569907638180275</v>
      </c>
      <c r="D38" s="94">
        <v>1.8043988935163791</v>
      </c>
      <c r="E38" s="95">
        <v>-2.2645674209426092</v>
      </c>
      <c r="G38" s="107" t="s">
        <v>580</v>
      </c>
      <c r="H38" s="105">
        <v>41.466247411534134</v>
      </c>
      <c r="I38" s="97">
        <v>150</v>
      </c>
      <c r="J38" s="98">
        <v>44</v>
      </c>
      <c r="K38" s="85"/>
      <c r="L38" s="93">
        <v>5.053761253569192</v>
      </c>
      <c r="M38" s="94">
        <v>-36.391977098388679</v>
      </c>
      <c r="N38" s="94">
        <v>8.1070515326508011E-2</v>
      </c>
      <c r="O38" s="94">
        <v>4.3380000000000001</v>
      </c>
      <c r="P38" s="94">
        <v>4.75</v>
      </c>
      <c r="Q38" s="94">
        <v>4.5279999999999996</v>
      </c>
      <c r="R38" s="94">
        <v>3.82</v>
      </c>
      <c r="S38" s="94">
        <v>2.97</v>
      </c>
      <c r="T38" s="94">
        <v>0.95899999999999996</v>
      </c>
      <c r="U38" s="94">
        <v>0.98299999999999998</v>
      </c>
      <c r="V38" s="95">
        <v>0.378</v>
      </c>
      <c r="W38" s="95">
        <f t="shared" si="0"/>
        <v>-0.23008426371311508</v>
      </c>
    </row>
    <row r="39" spans="1:23" x14ac:dyDescent="0.35">
      <c r="A39" s="85" t="s">
        <v>582</v>
      </c>
      <c r="B39" s="85" t="s">
        <v>613</v>
      </c>
      <c r="C39" s="93">
        <v>-0.11885802228936981</v>
      </c>
      <c r="D39" s="94">
        <v>1.0424126086531427</v>
      </c>
      <c r="E39" s="95">
        <v>1.0693731739606749</v>
      </c>
      <c r="G39" s="107" t="s">
        <v>580</v>
      </c>
      <c r="H39" s="105">
        <v>46.134841898100355</v>
      </c>
      <c r="I39" s="97">
        <v>143</v>
      </c>
      <c r="J39" s="98">
        <v>39</v>
      </c>
      <c r="K39" s="85"/>
      <c r="L39" s="93">
        <v>8.8825760717031557</v>
      </c>
      <c r="M39" s="94">
        <v>5.7000013628586537</v>
      </c>
      <c r="N39" s="94">
        <v>6.8999850453216673</v>
      </c>
      <c r="O39" s="94">
        <v>1.77</v>
      </c>
      <c r="P39" s="94">
        <v>-5.5579999999999998</v>
      </c>
      <c r="Q39" s="94">
        <v>-2.38</v>
      </c>
      <c r="R39" s="94">
        <v>2.355</v>
      </c>
      <c r="S39" s="94">
        <v>3.419</v>
      </c>
      <c r="T39" s="94">
        <v>-2.1419999999999999</v>
      </c>
      <c r="U39" s="94">
        <v>-1.1020000000000001</v>
      </c>
      <c r="V39" s="95">
        <v>2.4940000000000002</v>
      </c>
      <c r="W39" s="95">
        <f t="shared" si="0"/>
        <v>1.0558928913069088</v>
      </c>
    </row>
    <row r="40" spans="1:23" x14ac:dyDescent="0.35">
      <c r="A40" s="85" t="s">
        <v>586</v>
      </c>
      <c r="B40" s="85" t="s">
        <v>614</v>
      </c>
      <c r="C40" s="93">
        <v>2.4572143474803632</v>
      </c>
      <c r="D40" s="94">
        <v>3.0605383736418856</v>
      </c>
      <c r="E40" s="95">
        <v>2.6285168981251106</v>
      </c>
      <c r="G40" s="107" t="s">
        <v>417</v>
      </c>
      <c r="H40" s="105">
        <v>89.938976035792962</v>
      </c>
      <c r="I40" s="97">
        <v>28</v>
      </c>
      <c r="J40" s="98">
        <v>3</v>
      </c>
      <c r="K40" s="85"/>
      <c r="L40" s="93">
        <v>5.3186280004141473</v>
      </c>
      <c r="M40" s="94">
        <v>4.0450042981489593</v>
      </c>
      <c r="N40" s="94">
        <v>1.7667397836386938</v>
      </c>
      <c r="O40" s="94">
        <v>2.1520000000000001</v>
      </c>
      <c r="P40" s="94">
        <v>1.7529999999999999</v>
      </c>
      <c r="Q40" s="94">
        <v>1.3580000000000001</v>
      </c>
      <c r="R40" s="94">
        <v>3.99</v>
      </c>
      <c r="S40" s="94">
        <v>0.74299999999999999</v>
      </c>
      <c r="T40" s="94">
        <v>-6.1449999999999996</v>
      </c>
      <c r="U40" s="94">
        <v>11.737</v>
      </c>
      <c r="V40" s="95">
        <v>2.44</v>
      </c>
      <c r="W40" s="95">
        <f t="shared" si="0"/>
        <v>2.8445276358834981</v>
      </c>
    </row>
    <row r="41" spans="1:23" x14ac:dyDescent="0.35">
      <c r="A41" s="85" t="s">
        <v>578</v>
      </c>
      <c r="B41" s="85" t="s">
        <v>615</v>
      </c>
      <c r="C41" s="93">
        <v>4.4136018906123953</v>
      </c>
      <c r="D41" s="94">
        <v>5.1836523723133077</v>
      </c>
      <c r="E41" s="95">
        <v>6.1897338385474399</v>
      </c>
      <c r="G41" s="107" t="s">
        <v>584</v>
      </c>
      <c r="H41" s="105">
        <v>79.714044846147502</v>
      </c>
      <c r="I41" s="97">
        <v>50</v>
      </c>
      <c r="J41" s="98">
        <v>7</v>
      </c>
      <c r="K41" s="85"/>
      <c r="L41" s="93">
        <v>7.8596274932851555</v>
      </c>
      <c r="M41" s="94">
        <v>7.7686152841281606</v>
      </c>
      <c r="N41" s="94">
        <v>7.4245236561990726</v>
      </c>
      <c r="O41" s="94">
        <v>7.0179999999999998</v>
      </c>
      <c r="P41" s="94">
        <v>6.851</v>
      </c>
      <c r="Q41" s="94">
        <v>6.9470000000000001</v>
      </c>
      <c r="R41" s="94">
        <v>6.7510000000000003</v>
      </c>
      <c r="S41" s="94">
        <v>5.9509999999999996</v>
      </c>
      <c r="T41" s="94">
        <v>2.242</v>
      </c>
      <c r="U41" s="94">
        <v>8.4499999999999993</v>
      </c>
      <c r="V41" s="95">
        <v>2.988</v>
      </c>
      <c r="W41" s="95">
        <f t="shared" si="0"/>
        <v>5.6866931054303738</v>
      </c>
    </row>
    <row r="42" spans="1:23" x14ac:dyDescent="0.35">
      <c r="A42" s="85" t="s">
        <v>586</v>
      </c>
      <c r="B42" s="85" t="s">
        <v>616</v>
      </c>
      <c r="C42" s="93">
        <v>3.4115994769119862</v>
      </c>
      <c r="D42" s="94">
        <v>2.9902381196408978</v>
      </c>
      <c r="E42" s="95">
        <v>3.0937390088282557</v>
      </c>
      <c r="G42" s="107" t="s">
        <v>584</v>
      </c>
      <c r="H42" s="105">
        <v>79.943455242802315</v>
      </c>
      <c r="I42" s="97">
        <v>48</v>
      </c>
      <c r="J42" s="98">
        <v>6</v>
      </c>
      <c r="K42" s="85"/>
      <c r="L42" s="93">
        <v>3.9126357671611296</v>
      </c>
      <c r="M42" s="94">
        <v>5.1339935199566966</v>
      </c>
      <c r="N42" s="94">
        <v>4.4990300011097339</v>
      </c>
      <c r="O42" s="94">
        <v>2.956</v>
      </c>
      <c r="P42" s="94">
        <v>2.0880000000000001</v>
      </c>
      <c r="Q42" s="94">
        <v>1.359</v>
      </c>
      <c r="R42" s="94">
        <v>2.5640000000000001</v>
      </c>
      <c r="S42" s="94">
        <v>3.1869999999999998</v>
      </c>
      <c r="T42" s="94">
        <v>-7.2519999999999998</v>
      </c>
      <c r="U42" s="94">
        <v>11.016</v>
      </c>
      <c r="V42" s="95">
        <v>7.4960000000000004</v>
      </c>
      <c r="W42" s="95">
        <f t="shared" si="0"/>
        <v>3.0419885642345768</v>
      </c>
    </row>
    <row r="43" spans="1:23" x14ac:dyDescent="0.35">
      <c r="A43" s="85" t="s">
        <v>582</v>
      </c>
      <c r="B43" s="85" t="s">
        <v>617</v>
      </c>
      <c r="C43" s="93">
        <v>1.4424277454801349</v>
      </c>
      <c r="D43" s="94">
        <v>1.9425285111170032</v>
      </c>
      <c r="E43" s="95">
        <v>2.451644301489786</v>
      </c>
      <c r="G43" s="107" t="s">
        <v>424</v>
      </c>
      <c r="H43" s="105">
        <v>68.943026951610364</v>
      </c>
      <c r="I43" s="97">
        <v>96</v>
      </c>
      <c r="J43" s="98">
        <v>17</v>
      </c>
      <c r="K43" s="85"/>
      <c r="L43" s="93">
        <v>3.2002729031888046</v>
      </c>
      <c r="M43" s="94">
        <v>4.4998742153082745</v>
      </c>
      <c r="N43" s="94">
        <v>2.1000064383028905</v>
      </c>
      <c r="O43" s="94">
        <v>1.147</v>
      </c>
      <c r="P43" s="94">
        <v>3.32</v>
      </c>
      <c r="Q43" s="94">
        <v>3.8159999999999998</v>
      </c>
      <c r="R43" s="94">
        <v>3.6419999999999999</v>
      </c>
      <c r="S43" s="94">
        <v>1.7609999999999999</v>
      </c>
      <c r="T43" s="94">
        <v>-0.19600000000000001</v>
      </c>
      <c r="U43" s="94">
        <v>2.1120000000000001</v>
      </c>
      <c r="V43" s="95">
        <v>2.431</v>
      </c>
      <c r="W43" s="95">
        <f t="shared" si="0"/>
        <v>2.1970864063033946</v>
      </c>
    </row>
    <row r="44" spans="1:23" x14ac:dyDescent="0.35">
      <c r="A44" s="85" t="s">
        <v>582</v>
      </c>
      <c r="B44" s="85" t="s">
        <v>618</v>
      </c>
      <c r="C44" s="93">
        <v>4.8306254668632809</v>
      </c>
      <c r="D44" s="94">
        <v>4.9384402884992351</v>
      </c>
      <c r="E44" s="95">
        <v>5.5494362942043685</v>
      </c>
      <c r="G44" s="107" t="s">
        <v>580</v>
      </c>
      <c r="H44" s="105">
        <v>40.102703133666751</v>
      </c>
      <c r="I44" s="97">
        <v>151</v>
      </c>
      <c r="J44" s="98">
        <v>45</v>
      </c>
      <c r="K44" s="85"/>
      <c r="L44" s="93">
        <v>7.0868989467193844</v>
      </c>
      <c r="M44" s="94">
        <v>8.4819566360875722</v>
      </c>
      <c r="N44" s="94">
        <v>9.4702880971408341</v>
      </c>
      <c r="O44" s="94">
        <v>6.36</v>
      </c>
      <c r="P44" s="94">
        <v>0.39400000000000002</v>
      </c>
      <c r="Q44" s="94">
        <v>3.6579999999999999</v>
      </c>
      <c r="R44" s="94">
        <v>4.8250000000000002</v>
      </c>
      <c r="S44" s="94">
        <v>4.4850000000000003</v>
      </c>
      <c r="T44" s="94">
        <v>1.671</v>
      </c>
      <c r="U44" s="94">
        <v>6.2290000000000001</v>
      </c>
      <c r="V44" s="95">
        <v>6.6269999999999998</v>
      </c>
      <c r="W44" s="95">
        <f t="shared" si="0"/>
        <v>5.2439382913518013</v>
      </c>
    </row>
    <row r="45" spans="1:23" x14ac:dyDescent="0.35">
      <c r="A45" s="85" t="s">
        <v>582</v>
      </c>
      <c r="B45" s="85" t="s">
        <v>619</v>
      </c>
      <c r="C45" s="93">
        <v>-1.9540231466170455</v>
      </c>
      <c r="D45" s="94">
        <v>-2.1626068363397866</v>
      </c>
      <c r="E45" s="95">
        <v>-2.4351268953680449</v>
      </c>
      <c r="G45" s="107" t="s">
        <v>580</v>
      </c>
      <c r="H45" s="105">
        <v>42.318471362744162</v>
      </c>
      <c r="I45" s="97">
        <v>148</v>
      </c>
      <c r="J45" s="98">
        <v>43</v>
      </c>
      <c r="K45" s="85"/>
      <c r="L45" s="93">
        <v>9.9471531425756439</v>
      </c>
      <c r="M45" s="94">
        <v>-0.71243445187648202</v>
      </c>
      <c r="N45" s="94">
        <v>6.7166793337864945</v>
      </c>
      <c r="O45" s="94">
        <v>-3.5510000000000002</v>
      </c>
      <c r="P45" s="94">
        <v>-10.782999999999999</v>
      </c>
      <c r="Q45" s="94">
        <v>-4.383</v>
      </c>
      <c r="R45" s="94">
        <v>-4.8049999999999997</v>
      </c>
      <c r="S45" s="94">
        <v>1.026</v>
      </c>
      <c r="T45" s="94">
        <v>-6.1980000000000004</v>
      </c>
      <c r="U45" s="94">
        <v>1.5</v>
      </c>
      <c r="V45" s="95">
        <v>2.7850000000000001</v>
      </c>
      <c r="W45" s="95">
        <f t="shared" si="0"/>
        <v>-2.298866865853916</v>
      </c>
    </row>
    <row r="46" spans="1:23" x14ac:dyDescent="0.35">
      <c r="A46" s="85" t="s">
        <v>586</v>
      </c>
      <c r="B46" s="85" t="s">
        <v>620</v>
      </c>
      <c r="C46" s="93">
        <v>2.4986852323448439</v>
      </c>
      <c r="D46" s="94">
        <v>3.7972658363557565</v>
      </c>
      <c r="E46" s="95">
        <v>3.649680120396992</v>
      </c>
      <c r="G46" s="107" t="s">
        <v>584</v>
      </c>
      <c r="H46" s="105">
        <v>86.218051096846139</v>
      </c>
      <c r="I46" s="97">
        <v>34</v>
      </c>
      <c r="J46" s="98">
        <v>4</v>
      </c>
      <c r="K46" s="85"/>
      <c r="L46" s="93">
        <v>4.7969199185815947</v>
      </c>
      <c r="M46" s="94">
        <v>2.2690274004615811</v>
      </c>
      <c r="N46" s="94">
        <v>3.5153385639114227</v>
      </c>
      <c r="O46" s="94">
        <v>3.6520000000000001</v>
      </c>
      <c r="P46" s="94">
        <v>4.2039999999999997</v>
      </c>
      <c r="Q46" s="94">
        <v>4.1580000000000004</v>
      </c>
      <c r="R46" s="94">
        <v>2.6160000000000001</v>
      </c>
      <c r="S46" s="94">
        <v>2.4180000000000001</v>
      </c>
      <c r="T46" s="94">
        <v>-4.2729999999999997</v>
      </c>
      <c r="U46" s="94">
        <v>7.7809999999999997</v>
      </c>
      <c r="V46" s="95">
        <v>4.3239999999999998</v>
      </c>
      <c r="W46" s="95">
        <f t="shared" si="0"/>
        <v>3.7234729783763743</v>
      </c>
    </row>
    <row r="47" spans="1:23" x14ac:dyDescent="0.35">
      <c r="A47" s="85" t="s">
        <v>582</v>
      </c>
      <c r="B47" s="85" t="s">
        <v>621</v>
      </c>
      <c r="C47" s="93">
        <v>5.2133244785906863</v>
      </c>
      <c r="D47" s="94">
        <v>5.7501340546816326</v>
      </c>
      <c r="E47" s="95">
        <v>6.9731316213943906</v>
      </c>
      <c r="G47" s="107" t="s">
        <v>424</v>
      </c>
      <c r="H47" s="105">
        <v>69.121915522328067</v>
      </c>
      <c r="I47" s="97">
        <v>95</v>
      </c>
      <c r="J47" s="98">
        <v>16</v>
      </c>
      <c r="K47" s="85"/>
      <c r="L47" s="93">
        <v>10.706504103485498</v>
      </c>
      <c r="M47" s="94">
        <v>8.8894213015542505</v>
      </c>
      <c r="N47" s="94">
        <v>8.7940773902773532</v>
      </c>
      <c r="O47" s="94">
        <v>8.843</v>
      </c>
      <c r="P47" s="94">
        <v>7.173</v>
      </c>
      <c r="Q47" s="94">
        <v>6.1429999999999998</v>
      </c>
      <c r="R47" s="94">
        <v>3.7509999999999999</v>
      </c>
      <c r="S47" s="94">
        <v>8.31</v>
      </c>
      <c r="T47" s="94">
        <v>1.7</v>
      </c>
      <c r="U47" s="94">
        <v>7</v>
      </c>
      <c r="V47" s="95">
        <v>6.7</v>
      </c>
      <c r="W47" s="95">
        <f t="shared" si="0"/>
        <v>6.3616328380380116</v>
      </c>
    </row>
    <row r="48" spans="1:23" x14ac:dyDescent="0.35">
      <c r="A48" s="85" t="s">
        <v>227</v>
      </c>
      <c r="B48" s="85" t="s">
        <v>622</v>
      </c>
      <c r="C48" s="93">
        <v>3.2016110581527757</v>
      </c>
      <c r="D48" s="94">
        <v>3.6386983370098269</v>
      </c>
      <c r="E48" s="95">
        <v>2.6484109069949024</v>
      </c>
      <c r="G48" s="107" t="s">
        <v>584</v>
      </c>
      <c r="H48" s="105">
        <v>83.891853807505186</v>
      </c>
      <c r="I48" s="97">
        <v>39</v>
      </c>
      <c r="J48" s="98">
        <v>25</v>
      </c>
      <c r="K48" s="85"/>
      <c r="L48" s="93">
        <v>-2.2376475412236791</v>
      </c>
      <c r="M48" s="94">
        <v>-0.54854848857064353</v>
      </c>
      <c r="N48" s="94">
        <v>-0.10392849719394197</v>
      </c>
      <c r="O48" s="94">
        <v>2.524</v>
      </c>
      <c r="P48" s="94">
        <v>3.56</v>
      </c>
      <c r="Q48" s="94">
        <v>3.4140000000000001</v>
      </c>
      <c r="R48" s="94">
        <v>2.7989999999999999</v>
      </c>
      <c r="S48" s="94">
        <v>3.42</v>
      </c>
      <c r="T48" s="94">
        <v>-8.58</v>
      </c>
      <c r="U48" s="94">
        <v>13.07</v>
      </c>
      <c r="V48" s="95">
        <v>6.3319999999999999</v>
      </c>
      <c r="W48" s="95">
        <f t="shared" si="0"/>
        <v>3.1435546220023647</v>
      </c>
    </row>
    <row r="49" spans="1:23" x14ac:dyDescent="0.35">
      <c r="A49" s="85" t="s">
        <v>227</v>
      </c>
      <c r="B49" s="85" t="s">
        <v>623</v>
      </c>
      <c r="C49" s="93">
        <v>2.5096449899315587</v>
      </c>
      <c r="D49" s="94">
        <v>3.8028194592395037</v>
      </c>
      <c r="E49" s="95">
        <v>2.5630103304818297</v>
      </c>
      <c r="G49" s="107" t="s">
        <v>584</v>
      </c>
      <c r="H49" s="105">
        <v>87.255396390154942</v>
      </c>
      <c r="I49" s="97">
        <v>32</v>
      </c>
      <c r="J49" s="98">
        <v>21</v>
      </c>
      <c r="K49" s="85"/>
      <c r="L49" s="93">
        <v>-3.4468220858971224</v>
      </c>
      <c r="M49" s="94">
        <v>-6.5530782549911972</v>
      </c>
      <c r="N49" s="94">
        <v>-1.8293091092200273</v>
      </c>
      <c r="O49" s="94">
        <v>3.4180000000000001</v>
      </c>
      <c r="P49" s="94">
        <v>6.5739999999999998</v>
      </c>
      <c r="Q49" s="94">
        <v>5.7329999999999997</v>
      </c>
      <c r="R49" s="94">
        <v>5.649</v>
      </c>
      <c r="S49" s="94">
        <v>5.5289999999999999</v>
      </c>
      <c r="T49" s="94">
        <v>-4.3710000000000004</v>
      </c>
      <c r="U49" s="94">
        <v>6.6369999999999996</v>
      </c>
      <c r="V49" s="95">
        <v>5.6319999999999997</v>
      </c>
      <c r="W49" s="95">
        <f t="shared" si="0"/>
        <v>3.1829148948606667</v>
      </c>
    </row>
    <row r="50" spans="1:23" x14ac:dyDescent="0.35">
      <c r="A50" s="85" t="s">
        <v>227</v>
      </c>
      <c r="B50" s="85" t="s">
        <v>624</v>
      </c>
      <c r="C50" s="93">
        <v>7.8479275411136307E-2</v>
      </c>
      <c r="D50" s="94">
        <v>1.4620184569118511</v>
      </c>
      <c r="E50" s="95">
        <v>2.1534461321011111</v>
      </c>
      <c r="G50" s="107" t="s">
        <v>417</v>
      </c>
      <c r="H50" s="105">
        <v>91.450544124021832</v>
      </c>
      <c r="I50" s="97">
        <v>23</v>
      </c>
      <c r="J50" s="98">
        <v>15</v>
      </c>
      <c r="K50" s="85"/>
      <c r="L50" s="93">
        <v>-0.79984428098029747</v>
      </c>
      <c r="M50" s="94">
        <v>-0.48367104180935355</v>
      </c>
      <c r="N50" s="94">
        <v>2.7151161333034923</v>
      </c>
      <c r="O50" s="94">
        <v>5.3879999999999999</v>
      </c>
      <c r="P50" s="94">
        <v>2.5369999999999999</v>
      </c>
      <c r="Q50" s="94">
        <v>5.1689999999999996</v>
      </c>
      <c r="R50" s="94">
        <v>3.22</v>
      </c>
      <c r="S50" s="94">
        <v>3.03</v>
      </c>
      <c r="T50" s="94">
        <v>-5.5030000000000001</v>
      </c>
      <c r="U50" s="94">
        <v>3.5529999999999999</v>
      </c>
      <c r="V50" s="95">
        <v>2.4420000000000002</v>
      </c>
      <c r="W50" s="95">
        <f t="shared" si="0"/>
        <v>1.8077322945064811</v>
      </c>
    </row>
    <row r="51" spans="1:23" x14ac:dyDescent="0.35">
      <c r="A51" s="85" t="s">
        <v>227</v>
      </c>
      <c r="B51" s="85" t="s">
        <v>625</v>
      </c>
      <c r="C51" s="93">
        <v>2.1173186821453305</v>
      </c>
      <c r="D51" s="94">
        <v>2.0745382872927598</v>
      </c>
      <c r="E51" s="95">
        <v>2.0535686786969709</v>
      </c>
      <c r="G51" s="107" t="s">
        <v>417</v>
      </c>
      <c r="H51" s="105">
        <v>97.848591628257381</v>
      </c>
      <c r="I51" s="97">
        <v>3</v>
      </c>
      <c r="J51" s="98">
        <v>2</v>
      </c>
      <c r="K51" s="85"/>
      <c r="L51" s="93">
        <v>0.22649979701625131</v>
      </c>
      <c r="M51" s="94">
        <v>0.93334095705108477</v>
      </c>
      <c r="N51" s="94">
        <v>1.6193938166337245</v>
      </c>
      <c r="O51" s="94">
        <v>2.343</v>
      </c>
      <c r="P51" s="94">
        <v>3.2480000000000002</v>
      </c>
      <c r="Q51" s="94">
        <v>2.819</v>
      </c>
      <c r="R51" s="94">
        <v>1.9910000000000001</v>
      </c>
      <c r="S51" s="94">
        <v>1.4930000000000001</v>
      </c>
      <c r="T51" s="94">
        <v>-1.994</v>
      </c>
      <c r="U51" s="94">
        <v>4.8570000000000002</v>
      </c>
      <c r="V51" s="95">
        <v>3.6230000000000002</v>
      </c>
      <c r="W51" s="95">
        <f t="shared" si="0"/>
        <v>2.0640534829948654</v>
      </c>
    </row>
    <row r="52" spans="1:23" x14ac:dyDescent="0.35">
      <c r="A52" s="85" t="s">
        <v>586</v>
      </c>
      <c r="B52" s="85" t="s">
        <v>626</v>
      </c>
      <c r="C52" s="93">
        <v>3.1998461156594438</v>
      </c>
      <c r="D52" s="94">
        <v>4.316018962980106</v>
      </c>
      <c r="E52" s="95">
        <v>5.1698060844696858</v>
      </c>
      <c r="G52" s="107" t="s">
        <v>584</v>
      </c>
      <c r="H52" s="105">
        <v>76.661181476266762</v>
      </c>
      <c r="I52" s="97">
        <v>62</v>
      </c>
      <c r="J52" s="98">
        <v>9</v>
      </c>
      <c r="K52" s="85"/>
      <c r="L52" s="93">
        <v>2.7173678967056243</v>
      </c>
      <c r="M52" s="94">
        <v>4.8752050933227107</v>
      </c>
      <c r="N52" s="94">
        <v>7.0504636896591117</v>
      </c>
      <c r="O52" s="94">
        <v>6.9269999999999996</v>
      </c>
      <c r="P52" s="94">
        <v>6.6589999999999998</v>
      </c>
      <c r="Q52" s="94">
        <v>4.6669999999999998</v>
      </c>
      <c r="R52" s="94">
        <v>6.9829999999999997</v>
      </c>
      <c r="S52" s="94">
        <v>5.0519999999999996</v>
      </c>
      <c r="T52" s="94">
        <v>-6.72</v>
      </c>
      <c r="U52" s="94">
        <v>12.272</v>
      </c>
      <c r="V52" s="95">
        <v>4.9489999999999998</v>
      </c>
      <c r="W52" s="95">
        <f t="shared" si="0"/>
        <v>4.7429125237248959</v>
      </c>
    </row>
    <row r="53" spans="1:23" x14ac:dyDescent="0.35">
      <c r="A53" s="85" t="s">
        <v>586</v>
      </c>
      <c r="B53" s="85" t="s">
        <v>627</v>
      </c>
      <c r="C53" s="93">
        <v>-0.32141867374969602</v>
      </c>
      <c r="D53" s="94">
        <v>6.5490773887200149E-2</v>
      </c>
      <c r="E53" s="95">
        <v>1.0130868701887064</v>
      </c>
      <c r="G53" s="111" t="s">
        <v>424</v>
      </c>
      <c r="H53" s="105">
        <v>61.323621492965962</v>
      </c>
      <c r="I53" s="97">
        <v>123</v>
      </c>
      <c r="J53" s="98">
        <v>20</v>
      </c>
      <c r="K53" s="85"/>
      <c r="L53" s="93">
        <v>5.641962066711991</v>
      </c>
      <c r="M53" s="94">
        <v>4.9465112669062528</v>
      </c>
      <c r="N53" s="94">
        <v>3.7888685492083329</v>
      </c>
      <c r="O53" s="94">
        <v>9.9000000000000005E-2</v>
      </c>
      <c r="P53" s="94">
        <v>-1.226</v>
      </c>
      <c r="Q53" s="94">
        <v>2.3679999999999999</v>
      </c>
      <c r="R53" s="94">
        <v>1.2889999999999999</v>
      </c>
      <c r="S53" s="94">
        <v>1.2E-2</v>
      </c>
      <c r="T53" s="94">
        <v>-7.7880000000000003</v>
      </c>
      <c r="U53" s="94">
        <v>4.2350000000000003</v>
      </c>
      <c r="V53" s="95">
        <v>3.0390000000000001</v>
      </c>
      <c r="W53" s="95">
        <f t="shared" si="0"/>
        <v>0.53928882203795325</v>
      </c>
    </row>
    <row r="54" spans="1:23" x14ac:dyDescent="0.35">
      <c r="A54" s="85" t="s">
        <v>582</v>
      </c>
      <c r="B54" s="85" t="s">
        <v>628</v>
      </c>
      <c r="C54" s="93">
        <v>4.4912036839904523</v>
      </c>
      <c r="D54" s="94">
        <v>4.8680352120142656</v>
      </c>
      <c r="E54" s="95">
        <v>4.2302867143853229</v>
      </c>
      <c r="G54" s="107" t="s">
        <v>424</v>
      </c>
      <c r="H54" s="105">
        <v>63.405428674671668</v>
      </c>
      <c r="I54" s="97">
        <v>119</v>
      </c>
      <c r="J54" s="98">
        <v>28</v>
      </c>
      <c r="K54" s="85"/>
      <c r="L54" s="93">
        <v>2.2261997966213811</v>
      </c>
      <c r="M54" s="94">
        <v>2.1854660547123101</v>
      </c>
      <c r="N54" s="94">
        <v>2.9159118788358169</v>
      </c>
      <c r="O54" s="94">
        <v>4.4340000000000002</v>
      </c>
      <c r="P54" s="94">
        <v>4.5060000000000002</v>
      </c>
      <c r="Q54" s="94">
        <v>2.3690000000000002</v>
      </c>
      <c r="R54" s="94">
        <v>5.3310000000000004</v>
      </c>
      <c r="S54" s="94">
        <v>5.5339999999999998</v>
      </c>
      <c r="T54" s="94">
        <v>3.5139999999999998</v>
      </c>
      <c r="U54" s="94">
        <v>3.3069999999999999</v>
      </c>
      <c r="V54" s="95">
        <v>6.609</v>
      </c>
      <c r="W54" s="95">
        <f t="shared" si="0"/>
        <v>4.5491609631997942</v>
      </c>
    </row>
    <row r="55" spans="1:23" x14ac:dyDescent="0.35">
      <c r="A55" s="85" t="s">
        <v>586</v>
      </c>
      <c r="B55" s="85" t="s">
        <v>629</v>
      </c>
      <c r="C55" s="93">
        <v>1.3471265984384528</v>
      </c>
      <c r="D55" s="94">
        <v>1.776882859029727</v>
      </c>
      <c r="E55" s="95">
        <v>2.0016468394263187</v>
      </c>
      <c r="G55" s="107" t="s">
        <v>401</v>
      </c>
      <c r="H55" s="105">
        <v>69.210174273537845</v>
      </c>
      <c r="I55" s="97">
        <v>94</v>
      </c>
      <c r="J55" s="98">
        <v>13</v>
      </c>
      <c r="K55" s="85"/>
      <c r="L55" s="93">
        <v>2.8155018217952783</v>
      </c>
      <c r="M55" s="94">
        <v>2.2337536818851604</v>
      </c>
      <c r="N55" s="94">
        <v>1.7112232058649222</v>
      </c>
      <c r="O55" s="94">
        <v>2.395</v>
      </c>
      <c r="P55" s="94">
        <v>2.5419999999999998</v>
      </c>
      <c r="Q55" s="94">
        <v>2.2530000000000001</v>
      </c>
      <c r="R55" s="94">
        <v>2.4119999999999999</v>
      </c>
      <c r="S55" s="94">
        <v>2.4350000000000001</v>
      </c>
      <c r="T55" s="94">
        <v>-8.1750000000000007</v>
      </c>
      <c r="U55" s="94">
        <v>10.269</v>
      </c>
      <c r="V55" s="95">
        <v>2.8</v>
      </c>
      <c r="W55" s="95">
        <f t="shared" si="0"/>
        <v>1.8892648492280228</v>
      </c>
    </row>
    <row r="56" spans="1:23" x14ac:dyDescent="0.35">
      <c r="A56" s="85" t="s">
        <v>227</v>
      </c>
      <c r="B56" s="85" t="s">
        <v>630</v>
      </c>
      <c r="C56" s="93">
        <v>1.972770435214799</v>
      </c>
      <c r="D56" s="94">
        <v>2.6853264084946815</v>
      </c>
      <c r="E56" s="95">
        <v>2.7928430899179402</v>
      </c>
      <c r="G56" s="107" t="s">
        <v>584</v>
      </c>
      <c r="H56" s="105">
        <v>82.267245472231053</v>
      </c>
      <c r="I56" s="97">
        <v>41</v>
      </c>
      <c r="J56" s="98">
        <v>27</v>
      </c>
      <c r="K56" s="85"/>
      <c r="L56" s="93">
        <v>3.1248431915696226</v>
      </c>
      <c r="M56" s="94">
        <v>1.346187835760732</v>
      </c>
      <c r="N56" s="94">
        <v>2.9873258188549392</v>
      </c>
      <c r="O56" s="94">
        <v>1.853</v>
      </c>
      <c r="P56" s="94">
        <v>3.1549999999999998</v>
      </c>
      <c r="Q56" s="94">
        <v>5.7919999999999998</v>
      </c>
      <c r="R56" s="94">
        <v>3.7839999999999998</v>
      </c>
      <c r="S56" s="94">
        <v>3.74</v>
      </c>
      <c r="T56" s="94">
        <v>-0.55100000000000005</v>
      </c>
      <c r="U56" s="94">
        <v>8.0129999999999999</v>
      </c>
      <c r="V56" s="95">
        <v>-1.2869999999999999</v>
      </c>
      <c r="W56" s="95">
        <f t="shared" si="0"/>
        <v>2.7390847492063108</v>
      </c>
    </row>
    <row r="57" spans="1:23" x14ac:dyDescent="0.35">
      <c r="A57" s="85" t="s">
        <v>582</v>
      </c>
      <c r="B57" s="85" t="s">
        <v>631</v>
      </c>
      <c r="C57" s="93">
        <v>2.1841699351578647</v>
      </c>
      <c r="D57" s="94">
        <v>2.1180367535848621</v>
      </c>
      <c r="E57" s="95">
        <v>2.094572895591984</v>
      </c>
      <c r="G57" s="107" t="s">
        <v>424</v>
      </c>
      <c r="H57" s="105">
        <v>63.876381030610304</v>
      </c>
      <c r="I57" s="97">
        <v>117</v>
      </c>
      <c r="J57" s="98">
        <v>27</v>
      </c>
      <c r="K57" s="85"/>
      <c r="L57" s="93">
        <v>5.3913093065302364</v>
      </c>
      <c r="M57" s="94">
        <v>3.8622718821819677</v>
      </c>
      <c r="N57" s="94">
        <v>0.91319649477376841</v>
      </c>
      <c r="O57" s="94">
        <v>2.2269999999999999</v>
      </c>
      <c r="P57" s="94">
        <v>1.0629999999999999</v>
      </c>
      <c r="Q57" s="94">
        <v>2.0270000000000001</v>
      </c>
      <c r="R57" s="94">
        <v>2.3690000000000002</v>
      </c>
      <c r="S57" s="94">
        <v>2.7040000000000002</v>
      </c>
      <c r="T57" s="94">
        <v>-1.56</v>
      </c>
      <c r="U57" s="94">
        <v>7.883</v>
      </c>
      <c r="V57" s="95">
        <v>0.46700000000000003</v>
      </c>
      <c r="W57" s="95">
        <f t="shared" si="0"/>
        <v>2.1063048245884231</v>
      </c>
    </row>
    <row r="58" spans="1:23" x14ac:dyDescent="0.35">
      <c r="A58" s="85" t="s">
        <v>582</v>
      </c>
      <c r="B58" s="85" t="s">
        <v>632</v>
      </c>
      <c r="C58" s="93">
        <v>6.0178655257344227</v>
      </c>
      <c r="D58" s="94">
        <v>6.6428861766961944</v>
      </c>
      <c r="E58" s="95">
        <v>8.3305963840047514</v>
      </c>
      <c r="G58" s="107" t="s">
        <v>580</v>
      </c>
      <c r="H58" s="105">
        <v>58.357971531116526</v>
      </c>
      <c r="I58" s="97">
        <v>128</v>
      </c>
      <c r="J58" s="98">
        <v>31</v>
      </c>
      <c r="K58" s="85"/>
      <c r="L58" s="93">
        <v>8.6478116333741841</v>
      </c>
      <c r="M58" s="94">
        <v>10.582270048267214</v>
      </c>
      <c r="N58" s="94">
        <v>10.257492961005118</v>
      </c>
      <c r="O58" s="94">
        <v>10.4</v>
      </c>
      <c r="P58" s="94">
        <v>8</v>
      </c>
      <c r="Q58" s="94">
        <v>10.210000000000001</v>
      </c>
      <c r="R58" s="94">
        <v>7.7030000000000003</v>
      </c>
      <c r="S58" s="94">
        <v>9.0370000000000008</v>
      </c>
      <c r="T58" s="94">
        <v>6.0570000000000004</v>
      </c>
      <c r="U58" s="94">
        <v>6.2649999999999997</v>
      </c>
      <c r="V58" s="95">
        <v>6.3579999999999997</v>
      </c>
      <c r="W58" s="95">
        <f t="shared" si="0"/>
        <v>7.4867412803504729</v>
      </c>
    </row>
    <row r="59" spans="1:23" x14ac:dyDescent="0.35">
      <c r="A59" s="85" t="s">
        <v>227</v>
      </c>
      <c r="B59" s="85" t="s">
        <v>633</v>
      </c>
      <c r="C59" s="93">
        <v>0.92513707934396283</v>
      </c>
      <c r="D59" s="94">
        <v>1.065704979127502</v>
      </c>
      <c r="E59" s="95">
        <v>1.0351636365421246</v>
      </c>
      <c r="G59" s="107" t="s">
        <v>417</v>
      </c>
      <c r="H59" s="105">
        <v>97.443307672167862</v>
      </c>
      <c r="I59" s="97">
        <v>5</v>
      </c>
      <c r="J59" s="98">
        <v>3</v>
      </c>
      <c r="K59" s="85"/>
      <c r="L59" s="93">
        <v>-1.3973545576374944</v>
      </c>
      <c r="M59" s="94">
        <v>-0.90201849743960727</v>
      </c>
      <c r="N59" s="94">
        <v>-0.36494028121428063</v>
      </c>
      <c r="O59" s="94">
        <v>0.54400000000000004</v>
      </c>
      <c r="P59" s="94">
        <v>2.8109999999999999</v>
      </c>
      <c r="Q59" s="94">
        <v>3.1920000000000002</v>
      </c>
      <c r="R59" s="94">
        <v>1.1399999999999999</v>
      </c>
      <c r="S59" s="94">
        <v>1.224</v>
      </c>
      <c r="T59" s="94">
        <v>-2.355</v>
      </c>
      <c r="U59" s="94">
        <v>3.0459999999999998</v>
      </c>
      <c r="V59" s="95">
        <v>2.0840000000000001</v>
      </c>
      <c r="W59" s="95">
        <f t="shared" si="0"/>
        <v>1.0504343078348133</v>
      </c>
    </row>
    <row r="60" spans="1:23" x14ac:dyDescent="0.35">
      <c r="A60" s="85" t="s">
        <v>227</v>
      </c>
      <c r="B60" s="85" t="s">
        <v>634</v>
      </c>
      <c r="C60" s="93">
        <v>0.35484098705607092</v>
      </c>
      <c r="D60" s="94">
        <v>0.85541697677951056</v>
      </c>
      <c r="E60" s="95">
        <v>1.0299722548507528</v>
      </c>
      <c r="G60" s="107" t="s">
        <v>417</v>
      </c>
      <c r="H60" s="105">
        <v>94.937245038342397</v>
      </c>
      <c r="I60" s="97">
        <v>20</v>
      </c>
      <c r="J60" s="98">
        <v>13</v>
      </c>
      <c r="K60" s="85"/>
      <c r="L60" s="93">
        <v>0.31313474167845923</v>
      </c>
      <c r="M60" s="94">
        <v>0.5763266794418439</v>
      </c>
      <c r="N60" s="94">
        <v>0.95618304768384532</v>
      </c>
      <c r="O60" s="94">
        <v>1.0549999999999999</v>
      </c>
      <c r="P60" s="94">
        <v>0.98199999999999998</v>
      </c>
      <c r="Q60" s="94">
        <v>2.4489999999999998</v>
      </c>
      <c r="R60" s="94">
        <v>1.8240000000000001</v>
      </c>
      <c r="S60" s="94">
        <v>1.8839999999999999</v>
      </c>
      <c r="T60" s="94">
        <v>-7.907</v>
      </c>
      <c r="U60" s="94">
        <v>6.77</v>
      </c>
      <c r="V60" s="95">
        <v>2.6059999999999999</v>
      </c>
      <c r="W60" s="95">
        <f t="shared" si="0"/>
        <v>0.9426946158151317</v>
      </c>
    </row>
    <row r="61" spans="1:23" x14ac:dyDescent="0.35">
      <c r="A61" s="85" t="s">
        <v>582</v>
      </c>
      <c r="B61" s="85" t="s">
        <v>635</v>
      </c>
      <c r="C61" s="93">
        <v>0.80490169914342324</v>
      </c>
      <c r="D61" s="94">
        <v>1.4271603442411074</v>
      </c>
      <c r="E61" s="95">
        <v>2.3419356903168431</v>
      </c>
      <c r="G61" s="107" t="s">
        <v>580</v>
      </c>
      <c r="H61" s="105">
        <v>37.219050826761183</v>
      </c>
      <c r="I61" s="97">
        <v>153</v>
      </c>
      <c r="J61" s="98">
        <v>46</v>
      </c>
      <c r="K61" s="85"/>
      <c r="L61" s="93">
        <v>5.251076917504065</v>
      </c>
      <c r="M61" s="94">
        <v>5.6386990033869457</v>
      </c>
      <c r="N61" s="94">
        <v>4.3149644410747063</v>
      </c>
      <c r="O61" s="94">
        <v>3.879</v>
      </c>
      <c r="P61" s="94">
        <v>2.0910000000000002</v>
      </c>
      <c r="Q61" s="94">
        <v>0.47299999999999998</v>
      </c>
      <c r="R61" s="94">
        <v>0.84299999999999997</v>
      </c>
      <c r="S61" s="94">
        <v>3.915</v>
      </c>
      <c r="T61" s="94">
        <v>-1.8640000000000001</v>
      </c>
      <c r="U61" s="94">
        <v>1.484</v>
      </c>
      <c r="V61" s="95">
        <v>2.8479999999999999</v>
      </c>
      <c r="W61" s="95">
        <f t="shared" si="0"/>
        <v>1.8845480172789753</v>
      </c>
    </row>
    <row r="62" spans="1:23" x14ac:dyDescent="0.35">
      <c r="A62" s="85" t="s">
        <v>582</v>
      </c>
      <c r="B62" s="85" t="s">
        <v>636</v>
      </c>
      <c r="C62" s="93">
        <v>3.0839257560593802</v>
      </c>
      <c r="D62" s="94">
        <v>4.5260960958580343</v>
      </c>
      <c r="E62" s="95">
        <v>3.4750911540431417</v>
      </c>
      <c r="G62" s="107" t="s">
        <v>424</v>
      </c>
      <c r="H62" s="105">
        <v>65.416670727464805</v>
      </c>
      <c r="I62" s="97">
        <v>114</v>
      </c>
      <c r="J62" s="98">
        <v>26</v>
      </c>
      <c r="K62" s="85"/>
      <c r="L62" s="93">
        <v>5.2415692463074244</v>
      </c>
      <c r="M62" s="94">
        <v>2.8727687903269969</v>
      </c>
      <c r="N62" s="94">
        <v>-1.4073824951095362</v>
      </c>
      <c r="O62" s="94">
        <v>4.0579999999999998</v>
      </c>
      <c r="P62" s="94">
        <v>1.9430000000000001</v>
      </c>
      <c r="Q62" s="94">
        <v>4.8230000000000004</v>
      </c>
      <c r="R62" s="94">
        <v>7.2350000000000003</v>
      </c>
      <c r="S62" s="94">
        <v>6.2220000000000004</v>
      </c>
      <c r="T62" s="94">
        <v>0.59099999999999997</v>
      </c>
      <c r="U62" s="94">
        <v>4.2649999999999997</v>
      </c>
      <c r="V62" s="95">
        <v>4.4409999999999998</v>
      </c>
      <c r="W62" s="95">
        <f t="shared" si="0"/>
        <v>4.0005936249505876</v>
      </c>
    </row>
    <row r="63" spans="1:23" x14ac:dyDescent="0.35">
      <c r="A63" s="85" t="s">
        <v>227</v>
      </c>
      <c r="B63" s="85" t="s">
        <v>637</v>
      </c>
      <c r="C63" s="93">
        <v>4.283743954922925</v>
      </c>
      <c r="D63" s="94">
        <v>4.5348375618438741</v>
      </c>
      <c r="E63" s="95">
        <v>4.1477466898679483</v>
      </c>
      <c r="G63" s="107" t="s">
        <v>584</v>
      </c>
      <c r="H63" s="105">
        <v>80.727500391697276</v>
      </c>
      <c r="I63" s="97">
        <v>46</v>
      </c>
      <c r="J63" s="98">
        <v>31</v>
      </c>
      <c r="K63" s="85"/>
      <c r="L63" s="93">
        <v>6.3690083063386043</v>
      </c>
      <c r="M63" s="94">
        <v>3.6213053519627643</v>
      </c>
      <c r="N63" s="94">
        <v>4.4319248230907649</v>
      </c>
      <c r="O63" s="94">
        <v>3.0270000000000001</v>
      </c>
      <c r="P63" s="94">
        <v>2.9060000000000001</v>
      </c>
      <c r="Q63" s="94">
        <v>4.843</v>
      </c>
      <c r="R63" s="94">
        <v>4.843</v>
      </c>
      <c r="S63" s="94">
        <v>4.9820000000000002</v>
      </c>
      <c r="T63" s="94">
        <v>-6.76</v>
      </c>
      <c r="U63" s="94">
        <v>10.465999999999999</v>
      </c>
      <c r="V63" s="95">
        <v>10.109</v>
      </c>
      <c r="W63" s="95">
        <f t="shared" si="0"/>
        <v>4.3412921258559116</v>
      </c>
    </row>
    <row r="64" spans="1:23" x14ac:dyDescent="0.35">
      <c r="A64" s="85" t="s">
        <v>227</v>
      </c>
      <c r="B64" s="85" t="s">
        <v>638</v>
      </c>
      <c r="C64" s="93">
        <v>0.19639292345923209</v>
      </c>
      <c r="D64" s="94">
        <v>0.54722001304448042</v>
      </c>
      <c r="E64" s="95">
        <v>1.1791658469401556</v>
      </c>
      <c r="G64" s="107" t="s">
        <v>417</v>
      </c>
      <c r="H64" s="105">
        <v>96.79194200114037</v>
      </c>
      <c r="I64" s="97">
        <v>8</v>
      </c>
      <c r="J64" s="98">
        <v>6</v>
      </c>
      <c r="K64" s="85"/>
      <c r="L64" s="93">
        <v>0.41955108005357267</v>
      </c>
      <c r="M64" s="94">
        <v>0.42824326167218907</v>
      </c>
      <c r="N64" s="94">
        <v>2.2256887491492803</v>
      </c>
      <c r="O64" s="94">
        <v>1.4870000000000001</v>
      </c>
      <c r="P64" s="94">
        <v>2.23</v>
      </c>
      <c r="Q64" s="94">
        <v>2.68</v>
      </c>
      <c r="R64" s="94">
        <v>0.98399999999999999</v>
      </c>
      <c r="S64" s="94">
        <v>1.054</v>
      </c>
      <c r="T64" s="94">
        <v>-3.6920000000000002</v>
      </c>
      <c r="U64" s="94">
        <v>2.625</v>
      </c>
      <c r="V64" s="95">
        <v>1.778</v>
      </c>
      <c r="W64" s="95">
        <f t="shared" si="0"/>
        <v>0.863192929992318</v>
      </c>
    </row>
    <row r="65" spans="1:23" x14ac:dyDescent="0.35">
      <c r="A65" s="85" t="s">
        <v>582</v>
      </c>
      <c r="B65" s="85" t="s">
        <v>639</v>
      </c>
      <c r="C65" s="93">
        <v>3.0107142168638523</v>
      </c>
      <c r="D65" s="94">
        <v>4.8285507296226937</v>
      </c>
      <c r="E65" s="95">
        <v>4.7980640567336197</v>
      </c>
      <c r="G65" s="107" t="s">
        <v>401</v>
      </c>
      <c r="H65" s="105">
        <v>69.704517199471169</v>
      </c>
      <c r="I65" s="97">
        <v>89</v>
      </c>
      <c r="J65" s="98">
        <v>13</v>
      </c>
      <c r="K65" s="85"/>
      <c r="L65" s="93">
        <v>9.2927894045967889</v>
      </c>
      <c r="M65" s="94">
        <v>7.3125250073312458</v>
      </c>
      <c r="N65" s="94">
        <v>2.8974388369154251</v>
      </c>
      <c r="O65" s="94">
        <v>2.121</v>
      </c>
      <c r="P65" s="94">
        <v>3.3730000000000002</v>
      </c>
      <c r="Q65" s="94">
        <v>8.1289999999999996</v>
      </c>
      <c r="R65" s="94">
        <v>6.2</v>
      </c>
      <c r="S65" s="94">
        <v>6.508</v>
      </c>
      <c r="T65" s="94">
        <v>0.51400000000000001</v>
      </c>
      <c r="U65" s="94">
        <v>5.3559999999999999</v>
      </c>
      <c r="V65" s="95">
        <v>3.2189999999999999</v>
      </c>
      <c r="W65" s="95">
        <f t="shared" si="0"/>
        <v>4.8133073931781567</v>
      </c>
    </row>
    <row r="66" spans="1:23" x14ac:dyDescent="0.35">
      <c r="A66" s="85" t="s">
        <v>227</v>
      </c>
      <c r="B66" s="85" t="s">
        <v>640</v>
      </c>
      <c r="C66" s="93">
        <v>1.4800990034344652</v>
      </c>
      <c r="D66" s="94">
        <v>1.2580147511245698</v>
      </c>
      <c r="E66" s="95">
        <v>0.45671215262543807</v>
      </c>
      <c r="G66" s="107" t="s">
        <v>417</v>
      </c>
      <c r="H66" s="105">
        <v>87.308557455608167</v>
      </c>
      <c r="I66" s="97">
        <v>31</v>
      </c>
      <c r="J66" s="98">
        <v>20</v>
      </c>
      <c r="K66" s="85"/>
      <c r="L66" s="93">
        <v>-7.3004939606978656</v>
      </c>
      <c r="M66" s="94">
        <v>-3.2414250560129267</v>
      </c>
      <c r="N66" s="94">
        <v>0.73977713855774985</v>
      </c>
      <c r="O66" s="94">
        <v>-0.19600000000000001</v>
      </c>
      <c r="P66" s="94">
        <v>-0.48699999999999999</v>
      </c>
      <c r="Q66" s="94">
        <v>1.0920000000000001</v>
      </c>
      <c r="R66" s="94">
        <v>1.6679999999999999</v>
      </c>
      <c r="S66" s="94">
        <v>1.8839999999999999</v>
      </c>
      <c r="T66" s="94">
        <v>-9.0039999999999996</v>
      </c>
      <c r="U66" s="94">
        <v>8.4339999999999993</v>
      </c>
      <c r="V66" s="95">
        <v>5.9139999999999997</v>
      </c>
      <c r="W66" s="95">
        <f t="shared" si="0"/>
        <v>0.85736345187500396</v>
      </c>
    </row>
    <row r="67" spans="1:23" x14ac:dyDescent="0.35">
      <c r="A67" s="85" t="s">
        <v>586</v>
      </c>
      <c r="B67" s="85" t="s">
        <v>641</v>
      </c>
      <c r="C67" s="93">
        <v>3.3306625930319189</v>
      </c>
      <c r="D67" s="94">
        <v>3.4919746764532578</v>
      </c>
      <c r="E67" s="95">
        <v>3.5384372691175781</v>
      </c>
      <c r="G67" s="107" t="s">
        <v>401</v>
      </c>
      <c r="H67" s="105">
        <v>71.336652243067974</v>
      </c>
      <c r="I67" s="97">
        <v>82</v>
      </c>
      <c r="J67" s="98">
        <v>10</v>
      </c>
      <c r="K67" s="85"/>
      <c r="L67" s="93">
        <v>2.9698574079878068</v>
      </c>
      <c r="M67" s="94">
        <v>3.6975861001947585</v>
      </c>
      <c r="N67" s="94">
        <v>4.4439780738522474</v>
      </c>
      <c r="O67" s="94">
        <v>4.0919999999999996</v>
      </c>
      <c r="P67" s="94">
        <v>2.6779999999999999</v>
      </c>
      <c r="Q67" s="94">
        <v>3.08</v>
      </c>
      <c r="R67" s="94">
        <v>3.407</v>
      </c>
      <c r="S67" s="94">
        <v>4.0019999999999998</v>
      </c>
      <c r="T67" s="94">
        <v>-1.764</v>
      </c>
      <c r="U67" s="94">
        <v>7.9809999999999999</v>
      </c>
      <c r="V67" s="95">
        <v>4.0090000000000003</v>
      </c>
      <c r="W67" s="95">
        <f t="shared" si="0"/>
        <v>3.5152059727854179</v>
      </c>
    </row>
    <row r="68" spans="1:23" x14ac:dyDescent="0.35">
      <c r="A68" s="85" t="s">
        <v>582</v>
      </c>
      <c r="B68" s="85" t="s">
        <v>642</v>
      </c>
      <c r="C68" s="93">
        <v>4.3705772513408236</v>
      </c>
      <c r="D68" s="94">
        <v>4.9898667622307658</v>
      </c>
      <c r="E68" s="95">
        <v>5.729233966321412</v>
      </c>
      <c r="G68" s="107" t="s">
        <v>580</v>
      </c>
      <c r="H68" s="105">
        <v>50.297438492745087</v>
      </c>
      <c r="I68" s="97">
        <v>138</v>
      </c>
      <c r="J68" s="98">
        <v>36</v>
      </c>
      <c r="K68" s="85"/>
      <c r="L68" s="93">
        <v>5.9152881384417997</v>
      </c>
      <c r="M68" s="94">
        <v>3.9456854305126305</v>
      </c>
      <c r="N68" s="94">
        <v>3.6965411823164165</v>
      </c>
      <c r="O68" s="94">
        <v>3.8260000000000001</v>
      </c>
      <c r="P68" s="94">
        <v>10.821</v>
      </c>
      <c r="Q68" s="94">
        <v>10.3</v>
      </c>
      <c r="R68" s="94">
        <v>6.3579999999999997</v>
      </c>
      <c r="S68" s="94">
        <v>5.617</v>
      </c>
      <c r="T68" s="94">
        <v>4.92</v>
      </c>
      <c r="U68" s="94">
        <v>4.2919999999999998</v>
      </c>
      <c r="V68" s="95">
        <v>4.2939999999999996</v>
      </c>
      <c r="W68" s="95">
        <f t="shared" si="0"/>
        <v>5.3595503642760889</v>
      </c>
    </row>
    <row r="69" spans="1:23" x14ac:dyDescent="0.35">
      <c r="A69" s="85" t="s">
        <v>582</v>
      </c>
      <c r="B69" s="85" t="s">
        <v>643</v>
      </c>
      <c r="C69" s="93">
        <v>1.5927018196488341</v>
      </c>
      <c r="D69" s="94">
        <v>2.1053991541019057</v>
      </c>
      <c r="E69" s="95">
        <v>3.2889383993762955</v>
      </c>
      <c r="G69" s="107" t="s">
        <v>580</v>
      </c>
      <c r="H69" s="105">
        <v>54.70982708603303</v>
      </c>
      <c r="I69" s="97">
        <v>134</v>
      </c>
      <c r="J69" s="98">
        <v>34</v>
      </c>
      <c r="K69" s="85"/>
      <c r="L69" s="93">
        <v>-1.7126830118107121</v>
      </c>
      <c r="M69" s="94">
        <v>3.255904265176933</v>
      </c>
      <c r="N69" s="94">
        <v>0.96456075098132787</v>
      </c>
      <c r="O69" s="94">
        <v>6.1340000000000003</v>
      </c>
      <c r="P69" s="94">
        <v>5.3070000000000004</v>
      </c>
      <c r="Q69" s="94">
        <v>4.7889999999999997</v>
      </c>
      <c r="R69" s="94">
        <v>3.7610000000000001</v>
      </c>
      <c r="S69" s="94">
        <v>4.5</v>
      </c>
      <c r="T69" s="94">
        <v>1.5</v>
      </c>
      <c r="U69" s="94">
        <v>6.4</v>
      </c>
      <c r="V69" s="95">
        <v>3.5</v>
      </c>
      <c r="W69" s="95">
        <f t="shared" si="0"/>
        <v>2.6971687767391006</v>
      </c>
    </row>
    <row r="70" spans="1:23" x14ac:dyDescent="0.35">
      <c r="A70" s="85" t="s">
        <v>586</v>
      </c>
      <c r="B70" s="85" t="s">
        <v>644</v>
      </c>
      <c r="C70" s="93">
        <v>40.872083180158647</v>
      </c>
      <c r="D70" s="94">
        <v>25.198248131969379</v>
      </c>
      <c r="E70" s="95">
        <v>13.395686805616647</v>
      </c>
      <c r="G70" s="107" t="s">
        <v>580</v>
      </c>
      <c r="H70" s="105">
        <v>56.740934863022261</v>
      </c>
      <c r="I70" s="97">
        <v>129</v>
      </c>
      <c r="J70" s="98">
        <v>21</v>
      </c>
      <c r="K70" s="85"/>
      <c r="L70" s="93">
        <v>5.3836234687298372</v>
      </c>
      <c r="M70" s="94">
        <v>3.6535047680067998</v>
      </c>
      <c r="N70" s="94">
        <v>1.6860277321410588</v>
      </c>
      <c r="O70" s="94">
        <v>0.68700000000000006</v>
      </c>
      <c r="P70" s="94">
        <v>3.8069999999999999</v>
      </c>
      <c r="Q70" s="94">
        <v>3.734</v>
      </c>
      <c r="R70" s="94">
        <v>4.4409999999999998</v>
      </c>
      <c r="S70" s="94">
        <v>5.3529999999999998</v>
      </c>
      <c r="T70" s="94">
        <v>43.48</v>
      </c>
      <c r="U70" s="94">
        <v>20.059999999999999</v>
      </c>
      <c r="V70" s="95">
        <v>62.287999999999997</v>
      </c>
      <c r="W70" s="95">
        <f t="shared" si="0"/>
        <v>19.296967468793014</v>
      </c>
    </row>
    <row r="71" spans="1:23" x14ac:dyDescent="0.35">
      <c r="A71" s="85" t="s">
        <v>586</v>
      </c>
      <c r="B71" s="85" t="s">
        <v>645</v>
      </c>
      <c r="C71" s="93">
        <v>-0.34574931867293879</v>
      </c>
      <c r="D71" s="94">
        <v>0.64565822904871784</v>
      </c>
      <c r="E71" s="95">
        <v>2.5156599586003026</v>
      </c>
      <c r="G71" s="107" t="s">
        <v>580</v>
      </c>
      <c r="H71" s="105">
        <v>54.401198784391461</v>
      </c>
      <c r="I71" s="97">
        <v>135</v>
      </c>
      <c r="J71" s="98">
        <v>22</v>
      </c>
      <c r="K71" s="85"/>
      <c r="L71" s="93">
        <v>-7.4695954800602468E-2</v>
      </c>
      <c r="M71" s="94">
        <v>9.2111856449685803</v>
      </c>
      <c r="N71" s="94">
        <v>1.9148137793287729</v>
      </c>
      <c r="O71" s="94">
        <v>2.5630000000000002</v>
      </c>
      <c r="P71" s="94">
        <v>1.8120000000000001</v>
      </c>
      <c r="Q71" s="94">
        <v>2.5099999999999998</v>
      </c>
      <c r="R71" s="94">
        <v>1.6679999999999999</v>
      </c>
      <c r="S71" s="94">
        <v>-1.6850000000000001</v>
      </c>
      <c r="T71" s="94">
        <v>-3.343</v>
      </c>
      <c r="U71" s="94">
        <v>-1.798</v>
      </c>
      <c r="V71" s="95">
        <v>-1.6819999999999999</v>
      </c>
      <c r="W71" s="95">
        <f t="shared" si="0"/>
        <v>1.5806590938245102</v>
      </c>
    </row>
    <row r="72" spans="1:23" x14ac:dyDescent="0.35">
      <c r="A72" s="85" t="s">
        <v>586</v>
      </c>
      <c r="B72" s="85" t="s">
        <v>646</v>
      </c>
      <c r="C72" s="93">
        <v>2.1352529558121391</v>
      </c>
      <c r="D72" s="94">
        <v>2.5786313755856494</v>
      </c>
      <c r="E72" s="95">
        <v>3.1291474397337593</v>
      </c>
      <c r="G72" s="107" t="s">
        <v>580</v>
      </c>
      <c r="H72" s="105">
        <v>39.565152370912173</v>
      </c>
      <c r="I72" s="97">
        <v>152</v>
      </c>
      <c r="J72" s="98">
        <v>24</v>
      </c>
      <c r="K72" s="85"/>
      <c r="L72" s="93">
        <v>4.1286877486693667</v>
      </c>
      <c r="M72" s="94">
        <v>2.7915597574680358</v>
      </c>
      <c r="N72" s="94">
        <v>3.0580805621437066</v>
      </c>
      <c r="O72" s="94">
        <v>3.84</v>
      </c>
      <c r="P72" s="94">
        <v>3.8929999999999998</v>
      </c>
      <c r="Q72" s="94">
        <v>4.843</v>
      </c>
      <c r="R72" s="94">
        <v>3.8450000000000002</v>
      </c>
      <c r="S72" s="94">
        <v>2.653</v>
      </c>
      <c r="T72" s="94">
        <v>-8.9649999999999999</v>
      </c>
      <c r="U72" s="94">
        <v>12.534000000000001</v>
      </c>
      <c r="V72" s="95">
        <v>4</v>
      </c>
      <c r="W72" s="95">
        <f t="shared" si="0"/>
        <v>2.8538894076597043</v>
      </c>
    </row>
    <row r="73" spans="1:23" x14ac:dyDescent="0.35">
      <c r="A73" s="85" t="s">
        <v>578</v>
      </c>
      <c r="B73" s="85" t="s">
        <v>647</v>
      </c>
      <c r="C73" s="93">
        <v>-1.3866109004180949</v>
      </c>
      <c r="D73" s="94">
        <v>-0.61127068207094126</v>
      </c>
      <c r="E73" s="95">
        <v>1.1000622223137801</v>
      </c>
      <c r="G73" s="107" t="s">
        <v>417</v>
      </c>
      <c r="H73" s="105">
        <v>95.561927385722356</v>
      </c>
      <c r="I73" s="97">
        <v>18</v>
      </c>
      <c r="J73" s="98">
        <v>5</v>
      </c>
      <c r="K73" s="85"/>
      <c r="L73" s="93">
        <v>1.7002747714417163</v>
      </c>
      <c r="M73" s="94">
        <v>3.1015497799994041</v>
      </c>
      <c r="N73" s="94">
        <v>2.7623919976975242</v>
      </c>
      <c r="O73" s="94">
        <v>2.3879999999999999</v>
      </c>
      <c r="P73" s="94">
        <v>2.1749999999999998</v>
      </c>
      <c r="Q73" s="94">
        <v>3.7959999999999998</v>
      </c>
      <c r="R73" s="94">
        <v>2.847</v>
      </c>
      <c r="S73" s="94">
        <v>-1.6719999999999999</v>
      </c>
      <c r="T73" s="94">
        <v>-6.5449999999999999</v>
      </c>
      <c r="U73" s="94">
        <v>6.4480000000000004</v>
      </c>
      <c r="V73" s="95">
        <v>-3.5070000000000001</v>
      </c>
      <c r="W73" s="95">
        <f t="shared" si="0"/>
        <v>0.24439577012141944</v>
      </c>
    </row>
    <row r="74" spans="1:23" x14ac:dyDescent="0.35">
      <c r="A74" s="85" t="s">
        <v>227</v>
      </c>
      <c r="B74" s="85" t="s">
        <v>648</v>
      </c>
      <c r="C74" s="93">
        <v>2.362570497371097</v>
      </c>
      <c r="D74" s="94">
        <v>3.4329643388785636</v>
      </c>
      <c r="E74" s="95">
        <v>3.366609258538622</v>
      </c>
      <c r="G74" s="107" t="s">
        <v>401</v>
      </c>
      <c r="H74" s="105">
        <v>75.842312832768172</v>
      </c>
      <c r="I74" s="97">
        <v>67</v>
      </c>
      <c r="J74" s="98">
        <v>37</v>
      </c>
      <c r="K74" s="85"/>
      <c r="L74" s="93">
        <v>-1.4717888510830746</v>
      </c>
      <c r="M74" s="94">
        <v>1.9629840486290608</v>
      </c>
      <c r="N74" s="94">
        <v>4.1950824094780925</v>
      </c>
      <c r="O74" s="94">
        <v>3.7069999999999999</v>
      </c>
      <c r="P74" s="94">
        <v>2.2010000000000001</v>
      </c>
      <c r="Q74" s="94">
        <v>4.2720000000000002</v>
      </c>
      <c r="R74" s="94">
        <v>5.3620000000000001</v>
      </c>
      <c r="S74" s="94">
        <v>4.8579999999999997</v>
      </c>
      <c r="T74" s="94">
        <v>-4.5469999999999997</v>
      </c>
      <c r="U74" s="94">
        <v>7.117</v>
      </c>
      <c r="V74" s="95">
        <v>4.9000000000000004</v>
      </c>
      <c r="W74" s="95">
        <f t="shared" si="0"/>
        <v>3.3997867987085928</v>
      </c>
    </row>
    <row r="75" spans="1:23" x14ac:dyDescent="0.35">
      <c r="A75" s="85" t="s">
        <v>227</v>
      </c>
      <c r="B75" s="85" t="s">
        <v>649</v>
      </c>
      <c r="C75" s="93">
        <v>1.1623871589995449</v>
      </c>
      <c r="D75" s="94">
        <v>2.1481166990517275</v>
      </c>
      <c r="E75" s="95">
        <v>3.1810733517810608</v>
      </c>
      <c r="G75" s="107" t="s">
        <v>417</v>
      </c>
      <c r="H75" s="105">
        <v>95.11269526919466</v>
      </c>
      <c r="I75" s="97">
        <v>19</v>
      </c>
      <c r="J75" s="98">
        <v>12</v>
      </c>
      <c r="K75" s="85"/>
      <c r="L75" s="93">
        <v>1.0636366074376145</v>
      </c>
      <c r="M75" s="94">
        <v>4.5524603201510816</v>
      </c>
      <c r="N75" s="94">
        <v>1.687215017506406</v>
      </c>
      <c r="O75" s="94">
        <v>4.4370000000000003</v>
      </c>
      <c r="P75" s="94">
        <v>6.3040000000000003</v>
      </c>
      <c r="Q75" s="94">
        <v>4.1950000000000003</v>
      </c>
      <c r="R75" s="94">
        <v>4.8890000000000002</v>
      </c>
      <c r="S75" s="94">
        <v>1.8049999999999999</v>
      </c>
      <c r="T75" s="94">
        <v>-7.242</v>
      </c>
      <c r="U75" s="94">
        <v>4.3330000000000002</v>
      </c>
      <c r="V75" s="95">
        <v>6.4450000000000003</v>
      </c>
      <c r="W75" s="95">
        <f t="shared" ref="W75:W138" si="1">AVERAGE(D75,E75)</f>
        <v>2.6645950254163941</v>
      </c>
    </row>
    <row r="76" spans="1:23" x14ac:dyDescent="0.35">
      <c r="A76" s="85" t="s">
        <v>578</v>
      </c>
      <c r="B76" s="85" t="s">
        <v>650</v>
      </c>
      <c r="C76" s="93">
        <v>2.7398620097403459</v>
      </c>
      <c r="D76" s="94">
        <v>3.6623835250989556</v>
      </c>
      <c r="E76" s="95">
        <v>5.5227254922200597</v>
      </c>
      <c r="G76" s="107" t="s">
        <v>424</v>
      </c>
      <c r="H76" s="105">
        <v>66.198052259063019</v>
      </c>
      <c r="I76" s="97">
        <v>109</v>
      </c>
      <c r="J76" s="98">
        <v>21</v>
      </c>
      <c r="K76" s="85"/>
      <c r="L76" s="93">
        <v>5.4563589507228496</v>
      </c>
      <c r="M76" s="94">
        <v>6.3861064009482602</v>
      </c>
      <c r="N76" s="94">
        <v>7.410227605088517</v>
      </c>
      <c r="O76" s="94">
        <v>7.9960000000000004</v>
      </c>
      <c r="P76" s="94">
        <v>8.2560000000000002</v>
      </c>
      <c r="Q76" s="94">
        <v>6.7949999999999999</v>
      </c>
      <c r="R76" s="94">
        <v>6.4539999999999997</v>
      </c>
      <c r="S76" s="94">
        <v>3.871</v>
      </c>
      <c r="T76" s="94">
        <v>-5.8310000000000004</v>
      </c>
      <c r="U76" s="94">
        <v>9.0500000000000007</v>
      </c>
      <c r="V76" s="95">
        <v>6.8310000000000004</v>
      </c>
      <c r="W76" s="95">
        <f t="shared" si="1"/>
        <v>4.5925545086595072</v>
      </c>
    </row>
    <row r="77" spans="1:23" x14ac:dyDescent="0.35">
      <c r="A77" s="85" t="s">
        <v>578</v>
      </c>
      <c r="B77" s="85" t="s">
        <v>651</v>
      </c>
      <c r="C77" s="93">
        <v>2.2622053552423305</v>
      </c>
      <c r="D77" s="94">
        <v>3.3867361875690394</v>
      </c>
      <c r="E77" s="95">
        <v>4.2439953782461792</v>
      </c>
      <c r="G77" s="107" t="s">
        <v>401</v>
      </c>
      <c r="H77" s="105">
        <v>71.158529876167961</v>
      </c>
      <c r="I77" s="97">
        <v>83</v>
      </c>
      <c r="J77" s="98">
        <v>14</v>
      </c>
      <c r="K77" s="85"/>
      <c r="L77" s="93">
        <v>6.0300506530561035</v>
      </c>
      <c r="M77" s="94">
        <v>5.5572636889101181</v>
      </c>
      <c r="N77" s="94">
        <v>5.0066684257549943</v>
      </c>
      <c r="O77" s="94">
        <v>4.8760000000000003</v>
      </c>
      <c r="P77" s="94">
        <v>5.0330000000000004</v>
      </c>
      <c r="Q77" s="94">
        <v>5.07</v>
      </c>
      <c r="R77" s="94">
        <v>5.1740000000000004</v>
      </c>
      <c r="S77" s="94">
        <v>5.0190000000000001</v>
      </c>
      <c r="T77" s="94">
        <v>-2.0659999999999998</v>
      </c>
      <c r="U77" s="94">
        <v>3.7029999999999998</v>
      </c>
      <c r="V77" s="95">
        <v>5.3090000000000002</v>
      </c>
      <c r="W77" s="95">
        <f t="shared" si="1"/>
        <v>3.8153657829076093</v>
      </c>
    </row>
    <row r="78" spans="1:23" x14ac:dyDescent="0.35">
      <c r="A78" s="85" t="s">
        <v>227</v>
      </c>
      <c r="B78" s="85" t="s">
        <v>652</v>
      </c>
      <c r="C78" s="93">
        <v>10.534737934438866</v>
      </c>
      <c r="D78" s="94">
        <v>8.9900271540683807</v>
      </c>
      <c r="E78" s="95">
        <v>9.0332345891797274</v>
      </c>
      <c r="G78" s="107" t="s">
        <v>417</v>
      </c>
      <c r="H78" s="105">
        <v>96.106887509545572</v>
      </c>
      <c r="I78" s="97">
        <v>12</v>
      </c>
      <c r="J78" s="98">
        <v>9</v>
      </c>
      <c r="K78" s="85"/>
      <c r="L78" s="93">
        <v>0.22571484300232808</v>
      </c>
      <c r="M78" s="94">
        <v>1.3516340039407124</v>
      </c>
      <c r="N78" s="94">
        <v>8.5566879851340367</v>
      </c>
      <c r="O78" s="94">
        <v>24.370999999999999</v>
      </c>
      <c r="P78" s="94">
        <v>2.0070000000000001</v>
      </c>
      <c r="Q78" s="94">
        <v>9.0050000000000008</v>
      </c>
      <c r="R78" s="94">
        <v>8.5280000000000005</v>
      </c>
      <c r="S78" s="94">
        <v>5.4409999999999998</v>
      </c>
      <c r="T78" s="94">
        <v>6.1840000000000002</v>
      </c>
      <c r="U78" s="94">
        <v>13.587999999999999</v>
      </c>
      <c r="V78" s="95">
        <v>11.97</v>
      </c>
      <c r="W78" s="95">
        <f t="shared" si="1"/>
        <v>9.0116308716240532</v>
      </c>
    </row>
    <row r="79" spans="1:23" x14ac:dyDescent="0.35">
      <c r="A79" s="85" t="s">
        <v>593</v>
      </c>
      <c r="B79" s="85" t="s">
        <v>653</v>
      </c>
      <c r="C79" s="93">
        <v>4.2964072248328211</v>
      </c>
      <c r="D79" s="94">
        <v>4.3056817639917977</v>
      </c>
      <c r="E79" s="95">
        <v>3.9225915638386066</v>
      </c>
      <c r="G79" s="107" t="s">
        <v>417</v>
      </c>
      <c r="H79" s="105">
        <v>91.08708937267636</v>
      </c>
      <c r="I79" s="97">
        <v>24</v>
      </c>
      <c r="J79" s="98">
        <v>2</v>
      </c>
      <c r="K79" s="85"/>
      <c r="L79" s="93">
        <v>2.2572375479441442</v>
      </c>
      <c r="M79" s="94">
        <v>4.1480545517150818</v>
      </c>
      <c r="N79" s="94">
        <v>3.7582001903069706</v>
      </c>
      <c r="O79" s="94">
        <v>2.4860000000000002</v>
      </c>
      <c r="P79" s="94">
        <v>4.5220000000000002</v>
      </c>
      <c r="Q79" s="94">
        <v>4.2759999999999998</v>
      </c>
      <c r="R79" s="94">
        <v>4.07</v>
      </c>
      <c r="S79" s="94">
        <v>4.1559999999999997</v>
      </c>
      <c r="T79" s="94">
        <v>-1.857</v>
      </c>
      <c r="U79" s="94">
        <v>8.6120000000000001</v>
      </c>
      <c r="V79" s="95">
        <v>6.4320000000000004</v>
      </c>
      <c r="W79" s="95">
        <f t="shared" si="1"/>
        <v>4.1141366639152022</v>
      </c>
    </row>
    <row r="80" spans="1:23" x14ac:dyDescent="0.35">
      <c r="A80" s="85" t="s">
        <v>227</v>
      </c>
      <c r="B80" s="85" t="s">
        <v>654</v>
      </c>
      <c r="C80" s="93">
        <v>0.2182802501019987</v>
      </c>
      <c r="D80" s="94">
        <v>0.31439174572445161</v>
      </c>
      <c r="E80" s="95">
        <v>0.34271436280863821</v>
      </c>
      <c r="G80" s="107" t="s">
        <v>417</v>
      </c>
      <c r="H80" s="105">
        <v>88.947746010825512</v>
      </c>
      <c r="I80" s="97">
        <v>29</v>
      </c>
      <c r="J80" s="98">
        <v>18</v>
      </c>
      <c r="K80" s="85"/>
      <c r="L80" s="93">
        <v>-2.9809057682377182</v>
      </c>
      <c r="M80" s="94">
        <v>-1.8410654508824811</v>
      </c>
      <c r="N80" s="94">
        <v>-4.5475423638333965E-3</v>
      </c>
      <c r="O80" s="94">
        <v>0.77800000000000002</v>
      </c>
      <c r="P80" s="94">
        <v>1.2929999999999999</v>
      </c>
      <c r="Q80" s="94">
        <v>1.6679999999999999</v>
      </c>
      <c r="R80" s="94">
        <v>0.92600000000000005</v>
      </c>
      <c r="S80" s="94">
        <v>0.48299999999999998</v>
      </c>
      <c r="T80" s="94">
        <v>-8.9789999999999992</v>
      </c>
      <c r="U80" s="94">
        <v>6.9870000000000001</v>
      </c>
      <c r="V80" s="95">
        <v>3.6749999999999998</v>
      </c>
      <c r="W80" s="95">
        <f t="shared" si="1"/>
        <v>0.32855305426654491</v>
      </c>
    </row>
    <row r="81" spans="1:23" x14ac:dyDescent="0.35">
      <c r="A81" s="85" t="s">
        <v>586</v>
      </c>
      <c r="B81" s="85" t="s">
        <v>655</v>
      </c>
      <c r="C81" s="93">
        <v>-0.70306474958997667</v>
      </c>
      <c r="D81" s="94">
        <v>0.12887839009743107</v>
      </c>
      <c r="E81" s="95">
        <v>0.51362317164571625</v>
      </c>
      <c r="G81" s="107" t="s">
        <v>580</v>
      </c>
      <c r="H81" s="105">
        <v>53.312824662633638</v>
      </c>
      <c r="I81" s="97">
        <v>137</v>
      </c>
      <c r="J81" s="98">
        <v>23</v>
      </c>
      <c r="K81" s="85"/>
      <c r="L81" s="93">
        <v>-0.61363603986913318</v>
      </c>
      <c r="M81" s="94">
        <v>0.51768601280242099</v>
      </c>
      <c r="N81" s="94">
        <v>0.68982235737431619</v>
      </c>
      <c r="O81" s="94">
        <v>0.86899999999999999</v>
      </c>
      <c r="P81" s="94">
        <v>1.498</v>
      </c>
      <c r="Q81" s="94">
        <v>0.67900000000000005</v>
      </c>
      <c r="R81" s="94">
        <v>1.827</v>
      </c>
      <c r="S81" s="94">
        <v>0.97</v>
      </c>
      <c r="T81" s="94">
        <v>-9.92</v>
      </c>
      <c r="U81" s="94">
        <v>4.601</v>
      </c>
      <c r="V81" s="95">
        <v>4</v>
      </c>
      <c r="W81" s="95">
        <f t="shared" si="1"/>
        <v>0.32125078087157366</v>
      </c>
    </row>
    <row r="82" spans="1:23" x14ac:dyDescent="0.35">
      <c r="A82" s="85" t="s">
        <v>578</v>
      </c>
      <c r="B82" s="85" t="s">
        <v>656</v>
      </c>
      <c r="C82" s="93">
        <v>-0.63095756344230258</v>
      </c>
      <c r="D82" s="94">
        <v>2.4039609383130767E-3</v>
      </c>
      <c r="E82" s="95">
        <v>0.62673306790392846</v>
      </c>
      <c r="G82" s="107" t="s">
        <v>417</v>
      </c>
      <c r="H82" s="105">
        <v>96.063700314273362</v>
      </c>
      <c r="I82" s="97">
        <v>13</v>
      </c>
      <c r="J82" s="98">
        <v>4</v>
      </c>
      <c r="K82" s="85"/>
      <c r="L82" s="93">
        <v>1.495089585949261</v>
      </c>
      <c r="M82" s="94">
        <v>2.0002678411015018</v>
      </c>
      <c r="N82" s="94">
        <v>0.3747194763313248</v>
      </c>
      <c r="O82" s="94">
        <v>1.5609999999999999</v>
      </c>
      <c r="P82" s="94">
        <v>0.754</v>
      </c>
      <c r="Q82" s="94">
        <v>1.675</v>
      </c>
      <c r="R82" s="94">
        <v>0.64300000000000002</v>
      </c>
      <c r="S82" s="94">
        <v>-0.40200000000000002</v>
      </c>
      <c r="T82" s="94">
        <v>-4.2789999999999999</v>
      </c>
      <c r="U82" s="94">
        <v>2.145</v>
      </c>
      <c r="V82" s="95">
        <v>1.075</v>
      </c>
      <c r="W82" s="95">
        <f t="shared" si="1"/>
        <v>0.31456851442112077</v>
      </c>
    </row>
    <row r="83" spans="1:23" x14ac:dyDescent="0.35">
      <c r="A83" s="85" t="s">
        <v>593</v>
      </c>
      <c r="B83" s="85" t="s">
        <v>657</v>
      </c>
      <c r="C83" s="93">
        <v>1.1049470799269878</v>
      </c>
      <c r="D83" s="94">
        <v>1.8757952650954479</v>
      </c>
      <c r="E83" s="95">
        <v>2.1806440475090172</v>
      </c>
      <c r="G83" s="107" t="s">
        <v>584</v>
      </c>
      <c r="H83" s="105">
        <v>79.514216326138751</v>
      </c>
      <c r="I83" s="97">
        <v>53</v>
      </c>
      <c r="J83" s="98">
        <v>5</v>
      </c>
      <c r="K83" s="85"/>
      <c r="L83" s="93">
        <v>2.6511707480297244</v>
      </c>
      <c r="M83" s="94">
        <v>2.8287666404585154</v>
      </c>
      <c r="N83" s="94">
        <v>3.0963303471105994</v>
      </c>
      <c r="O83" s="94">
        <v>2.496</v>
      </c>
      <c r="P83" s="94">
        <v>1.994</v>
      </c>
      <c r="Q83" s="94">
        <v>2.4740000000000002</v>
      </c>
      <c r="R83" s="94">
        <v>1.919</v>
      </c>
      <c r="S83" s="94">
        <v>1.927</v>
      </c>
      <c r="T83" s="94">
        <v>-1.57</v>
      </c>
      <c r="U83" s="94">
        <v>2.2280000000000002</v>
      </c>
      <c r="V83" s="95">
        <v>2.7109999999999999</v>
      </c>
      <c r="W83" s="95">
        <f t="shared" si="1"/>
        <v>2.0282196563022326</v>
      </c>
    </row>
    <row r="84" spans="1:23" x14ac:dyDescent="0.35">
      <c r="A84" s="85" t="s">
        <v>578</v>
      </c>
      <c r="B84" s="85" t="s">
        <v>658</v>
      </c>
      <c r="C84" s="93">
        <v>1.6270169093285825</v>
      </c>
      <c r="D84" s="94">
        <v>2.6878144462378906</v>
      </c>
      <c r="E84" s="95">
        <v>2.9947418753666133</v>
      </c>
      <c r="G84" s="107" t="s">
        <v>401</v>
      </c>
      <c r="H84" s="105">
        <v>70.400737065727981</v>
      </c>
      <c r="I84" s="97">
        <v>88</v>
      </c>
      <c r="J84" s="98">
        <v>16</v>
      </c>
      <c r="K84" s="85"/>
      <c r="L84" s="93">
        <v>4.7999999999927256</v>
      </c>
      <c r="M84" s="94">
        <v>5.9999999992556203</v>
      </c>
      <c r="N84" s="94">
        <v>4.2000000006304088</v>
      </c>
      <c r="O84" s="94">
        <v>1</v>
      </c>
      <c r="P84" s="94">
        <v>0.9</v>
      </c>
      <c r="Q84" s="94">
        <v>3.9009999999999998</v>
      </c>
      <c r="R84" s="94">
        <v>4.0999999999999996</v>
      </c>
      <c r="S84" s="94">
        <v>4.5</v>
      </c>
      <c r="T84" s="94">
        <v>-2.6</v>
      </c>
      <c r="U84" s="94">
        <v>4.0999999999999996</v>
      </c>
      <c r="V84" s="95">
        <v>3.214</v>
      </c>
      <c r="W84" s="95">
        <f t="shared" si="1"/>
        <v>2.8412781608022519</v>
      </c>
    </row>
    <row r="85" spans="1:23" x14ac:dyDescent="0.35">
      <c r="A85" s="85" t="s">
        <v>582</v>
      </c>
      <c r="B85" s="85" t="s">
        <v>659</v>
      </c>
      <c r="C85" s="93">
        <v>4.1600595320631983</v>
      </c>
      <c r="D85" s="94">
        <v>5.4481436952905637</v>
      </c>
      <c r="E85" s="95">
        <v>5.4875646773576481</v>
      </c>
      <c r="G85" s="107" t="s">
        <v>424</v>
      </c>
      <c r="H85" s="105">
        <v>68.853006787769303</v>
      </c>
      <c r="I85" s="97">
        <v>97</v>
      </c>
      <c r="J85" s="98">
        <v>18</v>
      </c>
      <c r="K85" s="85"/>
      <c r="L85" s="93">
        <v>4.5632091307112006</v>
      </c>
      <c r="M85" s="94">
        <v>5.8786805667541637</v>
      </c>
      <c r="N85" s="94">
        <v>5.3571256444996713</v>
      </c>
      <c r="O85" s="94">
        <v>4.968</v>
      </c>
      <c r="P85" s="94">
        <v>4.2140000000000004</v>
      </c>
      <c r="Q85" s="94">
        <v>3.8159999999999998</v>
      </c>
      <c r="R85" s="94">
        <v>5.6710000000000003</v>
      </c>
      <c r="S85" s="94">
        <v>5.1139999999999999</v>
      </c>
      <c r="T85" s="94">
        <v>-0.25</v>
      </c>
      <c r="U85" s="94">
        <v>7.5170000000000003</v>
      </c>
      <c r="V85" s="95">
        <v>5.3689999999999998</v>
      </c>
      <c r="W85" s="95">
        <f t="shared" si="1"/>
        <v>5.4678541863241055</v>
      </c>
    </row>
    <row r="86" spans="1:23" x14ac:dyDescent="0.35">
      <c r="A86" s="85" t="s">
        <v>578</v>
      </c>
      <c r="B86" s="85" t="s">
        <v>660</v>
      </c>
      <c r="C86" s="93">
        <v>1.9788311578699647</v>
      </c>
      <c r="D86" s="94">
        <v>2.1951704861675969</v>
      </c>
      <c r="E86" s="95">
        <v>2.6249033043728831</v>
      </c>
      <c r="G86" s="107" t="s">
        <v>417</v>
      </c>
      <c r="H86" s="105">
        <v>90.58627012288828</v>
      </c>
      <c r="I86" s="97">
        <v>26</v>
      </c>
      <c r="J86" s="98">
        <v>6</v>
      </c>
      <c r="K86" s="85"/>
      <c r="L86" s="93">
        <v>2.4025309924618736</v>
      </c>
      <c r="M86" s="94">
        <v>3.1647086364718322</v>
      </c>
      <c r="N86" s="94">
        <v>3.2024537945736018</v>
      </c>
      <c r="O86" s="94">
        <v>2.8090000000000002</v>
      </c>
      <c r="P86" s="94">
        <v>2.9470000000000001</v>
      </c>
      <c r="Q86" s="94">
        <v>3.16</v>
      </c>
      <c r="R86" s="94">
        <v>2.907</v>
      </c>
      <c r="S86" s="94">
        <v>2.2440000000000002</v>
      </c>
      <c r="T86" s="94">
        <v>-0.70899999999999996</v>
      </c>
      <c r="U86" s="94">
        <v>4.1449999999999996</v>
      </c>
      <c r="V86" s="95">
        <v>2.5609999999999999</v>
      </c>
      <c r="W86" s="95">
        <f t="shared" si="1"/>
        <v>2.41003689527024</v>
      </c>
    </row>
    <row r="87" spans="1:23" x14ac:dyDescent="0.35">
      <c r="A87" s="85" t="s">
        <v>593</v>
      </c>
      <c r="B87" s="85" t="s">
        <v>661</v>
      </c>
      <c r="C87" s="93">
        <v>2.9560258753336122E-2</v>
      </c>
      <c r="D87" s="94">
        <v>0.3483533742255629</v>
      </c>
      <c r="E87" s="95">
        <v>0.20315822263521355</v>
      </c>
      <c r="G87" s="107" t="s">
        <v>424</v>
      </c>
      <c r="H87" s="105">
        <v>67.205820265011681</v>
      </c>
      <c r="I87" s="97">
        <v>105</v>
      </c>
      <c r="J87" s="98">
        <v>10</v>
      </c>
      <c r="K87" s="85"/>
      <c r="L87" s="93">
        <v>6.6258183001417628</v>
      </c>
      <c r="M87" s="94">
        <v>1.1493004370652051</v>
      </c>
      <c r="N87" s="94">
        <v>0.5008769821586383</v>
      </c>
      <c r="O87" s="94">
        <v>0.59299999999999997</v>
      </c>
      <c r="P87" s="94">
        <v>2.9260000000000002</v>
      </c>
      <c r="Q87" s="94">
        <v>-4.7140000000000004</v>
      </c>
      <c r="R87" s="94">
        <v>2.4369999999999998</v>
      </c>
      <c r="S87" s="94">
        <v>-0.55200000000000005</v>
      </c>
      <c r="T87" s="94">
        <v>-8.8550000000000004</v>
      </c>
      <c r="U87" s="94">
        <v>1.3080000000000001</v>
      </c>
      <c r="V87" s="95">
        <v>8.1769999999999996</v>
      </c>
      <c r="W87" s="95">
        <f t="shared" si="1"/>
        <v>0.27575579843038822</v>
      </c>
    </row>
    <row r="88" spans="1:23" x14ac:dyDescent="0.35">
      <c r="A88" s="85" t="s">
        <v>578</v>
      </c>
      <c r="B88" s="85" t="s">
        <v>662</v>
      </c>
      <c r="C88" s="93">
        <v>0.51489333561212103</v>
      </c>
      <c r="D88" s="94">
        <v>1.9645834232370651</v>
      </c>
      <c r="E88" s="95">
        <v>3.7392958747352045</v>
      </c>
      <c r="G88" s="107" t="s">
        <v>401</v>
      </c>
      <c r="H88" s="105">
        <v>70.898067394091115</v>
      </c>
      <c r="I88" s="97">
        <v>86</v>
      </c>
      <c r="J88" s="98">
        <v>15</v>
      </c>
      <c r="K88" s="85"/>
      <c r="L88" s="93">
        <v>-8.8150201010635656E-2</v>
      </c>
      <c r="M88" s="94">
        <v>10.915469454314421</v>
      </c>
      <c r="N88" s="94">
        <v>4.024038625768628</v>
      </c>
      <c r="O88" s="94">
        <v>3.8759999999999999</v>
      </c>
      <c r="P88" s="94">
        <v>4.3360000000000003</v>
      </c>
      <c r="Q88" s="94">
        <v>4.74</v>
      </c>
      <c r="R88" s="94">
        <v>3.4590000000000001</v>
      </c>
      <c r="S88" s="94">
        <v>4.601</v>
      </c>
      <c r="T88" s="94">
        <v>-8.6170000000000009</v>
      </c>
      <c r="U88" s="94">
        <v>3.742</v>
      </c>
      <c r="V88" s="95">
        <v>7</v>
      </c>
      <c r="W88" s="95">
        <f t="shared" si="1"/>
        <v>2.8519396489861348</v>
      </c>
    </row>
    <row r="89" spans="1:23" x14ac:dyDescent="0.35">
      <c r="A89" s="85" t="s">
        <v>578</v>
      </c>
      <c r="B89" s="85" t="s">
        <v>663</v>
      </c>
      <c r="C89" s="93">
        <v>1.7571611332634074</v>
      </c>
      <c r="D89" s="94">
        <v>3.3757795121775569</v>
      </c>
      <c r="E89" s="95">
        <v>5.3509947789500245</v>
      </c>
      <c r="G89" s="107" t="s">
        <v>580</v>
      </c>
      <c r="H89" s="105">
        <v>58.394766440551741</v>
      </c>
      <c r="I89" s="97">
        <v>127</v>
      </c>
      <c r="J89" s="98">
        <v>26</v>
      </c>
      <c r="K89" s="85"/>
      <c r="L89" s="93">
        <v>8.0260984340408665</v>
      </c>
      <c r="M89" s="94">
        <v>8.0263002263775007</v>
      </c>
      <c r="N89" s="94">
        <v>7.6119634407438159</v>
      </c>
      <c r="O89" s="94">
        <v>7.27</v>
      </c>
      <c r="P89" s="94">
        <v>7.0229999999999997</v>
      </c>
      <c r="Q89" s="94">
        <v>6.851</v>
      </c>
      <c r="R89" s="94">
        <v>6.2889999999999997</v>
      </c>
      <c r="S89" s="94">
        <v>4.6520000000000001</v>
      </c>
      <c r="T89" s="94">
        <v>-0.435</v>
      </c>
      <c r="U89" s="94">
        <v>2.0609999999999999</v>
      </c>
      <c r="V89" s="95">
        <v>2.2519999999999998</v>
      </c>
      <c r="W89" s="95">
        <f t="shared" si="1"/>
        <v>4.3633871455637907</v>
      </c>
    </row>
    <row r="90" spans="1:23" x14ac:dyDescent="0.35">
      <c r="A90" s="85" t="s">
        <v>227</v>
      </c>
      <c r="B90" s="85" t="s">
        <v>664</v>
      </c>
      <c r="C90" s="93">
        <v>1.2465800540070626</v>
      </c>
      <c r="D90" s="94">
        <v>2.186383184955365</v>
      </c>
      <c r="E90" s="95">
        <v>2.3979634558628948</v>
      </c>
      <c r="G90" s="107" t="s">
        <v>584</v>
      </c>
      <c r="H90" s="105">
        <v>81.044610107182237</v>
      </c>
      <c r="I90" s="97">
        <v>44</v>
      </c>
      <c r="J90" s="98">
        <v>29</v>
      </c>
      <c r="K90" s="85"/>
      <c r="L90" s="93">
        <v>4.1342316499835752</v>
      </c>
      <c r="M90" s="94">
        <v>2.3280042634440163</v>
      </c>
      <c r="N90" s="94">
        <v>1.9151903779433241</v>
      </c>
      <c r="O90" s="94">
        <v>3.8849999999999998</v>
      </c>
      <c r="P90" s="94">
        <v>2.3690000000000002</v>
      </c>
      <c r="Q90" s="94">
        <v>3.3119999999999998</v>
      </c>
      <c r="R90" s="94">
        <v>3.992</v>
      </c>
      <c r="S90" s="94">
        <v>2.57</v>
      </c>
      <c r="T90" s="94">
        <v>-2.2029999999999998</v>
      </c>
      <c r="U90" s="94">
        <v>4.0640000000000001</v>
      </c>
      <c r="V90" s="95">
        <v>1.976</v>
      </c>
      <c r="W90" s="95">
        <f t="shared" si="1"/>
        <v>2.2921733204091299</v>
      </c>
    </row>
    <row r="91" spans="1:23" x14ac:dyDescent="0.35">
      <c r="A91" s="85" t="s">
        <v>593</v>
      </c>
      <c r="B91" s="85" t="s">
        <v>665</v>
      </c>
      <c r="C91" s="93">
        <v>-11.570507599610414</v>
      </c>
      <c r="D91" s="94">
        <v>-8.8972805759156888</v>
      </c>
      <c r="E91" s="95">
        <v>-3.6804003540223951</v>
      </c>
      <c r="G91" s="107" t="s">
        <v>401</v>
      </c>
      <c r="H91" s="105">
        <v>70.925074776605015</v>
      </c>
      <c r="I91" s="97">
        <v>85</v>
      </c>
      <c r="J91" s="98">
        <v>9</v>
      </c>
      <c r="K91" s="85"/>
      <c r="L91" s="93">
        <v>2.5405417890992656</v>
      </c>
      <c r="M91" s="94">
        <v>3.8110224147865268</v>
      </c>
      <c r="N91" s="94">
        <v>2.4536595719223264</v>
      </c>
      <c r="O91" s="94">
        <v>0.46100000000000002</v>
      </c>
      <c r="P91" s="94">
        <v>1.556</v>
      </c>
      <c r="Q91" s="94">
        <v>0.90300000000000002</v>
      </c>
      <c r="R91" s="94">
        <v>-1.885</v>
      </c>
      <c r="S91" s="94">
        <v>-6.915</v>
      </c>
      <c r="T91" s="94">
        <v>-25.907</v>
      </c>
      <c r="U91" s="94">
        <v>-5.4</v>
      </c>
      <c r="V91" s="95">
        <v>-5.4</v>
      </c>
      <c r="W91" s="95">
        <f t="shared" si="1"/>
        <v>-6.2888404649690415</v>
      </c>
    </row>
    <row r="92" spans="1:23" x14ac:dyDescent="0.35">
      <c r="A92" s="85" t="s">
        <v>582</v>
      </c>
      <c r="B92" s="85" t="s">
        <v>666</v>
      </c>
      <c r="C92" s="93">
        <v>-1.7564836758548363</v>
      </c>
      <c r="D92" s="94">
        <v>-1.6866052500791207</v>
      </c>
      <c r="E92" s="95">
        <v>0.46596555472186996</v>
      </c>
      <c r="G92" s="107" t="s">
        <v>424</v>
      </c>
      <c r="H92" s="105">
        <v>68.290636352612694</v>
      </c>
      <c r="I92" s="97">
        <v>100</v>
      </c>
      <c r="J92" s="98">
        <v>20</v>
      </c>
      <c r="K92" s="85"/>
      <c r="L92" s="93">
        <v>6.7436269408569842</v>
      </c>
      <c r="M92" s="94">
        <v>4.1869122037746749</v>
      </c>
      <c r="N92" s="94">
        <v>2.8839688442816156</v>
      </c>
      <c r="O92" s="94">
        <v>3.2480000000000002</v>
      </c>
      <c r="P92" s="94">
        <v>1.877</v>
      </c>
      <c r="Q92" s="94">
        <v>-2.734</v>
      </c>
      <c r="R92" s="94">
        <v>-1.304</v>
      </c>
      <c r="S92" s="94">
        <v>-1.9710000000000001</v>
      </c>
      <c r="T92" s="94">
        <v>-3.9020000000000001</v>
      </c>
      <c r="U92" s="94">
        <v>2.1019999999999999</v>
      </c>
      <c r="V92" s="95">
        <v>2.093</v>
      </c>
      <c r="W92" s="95">
        <f t="shared" si="1"/>
        <v>-0.61031984767862535</v>
      </c>
    </row>
    <row r="93" spans="1:23" x14ac:dyDescent="0.35">
      <c r="A93" s="85" t="s">
        <v>582</v>
      </c>
      <c r="B93" s="85" t="s">
        <v>667</v>
      </c>
      <c r="C93" s="93">
        <v>2.2030305181955034</v>
      </c>
      <c r="D93" s="94">
        <v>1.043410797540445</v>
      </c>
      <c r="E93" s="95">
        <v>1.5173155129903693</v>
      </c>
      <c r="G93" s="107" t="s">
        <v>580</v>
      </c>
      <c r="H93" s="105">
        <v>56.232966845120316</v>
      </c>
      <c r="I93" s="97">
        <v>130</v>
      </c>
      <c r="J93" s="98">
        <v>32</v>
      </c>
      <c r="K93" s="85"/>
      <c r="L93" s="93">
        <v>7.9938156931364137</v>
      </c>
      <c r="M93" s="94">
        <v>8.6872878163968235</v>
      </c>
      <c r="N93" s="94">
        <v>0.70139310028752089</v>
      </c>
      <c r="O93" s="94">
        <v>7.0000000000000001E-3</v>
      </c>
      <c r="P93" s="94">
        <v>-1.63</v>
      </c>
      <c r="Q93" s="94">
        <v>2.4689999999999999</v>
      </c>
      <c r="R93" s="94">
        <v>1.242</v>
      </c>
      <c r="S93" s="94">
        <v>-2.516</v>
      </c>
      <c r="T93" s="94">
        <v>-2.9670000000000001</v>
      </c>
      <c r="U93" s="94">
        <v>5.0110000000000001</v>
      </c>
      <c r="V93" s="95">
        <v>4.8109999999999999</v>
      </c>
      <c r="W93" s="95">
        <f t="shared" si="1"/>
        <v>1.2803631552654071</v>
      </c>
    </row>
    <row r="94" spans="1:23" x14ac:dyDescent="0.35">
      <c r="A94" s="85" t="s">
        <v>582</v>
      </c>
      <c r="B94" s="85" t="s">
        <v>668</v>
      </c>
      <c r="C94" s="93">
        <v>5.1304452243001952</v>
      </c>
      <c r="D94" s="94">
        <v>3.4484900722276279</v>
      </c>
      <c r="E94" s="95">
        <v>1.2335060569262035</v>
      </c>
      <c r="G94" s="107" t="s">
        <v>580</v>
      </c>
      <c r="H94" s="105">
        <v>48.008478383672035</v>
      </c>
      <c r="I94" s="97">
        <v>140</v>
      </c>
      <c r="J94" s="98">
        <v>38</v>
      </c>
      <c r="K94" s="85"/>
      <c r="L94" s="93">
        <v>274.10446739057375</v>
      </c>
      <c r="M94" s="94">
        <v>-13.994834968637873</v>
      </c>
      <c r="N94" s="94">
        <v>-10.842440326997824</v>
      </c>
      <c r="O94" s="94">
        <v>-0.84299999999999997</v>
      </c>
      <c r="P94" s="94">
        <v>-1.4910000000000001</v>
      </c>
      <c r="Q94" s="94">
        <v>32.491999999999997</v>
      </c>
      <c r="R94" s="94">
        <v>7.9409999999999998</v>
      </c>
      <c r="S94" s="94">
        <v>-11.196</v>
      </c>
      <c r="T94" s="94">
        <v>-29.456</v>
      </c>
      <c r="U94" s="94">
        <v>28.335000000000001</v>
      </c>
      <c r="V94" s="95">
        <v>-12.813000000000001</v>
      </c>
      <c r="W94" s="95">
        <f t="shared" si="1"/>
        <v>2.3409980645769157</v>
      </c>
    </row>
    <row r="95" spans="1:23" x14ac:dyDescent="0.35">
      <c r="A95" s="85" t="s">
        <v>227</v>
      </c>
      <c r="B95" s="85" t="s">
        <v>669</v>
      </c>
      <c r="C95" s="93">
        <v>2.5853990379055336</v>
      </c>
      <c r="D95" s="94">
        <v>3.2350334175799356</v>
      </c>
      <c r="E95" s="95">
        <v>3.2063173772679532</v>
      </c>
      <c r="G95" s="107" t="s">
        <v>584</v>
      </c>
      <c r="H95" s="105">
        <v>80.769738018881156</v>
      </c>
      <c r="I95" s="97">
        <v>45</v>
      </c>
      <c r="J95" s="98">
        <v>30</v>
      </c>
      <c r="K95" s="85"/>
      <c r="L95" s="93">
        <v>3.8333027642866848</v>
      </c>
      <c r="M95" s="94">
        <v>3.5584246313476826</v>
      </c>
      <c r="N95" s="94">
        <v>3.5079712171273361</v>
      </c>
      <c r="O95" s="94">
        <v>2.024</v>
      </c>
      <c r="P95" s="94">
        <v>2.5190000000000001</v>
      </c>
      <c r="Q95" s="94">
        <v>4.282</v>
      </c>
      <c r="R95" s="94">
        <v>3.9929999999999999</v>
      </c>
      <c r="S95" s="94">
        <v>4.625</v>
      </c>
      <c r="T95" s="94">
        <v>-2.1999999999999999E-2</v>
      </c>
      <c r="U95" s="94">
        <v>5.9809999999999999</v>
      </c>
      <c r="V95" s="95">
        <v>1.8879999999999999</v>
      </c>
      <c r="W95" s="95">
        <f t="shared" si="1"/>
        <v>3.2206753974239444</v>
      </c>
    </row>
    <row r="96" spans="1:23" x14ac:dyDescent="0.35">
      <c r="A96" s="85" t="s">
        <v>227</v>
      </c>
      <c r="B96" s="85" t="s">
        <v>670</v>
      </c>
      <c r="C96" s="93">
        <v>1.9225945961039326</v>
      </c>
      <c r="D96" s="94">
        <v>1.8607829332780268</v>
      </c>
      <c r="E96" s="95">
        <v>2.36159954003623</v>
      </c>
      <c r="G96" s="107" t="s">
        <v>417</v>
      </c>
      <c r="H96" s="105">
        <v>96.778306193425522</v>
      </c>
      <c r="I96" s="97">
        <v>9</v>
      </c>
      <c r="J96" s="98">
        <v>7</v>
      </c>
      <c r="K96" s="85"/>
      <c r="L96" s="93">
        <v>1.6499020297865346</v>
      </c>
      <c r="M96" s="94">
        <v>3.1717904991600552</v>
      </c>
      <c r="N96" s="94">
        <v>2.6230860157719222</v>
      </c>
      <c r="O96" s="94">
        <v>2.2679999999999998</v>
      </c>
      <c r="P96" s="94">
        <v>4.9779999999999998</v>
      </c>
      <c r="Q96" s="94">
        <v>1.3169999999999999</v>
      </c>
      <c r="R96" s="94">
        <v>1.2190000000000001</v>
      </c>
      <c r="S96" s="94">
        <v>2.3199999999999998</v>
      </c>
      <c r="T96" s="94">
        <v>-0.79700000000000004</v>
      </c>
      <c r="U96" s="94">
        <v>5.1029999999999998</v>
      </c>
      <c r="V96" s="95">
        <v>1.5489999999999999</v>
      </c>
      <c r="W96" s="95">
        <f t="shared" si="1"/>
        <v>2.1111912366571284</v>
      </c>
    </row>
    <row r="97" spans="1:23" x14ac:dyDescent="0.35">
      <c r="A97" s="85" t="s">
        <v>582</v>
      </c>
      <c r="B97" s="85" t="s">
        <v>671</v>
      </c>
      <c r="C97" s="93">
        <v>0.34284241084634459</v>
      </c>
      <c r="D97" s="94">
        <v>1.7120658983774018</v>
      </c>
      <c r="E97" s="95">
        <v>2.5217225637742979</v>
      </c>
      <c r="G97" s="107" t="s">
        <v>580</v>
      </c>
      <c r="H97" s="105">
        <v>48.940679032016362</v>
      </c>
      <c r="I97" s="97">
        <v>139</v>
      </c>
      <c r="J97" s="98">
        <v>37</v>
      </c>
      <c r="K97" s="85"/>
      <c r="L97" s="93">
        <v>3.0111464075530683</v>
      </c>
      <c r="M97" s="94">
        <v>2.3003869344771051</v>
      </c>
      <c r="N97" s="94">
        <v>3.3392022440733014</v>
      </c>
      <c r="O97" s="94">
        <v>3.1320000000000001</v>
      </c>
      <c r="P97" s="94">
        <v>3.9929999999999999</v>
      </c>
      <c r="Q97" s="94">
        <v>3.9329999999999998</v>
      </c>
      <c r="R97" s="94">
        <v>3.194</v>
      </c>
      <c r="S97" s="94">
        <v>4.4109999999999996</v>
      </c>
      <c r="T97" s="94">
        <v>-7.1379999999999999</v>
      </c>
      <c r="U97" s="94">
        <v>5.74</v>
      </c>
      <c r="V97" s="95">
        <v>4.21</v>
      </c>
      <c r="W97" s="95">
        <f t="shared" si="1"/>
        <v>2.1168942310758498</v>
      </c>
    </row>
    <row r="98" spans="1:23" x14ac:dyDescent="0.35">
      <c r="A98" s="85" t="s">
        <v>582</v>
      </c>
      <c r="B98" s="85" t="s">
        <v>672</v>
      </c>
      <c r="C98" s="93">
        <v>1.446318587345985</v>
      </c>
      <c r="D98" s="94">
        <v>2.8212259957555386</v>
      </c>
      <c r="E98" s="95">
        <v>3.4233840163588436</v>
      </c>
      <c r="G98" s="107" t="s">
        <v>401</v>
      </c>
      <c r="H98" s="105">
        <v>72.879134631330203</v>
      </c>
      <c r="I98" s="97">
        <v>77</v>
      </c>
      <c r="J98" s="98">
        <v>8</v>
      </c>
      <c r="K98" s="85"/>
      <c r="L98" s="93">
        <v>1.8857995075156477</v>
      </c>
      <c r="M98" s="94">
        <v>5.1999999956050429</v>
      </c>
      <c r="N98" s="94">
        <v>5.7000000050572197</v>
      </c>
      <c r="O98" s="94">
        <v>2.95</v>
      </c>
      <c r="P98" s="94">
        <v>2.27</v>
      </c>
      <c r="Q98" s="94">
        <v>4</v>
      </c>
      <c r="R98" s="94">
        <v>4.3920000000000003</v>
      </c>
      <c r="S98" s="94">
        <v>5.4480000000000004</v>
      </c>
      <c r="T98" s="94">
        <v>0.91300000000000003</v>
      </c>
      <c r="U98" s="94">
        <v>4.5670000000000002</v>
      </c>
      <c r="V98" s="95">
        <v>0.8</v>
      </c>
      <c r="W98" s="95">
        <f t="shared" si="1"/>
        <v>3.1223050060571911</v>
      </c>
    </row>
    <row r="99" spans="1:23" x14ac:dyDescent="0.35">
      <c r="A99" s="85" t="s">
        <v>578</v>
      </c>
      <c r="B99" s="85" t="s">
        <v>673</v>
      </c>
      <c r="C99" s="93">
        <v>1.9142421361718398</v>
      </c>
      <c r="D99" s="94">
        <v>3.0011020126644361</v>
      </c>
      <c r="E99" s="95">
        <v>4.0922822936961589</v>
      </c>
      <c r="G99" s="107" t="s">
        <v>401</v>
      </c>
      <c r="H99" s="105">
        <v>76.114633172938127</v>
      </c>
      <c r="I99" s="97">
        <v>66</v>
      </c>
      <c r="J99" s="98">
        <v>9</v>
      </c>
      <c r="K99" s="85"/>
      <c r="L99" s="93">
        <v>5.4734541925385383</v>
      </c>
      <c r="M99" s="94">
        <v>4.6937225255789317</v>
      </c>
      <c r="N99" s="94">
        <v>6.0067219455820462</v>
      </c>
      <c r="O99" s="94">
        <v>5.0069999999999997</v>
      </c>
      <c r="P99" s="94">
        <v>4.45</v>
      </c>
      <c r="Q99" s="94">
        <v>5.8129999999999997</v>
      </c>
      <c r="R99" s="94">
        <v>4.843</v>
      </c>
      <c r="S99" s="94">
        <v>4.4130000000000003</v>
      </c>
      <c r="T99" s="94">
        <v>-5.5339999999999998</v>
      </c>
      <c r="U99" s="94">
        <v>3.0920000000000001</v>
      </c>
      <c r="V99" s="95">
        <v>8.6940000000000008</v>
      </c>
      <c r="W99" s="95">
        <f t="shared" si="1"/>
        <v>3.5466921531802975</v>
      </c>
    </row>
    <row r="100" spans="1:23" x14ac:dyDescent="0.35">
      <c r="A100" s="85" t="s">
        <v>582</v>
      </c>
      <c r="B100" s="85" t="s">
        <v>674</v>
      </c>
      <c r="C100" s="93">
        <v>1.8165870919236937</v>
      </c>
      <c r="D100" s="94">
        <v>2.9671130334121942</v>
      </c>
      <c r="E100" s="95">
        <v>4.1460050619633648</v>
      </c>
      <c r="G100" s="107" t="s">
        <v>580</v>
      </c>
      <c r="H100" s="105">
        <v>43.633236095724527</v>
      </c>
      <c r="I100" s="97">
        <v>146</v>
      </c>
      <c r="J100" s="98">
        <v>41</v>
      </c>
      <c r="K100" s="85"/>
      <c r="L100" s="93">
        <v>-0.83662749707312833</v>
      </c>
      <c r="M100" s="94">
        <v>2.3037669581925009</v>
      </c>
      <c r="N100" s="94">
        <v>7.1014223480749816</v>
      </c>
      <c r="O100" s="94">
        <v>6.1719999999999997</v>
      </c>
      <c r="P100" s="94">
        <v>5.8520000000000003</v>
      </c>
      <c r="Q100" s="94">
        <v>5.3049999999999997</v>
      </c>
      <c r="R100" s="94">
        <v>4.7460000000000004</v>
      </c>
      <c r="S100" s="94">
        <v>4.7649999999999997</v>
      </c>
      <c r="T100" s="94">
        <v>-1.244</v>
      </c>
      <c r="U100" s="94">
        <v>3.0550000000000002</v>
      </c>
      <c r="V100" s="95">
        <v>3.7040000000000002</v>
      </c>
      <c r="W100" s="95">
        <f t="shared" si="1"/>
        <v>3.5565590476877795</v>
      </c>
    </row>
    <row r="101" spans="1:23" x14ac:dyDescent="0.35">
      <c r="A101" s="85" t="s">
        <v>227</v>
      </c>
      <c r="B101" s="85" t="s">
        <v>675</v>
      </c>
      <c r="C101" s="93">
        <v>2.6124059576447589</v>
      </c>
      <c r="D101" s="94">
        <v>4.3931536419201889</v>
      </c>
      <c r="E101" s="95">
        <v>5.6722564665051767</v>
      </c>
      <c r="G101" s="107" t="s">
        <v>584</v>
      </c>
      <c r="H101" s="105">
        <v>86.894246999173433</v>
      </c>
      <c r="I101" s="97">
        <v>33</v>
      </c>
      <c r="J101" s="98">
        <v>22</v>
      </c>
      <c r="K101" s="85"/>
      <c r="L101" s="93">
        <v>4.1177072993516513</v>
      </c>
      <c r="M101" s="94">
        <v>5.4733556954527041</v>
      </c>
      <c r="N101" s="94">
        <v>7.6335381123007346</v>
      </c>
      <c r="O101" s="94">
        <v>9.6080000000000005</v>
      </c>
      <c r="P101" s="94">
        <v>3.3809999999999998</v>
      </c>
      <c r="Q101" s="94">
        <v>10.869</v>
      </c>
      <c r="R101" s="94">
        <v>6.1929999999999996</v>
      </c>
      <c r="S101" s="94">
        <v>7.0090000000000003</v>
      </c>
      <c r="T101" s="94">
        <v>-8.6120000000000001</v>
      </c>
      <c r="U101" s="94">
        <v>11.805999999999999</v>
      </c>
      <c r="V101" s="95">
        <v>6.851</v>
      </c>
      <c r="W101" s="95">
        <f t="shared" si="1"/>
        <v>5.0327050542126823</v>
      </c>
    </row>
    <row r="102" spans="1:23" x14ac:dyDescent="0.35">
      <c r="A102" s="85" t="s">
        <v>582</v>
      </c>
      <c r="B102" s="85" t="s">
        <v>676</v>
      </c>
      <c r="C102" s="93">
        <v>10.380851809157976</v>
      </c>
      <c r="D102" s="94">
        <v>8.3436024853472226</v>
      </c>
      <c r="E102" s="95">
        <v>5.9978829377542953</v>
      </c>
      <c r="G102" s="107" t="s">
        <v>424</v>
      </c>
      <c r="H102" s="105">
        <v>67.535233245846925</v>
      </c>
      <c r="I102" s="97">
        <v>103</v>
      </c>
      <c r="J102" s="98">
        <v>23</v>
      </c>
      <c r="K102" s="85"/>
      <c r="L102" s="93">
        <v>4.4700131823368974</v>
      </c>
      <c r="M102" s="94">
        <v>4.150813186271721</v>
      </c>
      <c r="N102" s="94">
        <v>4.2748232713028473</v>
      </c>
      <c r="O102" s="94">
        <v>5.3760000000000003</v>
      </c>
      <c r="P102" s="94">
        <v>1.2609999999999999</v>
      </c>
      <c r="Q102" s="94">
        <v>6.2709999999999999</v>
      </c>
      <c r="R102" s="94">
        <v>4.7729999999999997</v>
      </c>
      <c r="S102" s="94">
        <v>5.4290000000000003</v>
      </c>
      <c r="T102" s="94">
        <v>-0.93799999999999994</v>
      </c>
      <c r="U102" s="94">
        <v>2.4449999999999998</v>
      </c>
      <c r="V102" s="95">
        <v>4.96</v>
      </c>
      <c r="W102" s="95">
        <f t="shared" si="1"/>
        <v>7.1707427115507585</v>
      </c>
    </row>
    <row r="103" spans="1:23" x14ac:dyDescent="0.35">
      <c r="A103" s="85" t="s">
        <v>582</v>
      </c>
      <c r="B103" s="85" t="s">
        <v>677</v>
      </c>
      <c r="C103" s="93">
        <v>-1.3801179259189</v>
      </c>
      <c r="D103" s="94">
        <v>1.2027047615812192</v>
      </c>
      <c r="E103" s="95">
        <v>2.4249070445692134</v>
      </c>
      <c r="G103" s="107" t="s">
        <v>584</v>
      </c>
      <c r="H103" s="105">
        <v>86.159393229935986</v>
      </c>
      <c r="I103" s="97">
        <v>35</v>
      </c>
      <c r="J103" s="98">
        <v>1</v>
      </c>
      <c r="K103" s="85"/>
      <c r="L103" s="93">
        <v>3.4961183375797935</v>
      </c>
      <c r="M103" s="94">
        <v>3.3604061030308432</v>
      </c>
      <c r="N103" s="94">
        <v>3.7445757725785316</v>
      </c>
      <c r="O103" s="94">
        <v>3.6909999999999998</v>
      </c>
      <c r="P103" s="94">
        <v>3.8620000000000001</v>
      </c>
      <c r="Q103" s="94">
        <v>3.9380000000000002</v>
      </c>
      <c r="R103" s="94">
        <v>4.0069999999999997</v>
      </c>
      <c r="S103" s="94">
        <v>2.891</v>
      </c>
      <c r="T103" s="94">
        <v>-14.598000000000001</v>
      </c>
      <c r="U103" s="94">
        <v>3.4990000000000001</v>
      </c>
      <c r="V103" s="95">
        <v>8.3000000000000007</v>
      </c>
      <c r="W103" s="95">
        <f t="shared" si="1"/>
        <v>1.8138059030752163</v>
      </c>
    </row>
    <row r="104" spans="1:23" x14ac:dyDescent="0.35">
      <c r="A104" s="85" t="s">
        <v>586</v>
      </c>
      <c r="B104" s="85" t="s">
        <v>678</v>
      </c>
      <c r="C104" s="93">
        <v>-0.23058449292154837</v>
      </c>
      <c r="D104" s="94">
        <v>0.18053445950247937</v>
      </c>
      <c r="E104" s="95">
        <v>1.3300326593307599</v>
      </c>
      <c r="G104" s="107" t="s">
        <v>401</v>
      </c>
      <c r="H104" s="105">
        <v>70.665681404041052</v>
      </c>
      <c r="I104" s="97">
        <v>87</v>
      </c>
      <c r="J104" s="98">
        <v>11</v>
      </c>
      <c r="K104" s="85"/>
      <c r="L104" s="93">
        <v>3.6423226794134638</v>
      </c>
      <c r="M104" s="94">
        <v>1.3540919615167941</v>
      </c>
      <c r="N104" s="94">
        <v>2.8043401283809737</v>
      </c>
      <c r="O104" s="94">
        <v>3.2930000000000001</v>
      </c>
      <c r="P104" s="94">
        <v>2.6309999999999998</v>
      </c>
      <c r="Q104" s="94">
        <v>2.113</v>
      </c>
      <c r="R104" s="94">
        <v>2.1949999999999998</v>
      </c>
      <c r="S104" s="94">
        <v>-0.19900000000000001</v>
      </c>
      <c r="T104" s="94">
        <v>-7.9880000000000004</v>
      </c>
      <c r="U104" s="94">
        <v>4.7210000000000001</v>
      </c>
      <c r="V104" s="95">
        <v>3.0659999999999998</v>
      </c>
      <c r="W104" s="95">
        <f t="shared" si="1"/>
        <v>0.75528355941661962</v>
      </c>
    </row>
    <row r="105" spans="1:23" x14ac:dyDescent="0.35">
      <c r="A105" s="85" t="s">
        <v>227</v>
      </c>
      <c r="B105" s="85" t="s">
        <v>679</v>
      </c>
      <c r="C105" s="93">
        <v>-0.11659435485397163</v>
      </c>
      <c r="D105" s="94">
        <v>1.5069892590011902</v>
      </c>
      <c r="E105" s="95">
        <v>3.001683990106474</v>
      </c>
      <c r="G105" s="107" t="s">
        <v>584</v>
      </c>
      <c r="H105" s="105">
        <v>79.52270940766131</v>
      </c>
      <c r="I105" s="97">
        <v>52</v>
      </c>
      <c r="J105" s="98">
        <v>33</v>
      </c>
      <c r="K105" s="85"/>
      <c r="L105" s="93">
        <v>-0.58973412591981322</v>
      </c>
      <c r="M105" s="94">
        <v>9.0438654824314977</v>
      </c>
      <c r="N105" s="94">
        <v>4.9996256689180685</v>
      </c>
      <c r="O105" s="94">
        <v>-0.33800000000000002</v>
      </c>
      <c r="P105" s="94">
        <v>4.4089999999999998</v>
      </c>
      <c r="Q105" s="94">
        <v>4.2</v>
      </c>
      <c r="R105" s="94">
        <v>4.0999999999999996</v>
      </c>
      <c r="S105" s="94">
        <v>3.6</v>
      </c>
      <c r="T105" s="94">
        <v>-8.3000000000000007</v>
      </c>
      <c r="U105" s="94">
        <v>13.945</v>
      </c>
      <c r="V105" s="95">
        <v>-5.5759999999999996</v>
      </c>
      <c r="W105" s="95">
        <f t="shared" si="1"/>
        <v>2.2543366245538321</v>
      </c>
    </row>
    <row r="106" spans="1:23" x14ac:dyDescent="0.35">
      <c r="A106" s="85" t="s">
        <v>578</v>
      </c>
      <c r="B106" s="85" t="s">
        <v>680</v>
      </c>
      <c r="C106" s="93">
        <v>0.5652165458427838</v>
      </c>
      <c r="D106" s="94">
        <v>3.0624452280082259</v>
      </c>
      <c r="E106" s="95">
        <v>4.33160969781623</v>
      </c>
      <c r="G106" s="107" t="s">
        <v>584</v>
      </c>
      <c r="H106" s="105">
        <v>78.890549447741549</v>
      </c>
      <c r="I106" s="97">
        <v>56</v>
      </c>
      <c r="J106" s="98">
        <v>8</v>
      </c>
      <c r="K106" s="85"/>
      <c r="L106" s="93">
        <v>12.319819848483753</v>
      </c>
      <c r="M106" s="94">
        <v>11.648916189886327</v>
      </c>
      <c r="N106" s="94">
        <v>7.8852254815193961</v>
      </c>
      <c r="O106" s="94">
        <v>2.41</v>
      </c>
      <c r="P106" s="94">
        <v>1.49</v>
      </c>
      <c r="Q106" s="94">
        <v>5.6369999999999996</v>
      </c>
      <c r="R106" s="94">
        <v>7.7450000000000001</v>
      </c>
      <c r="S106" s="94">
        <v>5.6020000000000003</v>
      </c>
      <c r="T106" s="94">
        <v>-4.5579999999999998</v>
      </c>
      <c r="U106" s="94">
        <v>1.637</v>
      </c>
      <c r="V106" s="95">
        <v>4.8460000000000001</v>
      </c>
      <c r="W106" s="95">
        <f t="shared" si="1"/>
        <v>3.6970274629122279</v>
      </c>
    </row>
    <row r="107" spans="1:23" x14ac:dyDescent="0.35">
      <c r="A107" s="85" t="s">
        <v>582</v>
      </c>
      <c r="B107" s="85" t="s">
        <v>681</v>
      </c>
      <c r="C107" s="93">
        <v>2.7484311837486786</v>
      </c>
      <c r="D107" s="94">
        <v>3.8040844105169391</v>
      </c>
      <c r="E107" s="95">
        <v>4.437166103247403</v>
      </c>
      <c r="G107" s="107" t="s">
        <v>401</v>
      </c>
      <c r="H107" s="105">
        <v>76.129604349240608</v>
      </c>
      <c r="I107" s="97">
        <v>65</v>
      </c>
      <c r="J107" s="98">
        <v>4</v>
      </c>
      <c r="K107" s="85"/>
      <c r="L107" s="93">
        <v>1.2735415748875247</v>
      </c>
      <c r="M107" s="94">
        <v>4.8919045547561728</v>
      </c>
      <c r="N107" s="94">
        <v>5.1501913509219497</v>
      </c>
      <c r="O107" s="94">
        <v>4.3449999999999998</v>
      </c>
      <c r="P107" s="94">
        <v>0.52100000000000002</v>
      </c>
      <c r="Q107" s="94">
        <v>5.0579999999999998</v>
      </c>
      <c r="R107" s="94">
        <v>3.0659999999999998</v>
      </c>
      <c r="S107" s="94">
        <v>2.891</v>
      </c>
      <c r="T107" s="94">
        <v>-7.1870000000000003</v>
      </c>
      <c r="U107" s="94">
        <v>7.93</v>
      </c>
      <c r="V107" s="95">
        <v>1.135</v>
      </c>
      <c r="W107" s="95">
        <f t="shared" si="1"/>
        <v>4.1206252568821711</v>
      </c>
    </row>
    <row r="108" spans="1:23" x14ac:dyDescent="0.35">
      <c r="A108" s="85" t="s">
        <v>582</v>
      </c>
      <c r="B108" s="85" t="s">
        <v>682</v>
      </c>
      <c r="C108" s="93">
        <v>1.7345974801987962</v>
      </c>
      <c r="D108" s="94">
        <v>2.1902907307407293</v>
      </c>
      <c r="E108" s="95">
        <v>3.9391606371984134</v>
      </c>
      <c r="G108" s="107" t="s">
        <v>424</v>
      </c>
      <c r="H108" s="105">
        <v>66.134592515292979</v>
      </c>
      <c r="I108" s="97">
        <v>110</v>
      </c>
      <c r="J108" s="98">
        <v>25</v>
      </c>
      <c r="K108" s="85"/>
      <c r="L108" s="93">
        <v>7.2584392525877934</v>
      </c>
      <c r="M108" s="94">
        <v>6.9636071348707169</v>
      </c>
      <c r="N108" s="94">
        <v>7.3985127971386246</v>
      </c>
      <c r="O108" s="94">
        <v>6.7229999999999999</v>
      </c>
      <c r="P108" s="94">
        <v>3.8239999999999998</v>
      </c>
      <c r="Q108" s="94">
        <v>3.7410000000000001</v>
      </c>
      <c r="R108" s="94">
        <v>3.444</v>
      </c>
      <c r="S108" s="94">
        <v>2.3149999999999999</v>
      </c>
      <c r="T108" s="94">
        <v>-1.1990000000000001</v>
      </c>
      <c r="U108" s="94">
        <v>2.3279999999999998</v>
      </c>
      <c r="V108" s="95">
        <v>4.1479999999999997</v>
      </c>
      <c r="W108" s="95">
        <f t="shared" si="1"/>
        <v>3.0647256839695713</v>
      </c>
    </row>
    <row r="109" spans="1:23" x14ac:dyDescent="0.35">
      <c r="A109" s="85" t="s">
        <v>578</v>
      </c>
      <c r="B109" s="85" t="s">
        <v>683</v>
      </c>
      <c r="C109" s="93">
        <v>-4.7700497073887238</v>
      </c>
      <c r="D109" s="94">
        <v>-0.38368451177455132</v>
      </c>
      <c r="E109" s="95">
        <v>3.2897594501001937</v>
      </c>
      <c r="G109" s="107" t="s">
        <v>424</v>
      </c>
      <c r="H109" s="105">
        <v>65.606474585171327</v>
      </c>
      <c r="I109" s="97">
        <v>111</v>
      </c>
      <c r="J109" s="98">
        <v>22</v>
      </c>
      <c r="K109" s="85"/>
      <c r="L109" s="93">
        <v>6.4857540044064299</v>
      </c>
      <c r="M109" s="94">
        <v>7.8986694782381086</v>
      </c>
      <c r="N109" s="94">
        <v>8.1996637504261933</v>
      </c>
      <c r="O109" s="94">
        <v>7.4729999999999999</v>
      </c>
      <c r="P109" s="94">
        <v>6.4080000000000004</v>
      </c>
      <c r="Q109" s="94">
        <v>5.75</v>
      </c>
      <c r="R109" s="94">
        <v>6.4050000000000002</v>
      </c>
      <c r="S109" s="94">
        <v>6.75</v>
      </c>
      <c r="T109" s="94">
        <v>3.1890000000000001</v>
      </c>
      <c r="U109" s="94">
        <v>-17.937999999999999</v>
      </c>
      <c r="V109" s="95">
        <v>1.9710000000000001</v>
      </c>
      <c r="W109" s="95">
        <f t="shared" si="1"/>
        <v>1.4530374691628212</v>
      </c>
    </row>
    <row r="110" spans="1:23" x14ac:dyDescent="0.35">
      <c r="A110" s="85" t="s">
        <v>582</v>
      </c>
      <c r="B110" s="85" t="s">
        <v>684</v>
      </c>
      <c r="C110" s="93">
        <v>5.9000128031017951</v>
      </c>
      <c r="D110" s="94">
        <v>3.7913046668829331</v>
      </c>
      <c r="E110" s="95">
        <v>3.4125855123770643</v>
      </c>
      <c r="G110" s="107" t="s">
        <v>401</v>
      </c>
      <c r="H110" s="105">
        <v>72.202169838266542</v>
      </c>
      <c r="I110" s="97">
        <v>79</v>
      </c>
      <c r="J110" s="98">
        <v>10</v>
      </c>
      <c r="K110" s="85"/>
      <c r="L110" s="93">
        <v>5.061682013267613</v>
      </c>
      <c r="M110" s="94">
        <v>5.6147197006409399</v>
      </c>
      <c r="N110" s="94">
        <v>5.7577888470497651</v>
      </c>
      <c r="O110" s="94">
        <v>4.2640000000000002</v>
      </c>
      <c r="P110" s="94">
        <v>3.4000000000000002E-2</v>
      </c>
      <c r="Q110" s="94">
        <v>-1.0269999999999999</v>
      </c>
      <c r="R110" s="94">
        <v>1.06</v>
      </c>
      <c r="S110" s="94">
        <v>-0.83899999999999997</v>
      </c>
      <c r="T110" s="94">
        <v>-8.0359999999999996</v>
      </c>
      <c r="U110" s="94">
        <v>2.6560000000000001</v>
      </c>
      <c r="V110" s="95">
        <v>3.8420000000000001</v>
      </c>
      <c r="W110" s="95">
        <f t="shared" si="1"/>
        <v>3.6019450896299987</v>
      </c>
    </row>
    <row r="111" spans="1:23" x14ac:dyDescent="0.35">
      <c r="A111" s="85" t="s">
        <v>578</v>
      </c>
      <c r="B111" s="85" t="s">
        <v>685</v>
      </c>
      <c r="C111" s="93">
        <v>2.509308980392877</v>
      </c>
      <c r="D111" s="94">
        <v>4.3365366697670549</v>
      </c>
      <c r="E111" s="95">
        <v>4.4414058742941132</v>
      </c>
      <c r="G111" s="107" t="s">
        <v>580</v>
      </c>
      <c r="H111" s="105">
        <v>47.880656607147813</v>
      </c>
      <c r="I111" s="97">
        <v>141</v>
      </c>
      <c r="J111" s="98">
        <v>29</v>
      </c>
      <c r="K111" s="85"/>
      <c r="L111" s="93">
        <v>4.6701221485020756</v>
      </c>
      <c r="M111" s="94">
        <v>3.525153173819251</v>
      </c>
      <c r="N111" s="94">
        <v>6.0114828408077567</v>
      </c>
      <c r="O111" s="94">
        <v>3.976</v>
      </c>
      <c r="P111" s="94">
        <v>0.433</v>
      </c>
      <c r="Q111" s="94">
        <v>8.9770000000000003</v>
      </c>
      <c r="R111" s="94">
        <v>7.6219999999999999</v>
      </c>
      <c r="S111" s="94">
        <v>6.657</v>
      </c>
      <c r="T111" s="94">
        <v>-2.37</v>
      </c>
      <c r="U111" s="94">
        <v>4.2469999999999999</v>
      </c>
      <c r="V111" s="95">
        <v>5.8380000000000001</v>
      </c>
      <c r="W111" s="95">
        <f t="shared" si="1"/>
        <v>4.3889712720305845</v>
      </c>
    </row>
    <row r="112" spans="1:23" x14ac:dyDescent="0.35">
      <c r="A112" s="85" t="s">
        <v>227</v>
      </c>
      <c r="B112" s="85" t="s">
        <v>686</v>
      </c>
      <c r="C112" s="93">
        <v>1.7497887812736312</v>
      </c>
      <c r="D112" s="94">
        <v>1.8172353151896914</v>
      </c>
      <c r="E112" s="95">
        <v>1.7415218308118652</v>
      </c>
      <c r="G112" s="107" t="s">
        <v>417</v>
      </c>
      <c r="H112" s="105">
        <v>97.320188246923195</v>
      </c>
      <c r="I112" s="97">
        <v>6</v>
      </c>
      <c r="J112" s="98">
        <v>4</v>
      </c>
      <c r="K112" s="85"/>
      <c r="L112" s="93">
        <v>-1.0303540066027346</v>
      </c>
      <c r="M112" s="94">
        <v>-0.13017522863902575</v>
      </c>
      <c r="N112" s="94">
        <v>1.4233954098743582</v>
      </c>
      <c r="O112" s="94">
        <v>1.958</v>
      </c>
      <c r="P112" s="94">
        <v>2.1920000000000002</v>
      </c>
      <c r="Q112" s="94">
        <v>2.911</v>
      </c>
      <c r="R112" s="94">
        <v>2.3610000000000002</v>
      </c>
      <c r="S112" s="94">
        <v>1.956</v>
      </c>
      <c r="T112" s="94">
        <v>-3.9129999999999998</v>
      </c>
      <c r="U112" s="94">
        <v>4.883</v>
      </c>
      <c r="V112" s="95">
        <v>4.5179999999999998</v>
      </c>
      <c r="W112" s="95">
        <f t="shared" si="1"/>
        <v>1.7793785730007783</v>
      </c>
    </row>
    <row r="113" spans="1:23" x14ac:dyDescent="0.35">
      <c r="A113" s="85" t="s">
        <v>578</v>
      </c>
      <c r="B113" s="85" t="s">
        <v>687</v>
      </c>
      <c r="C113" s="93">
        <v>1.6101427265492019</v>
      </c>
      <c r="D113" s="94">
        <v>2.5126996765094445</v>
      </c>
      <c r="E113" s="95">
        <v>2.926527233523446</v>
      </c>
      <c r="G113" s="107" t="s">
        <v>417</v>
      </c>
      <c r="H113" s="105">
        <v>98.673978139326721</v>
      </c>
      <c r="I113" s="97">
        <v>1</v>
      </c>
      <c r="J113" s="98">
        <v>1</v>
      </c>
      <c r="K113" s="85"/>
      <c r="L113" s="93">
        <v>2.2395634845413639</v>
      </c>
      <c r="M113" s="94">
        <v>2.6288005896782796</v>
      </c>
      <c r="N113" s="94">
        <v>3.6255957672075687</v>
      </c>
      <c r="O113" s="94">
        <v>3.6909999999999998</v>
      </c>
      <c r="P113" s="94">
        <v>3.8839999999999999</v>
      </c>
      <c r="Q113" s="94">
        <v>3.46</v>
      </c>
      <c r="R113" s="94">
        <v>3.524</v>
      </c>
      <c r="S113" s="94">
        <v>3.0750000000000002</v>
      </c>
      <c r="T113" s="94">
        <v>-1.4770000000000001</v>
      </c>
      <c r="U113" s="94">
        <v>6.0880000000000001</v>
      </c>
      <c r="V113" s="95">
        <v>2.4350000000000001</v>
      </c>
      <c r="W113" s="95">
        <f t="shared" si="1"/>
        <v>2.7196134550164452</v>
      </c>
    </row>
    <row r="114" spans="1:23" x14ac:dyDescent="0.35">
      <c r="A114" s="85" t="s">
        <v>586</v>
      </c>
      <c r="B114" s="85" t="s">
        <v>688</v>
      </c>
      <c r="C114" s="93">
        <v>4.0750139508862748</v>
      </c>
      <c r="D114" s="94">
        <v>0.946067021483743</v>
      </c>
      <c r="E114" s="95">
        <v>2.8253976939387693</v>
      </c>
      <c r="G114" s="107" t="s">
        <v>424</v>
      </c>
      <c r="H114" s="105">
        <v>64.641996561099731</v>
      </c>
      <c r="I114" s="97">
        <v>115</v>
      </c>
      <c r="J114" s="98">
        <v>15</v>
      </c>
      <c r="K114" s="85"/>
      <c r="L114" s="93">
        <v>6.4967472990321502</v>
      </c>
      <c r="M114" s="94">
        <v>4.9267922688301464</v>
      </c>
      <c r="N114" s="94">
        <v>4.7858161704434874</v>
      </c>
      <c r="O114" s="94">
        <v>4.7919999999999998</v>
      </c>
      <c r="P114" s="94">
        <v>4.5629999999999997</v>
      </c>
      <c r="Q114" s="94">
        <v>4.6310000000000002</v>
      </c>
      <c r="R114" s="94">
        <v>-3.363</v>
      </c>
      <c r="S114" s="94">
        <v>-3.78</v>
      </c>
      <c r="T114" s="94">
        <v>-1.7889999999999999</v>
      </c>
      <c r="U114" s="94">
        <v>10.345000000000001</v>
      </c>
      <c r="V114" s="95">
        <v>4.024</v>
      </c>
      <c r="W114" s="95">
        <f t="shared" si="1"/>
        <v>1.8857323577112561</v>
      </c>
    </row>
    <row r="115" spans="1:23" x14ac:dyDescent="0.35">
      <c r="A115" s="85" t="s">
        <v>582</v>
      </c>
      <c r="B115" s="85" t="s">
        <v>689</v>
      </c>
      <c r="C115" s="93">
        <v>5.2681473931170952</v>
      </c>
      <c r="D115" s="94">
        <v>5.8171216819006277</v>
      </c>
      <c r="E115" s="95">
        <v>5.6255556295670361</v>
      </c>
      <c r="G115" s="107" t="s">
        <v>424</v>
      </c>
      <c r="H115" s="105">
        <v>68.812447501404833</v>
      </c>
      <c r="I115" s="97">
        <v>98</v>
      </c>
      <c r="J115" s="98">
        <v>19</v>
      </c>
      <c r="K115" s="85"/>
      <c r="L115" s="93">
        <v>10.599907397446637</v>
      </c>
      <c r="M115" s="94">
        <v>5.5657295960540178</v>
      </c>
      <c r="N115" s="94">
        <v>6.5644262265084619</v>
      </c>
      <c r="O115" s="94">
        <v>4.3929999999999998</v>
      </c>
      <c r="P115" s="94">
        <v>5.7409999999999997</v>
      </c>
      <c r="Q115" s="94">
        <v>5.0010000000000003</v>
      </c>
      <c r="R115" s="94">
        <v>7.0069999999999997</v>
      </c>
      <c r="S115" s="94">
        <v>6.1429999999999998</v>
      </c>
      <c r="T115" s="94">
        <v>3.55</v>
      </c>
      <c r="U115" s="94">
        <v>1.399</v>
      </c>
      <c r="V115" s="95">
        <v>11.111000000000001</v>
      </c>
      <c r="W115" s="95">
        <f t="shared" si="1"/>
        <v>5.7213386557338319</v>
      </c>
    </row>
    <row r="116" spans="1:23" x14ac:dyDescent="0.35">
      <c r="A116" s="85" t="s">
        <v>582</v>
      </c>
      <c r="B116" s="85" t="s">
        <v>690</v>
      </c>
      <c r="C116" s="93">
        <v>1.6711254984559387</v>
      </c>
      <c r="D116" s="94">
        <v>1.8286894595159531</v>
      </c>
      <c r="E116" s="95">
        <v>2.3705025942777347</v>
      </c>
      <c r="G116" s="107" t="s">
        <v>580</v>
      </c>
      <c r="H116" s="105">
        <v>54.117482987279544</v>
      </c>
      <c r="I116" s="97">
        <v>136</v>
      </c>
      <c r="J116" s="98">
        <v>35</v>
      </c>
      <c r="K116" s="85"/>
      <c r="L116" s="93">
        <v>4.2300611751055515</v>
      </c>
      <c r="M116" s="94">
        <v>6.6713353928837664</v>
      </c>
      <c r="N116" s="94">
        <v>6.3097186557238203</v>
      </c>
      <c r="O116" s="94">
        <v>2.653</v>
      </c>
      <c r="P116" s="94">
        <v>-1.617</v>
      </c>
      <c r="Q116" s="94">
        <v>0.80600000000000005</v>
      </c>
      <c r="R116" s="94">
        <v>1.923</v>
      </c>
      <c r="S116" s="94">
        <v>2.2080000000000002</v>
      </c>
      <c r="T116" s="94">
        <v>-1.794</v>
      </c>
      <c r="U116" s="94">
        <v>3.6469999999999998</v>
      </c>
      <c r="V116" s="95">
        <v>3.2519999999999998</v>
      </c>
      <c r="W116" s="95">
        <f t="shared" si="1"/>
        <v>2.0995960268968439</v>
      </c>
    </row>
    <row r="117" spans="1:23" x14ac:dyDescent="0.35">
      <c r="A117" s="85" t="s">
        <v>227</v>
      </c>
      <c r="B117" s="85" t="s">
        <v>691</v>
      </c>
      <c r="C117" s="93">
        <v>-7.5001429328758196E-2</v>
      </c>
      <c r="D117" s="94">
        <v>1.3021650287798892</v>
      </c>
      <c r="E117" s="95">
        <v>2.0797979747829265</v>
      </c>
      <c r="G117" s="107" t="s">
        <v>584</v>
      </c>
      <c r="H117" s="105">
        <v>78.35616814320835</v>
      </c>
      <c r="I117" s="97">
        <v>58</v>
      </c>
      <c r="J117" s="98">
        <v>35</v>
      </c>
      <c r="K117" s="85"/>
      <c r="L117" s="93">
        <v>-0.45618322360793873</v>
      </c>
      <c r="M117" s="94">
        <v>2.9252576645048585</v>
      </c>
      <c r="N117" s="94">
        <v>3.6291235127637393</v>
      </c>
      <c r="O117" s="94">
        <v>3.8559999999999999</v>
      </c>
      <c r="P117" s="94">
        <v>2.8479999999999999</v>
      </c>
      <c r="Q117" s="94">
        <v>1.0820000000000001</v>
      </c>
      <c r="R117" s="94">
        <v>2.8809999999999998</v>
      </c>
      <c r="S117" s="94">
        <v>3.91</v>
      </c>
      <c r="T117" s="94">
        <v>-4.6879999999999997</v>
      </c>
      <c r="U117" s="94">
        <v>3.931</v>
      </c>
      <c r="V117" s="95">
        <v>2.2170000000000001</v>
      </c>
      <c r="W117" s="95">
        <f t="shared" si="1"/>
        <v>1.6909815017814078</v>
      </c>
    </row>
    <row r="118" spans="1:23" x14ac:dyDescent="0.35">
      <c r="A118" s="85" t="s">
        <v>227</v>
      </c>
      <c r="B118" s="85" t="s">
        <v>692</v>
      </c>
      <c r="C118" s="93">
        <v>2.1276786032802697</v>
      </c>
      <c r="D118" s="94">
        <v>2.0038500872442633</v>
      </c>
      <c r="E118" s="95">
        <v>1.8376731142071945</v>
      </c>
      <c r="G118" s="107" t="s">
        <v>417</v>
      </c>
      <c r="H118" s="105">
        <v>96.569623372049904</v>
      </c>
      <c r="I118" s="97">
        <v>10</v>
      </c>
      <c r="J118" s="98">
        <v>8</v>
      </c>
      <c r="K118" s="85"/>
      <c r="L118" s="93">
        <v>2.7030738548426481</v>
      </c>
      <c r="M118" s="94">
        <v>1.0340729135363009</v>
      </c>
      <c r="N118" s="94">
        <v>1.9695443007938924</v>
      </c>
      <c r="O118" s="94">
        <v>1.857</v>
      </c>
      <c r="P118" s="94">
        <v>1.165</v>
      </c>
      <c r="Q118" s="94">
        <v>2.464</v>
      </c>
      <c r="R118" s="94">
        <v>0.82899999999999996</v>
      </c>
      <c r="S118" s="94">
        <v>1.1240000000000001</v>
      </c>
      <c r="T118" s="94">
        <v>-1.278</v>
      </c>
      <c r="U118" s="94">
        <v>3.8980000000000001</v>
      </c>
      <c r="V118" s="95">
        <v>3.2810000000000001</v>
      </c>
      <c r="W118" s="95">
        <f t="shared" si="1"/>
        <v>1.9207616007257289</v>
      </c>
    </row>
    <row r="119" spans="1:23" x14ac:dyDescent="0.35">
      <c r="A119" s="85" t="s">
        <v>593</v>
      </c>
      <c r="B119" s="85" t="s">
        <v>693</v>
      </c>
      <c r="C119" s="93">
        <v>1.2841572452507943</v>
      </c>
      <c r="D119" s="94">
        <v>3.5695383112497314</v>
      </c>
      <c r="E119" s="95">
        <v>3.4884405409466579</v>
      </c>
      <c r="G119" s="107" t="s">
        <v>584</v>
      </c>
      <c r="H119" s="105">
        <v>83.929015692724803</v>
      </c>
      <c r="I119" s="97">
        <v>38</v>
      </c>
      <c r="J119" s="98">
        <v>3</v>
      </c>
      <c r="K119" s="85"/>
      <c r="L119" s="93">
        <v>9.3317368265983944</v>
      </c>
      <c r="M119" s="94">
        <v>4.373453291056836</v>
      </c>
      <c r="N119" s="94">
        <v>2.7522002596044053</v>
      </c>
      <c r="O119" s="94">
        <v>5.0170000000000003</v>
      </c>
      <c r="P119" s="94">
        <v>5.0460000000000003</v>
      </c>
      <c r="Q119" s="94">
        <v>0.30399999999999999</v>
      </c>
      <c r="R119" s="94">
        <v>1.2869999999999999</v>
      </c>
      <c r="S119" s="94">
        <v>-1.1299999999999999</v>
      </c>
      <c r="T119" s="94">
        <v>-3.2</v>
      </c>
      <c r="U119" s="94">
        <v>2.9020000000000001</v>
      </c>
      <c r="V119" s="95">
        <v>4.3109999999999999</v>
      </c>
      <c r="W119" s="95">
        <f t="shared" si="1"/>
        <v>3.5289894260981947</v>
      </c>
    </row>
    <row r="120" spans="1:23" x14ac:dyDescent="0.35">
      <c r="A120" s="85" t="s">
        <v>578</v>
      </c>
      <c r="B120" s="85" t="s">
        <v>694</v>
      </c>
      <c r="C120" s="93">
        <v>-2.8988961286927073</v>
      </c>
      <c r="D120" s="94">
        <v>0.9425802646799708</v>
      </c>
      <c r="E120" s="95">
        <v>2.8446311877570185</v>
      </c>
      <c r="G120" s="107" t="s">
        <v>401</v>
      </c>
      <c r="H120" s="105">
        <v>69.599146780385112</v>
      </c>
      <c r="I120" s="97">
        <v>90</v>
      </c>
      <c r="J120" s="98">
        <v>17</v>
      </c>
      <c r="K120" s="85"/>
      <c r="L120" s="93">
        <v>2.8731257161786412</v>
      </c>
      <c r="M120" s="94">
        <v>4.4745926000517917</v>
      </c>
      <c r="N120" s="94">
        <v>5.7909341243793389</v>
      </c>
      <c r="O120" s="94">
        <v>4.0579999999999998</v>
      </c>
      <c r="P120" s="94">
        <v>4.5629999999999997</v>
      </c>
      <c r="Q120" s="94">
        <v>4.609</v>
      </c>
      <c r="R120" s="94">
        <v>6.0960000000000001</v>
      </c>
      <c r="S120" s="94">
        <v>3.12</v>
      </c>
      <c r="T120" s="94">
        <v>-0.94299999999999995</v>
      </c>
      <c r="U120" s="94">
        <v>5.742</v>
      </c>
      <c r="V120" s="95">
        <v>5.9669999999999996</v>
      </c>
      <c r="W120" s="95">
        <f t="shared" si="1"/>
        <v>1.8936057262184947</v>
      </c>
    </row>
    <row r="121" spans="1:23" x14ac:dyDescent="0.35">
      <c r="A121" s="85" t="s">
        <v>586</v>
      </c>
      <c r="B121" s="85" t="s">
        <v>695</v>
      </c>
      <c r="C121" s="93">
        <v>1.349334889011633</v>
      </c>
      <c r="D121" s="94">
        <v>2.1324418529624634</v>
      </c>
      <c r="E121" s="95">
        <v>3.875737232948695</v>
      </c>
      <c r="G121" s="107" t="s">
        <v>424</v>
      </c>
      <c r="H121" s="105">
        <v>61.957917699729606</v>
      </c>
      <c r="I121" s="97">
        <v>122</v>
      </c>
      <c r="J121" s="98">
        <v>19</v>
      </c>
      <c r="K121" s="85"/>
      <c r="L121" s="93">
        <v>9.7789039456094482</v>
      </c>
      <c r="M121" s="94">
        <v>6.9032725658169563</v>
      </c>
      <c r="N121" s="94">
        <v>5.0667432180278205</v>
      </c>
      <c r="O121" s="94">
        <v>5.7329999999999997</v>
      </c>
      <c r="P121" s="94">
        <v>4.9530000000000003</v>
      </c>
      <c r="Q121" s="94">
        <v>5.5910000000000002</v>
      </c>
      <c r="R121" s="94">
        <v>3.6850000000000001</v>
      </c>
      <c r="S121" s="94">
        <v>2.98</v>
      </c>
      <c r="T121" s="94">
        <v>-17.945</v>
      </c>
      <c r="U121" s="94">
        <v>15.336</v>
      </c>
      <c r="V121" s="95">
        <v>10</v>
      </c>
      <c r="W121" s="95">
        <f t="shared" si="1"/>
        <v>3.0040895429555792</v>
      </c>
    </row>
    <row r="122" spans="1:23" x14ac:dyDescent="0.35">
      <c r="A122" s="85" t="s">
        <v>578</v>
      </c>
      <c r="B122" s="85" t="s">
        <v>696</v>
      </c>
      <c r="C122" s="93">
        <v>0.50696592980361554</v>
      </c>
      <c r="D122" s="94">
        <v>1.127965129390196</v>
      </c>
      <c r="E122" s="95">
        <v>3.7955054005958777</v>
      </c>
      <c r="G122" s="107" t="s">
        <v>580</v>
      </c>
      <c r="H122" s="105">
        <v>55.401075093758223</v>
      </c>
      <c r="I122" s="97">
        <v>131</v>
      </c>
      <c r="J122" s="98">
        <v>27</v>
      </c>
      <c r="K122" s="85"/>
      <c r="L122" s="93">
        <v>4.6571195968623904</v>
      </c>
      <c r="M122" s="94">
        <v>3.8249463280067437</v>
      </c>
      <c r="N122" s="94">
        <v>13.543770621654581</v>
      </c>
      <c r="O122" s="94">
        <v>6.5759999999999996</v>
      </c>
      <c r="P122" s="94">
        <v>5.492</v>
      </c>
      <c r="Q122" s="94">
        <v>3.5350000000000001</v>
      </c>
      <c r="R122" s="94">
        <v>-0.27900000000000003</v>
      </c>
      <c r="S122" s="94">
        <v>4.4800000000000004</v>
      </c>
      <c r="T122" s="94">
        <v>-3.1669999999999998</v>
      </c>
      <c r="U122" s="94">
        <v>7.0000000000000007E-2</v>
      </c>
      <c r="V122" s="95">
        <v>4.5359999999999996</v>
      </c>
      <c r="W122" s="95">
        <f t="shared" si="1"/>
        <v>2.4617352649930369</v>
      </c>
    </row>
    <row r="123" spans="1:23" x14ac:dyDescent="0.35">
      <c r="A123" s="85" t="s">
        <v>586</v>
      </c>
      <c r="B123" s="85" t="s">
        <v>697</v>
      </c>
      <c r="C123" s="93">
        <v>1.1388134852348575</v>
      </c>
      <c r="D123" s="94">
        <v>1.2311721995777125</v>
      </c>
      <c r="E123" s="95">
        <v>3.152890592174673</v>
      </c>
      <c r="G123" s="107" t="s">
        <v>424</v>
      </c>
      <c r="H123" s="105">
        <v>63.814130726333779</v>
      </c>
      <c r="I123" s="97">
        <v>118</v>
      </c>
      <c r="J123" s="98">
        <v>17</v>
      </c>
      <c r="K123" s="85"/>
      <c r="L123" s="93">
        <v>-0.53851294250305837</v>
      </c>
      <c r="M123" s="94">
        <v>8.4174952847030529</v>
      </c>
      <c r="N123" s="94">
        <v>4.8608903705532152</v>
      </c>
      <c r="O123" s="94">
        <v>2.9569999999999999</v>
      </c>
      <c r="P123" s="94">
        <v>4.2679999999999998</v>
      </c>
      <c r="Q123" s="94">
        <v>4.8099999999999996</v>
      </c>
      <c r="R123" s="94">
        <v>3.2040000000000002</v>
      </c>
      <c r="S123" s="94">
        <v>-0.40200000000000002</v>
      </c>
      <c r="T123" s="94">
        <v>-0.82</v>
      </c>
      <c r="U123" s="94">
        <v>4.0170000000000003</v>
      </c>
      <c r="V123" s="95">
        <v>0.2</v>
      </c>
      <c r="W123" s="95">
        <f t="shared" si="1"/>
        <v>2.1920313958761928</v>
      </c>
    </row>
    <row r="124" spans="1:23" x14ac:dyDescent="0.35">
      <c r="A124" s="85" t="s">
        <v>586</v>
      </c>
      <c r="B124" s="85" t="s">
        <v>698</v>
      </c>
      <c r="C124" s="93">
        <v>1.205712245399182</v>
      </c>
      <c r="D124" s="94">
        <v>1.959755918859285</v>
      </c>
      <c r="E124" s="95">
        <v>2.7687545080362863</v>
      </c>
      <c r="G124" s="107" t="s">
        <v>424</v>
      </c>
      <c r="H124" s="105">
        <v>62.494421901152251</v>
      </c>
      <c r="I124" s="97">
        <v>121</v>
      </c>
      <c r="J124" s="98">
        <v>18</v>
      </c>
      <c r="K124" s="85"/>
      <c r="L124" s="93">
        <v>6.1397247056043467</v>
      </c>
      <c r="M124" s="94">
        <v>5.8525182108492944</v>
      </c>
      <c r="N124" s="94">
        <v>2.3821573718054045</v>
      </c>
      <c r="O124" s="94">
        <v>3.2519999999999998</v>
      </c>
      <c r="P124" s="94">
        <v>3.9529999999999998</v>
      </c>
      <c r="Q124" s="94">
        <v>2.5190000000000001</v>
      </c>
      <c r="R124" s="94">
        <v>3.9769999999999999</v>
      </c>
      <c r="S124" s="94">
        <v>2.2330000000000001</v>
      </c>
      <c r="T124" s="94">
        <v>-11.013999999999999</v>
      </c>
      <c r="U124" s="94">
        <v>13.551</v>
      </c>
      <c r="V124" s="95">
        <v>2.7010000000000001</v>
      </c>
      <c r="W124" s="95">
        <f t="shared" si="1"/>
        <v>2.3642552134477857</v>
      </c>
    </row>
    <row r="125" spans="1:23" x14ac:dyDescent="0.35">
      <c r="A125" s="85" t="s">
        <v>578</v>
      </c>
      <c r="B125" s="85" t="s">
        <v>699</v>
      </c>
      <c r="C125" s="93">
        <v>0.96069279950485864</v>
      </c>
      <c r="D125" s="94">
        <v>3.0362820733681239</v>
      </c>
      <c r="E125" s="95">
        <v>4.8545875775876546</v>
      </c>
      <c r="G125" s="107" t="s">
        <v>401</v>
      </c>
      <c r="H125" s="105">
        <v>74.806556985260698</v>
      </c>
      <c r="I125" s="97">
        <v>69</v>
      </c>
      <c r="J125" s="98">
        <v>10</v>
      </c>
      <c r="K125" s="85"/>
      <c r="L125" s="93">
        <v>6.8969517105747951</v>
      </c>
      <c r="M125" s="94">
        <v>6.7505313017782687</v>
      </c>
      <c r="N125" s="94">
        <v>6.3479874825028357</v>
      </c>
      <c r="O125" s="94">
        <v>6.3479999999999999</v>
      </c>
      <c r="P125" s="94">
        <v>7.149</v>
      </c>
      <c r="Q125" s="94">
        <v>6.931</v>
      </c>
      <c r="R125" s="94">
        <v>6.3410000000000002</v>
      </c>
      <c r="S125" s="94">
        <v>6.1189999999999998</v>
      </c>
      <c r="T125" s="94">
        <v>-9.5180000000000007</v>
      </c>
      <c r="U125" s="94">
        <v>5.7030000000000003</v>
      </c>
      <c r="V125" s="95">
        <v>7.5990000000000002</v>
      </c>
      <c r="W125" s="95">
        <f t="shared" si="1"/>
        <v>3.9454348254778893</v>
      </c>
    </row>
    <row r="126" spans="1:23" x14ac:dyDescent="0.35">
      <c r="A126" s="85" t="s">
        <v>227</v>
      </c>
      <c r="B126" s="85" t="s">
        <v>700</v>
      </c>
      <c r="C126" s="93">
        <v>3.162865203018228</v>
      </c>
      <c r="D126" s="94">
        <v>3.8363783613865499</v>
      </c>
      <c r="E126" s="95">
        <v>3.5697088266716248</v>
      </c>
      <c r="G126" s="107" t="s">
        <v>584</v>
      </c>
      <c r="H126" s="105">
        <v>85.420553644487129</v>
      </c>
      <c r="I126" s="97">
        <v>36</v>
      </c>
      <c r="J126" s="98">
        <v>23</v>
      </c>
      <c r="K126" s="85"/>
      <c r="L126" s="93">
        <v>1.6079066445646626</v>
      </c>
      <c r="M126" s="94">
        <v>1.3918923212492256</v>
      </c>
      <c r="N126" s="94">
        <v>3.3184475370007722</v>
      </c>
      <c r="O126" s="94">
        <v>4.383</v>
      </c>
      <c r="P126" s="94">
        <v>2.9540000000000002</v>
      </c>
      <c r="Q126" s="94">
        <v>5.14</v>
      </c>
      <c r="R126" s="94">
        <v>5.9450000000000003</v>
      </c>
      <c r="S126" s="94">
        <v>4.45</v>
      </c>
      <c r="T126" s="94">
        <v>-2.02</v>
      </c>
      <c r="U126" s="94">
        <v>6.8479999999999999</v>
      </c>
      <c r="V126" s="95">
        <v>4.8739999999999997</v>
      </c>
      <c r="W126" s="95">
        <f t="shared" si="1"/>
        <v>3.7030435940290873</v>
      </c>
    </row>
    <row r="127" spans="1:23" x14ac:dyDescent="0.35">
      <c r="A127" s="85" t="s">
        <v>227</v>
      </c>
      <c r="B127" s="85" t="s">
        <v>701</v>
      </c>
      <c r="C127" s="93">
        <v>1.0661443105445922</v>
      </c>
      <c r="D127" s="94">
        <v>1.7172276328006886</v>
      </c>
      <c r="E127" s="95">
        <v>1.5719478894561822</v>
      </c>
      <c r="G127" s="107" t="s">
        <v>417</v>
      </c>
      <c r="H127" s="105">
        <v>91.026987497789847</v>
      </c>
      <c r="I127" s="97">
        <v>25</v>
      </c>
      <c r="J127" s="98">
        <v>16</v>
      </c>
      <c r="K127" s="85"/>
      <c r="L127" s="93">
        <v>-4.0572943594235547</v>
      </c>
      <c r="M127" s="94">
        <v>-0.92264378725787455</v>
      </c>
      <c r="N127" s="94">
        <v>0.79219053837650444</v>
      </c>
      <c r="O127" s="94">
        <v>1.792</v>
      </c>
      <c r="P127" s="94">
        <v>2.0190000000000001</v>
      </c>
      <c r="Q127" s="94">
        <v>3.5059999999999998</v>
      </c>
      <c r="R127" s="94">
        <v>2.8490000000000002</v>
      </c>
      <c r="S127" s="94">
        <v>2.6829999999999998</v>
      </c>
      <c r="T127" s="94">
        <v>-8.3010000000000002</v>
      </c>
      <c r="U127" s="94">
        <v>5.5030000000000001</v>
      </c>
      <c r="V127" s="95">
        <v>6.726</v>
      </c>
      <c r="W127" s="95">
        <f t="shared" si="1"/>
        <v>1.6445877611284354</v>
      </c>
    </row>
    <row r="128" spans="1:23" x14ac:dyDescent="0.35">
      <c r="A128" s="85" t="s">
        <v>593</v>
      </c>
      <c r="B128" s="85" t="s">
        <v>702</v>
      </c>
      <c r="C128" s="93">
        <v>0.67674745765720079</v>
      </c>
      <c r="D128" s="94">
        <v>0.80775193577011795</v>
      </c>
      <c r="E128" s="95">
        <v>2.0997114519337501</v>
      </c>
      <c r="G128" s="107" t="s">
        <v>584</v>
      </c>
      <c r="H128" s="105">
        <v>78.783055534449289</v>
      </c>
      <c r="I128" s="97">
        <v>57</v>
      </c>
      <c r="J128" s="98">
        <v>6</v>
      </c>
      <c r="K128" s="85"/>
      <c r="L128" s="93">
        <v>4.730011843607838</v>
      </c>
      <c r="M128" s="94">
        <v>5.5560406430660754</v>
      </c>
      <c r="N128" s="94">
        <v>5.3343232919645871</v>
      </c>
      <c r="O128" s="94">
        <v>4.7530000000000001</v>
      </c>
      <c r="P128" s="94">
        <v>3.0640000000000001</v>
      </c>
      <c r="Q128" s="94">
        <v>-1.498</v>
      </c>
      <c r="R128" s="94">
        <v>1.2350000000000001</v>
      </c>
      <c r="S128" s="94">
        <v>0.68799999999999994</v>
      </c>
      <c r="T128" s="94">
        <v>-3.5579999999999998</v>
      </c>
      <c r="U128" s="94">
        <v>1.589</v>
      </c>
      <c r="V128" s="95">
        <v>4.2409999999999997</v>
      </c>
      <c r="W128" s="95">
        <f t="shared" si="1"/>
        <v>1.453731693851934</v>
      </c>
    </row>
    <row r="129" spans="1:23" x14ac:dyDescent="0.35">
      <c r="A129" s="85" t="s">
        <v>227</v>
      </c>
      <c r="B129" s="85" t="s">
        <v>703</v>
      </c>
      <c r="C129" s="93">
        <v>1.9886029006319417</v>
      </c>
      <c r="D129" s="94">
        <v>2.9733514596169686</v>
      </c>
      <c r="E129" s="95">
        <v>3.7501787507027151</v>
      </c>
      <c r="G129" s="107" t="s">
        <v>584</v>
      </c>
      <c r="H129" s="105">
        <v>84.261081453729389</v>
      </c>
      <c r="I129" s="97">
        <v>37</v>
      </c>
      <c r="J129" s="98">
        <v>24</v>
      </c>
      <c r="K129" s="85"/>
      <c r="L129" s="93">
        <v>2.0771650065377472</v>
      </c>
      <c r="M129" s="94">
        <v>3.5145518040847694</v>
      </c>
      <c r="N129" s="94">
        <v>3.4108091001793088</v>
      </c>
      <c r="O129" s="94">
        <v>3.1629999999999998</v>
      </c>
      <c r="P129" s="94">
        <v>2.8530000000000002</v>
      </c>
      <c r="Q129" s="94">
        <v>8.2129999999999992</v>
      </c>
      <c r="R129" s="94">
        <v>6.03</v>
      </c>
      <c r="S129" s="94">
        <v>3.8439999999999999</v>
      </c>
      <c r="T129" s="94">
        <v>-3.6920000000000002</v>
      </c>
      <c r="U129" s="94">
        <v>5.8739999999999997</v>
      </c>
      <c r="V129" s="95">
        <v>4.7910000000000004</v>
      </c>
      <c r="W129" s="95">
        <f t="shared" si="1"/>
        <v>3.3617651051598418</v>
      </c>
    </row>
    <row r="130" spans="1:23" x14ac:dyDescent="0.35">
      <c r="A130" s="85" t="s">
        <v>227</v>
      </c>
      <c r="B130" s="85" t="s">
        <v>704</v>
      </c>
      <c r="C130" s="93">
        <v>0.31321455831558875</v>
      </c>
      <c r="D130" s="94">
        <v>1.1211784185926943</v>
      </c>
      <c r="E130" s="95">
        <v>0.80914098391451361</v>
      </c>
      <c r="G130" s="107" t="s">
        <v>401</v>
      </c>
      <c r="H130" s="105">
        <v>76.528749373407479</v>
      </c>
      <c r="I130" s="97">
        <v>64</v>
      </c>
      <c r="J130" s="98">
        <v>36</v>
      </c>
      <c r="K130" s="85"/>
      <c r="L130" s="93">
        <v>4.0240861571797915</v>
      </c>
      <c r="M130" s="94">
        <v>1.7554221491628001</v>
      </c>
      <c r="N130" s="94">
        <v>0.736267221403759</v>
      </c>
      <c r="O130" s="94">
        <v>-1.9730000000000001</v>
      </c>
      <c r="P130" s="94">
        <v>0.19400000000000001</v>
      </c>
      <c r="Q130" s="94">
        <v>1.8260000000000001</v>
      </c>
      <c r="R130" s="94">
        <v>2.8069999999999999</v>
      </c>
      <c r="S130" s="94">
        <v>2.198</v>
      </c>
      <c r="T130" s="94">
        <v>-2.6539999999999999</v>
      </c>
      <c r="U130" s="94">
        <v>5.6239999999999997</v>
      </c>
      <c r="V130" s="95">
        <v>-2.0510000000000002</v>
      </c>
      <c r="W130" s="95">
        <f t="shared" si="1"/>
        <v>0.96515970125360395</v>
      </c>
    </row>
    <row r="131" spans="1:23" x14ac:dyDescent="0.35">
      <c r="A131" s="85" t="s">
        <v>582</v>
      </c>
      <c r="B131" s="85" t="s">
        <v>705</v>
      </c>
      <c r="C131" s="93">
        <v>4.5886571318858538</v>
      </c>
      <c r="D131" s="94">
        <v>6.3388189685080754</v>
      </c>
      <c r="E131" s="95">
        <v>6.1347836953729917</v>
      </c>
      <c r="G131" s="107" t="s">
        <v>401</v>
      </c>
      <c r="H131" s="105">
        <v>76.577775011818801</v>
      </c>
      <c r="I131" s="97">
        <v>63</v>
      </c>
      <c r="J131" s="98">
        <v>3</v>
      </c>
      <c r="K131" s="85"/>
      <c r="L131" s="93">
        <v>8.6415388651712988</v>
      </c>
      <c r="M131" s="94">
        <v>4.7198554996618309</v>
      </c>
      <c r="N131" s="94">
        <v>6.1642772027561934</v>
      </c>
      <c r="O131" s="94">
        <v>8.8539999999999992</v>
      </c>
      <c r="P131" s="94">
        <v>5.9720000000000004</v>
      </c>
      <c r="Q131" s="94">
        <v>3.9729999999999999</v>
      </c>
      <c r="R131" s="94">
        <v>8.5779999999999994</v>
      </c>
      <c r="S131" s="94">
        <v>9.4689999999999994</v>
      </c>
      <c r="T131" s="94">
        <v>-3.3570000000000002</v>
      </c>
      <c r="U131" s="94">
        <v>10.874000000000001</v>
      </c>
      <c r="V131" s="95">
        <v>6.7629999999999999</v>
      </c>
      <c r="W131" s="95">
        <f t="shared" si="1"/>
        <v>6.2368013319405335</v>
      </c>
    </row>
    <row r="132" spans="1:23" x14ac:dyDescent="0.35">
      <c r="A132" s="85" t="s">
        <v>593</v>
      </c>
      <c r="B132" s="85" t="s">
        <v>706</v>
      </c>
      <c r="C132" s="93">
        <v>2.4790435166051283</v>
      </c>
      <c r="D132" s="94">
        <v>2.0533451948943071</v>
      </c>
      <c r="E132" s="95">
        <v>2.158001329255721</v>
      </c>
      <c r="G132" s="107" t="s">
        <v>584</v>
      </c>
      <c r="H132" s="105">
        <v>76.963439522680929</v>
      </c>
      <c r="I132" s="97">
        <v>61</v>
      </c>
      <c r="J132" s="98">
        <v>8</v>
      </c>
      <c r="K132" s="85"/>
      <c r="L132" s="93">
        <v>5.4114449021643543</v>
      </c>
      <c r="M132" s="94">
        <v>2.6992547225567329</v>
      </c>
      <c r="N132" s="94">
        <v>3.6524816975790095</v>
      </c>
      <c r="O132" s="94">
        <v>4.6900000000000004</v>
      </c>
      <c r="P132" s="94">
        <v>2.363</v>
      </c>
      <c r="Q132" s="94">
        <v>-7.0000000000000007E-2</v>
      </c>
      <c r="R132" s="94">
        <v>2.762</v>
      </c>
      <c r="S132" s="94">
        <v>0.83199999999999996</v>
      </c>
      <c r="T132" s="94">
        <v>-4.3410000000000002</v>
      </c>
      <c r="U132" s="94">
        <v>3.9220000000000002</v>
      </c>
      <c r="V132" s="95">
        <v>8.7439999999999998</v>
      </c>
      <c r="W132" s="95">
        <f t="shared" si="1"/>
        <v>2.105673262075014</v>
      </c>
    </row>
    <row r="133" spans="1:23" x14ac:dyDescent="0.35">
      <c r="A133" s="85" t="s">
        <v>582</v>
      </c>
      <c r="B133" s="85" t="s">
        <v>707</v>
      </c>
      <c r="C133" s="93">
        <v>4.0137946463164598</v>
      </c>
      <c r="D133" s="94">
        <v>4.5694149693751296</v>
      </c>
      <c r="E133" s="95">
        <v>5.2331571951220512</v>
      </c>
      <c r="G133" s="107" t="s">
        <v>401</v>
      </c>
      <c r="H133" s="105">
        <v>69.313365081609845</v>
      </c>
      <c r="I133" s="97">
        <v>93</v>
      </c>
      <c r="J133" s="98">
        <v>15</v>
      </c>
      <c r="K133" s="85"/>
      <c r="L133" s="93">
        <v>5.1173942367478444</v>
      </c>
      <c r="M133" s="94">
        <v>2.8221056497235883</v>
      </c>
      <c r="N133" s="94">
        <v>6.6135001033739647</v>
      </c>
      <c r="O133" s="94">
        <v>6.367</v>
      </c>
      <c r="P133" s="94">
        <v>6.3559999999999999</v>
      </c>
      <c r="Q133" s="94">
        <v>7.407</v>
      </c>
      <c r="R133" s="94">
        <v>6.2089999999999996</v>
      </c>
      <c r="S133" s="94">
        <v>4.6139999999999999</v>
      </c>
      <c r="T133" s="94">
        <v>1.3260000000000001</v>
      </c>
      <c r="U133" s="94">
        <v>6.0670000000000002</v>
      </c>
      <c r="V133" s="95">
        <v>4.7089999999999996</v>
      </c>
      <c r="W133" s="95">
        <f t="shared" si="1"/>
        <v>4.9012860822485909</v>
      </c>
    </row>
    <row r="134" spans="1:23" x14ac:dyDescent="0.35">
      <c r="A134" s="85" t="s">
        <v>227</v>
      </c>
      <c r="B134" s="85" t="s">
        <v>708</v>
      </c>
      <c r="C134" s="93">
        <v>2.9071913241700997</v>
      </c>
      <c r="D134" s="94">
        <v>3.5107747978878168</v>
      </c>
      <c r="E134" s="95">
        <v>2.5987412011468258</v>
      </c>
      <c r="G134" s="107" t="s">
        <v>401</v>
      </c>
      <c r="H134" s="105">
        <v>74.50245157918026</v>
      </c>
      <c r="I134" s="97">
        <v>71</v>
      </c>
      <c r="J134" s="98">
        <v>38</v>
      </c>
      <c r="K134" s="85"/>
      <c r="L134" s="93">
        <v>-0.68154236933475798</v>
      </c>
      <c r="M134" s="94">
        <v>2.892636733558092</v>
      </c>
      <c r="N134" s="94">
        <v>-1.5895103199025831</v>
      </c>
      <c r="O134" s="94">
        <v>1.776</v>
      </c>
      <c r="P134" s="94">
        <v>3.339</v>
      </c>
      <c r="Q134" s="94">
        <v>2.101</v>
      </c>
      <c r="R134" s="94">
        <v>4.4950000000000001</v>
      </c>
      <c r="S134" s="94">
        <v>4.3319999999999999</v>
      </c>
      <c r="T134" s="94">
        <v>-0.90300000000000002</v>
      </c>
      <c r="U134" s="94">
        <v>7.55</v>
      </c>
      <c r="V134" s="95">
        <v>2.2509999999999999</v>
      </c>
      <c r="W134" s="95">
        <f t="shared" si="1"/>
        <v>3.0547579995173213</v>
      </c>
    </row>
    <row r="135" spans="1:23" x14ac:dyDescent="0.35">
      <c r="A135" s="85" t="s">
        <v>582</v>
      </c>
      <c r="B135" s="85" t="s">
        <v>709</v>
      </c>
      <c r="C135" s="93">
        <v>1.6001817079933423</v>
      </c>
      <c r="D135" s="94">
        <v>2.5822705421283176</v>
      </c>
      <c r="E135" s="94">
        <v>2.323464181185142</v>
      </c>
      <c r="G135" s="107" t="s">
        <v>580</v>
      </c>
      <c r="H135" s="105">
        <v>58.993492167204309</v>
      </c>
      <c r="I135" s="97">
        <v>126</v>
      </c>
      <c r="J135" s="97">
        <v>30</v>
      </c>
      <c r="K135" s="112"/>
      <c r="L135" s="93">
        <v>15.18176908302255</v>
      </c>
      <c r="M135" s="94">
        <v>20.715768285872748</v>
      </c>
      <c r="N135" s="94">
        <v>4.5567723661529431</v>
      </c>
      <c r="O135" s="94">
        <v>-20.492999999999999</v>
      </c>
      <c r="P135" s="94">
        <v>6.3540000000000001</v>
      </c>
      <c r="Q135" s="94">
        <v>3.7650000000000001</v>
      </c>
      <c r="R135" s="94">
        <v>3.4649999999999999</v>
      </c>
      <c r="S135" s="94">
        <v>5.2539999999999996</v>
      </c>
      <c r="T135" s="94">
        <v>-1.9690000000000001</v>
      </c>
      <c r="U135" s="94">
        <v>4.1050000000000004</v>
      </c>
      <c r="V135" s="94">
        <v>2.766</v>
      </c>
      <c r="W135" s="95">
        <f t="shared" si="1"/>
        <v>2.4528673616567298</v>
      </c>
    </row>
    <row r="136" spans="1:23" x14ac:dyDescent="0.35">
      <c r="A136" s="85" t="s">
        <v>578</v>
      </c>
      <c r="B136" s="85" t="s">
        <v>710</v>
      </c>
      <c r="C136" s="93">
        <v>2.254611894692915</v>
      </c>
      <c r="D136" s="94">
        <v>2.3804077568891469</v>
      </c>
      <c r="E136" s="94">
        <v>3.1207966515608421</v>
      </c>
      <c r="G136" s="107" t="s">
        <v>417</v>
      </c>
      <c r="H136" s="105">
        <v>97.805585083414968</v>
      </c>
      <c r="I136" s="97">
        <v>4</v>
      </c>
      <c r="J136" s="97">
        <v>2</v>
      </c>
      <c r="K136" s="112"/>
      <c r="L136" s="93">
        <v>4.461608951013317</v>
      </c>
      <c r="M136" s="94">
        <v>4.8372986457609866</v>
      </c>
      <c r="N136" s="94">
        <v>3.9380027286605586</v>
      </c>
      <c r="O136" s="94">
        <v>2.9769999999999999</v>
      </c>
      <c r="P136" s="94">
        <v>3.6019999999999999</v>
      </c>
      <c r="Q136" s="94">
        <v>4.5449999999999999</v>
      </c>
      <c r="R136" s="94">
        <v>3.5750000000000002</v>
      </c>
      <c r="S136" s="94">
        <v>1.331</v>
      </c>
      <c r="T136" s="94">
        <v>-3.9009999999999998</v>
      </c>
      <c r="U136" s="94">
        <v>8.8819999999999997</v>
      </c>
      <c r="V136" s="94">
        <v>3.6469999999999998</v>
      </c>
      <c r="W136" s="95">
        <f t="shared" si="1"/>
        <v>2.7506022042249945</v>
      </c>
    </row>
    <row r="137" spans="1:23" x14ac:dyDescent="0.35">
      <c r="A137" s="85" t="s">
        <v>227</v>
      </c>
      <c r="B137" s="85" t="s">
        <v>711</v>
      </c>
      <c r="C137" s="93">
        <v>0.39781205843958389</v>
      </c>
      <c r="D137" s="94">
        <v>0.97590941056187042</v>
      </c>
      <c r="E137" s="94">
        <v>1.8214852479931931</v>
      </c>
      <c r="G137" s="107" t="s">
        <v>584</v>
      </c>
      <c r="H137" s="105">
        <v>80.276897229698847</v>
      </c>
      <c r="I137" s="97">
        <v>47</v>
      </c>
      <c r="J137" s="97">
        <v>32</v>
      </c>
      <c r="K137" s="112"/>
      <c r="L137" s="93">
        <v>1.8958108123027844</v>
      </c>
      <c r="M137" s="94">
        <v>0.67084458223160615</v>
      </c>
      <c r="N137" s="94">
        <v>2.7524343314004627</v>
      </c>
      <c r="O137" s="94">
        <v>5.1669999999999998</v>
      </c>
      <c r="P137" s="94">
        <v>1.944</v>
      </c>
      <c r="Q137" s="94">
        <v>2.9380000000000002</v>
      </c>
      <c r="R137" s="94">
        <v>4.0309999999999997</v>
      </c>
      <c r="S137" s="94">
        <v>2.5190000000000001</v>
      </c>
      <c r="T137" s="94">
        <v>-3.375</v>
      </c>
      <c r="U137" s="94">
        <v>3.0139999999999998</v>
      </c>
      <c r="V137" s="94">
        <v>1.6679999999999999</v>
      </c>
      <c r="W137" s="95">
        <f t="shared" si="1"/>
        <v>1.3986973292775318</v>
      </c>
    </row>
    <row r="138" spans="1:23" x14ac:dyDescent="0.35">
      <c r="A138" s="85" t="s">
        <v>227</v>
      </c>
      <c r="B138" s="85" t="s">
        <v>712</v>
      </c>
      <c r="C138" s="93">
        <v>2.9453399614758569</v>
      </c>
      <c r="D138" s="94">
        <v>3.265722456681952</v>
      </c>
      <c r="E138" s="94">
        <v>2.8132202997918521</v>
      </c>
      <c r="G138" s="107" t="s">
        <v>417</v>
      </c>
      <c r="H138" s="105">
        <v>88.920325519387234</v>
      </c>
      <c r="I138" s="97">
        <v>30</v>
      </c>
      <c r="J138" s="97">
        <v>19</v>
      </c>
      <c r="K138" s="112"/>
      <c r="L138" s="93">
        <v>-2.6394387292630763</v>
      </c>
      <c r="M138" s="94">
        <v>-1.029283831306939</v>
      </c>
      <c r="N138" s="94">
        <v>2.7681580195902979</v>
      </c>
      <c r="O138" s="94">
        <v>2.21</v>
      </c>
      <c r="P138" s="94">
        <v>3.1920000000000002</v>
      </c>
      <c r="Q138" s="94">
        <v>4.8159999999999998</v>
      </c>
      <c r="R138" s="94">
        <v>4.4550000000000001</v>
      </c>
      <c r="S138" s="94">
        <v>3.4510000000000001</v>
      </c>
      <c r="T138" s="94">
        <v>-4.3209999999999997</v>
      </c>
      <c r="U138" s="94">
        <v>8.2110000000000003</v>
      </c>
      <c r="V138" s="94">
        <v>5.3739999999999997</v>
      </c>
      <c r="W138" s="95">
        <f t="shared" si="1"/>
        <v>3.0394713782369021</v>
      </c>
    </row>
    <row r="139" spans="1:23" x14ac:dyDescent="0.35">
      <c r="A139" s="85" t="s">
        <v>582</v>
      </c>
      <c r="B139" s="85" t="s">
        <v>713</v>
      </c>
      <c r="C139" s="93">
        <v>8.8409433265779214E-2</v>
      </c>
      <c r="D139" s="94">
        <v>2.1857023030043443</v>
      </c>
      <c r="E139" s="94">
        <v>1.8249844059199605</v>
      </c>
      <c r="G139" s="107" t="s">
        <v>401</v>
      </c>
      <c r="H139" s="105">
        <v>75.182844770260857</v>
      </c>
      <c r="I139" s="97">
        <v>68</v>
      </c>
      <c r="J139" s="97">
        <v>5</v>
      </c>
      <c r="K139" s="112"/>
      <c r="L139" s="93">
        <v>2.2133548084844037</v>
      </c>
      <c r="M139" s="94">
        <v>2.4852005003105813</v>
      </c>
      <c r="N139" s="94">
        <v>1.8469916036571876</v>
      </c>
      <c r="O139" s="94">
        <v>1.3220000000000001</v>
      </c>
      <c r="P139" s="94">
        <v>0.66500000000000004</v>
      </c>
      <c r="Q139" s="94">
        <v>1.1579999999999999</v>
      </c>
      <c r="R139" s="94">
        <v>1.522</v>
      </c>
      <c r="S139" s="94">
        <v>0.30299999999999999</v>
      </c>
      <c r="T139" s="94">
        <v>-6.3419999999999996</v>
      </c>
      <c r="U139" s="94">
        <v>4.9130000000000003</v>
      </c>
      <c r="V139" s="94">
        <v>2.0419999999999998</v>
      </c>
      <c r="W139" s="95">
        <f t="shared" ref="W139:W165" si="2">AVERAGE(D139,E139)</f>
        <v>2.0053433544621524</v>
      </c>
    </row>
    <row r="140" spans="1:23" x14ac:dyDescent="0.35">
      <c r="A140" s="85" t="s">
        <v>227</v>
      </c>
      <c r="B140" s="85" t="s">
        <v>714</v>
      </c>
      <c r="C140" s="93">
        <v>-0.43793400391870518</v>
      </c>
      <c r="D140" s="94">
        <v>0.55931383652465527</v>
      </c>
      <c r="E140" s="94">
        <v>1.23940470018431</v>
      </c>
      <c r="G140" s="107" t="s">
        <v>417</v>
      </c>
      <c r="H140" s="105">
        <v>90.367632171249966</v>
      </c>
      <c r="I140" s="97">
        <v>27</v>
      </c>
      <c r="J140" s="97">
        <v>17</v>
      </c>
      <c r="K140" s="112"/>
      <c r="L140" s="93">
        <v>-2.9594413017355699</v>
      </c>
      <c r="M140" s="94">
        <v>-1.4353942591932869</v>
      </c>
      <c r="N140" s="94">
        <v>1.3839079426702983</v>
      </c>
      <c r="O140" s="94">
        <v>3.8370000000000002</v>
      </c>
      <c r="P140" s="94">
        <v>3.0379999999999998</v>
      </c>
      <c r="Q140" s="94">
        <v>2.9769999999999999</v>
      </c>
      <c r="R140" s="94">
        <v>2.2829999999999999</v>
      </c>
      <c r="S140" s="94">
        <v>1.9830000000000001</v>
      </c>
      <c r="T140" s="94">
        <v>-11.324999999999999</v>
      </c>
      <c r="U140" s="94">
        <v>5.5220000000000002</v>
      </c>
      <c r="V140" s="94">
        <v>5.4749999999999996</v>
      </c>
      <c r="W140" s="95">
        <f t="shared" si="2"/>
        <v>0.89935926835448265</v>
      </c>
    </row>
    <row r="141" spans="1:23" x14ac:dyDescent="0.35">
      <c r="A141" s="85" t="s">
        <v>578</v>
      </c>
      <c r="B141" s="85" t="s">
        <v>715</v>
      </c>
      <c r="C141" s="93">
        <v>-3.0583991155611168</v>
      </c>
      <c r="D141" s="94">
        <v>7.8407546755454582E-2</v>
      </c>
      <c r="E141" s="94">
        <v>2.1593525209882225</v>
      </c>
      <c r="G141" s="107" t="s">
        <v>401</v>
      </c>
      <c r="H141" s="105">
        <v>73.00518117550061</v>
      </c>
      <c r="I141" s="97">
        <v>76</v>
      </c>
      <c r="J141" s="97">
        <v>13</v>
      </c>
      <c r="K141" s="112"/>
      <c r="L141" s="93">
        <v>9.1445722464256534</v>
      </c>
      <c r="M141" s="94">
        <v>3.3957326498342781</v>
      </c>
      <c r="N141" s="94">
        <v>4.960700591697301</v>
      </c>
      <c r="O141" s="94">
        <v>4.2060000000000004</v>
      </c>
      <c r="P141" s="94">
        <v>5.0540000000000003</v>
      </c>
      <c r="Q141" s="94">
        <v>6.4610000000000003</v>
      </c>
      <c r="R141" s="94">
        <v>2.31</v>
      </c>
      <c r="S141" s="94">
        <v>-0.22</v>
      </c>
      <c r="T141" s="94">
        <v>-3.472</v>
      </c>
      <c r="U141" s="94">
        <v>3.327</v>
      </c>
      <c r="V141" s="94">
        <v>-8.6590000000000007</v>
      </c>
      <c r="W141" s="95">
        <f t="shared" si="2"/>
        <v>1.1188800338718385</v>
      </c>
    </row>
    <row r="142" spans="1:23" x14ac:dyDescent="0.35">
      <c r="A142" s="85" t="s">
        <v>582</v>
      </c>
      <c r="B142" s="85" t="s">
        <v>716</v>
      </c>
      <c r="C142" s="93">
        <v>-2.6688383810210325</v>
      </c>
      <c r="D142" s="94">
        <v>-1.5401833642449736</v>
      </c>
      <c r="E142" s="94">
        <v>1.2842213840550842</v>
      </c>
      <c r="G142" s="107" t="s">
        <v>580</v>
      </c>
      <c r="H142" s="105">
        <v>29.302112762792021</v>
      </c>
      <c r="I142" s="97">
        <v>156</v>
      </c>
      <c r="J142" s="97">
        <v>47</v>
      </c>
      <c r="K142" s="112"/>
      <c r="L142" s="93">
        <v>-1.4398357186292348</v>
      </c>
      <c r="M142" s="94">
        <v>4.3946958327458523</v>
      </c>
      <c r="N142" s="94">
        <v>2.6794256681504725</v>
      </c>
      <c r="O142" s="94">
        <v>4.9059999999999997</v>
      </c>
      <c r="P142" s="94">
        <v>4.7</v>
      </c>
      <c r="Q142" s="94">
        <v>0.76800000000000002</v>
      </c>
      <c r="R142" s="94">
        <v>-2.29</v>
      </c>
      <c r="S142" s="94">
        <v>-2.5</v>
      </c>
      <c r="T142" s="94">
        <v>-3.63</v>
      </c>
      <c r="U142" s="94">
        <v>0.5</v>
      </c>
      <c r="V142" s="94">
        <v>-2.5</v>
      </c>
      <c r="W142" s="95">
        <f t="shared" si="2"/>
        <v>-0.12798099009494468</v>
      </c>
    </row>
    <row r="143" spans="1:23" x14ac:dyDescent="0.35">
      <c r="A143" s="85" t="s">
        <v>586</v>
      </c>
      <c r="B143" s="85" t="s">
        <v>717</v>
      </c>
      <c r="C143" s="93">
        <v>-6.0912921553037958</v>
      </c>
      <c r="D143" s="94">
        <v>-2.539464764773447</v>
      </c>
      <c r="E143" s="94">
        <v>-1.6533032843941364</v>
      </c>
      <c r="G143" s="107" t="s">
        <v>401</v>
      </c>
      <c r="H143" s="105">
        <v>69.385821977853183</v>
      </c>
      <c r="I143" s="97">
        <v>92</v>
      </c>
      <c r="J143" s="97">
        <v>12</v>
      </c>
      <c r="K143" s="112"/>
      <c r="L143" s="93">
        <v>2.6903497466884523</v>
      </c>
      <c r="M143" s="94">
        <v>2.9334416518612043</v>
      </c>
      <c r="N143" s="94">
        <v>0.25550303164546423</v>
      </c>
      <c r="O143" s="94">
        <v>-3.4140000000000001</v>
      </c>
      <c r="P143" s="94">
        <v>-4.9119999999999999</v>
      </c>
      <c r="Q143" s="94">
        <v>1.5660000000000001</v>
      </c>
      <c r="R143" s="94">
        <v>4.9480000000000004</v>
      </c>
      <c r="S143" s="94">
        <v>1.0980000000000001</v>
      </c>
      <c r="T143" s="94">
        <v>-15.906000000000001</v>
      </c>
      <c r="U143" s="94">
        <v>-2.742</v>
      </c>
      <c r="V143" s="94">
        <v>1.3280000000000001</v>
      </c>
      <c r="W143" s="95">
        <f t="shared" si="2"/>
        <v>-2.0963840245837915</v>
      </c>
    </row>
    <row r="144" spans="1:23" x14ac:dyDescent="0.35">
      <c r="A144" s="85" t="s">
        <v>227</v>
      </c>
      <c r="B144" s="85" t="s">
        <v>718</v>
      </c>
      <c r="C144" s="93">
        <v>1.8041121232050594</v>
      </c>
      <c r="D144" s="94">
        <v>1.5622302939160004</v>
      </c>
      <c r="E144" s="94">
        <v>2.0743232215396867</v>
      </c>
      <c r="G144" s="107" t="s">
        <v>417</v>
      </c>
      <c r="H144" s="105">
        <v>96.904206369440487</v>
      </c>
      <c r="I144" s="97">
        <v>7</v>
      </c>
      <c r="J144" s="97">
        <v>5</v>
      </c>
      <c r="K144" s="112"/>
      <c r="L144" s="93">
        <v>-0.58830456899072281</v>
      </c>
      <c r="M144" s="94">
        <v>1.1877757159060018</v>
      </c>
      <c r="N144" s="94">
        <v>2.6577982753164227</v>
      </c>
      <c r="O144" s="94">
        <v>4.4889999999999999</v>
      </c>
      <c r="P144" s="94">
        <v>2.0710000000000002</v>
      </c>
      <c r="Q144" s="94">
        <v>2.5680000000000001</v>
      </c>
      <c r="R144" s="94">
        <v>1.95</v>
      </c>
      <c r="S144" s="94">
        <v>1.986</v>
      </c>
      <c r="T144" s="94">
        <v>-2.17</v>
      </c>
      <c r="U144" s="94">
        <v>5.3860000000000001</v>
      </c>
      <c r="V144" s="94">
        <v>2.6419999999999999</v>
      </c>
      <c r="W144" s="95">
        <f t="shared" si="2"/>
        <v>1.8182767577278436</v>
      </c>
    </row>
    <row r="145" spans="1:23" x14ac:dyDescent="0.35">
      <c r="A145" s="85" t="s">
        <v>227</v>
      </c>
      <c r="B145" s="85" t="s">
        <v>719</v>
      </c>
      <c r="C145" s="93">
        <v>1.2890197152698013</v>
      </c>
      <c r="D145" s="94">
        <v>2.1594279609995271</v>
      </c>
      <c r="E145" s="94">
        <v>1.9949438623463989</v>
      </c>
      <c r="G145" s="107" t="s">
        <v>417</v>
      </c>
      <c r="H145" s="105">
        <v>98.385388118004073</v>
      </c>
      <c r="I145" s="97">
        <v>2</v>
      </c>
      <c r="J145" s="97">
        <v>1</v>
      </c>
      <c r="K145" s="112"/>
      <c r="L145" s="93">
        <v>1.0060240943135659</v>
      </c>
      <c r="M145" s="94">
        <v>1.852039766494749</v>
      </c>
      <c r="N145" s="94">
        <v>2.4492180871562819</v>
      </c>
      <c r="O145" s="94">
        <v>1.59</v>
      </c>
      <c r="P145" s="94">
        <v>2.073</v>
      </c>
      <c r="Q145" s="94">
        <v>1.427</v>
      </c>
      <c r="R145" s="94">
        <v>2.867</v>
      </c>
      <c r="S145" s="94">
        <v>1.161</v>
      </c>
      <c r="T145" s="94">
        <v>-2.5070000000000001</v>
      </c>
      <c r="U145" s="94">
        <v>4.2210000000000001</v>
      </c>
      <c r="V145" s="94">
        <v>2.1339999999999999</v>
      </c>
      <c r="W145" s="95">
        <f t="shared" si="2"/>
        <v>2.077185911672963</v>
      </c>
    </row>
    <row r="146" spans="1:23" x14ac:dyDescent="0.35">
      <c r="A146" s="85" t="s">
        <v>578</v>
      </c>
      <c r="B146" s="85" t="s">
        <v>720</v>
      </c>
      <c r="C146" s="93">
        <v>4.1942484708972883</v>
      </c>
      <c r="D146" s="94">
        <v>3.7202264352869774</v>
      </c>
      <c r="E146" s="94">
        <v>3.3189477234561782</v>
      </c>
      <c r="G146" s="107" t="s">
        <v>401</v>
      </c>
      <c r="H146" s="105">
        <v>74.109663332036064</v>
      </c>
      <c r="I146" s="97">
        <v>72</v>
      </c>
      <c r="J146" s="97">
        <v>11</v>
      </c>
      <c r="K146" s="112"/>
      <c r="L146" s="93">
        <v>2.2704029453876053</v>
      </c>
      <c r="M146" s="94">
        <v>2.5430680885972134</v>
      </c>
      <c r="N146" s="94">
        <v>4.9538203190596066</v>
      </c>
      <c r="O146" s="94">
        <v>1.466</v>
      </c>
      <c r="P146" s="94">
        <v>2.165</v>
      </c>
      <c r="Q146" s="94">
        <v>3.3109999999999999</v>
      </c>
      <c r="R146" s="94">
        <v>2.7869999999999999</v>
      </c>
      <c r="S146" s="94">
        <v>3.0640000000000001</v>
      </c>
      <c r="T146" s="94">
        <v>3.387</v>
      </c>
      <c r="U146" s="94">
        <v>6.5279999999999996</v>
      </c>
      <c r="V146" s="94">
        <v>2.452</v>
      </c>
      <c r="W146" s="95">
        <f t="shared" si="2"/>
        <v>3.5195870793715778</v>
      </c>
    </row>
    <row r="147" spans="1:23" x14ac:dyDescent="0.35">
      <c r="A147" s="85" t="s">
        <v>578</v>
      </c>
      <c r="B147" s="85" t="s">
        <v>721</v>
      </c>
      <c r="C147" s="93">
        <v>7.1805428191797027</v>
      </c>
      <c r="D147" s="94">
        <v>7.3081795758255463</v>
      </c>
      <c r="E147" s="94">
        <v>7.0632908095879854</v>
      </c>
      <c r="G147" s="107" t="s">
        <v>424</v>
      </c>
      <c r="H147" s="105">
        <v>65.502149613905985</v>
      </c>
      <c r="I147" s="97">
        <v>113</v>
      </c>
      <c r="J147" s="97">
        <v>23</v>
      </c>
      <c r="K147" s="112"/>
      <c r="L147" s="93">
        <v>7.4999994632152305</v>
      </c>
      <c r="M147" s="94">
        <v>7.3999997470037826</v>
      </c>
      <c r="N147" s="94">
        <v>6.7000006901625362</v>
      </c>
      <c r="O147" s="94">
        <v>6</v>
      </c>
      <c r="P147" s="94">
        <v>6.9</v>
      </c>
      <c r="Q147" s="94">
        <v>7.1</v>
      </c>
      <c r="R147" s="94">
        <v>7.6</v>
      </c>
      <c r="S147" s="94">
        <v>7.4</v>
      </c>
      <c r="T147" s="94">
        <v>4.3899999999999997</v>
      </c>
      <c r="U147" s="94">
        <v>9.4</v>
      </c>
      <c r="V147" s="94">
        <v>8</v>
      </c>
      <c r="W147" s="95">
        <f t="shared" si="2"/>
        <v>7.1857351927067654</v>
      </c>
    </row>
    <row r="148" spans="1:23" x14ac:dyDescent="0.35">
      <c r="A148" s="85" t="s">
        <v>582</v>
      </c>
      <c r="B148" s="85" t="s">
        <v>722</v>
      </c>
      <c r="C148" s="93">
        <v>3.6476767570704727</v>
      </c>
      <c r="D148" s="94">
        <v>4.4330707554891102</v>
      </c>
      <c r="E148" s="94">
        <v>5.5432278987954442</v>
      </c>
      <c r="G148" s="107" t="s">
        <v>424</v>
      </c>
      <c r="H148" s="105">
        <v>68.134404341049418</v>
      </c>
      <c r="I148" s="97">
        <v>101</v>
      </c>
      <c r="J148" s="97">
        <v>21</v>
      </c>
      <c r="K148" s="112"/>
      <c r="L148" s="93">
        <v>4.500153559821273</v>
      </c>
      <c r="M148" s="94">
        <v>6.7815856006531599</v>
      </c>
      <c r="N148" s="94">
        <v>6.732461868324811</v>
      </c>
      <c r="O148" s="94">
        <v>6.1609999999999996</v>
      </c>
      <c r="P148" s="94">
        <v>6.867</v>
      </c>
      <c r="Q148" s="94">
        <v>6.7729999999999997</v>
      </c>
      <c r="R148" s="94">
        <v>6.9589999999999996</v>
      </c>
      <c r="S148" s="94">
        <v>6.9889999999999999</v>
      </c>
      <c r="T148" s="94">
        <v>4.8159999999999998</v>
      </c>
      <c r="U148" s="94">
        <v>4.9470000000000001</v>
      </c>
      <c r="V148" s="94">
        <v>4.6879999999999997</v>
      </c>
      <c r="W148" s="95">
        <f t="shared" si="2"/>
        <v>4.9881493271422777</v>
      </c>
    </row>
    <row r="149" spans="1:23" x14ac:dyDescent="0.35">
      <c r="A149" s="85" t="s">
        <v>578</v>
      </c>
      <c r="B149" s="85" t="s">
        <v>723</v>
      </c>
      <c r="C149" s="93">
        <v>-0.75178730142027028</v>
      </c>
      <c r="D149" s="94">
        <v>0.80617945124625834</v>
      </c>
      <c r="E149" s="94">
        <v>1.8254251122560072</v>
      </c>
      <c r="G149" s="107" t="s">
        <v>424</v>
      </c>
      <c r="H149" s="105">
        <v>67.301316099527455</v>
      </c>
      <c r="I149" s="97">
        <v>104</v>
      </c>
      <c r="J149" s="97">
        <v>19</v>
      </c>
      <c r="K149" s="112"/>
      <c r="L149" s="93">
        <v>7.2427962024964359</v>
      </c>
      <c r="M149" s="94">
        <v>2.6874955632055553</v>
      </c>
      <c r="N149" s="94">
        <v>0.98442510993386245</v>
      </c>
      <c r="O149" s="94">
        <v>3.1339999999999999</v>
      </c>
      <c r="P149" s="94">
        <v>3.4350000000000001</v>
      </c>
      <c r="Q149" s="94">
        <v>4.1779999999999999</v>
      </c>
      <c r="R149" s="94">
        <v>4.2229999999999999</v>
      </c>
      <c r="S149" s="94">
        <v>2.1150000000000002</v>
      </c>
      <c r="T149" s="94">
        <v>-6.1609999999999996</v>
      </c>
      <c r="U149" s="94">
        <v>1.5629999999999999</v>
      </c>
      <c r="V149" s="94">
        <v>2.6440000000000001</v>
      </c>
      <c r="W149" s="95">
        <f t="shared" si="2"/>
        <v>1.3158022817511328</v>
      </c>
    </row>
    <row r="150" spans="1:23" x14ac:dyDescent="0.35">
      <c r="A150" s="85" t="s">
        <v>582</v>
      </c>
      <c r="B150" s="85" t="s">
        <v>724</v>
      </c>
      <c r="C150" s="93">
        <v>4.1237007551626403</v>
      </c>
      <c r="D150" s="94">
        <v>4.5599643087248731</v>
      </c>
      <c r="E150" s="94">
        <v>5.0461931715429786</v>
      </c>
      <c r="G150" s="107" t="s">
        <v>401</v>
      </c>
      <c r="H150" s="105">
        <v>71.06383353175876</v>
      </c>
      <c r="I150" s="97">
        <v>84</v>
      </c>
      <c r="J150" s="97">
        <v>12</v>
      </c>
      <c r="K150" s="112"/>
      <c r="L150" s="93">
        <v>6.543507029266066</v>
      </c>
      <c r="M150" s="94">
        <v>6.1123430766482372</v>
      </c>
      <c r="N150" s="94">
        <v>5.9205885732303445</v>
      </c>
      <c r="O150" s="94">
        <v>5.74</v>
      </c>
      <c r="P150" s="94">
        <v>5.6</v>
      </c>
      <c r="Q150" s="94">
        <v>4.3479999999999999</v>
      </c>
      <c r="R150" s="94">
        <v>4.9669999999999996</v>
      </c>
      <c r="S150" s="94">
        <v>5.4640000000000004</v>
      </c>
      <c r="T150" s="94">
        <v>1.758</v>
      </c>
      <c r="U150" s="94">
        <v>5.2590000000000003</v>
      </c>
      <c r="V150" s="94">
        <v>5.399</v>
      </c>
      <c r="W150" s="95">
        <f t="shared" si="2"/>
        <v>4.8030787401339259</v>
      </c>
    </row>
    <row r="151" spans="1:23" x14ac:dyDescent="0.35">
      <c r="A151" s="85" t="s">
        <v>586</v>
      </c>
      <c r="B151" s="85" t="s">
        <v>725</v>
      </c>
      <c r="C151" s="93">
        <v>-2.1662761553291388</v>
      </c>
      <c r="D151" s="94">
        <v>-0.32249691451342599</v>
      </c>
      <c r="E151" s="94">
        <v>-0.73360970360328848</v>
      </c>
      <c r="G151" s="107" t="s">
        <v>424</v>
      </c>
      <c r="H151" s="105">
        <v>65.576173252463747</v>
      </c>
      <c r="I151" s="97">
        <v>112</v>
      </c>
      <c r="J151" s="97">
        <v>14</v>
      </c>
      <c r="K151" s="112"/>
      <c r="L151" s="93">
        <v>1.2699643652024184</v>
      </c>
      <c r="M151" s="94">
        <v>2.2290748047658071</v>
      </c>
      <c r="N151" s="94">
        <v>-0.91254496880826241</v>
      </c>
      <c r="O151" s="94">
        <v>-0.75600000000000001</v>
      </c>
      <c r="P151" s="94">
        <v>-6.7640000000000002</v>
      </c>
      <c r="Q151" s="94">
        <v>-4.7069999999999999</v>
      </c>
      <c r="R151" s="94">
        <v>-0.871</v>
      </c>
      <c r="S151" s="94">
        <v>0.11</v>
      </c>
      <c r="T151" s="94">
        <v>-7.6779999999999999</v>
      </c>
      <c r="U151" s="94">
        <v>-1.0269999999999999</v>
      </c>
      <c r="V151" s="94">
        <v>2.4809999999999999</v>
      </c>
      <c r="W151" s="95">
        <f t="shared" si="2"/>
        <v>-0.52805330905835723</v>
      </c>
    </row>
    <row r="152" spans="1:23" x14ac:dyDescent="0.35">
      <c r="A152" s="85" t="s">
        <v>582</v>
      </c>
      <c r="B152" s="85" t="s">
        <v>726</v>
      </c>
      <c r="C152" s="93">
        <v>-0.76139414796470017</v>
      </c>
      <c r="D152" s="94">
        <v>1.515468696628397</v>
      </c>
      <c r="E152" s="94">
        <v>1.7677168413122724</v>
      </c>
      <c r="G152" s="107" t="s">
        <v>424</v>
      </c>
      <c r="H152" s="105">
        <v>68.074683718311135</v>
      </c>
      <c r="I152" s="97">
        <v>102</v>
      </c>
      <c r="J152" s="97">
        <v>22</v>
      </c>
      <c r="K152" s="112"/>
      <c r="L152" s="93">
        <v>3.9976740023093633</v>
      </c>
      <c r="M152" s="94">
        <v>2.8755238423073424</v>
      </c>
      <c r="N152" s="94">
        <v>2.9713983451090038</v>
      </c>
      <c r="O152" s="94">
        <v>0.96799999999999997</v>
      </c>
      <c r="P152" s="94">
        <v>1.117</v>
      </c>
      <c r="Q152" s="94">
        <v>2.238</v>
      </c>
      <c r="R152" s="94">
        <v>2.625</v>
      </c>
      <c r="S152" s="94">
        <v>1.5880000000000001</v>
      </c>
      <c r="T152" s="94">
        <v>-8.8179999999999996</v>
      </c>
      <c r="U152" s="94">
        <v>4.4050000000000002</v>
      </c>
      <c r="V152" s="94">
        <v>2.5219999999999998</v>
      </c>
      <c r="W152" s="95">
        <f t="shared" si="2"/>
        <v>1.6415927689703347</v>
      </c>
    </row>
    <row r="153" spans="1:23" x14ac:dyDescent="0.35">
      <c r="A153" s="85" t="s">
        <v>593</v>
      </c>
      <c r="B153" s="85" t="s">
        <v>727</v>
      </c>
      <c r="C153" s="93">
        <v>6.2162334826369348</v>
      </c>
      <c r="D153" s="94">
        <v>4.4468380199269797</v>
      </c>
      <c r="E153" s="94">
        <v>5.2521474880545149</v>
      </c>
      <c r="G153" s="107" t="s">
        <v>584</v>
      </c>
      <c r="H153" s="105">
        <v>79.725975588542326</v>
      </c>
      <c r="I153" s="97">
        <v>49</v>
      </c>
      <c r="J153" s="97">
        <v>4</v>
      </c>
      <c r="K153" s="112"/>
      <c r="L153" s="93">
        <v>4.7899402070344061</v>
      </c>
      <c r="M153" s="94">
        <v>8.4913093926863557</v>
      </c>
      <c r="N153" s="94">
        <v>5.1666907030455222</v>
      </c>
      <c r="O153" s="94">
        <v>6.0839999999999996</v>
      </c>
      <c r="P153" s="94">
        <v>3.323</v>
      </c>
      <c r="Q153" s="94">
        <v>7.5019999999999998</v>
      </c>
      <c r="R153" s="94">
        <v>2.98</v>
      </c>
      <c r="S153" s="94">
        <v>0.78400000000000003</v>
      </c>
      <c r="T153" s="94">
        <v>1.94</v>
      </c>
      <c r="U153" s="94">
        <v>11.353</v>
      </c>
      <c r="V153" s="94">
        <v>5.5659999999999998</v>
      </c>
      <c r="W153" s="95">
        <f t="shared" si="2"/>
        <v>4.8494927539907469</v>
      </c>
    </row>
    <row r="154" spans="1:23" x14ac:dyDescent="0.35">
      <c r="A154" s="85" t="s">
        <v>578</v>
      </c>
      <c r="B154" s="85" t="s">
        <v>728</v>
      </c>
      <c r="C154" s="93">
        <v>5.7825311290508274</v>
      </c>
      <c r="D154" s="94">
        <v>5.9692666570670072</v>
      </c>
      <c r="E154" s="94">
        <v>6.9419375690879193</v>
      </c>
      <c r="G154" s="107" t="s">
        <v>401</v>
      </c>
      <c r="H154" s="105">
        <v>73.971445285212496</v>
      </c>
      <c r="I154" s="97">
        <v>74</v>
      </c>
      <c r="J154" s="97">
        <v>12</v>
      </c>
      <c r="K154" s="112"/>
      <c r="L154" s="93">
        <v>11.099999961554488</v>
      </c>
      <c r="M154" s="94">
        <v>10.200000101398992</v>
      </c>
      <c r="N154" s="94">
        <v>10.299999970545908</v>
      </c>
      <c r="O154" s="94">
        <v>2.9860000000000002</v>
      </c>
      <c r="P154" s="94">
        <v>-0.97699999999999998</v>
      </c>
      <c r="Q154" s="94">
        <v>4.7069999999999999</v>
      </c>
      <c r="R154" s="94">
        <v>0.88200000000000001</v>
      </c>
      <c r="S154" s="94">
        <v>-3.3889999999999998</v>
      </c>
      <c r="T154" s="94">
        <v>-2.9369999999999998</v>
      </c>
      <c r="U154" s="94">
        <v>4.62</v>
      </c>
      <c r="V154" s="94">
        <v>1.7889999999999999</v>
      </c>
      <c r="W154" s="95">
        <f t="shared" si="2"/>
        <v>6.4556021130774628</v>
      </c>
    </row>
    <row r="155" spans="1:23" x14ac:dyDescent="0.35">
      <c r="A155" s="85" t="s">
        <v>582</v>
      </c>
      <c r="B155" s="85" t="s">
        <v>729</v>
      </c>
      <c r="C155" s="93">
        <v>3.8036415692147996</v>
      </c>
      <c r="D155" s="94">
        <v>4.8231874950755982</v>
      </c>
      <c r="E155" s="94">
        <v>4.6664450945707259</v>
      </c>
      <c r="G155" s="107" t="s">
        <v>401</v>
      </c>
      <c r="H155" s="105">
        <v>69.556086736265442</v>
      </c>
      <c r="I155" s="97">
        <v>91</v>
      </c>
      <c r="J155" s="97">
        <v>14</v>
      </c>
      <c r="K155" s="112"/>
      <c r="L155" s="93">
        <v>3.8374556059033003</v>
      </c>
      <c r="M155" s="94">
        <v>3.586905826320109</v>
      </c>
      <c r="N155" s="94">
        <v>5.1063073243118193</v>
      </c>
      <c r="O155" s="94">
        <v>8.0060000000000002</v>
      </c>
      <c r="P155" s="94">
        <v>0.159</v>
      </c>
      <c r="Q155" s="94">
        <v>6.83</v>
      </c>
      <c r="R155" s="94">
        <v>5.5019999999999998</v>
      </c>
      <c r="S155" s="94">
        <v>7.782</v>
      </c>
      <c r="T155" s="94">
        <v>-1.3009999999999999</v>
      </c>
      <c r="U155" s="94">
        <v>6.0039999999999996</v>
      </c>
      <c r="V155" s="94">
        <v>4.9329999999999998</v>
      </c>
      <c r="W155" s="95">
        <f t="shared" si="2"/>
        <v>4.7448162948231616</v>
      </c>
    </row>
    <row r="156" spans="1:23" x14ac:dyDescent="0.35">
      <c r="A156" s="85" t="s">
        <v>227</v>
      </c>
      <c r="B156" s="85" t="s">
        <v>730</v>
      </c>
      <c r="C156" s="93">
        <v>-11.461901799668306</v>
      </c>
      <c r="D156" s="94">
        <v>-5.8295559101049328</v>
      </c>
      <c r="E156" s="94">
        <v>-4.15839598326132</v>
      </c>
      <c r="G156" s="107" t="s">
        <v>401</v>
      </c>
      <c r="H156" s="105">
        <v>74.079326507080765</v>
      </c>
      <c r="I156" s="97">
        <v>73</v>
      </c>
      <c r="J156" s="97">
        <v>39</v>
      </c>
      <c r="K156" s="112"/>
      <c r="L156" s="93">
        <v>0.23868172076808841</v>
      </c>
      <c r="M156" s="94">
        <v>-2.66978900718703E-2</v>
      </c>
      <c r="N156" s="94">
        <v>-6.5526312936576572</v>
      </c>
      <c r="O156" s="94">
        <v>-9.7880000000000003</v>
      </c>
      <c r="P156" s="94">
        <v>2.4169999999999998</v>
      </c>
      <c r="Q156" s="94">
        <v>2.36</v>
      </c>
      <c r="R156" s="94">
        <v>3.488</v>
      </c>
      <c r="S156" s="94">
        <v>3.1989999999999998</v>
      </c>
      <c r="T156" s="94">
        <v>-3.7530000000000001</v>
      </c>
      <c r="U156" s="94">
        <v>3.3530000000000002</v>
      </c>
      <c r="V156" s="94">
        <v>-30.26</v>
      </c>
      <c r="W156" s="95">
        <f t="shared" si="2"/>
        <v>-4.9939759466831264</v>
      </c>
    </row>
    <row r="157" spans="1:23" x14ac:dyDescent="0.35">
      <c r="A157" s="85" t="s">
        <v>593</v>
      </c>
      <c r="B157" s="85" t="s">
        <v>731</v>
      </c>
      <c r="C157" s="93">
        <v>1.9883983839421138</v>
      </c>
      <c r="D157" s="94">
        <v>1.9344501122165347</v>
      </c>
      <c r="E157" s="94">
        <v>2.9471413005852209</v>
      </c>
      <c r="G157" s="107" t="s">
        <v>417</v>
      </c>
      <c r="H157" s="105">
        <v>91.971735408895199</v>
      </c>
      <c r="I157" s="97">
        <v>22</v>
      </c>
      <c r="J157" s="97">
        <v>1</v>
      </c>
      <c r="K157" s="112"/>
      <c r="L157" s="93">
        <v>4.4846260849086921</v>
      </c>
      <c r="M157" s="94">
        <v>5.0533458252665762</v>
      </c>
      <c r="N157" s="94">
        <v>4.2843036857947956</v>
      </c>
      <c r="O157" s="94">
        <v>6.7869999999999999</v>
      </c>
      <c r="P157" s="94">
        <v>5.5609999999999999</v>
      </c>
      <c r="Q157" s="94">
        <v>0.73499999999999999</v>
      </c>
      <c r="R157" s="94">
        <v>1.3140000000000001</v>
      </c>
      <c r="S157" s="94">
        <v>1.1080000000000001</v>
      </c>
      <c r="T157" s="94">
        <v>-4.9569999999999999</v>
      </c>
      <c r="U157" s="94">
        <v>3.9159999999999999</v>
      </c>
      <c r="V157" s="94">
        <v>7.4109999999999996</v>
      </c>
      <c r="W157" s="95">
        <f t="shared" si="2"/>
        <v>2.4407957064008778</v>
      </c>
    </row>
    <row r="158" spans="1:23" x14ac:dyDescent="0.35">
      <c r="A158" s="85" t="s">
        <v>227</v>
      </c>
      <c r="B158" s="85" t="s">
        <v>732</v>
      </c>
      <c r="C158" s="93">
        <v>-0.15570963242206304</v>
      </c>
      <c r="D158" s="94">
        <v>0.73784192060712961</v>
      </c>
      <c r="E158" s="94">
        <v>1.4574433295258649</v>
      </c>
      <c r="G158" s="107" t="s">
        <v>417</v>
      </c>
      <c r="H158" s="105">
        <v>95.869504572225566</v>
      </c>
      <c r="I158" s="97">
        <v>16</v>
      </c>
      <c r="J158" s="97">
        <v>11</v>
      </c>
      <c r="K158" s="112"/>
      <c r="L158" s="93">
        <v>1.4789239471568232</v>
      </c>
      <c r="M158" s="94">
        <v>2.1394857010831609</v>
      </c>
      <c r="N158" s="94">
        <v>2.6074759063105102</v>
      </c>
      <c r="O158" s="94">
        <v>2.3929999999999998</v>
      </c>
      <c r="P158" s="94">
        <v>2.165</v>
      </c>
      <c r="Q158" s="94">
        <v>2.444</v>
      </c>
      <c r="R158" s="94">
        <v>1.7050000000000001</v>
      </c>
      <c r="S158" s="94">
        <v>1.6040000000000001</v>
      </c>
      <c r="T158" s="94">
        <v>-11.031000000000001</v>
      </c>
      <c r="U158" s="94">
        <v>7.5970000000000004</v>
      </c>
      <c r="V158" s="94">
        <v>4.0449999999999999</v>
      </c>
      <c r="W158" s="95">
        <f t="shared" si="2"/>
        <v>1.0976426250664972</v>
      </c>
    </row>
    <row r="159" spans="1:23" x14ac:dyDescent="0.35">
      <c r="A159" s="85" t="s">
        <v>586</v>
      </c>
      <c r="B159" s="85" t="s">
        <v>733</v>
      </c>
      <c r="C159" s="93">
        <v>1.6858959431595322</v>
      </c>
      <c r="D159" s="94">
        <v>2.0522235488571683</v>
      </c>
      <c r="E159" s="94">
        <v>2.1214909700318696</v>
      </c>
      <c r="G159" s="107" t="s">
        <v>417</v>
      </c>
      <c r="H159" s="105">
        <v>95.916666666666671</v>
      </c>
      <c r="I159" s="97">
        <v>14</v>
      </c>
      <c r="J159" s="97">
        <v>1</v>
      </c>
      <c r="K159" s="112"/>
      <c r="L159" s="93">
        <v>2.249545852369943</v>
      </c>
      <c r="M159" s="94">
        <v>1.8420810710110016</v>
      </c>
      <c r="N159" s="94">
        <v>2.4519730353603584</v>
      </c>
      <c r="O159" s="94">
        <v>2.7069999999999999</v>
      </c>
      <c r="P159" s="94">
        <v>1.6679999999999999</v>
      </c>
      <c r="Q159" s="94">
        <v>2.242</v>
      </c>
      <c r="R159" s="94">
        <v>2.9449999999999998</v>
      </c>
      <c r="S159" s="94">
        <v>2.2949999999999999</v>
      </c>
      <c r="T159" s="94">
        <v>-2.7679999999999998</v>
      </c>
      <c r="U159" s="94">
        <v>5.9470000000000001</v>
      </c>
      <c r="V159" s="94">
        <v>2.0680000000000001</v>
      </c>
      <c r="W159" s="95">
        <f t="shared" si="2"/>
        <v>2.0868572594445189</v>
      </c>
    </row>
    <row r="160" spans="1:23" x14ac:dyDescent="0.35">
      <c r="A160" s="85" t="s">
        <v>586</v>
      </c>
      <c r="B160" s="85" t="s">
        <v>734</v>
      </c>
      <c r="C160" s="93">
        <v>0.91343850289404838</v>
      </c>
      <c r="D160" s="94">
        <v>2.2569945604846264</v>
      </c>
      <c r="E160" s="94">
        <v>2.3762166744240032</v>
      </c>
      <c r="G160" s="107" t="s">
        <v>584</v>
      </c>
      <c r="H160" s="105">
        <v>81.172173305315454</v>
      </c>
      <c r="I160" s="97">
        <v>43</v>
      </c>
      <c r="J160" s="97">
        <v>5</v>
      </c>
      <c r="K160" s="112"/>
      <c r="L160" s="93">
        <v>3.5381787068568795</v>
      </c>
      <c r="M160" s="94">
        <v>4.6375386431141186</v>
      </c>
      <c r="N160" s="94">
        <v>3.2387912162160193</v>
      </c>
      <c r="O160" s="94">
        <v>0.371</v>
      </c>
      <c r="P160" s="94">
        <v>1.69</v>
      </c>
      <c r="Q160" s="94">
        <v>1.6279999999999999</v>
      </c>
      <c r="R160" s="94">
        <v>0.47799999999999998</v>
      </c>
      <c r="S160" s="94">
        <v>0.35</v>
      </c>
      <c r="T160" s="94">
        <v>-6.1150000000000002</v>
      </c>
      <c r="U160" s="94">
        <v>4.4020000000000001</v>
      </c>
      <c r="V160" s="94">
        <v>4.8860000000000001</v>
      </c>
      <c r="W160" s="95">
        <f t="shared" si="2"/>
        <v>2.3166056174543148</v>
      </c>
    </row>
    <row r="161" spans="1:23" x14ac:dyDescent="0.35">
      <c r="A161" s="85" t="s">
        <v>578</v>
      </c>
      <c r="B161" s="85" t="s">
        <v>735</v>
      </c>
      <c r="C161" s="93">
        <v>4.966226080132774</v>
      </c>
      <c r="D161" s="94">
        <v>5.1922367720162121</v>
      </c>
      <c r="E161" s="94">
        <v>5.7634254597189516</v>
      </c>
      <c r="G161" s="107" t="s">
        <v>424</v>
      </c>
      <c r="H161" s="105">
        <v>68.759088115548678</v>
      </c>
      <c r="I161" s="97">
        <v>99</v>
      </c>
      <c r="J161" s="97">
        <v>18</v>
      </c>
      <c r="K161" s="112"/>
      <c r="L161" s="93">
        <v>7.1024448870695505</v>
      </c>
      <c r="M161" s="94">
        <v>7.2965503696402285</v>
      </c>
      <c r="N161" s="94">
        <v>6.8738384408295845</v>
      </c>
      <c r="O161" s="94">
        <v>7.2190000000000003</v>
      </c>
      <c r="P161" s="94">
        <v>5.9320000000000004</v>
      </c>
      <c r="Q161" s="94">
        <v>4.3949999999999996</v>
      </c>
      <c r="R161" s="94">
        <v>5.88</v>
      </c>
      <c r="S161" s="94">
        <v>5.9820000000000002</v>
      </c>
      <c r="T161" s="94">
        <v>1.996</v>
      </c>
      <c r="U161" s="94">
        <v>7.4029999999999996</v>
      </c>
      <c r="V161" s="94">
        <v>5.6689999999999996</v>
      </c>
      <c r="W161" s="95">
        <f t="shared" si="2"/>
        <v>5.4778311158675823</v>
      </c>
    </row>
    <row r="162" spans="1:23" x14ac:dyDescent="0.35">
      <c r="A162" s="85" t="s">
        <v>578</v>
      </c>
      <c r="B162" s="85" t="s">
        <v>736</v>
      </c>
      <c r="C162" s="93">
        <v>6.367284609117374</v>
      </c>
      <c r="D162" s="94">
        <v>8.0753375154714711</v>
      </c>
      <c r="E162" s="94">
        <v>8.6445538917790046</v>
      </c>
      <c r="G162" s="107" t="s">
        <v>424</v>
      </c>
      <c r="H162" s="105">
        <v>62.623537935388953</v>
      </c>
      <c r="I162" s="97">
        <v>120</v>
      </c>
      <c r="J162" s="97">
        <v>24</v>
      </c>
      <c r="K162" s="112"/>
      <c r="L162" s="93">
        <v>12.410056463111571</v>
      </c>
      <c r="M162" s="94">
        <v>7.2891294784445284</v>
      </c>
      <c r="N162" s="94">
        <v>9.6841913021478785</v>
      </c>
      <c r="O162" s="94">
        <v>6.9870000000000001</v>
      </c>
      <c r="P162" s="94">
        <v>6.69</v>
      </c>
      <c r="Q162" s="94">
        <v>6.94</v>
      </c>
      <c r="R162" s="94">
        <v>7.4649999999999999</v>
      </c>
      <c r="S162" s="94">
        <v>7.359</v>
      </c>
      <c r="T162" s="94">
        <v>2.867</v>
      </c>
      <c r="U162" s="94">
        <v>2.5619999999999998</v>
      </c>
      <c r="V162" s="94">
        <v>8.0180000000000007</v>
      </c>
      <c r="W162" s="95">
        <f t="shared" si="2"/>
        <v>8.3599457036252378</v>
      </c>
    </row>
    <row r="163" spans="1:23" x14ac:dyDescent="0.35">
      <c r="A163" s="85" t="s">
        <v>593</v>
      </c>
      <c r="B163" s="85" t="s">
        <v>737</v>
      </c>
      <c r="C163" s="93">
        <v>-1.1017371120758623</v>
      </c>
      <c r="D163" s="94">
        <v>-1.4008554823266794</v>
      </c>
      <c r="E163" s="94">
        <v>0.43888765074564517</v>
      </c>
      <c r="G163" s="107" t="s">
        <v>580</v>
      </c>
      <c r="H163" s="105">
        <v>44.737558430285063</v>
      </c>
      <c r="I163" s="97">
        <v>145</v>
      </c>
      <c r="J163" s="97">
        <v>11</v>
      </c>
      <c r="K163" s="112"/>
      <c r="L163" s="93">
        <v>16.665428768467855</v>
      </c>
      <c r="M163" s="94">
        <v>1.9894927620720551</v>
      </c>
      <c r="N163" s="94">
        <v>2.3769293269800476</v>
      </c>
      <c r="O163" s="94">
        <v>-27.995000000000001</v>
      </c>
      <c r="P163" s="94">
        <v>-9.375</v>
      </c>
      <c r="Q163" s="94">
        <v>-5.0720000000000001</v>
      </c>
      <c r="R163" s="94">
        <v>0.752</v>
      </c>
      <c r="S163" s="94">
        <v>1.4</v>
      </c>
      <c r="T163" s="94">
        <v>-8.5</v>
      </c>
      <c r="U163" s="94">
        <v>-1</v>
      </c>
      <c r="V163" s="94">
        <v>1.5</v>
      </c>
      <c r="W163" s="95">
        <f t="shared" si="2"/>
        <v>-0.48098391579051714</v>
      </c>
    </row>
    <row r="164" spans="1:23" x14ac:dyDescent="0.35">
      <c r="A164" s="85" t="s">
        <v>582</v>
      </c>
      <c r="B164" s="85" t="s">
        <v>738</v>
      </c>
      <c r="C164" s="93">
        <v>1.6991659105087376</v>
      </c>
      <c r="D164" s="94">
        <v>2.110140268966143</v>
      </c>
      <c r="E164" s="94">
        <v>3.0449788505192199</v>
      </c>
      <c r="G164" s="107" t="s">
        <v>424</v>
      </c>
      <c r="H164" s="105">
        <v>61.004320674622747</v>
      </c>
      <c r="I164" s="97">
        <v>124</v>
      </c>
      <c r="J164" s="97">
        <v>29</v>
      </c>
      <c r="K164" s="112"/>
      <c r="L164" s="93">
        <v>7.5975932105319126</v>
      </c>
      <c r="M164" s="94">
        <v>5.0572317397973361</v>
      </c>
      <c r="N164" s="94">
        <v>4.6979923625298614</v>
      </c>
      <c r="O164" s="94">
        <v>2.92</v>
      </c>
      <c r="P164" s="94">
        <v>3.7770000000000001</v>
      </c>
      <c r="Q164" s="94">
        <v>3.504</v>
      </c>
      <c r="R164" s="94">
        <v>4.0350000000000001</v>
      </c>
      <c r="S164" s="94">
        <v>1.4410000000000001</v>
      </c>
      <c r="T164" s="94">
        <v>-2.7850000000000001</v>
      </c>
      <c r="U164" s="94">
        <v>4.5990000000000002</v>
      </c>
      <c r="V164" s="94">
        <v>3.4409999999999998</v>
      </c>
      <c r="W164" s="95">
        <f t="shared" si="2"/>
        <v>2.5775595597426815</v>
      </c>
    </row>
    <row r="165" spans="1:23" x14ac:dyDescent="0.35">
      <c r="A165" s="85" t="s">
        <v>582</v>
      </c>
      <c r="B165" s="85" t="s">
        <v>739</v>
      </c>
      <c r="C165" s="93">
        <v>3.5464749905308901</v>
      </c>
      <c r="D165" s="94">
        <v>2.7818952866475843</v>
      </c>
      <c r="E165" s="94">
        <v>2.7261309103552733</v>
      </c>
      <c r="G165" s="107" t="s">
        <v>580</v>
      </c>
      <c r="H165" s="105">
        <v>55.033873809516088</v>
      </c>
      <c r="I165" s="97">
        <v>133</v>
      </c>
      <c r="J165" s="97">
        <v>33</v>
      </c>
      <c r="K165" s="112"/>
      <c r="L165" s="93">
        <v>17.615397198362849</v>
      </c>
      <c r="M165" s="94">
        <v>10.75800212279124</v>
      </c>
      <c r="N165" s="94">
        <v>3.9762602630956336</v>
      </c>
      <c r="O165" s="94">
        <v>1.794</v>
      </c>
      <c r="P165" s="94">
        <v>0.47799999999999998</v>
      </c>
      <c r="Q165" s="94">
        <v>4.9829999999999997</v>
      </c>
      <c r="R165" s="94">
        <v>4.7320000000000002</v>
      </c>
      <c r="S165" s="94">
        <v>-6.1219999999999999</v>
      </c>
      <c r="T165" s="94">
        <v>-7.8250000000000002</v>
      </c>
      <c r="U165" s="94">
        <v>8.4619999999999997</v>
      </c>
      <c r="V165" s="94">
        <v>3.0289999999999999</v>
      </c>
      <c r="W165" s="9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519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389</v>
      </c>
      <c r="G2" s="39" t="s">
        <v>388</v>
      </c>
      <c r="H2" s="39" t="s">
        <v>488</v>
      </c>
      <c r="I2" s="39" t="s">
        <v>411</v>
      </c>
      <c r="J2" s="39" t="s">
        <v>482</v>
      </c>
      <c r="L2" s="46" t="s">
        <v>485</v>
      </c>
      <c r="M2" s="39" t="s">
        <v>486</v>
      </c>
      <c r="N2" s="39" t="s">
        <v>487</v>
      </c>
      <c r="O2" t="s">
        <v>499</v>
      </c>
      <c r="P2" t="s">
        <v>500</v>
      </c>
      <c r="Q2" t="s">
        <v>502</v>
      </c>
    </row>
    <row r="3" spans="1:21" x14ac:dyDescent="0.35">
      <c r="A3" t="s">
        <v>432</v>
      </c>
      <c r="B3" t="s">
        <v>473</v>
      </c>
      <c r="C3" t="str" cm="1">
        <f t="array" ref="C3">_xll.FDSB(B3,"FG_COMPANY_NAME")</f>
        <v>Chinese Offshore Renminbi per U.S. Dollar</v>
      </c>
      <c r="D3" cm="1">
        <f t="array" ref="D3">_xll.FDSB(B3,"FG_PRICE(0)")</f>
        <v>7.2507000000000001</v>
      </c>
      <c r="E3" cm="1">
        <f t="array" ref="E3">_xll.FDSB(B3,"FG_PRICE_CHANGE(0,-1AY)")</f>
        <v>5.3804280000000002</v>
      </c>
      <c r="F3" cm="1">
        <f t="array" ref="F3">_xll.FDSB(B3,"FG_PRICE_CHANGE(0,-1AM)")</f>
        <v>0.60844419999999999</v>
      </c>
      <c r="G3" cm="1">
        <f t="array" ref="G3">_xll.FDSB(B3,"FG_PRICE_CHANGE(0,-3AM)")</f>
        <v>0.40643214999999999</v>
      </c>
      <c r="H3" cm="1">
        <f t="array" ref="H3">_xll.FDSB(B3,"FG_PRICE_CHANGE(0,-6AM)")</f>
        <v>-1.0595858</v>
      </c>
      <c r="I3" cm="1">
        <f t="array" ref="I3">_xll.FDS(B3,"STD(FG_PRICE_CHANGE(0,-1AY,AM))")</f>
        <v>1.0747863322008899</v>
      </c>
      <c r="J3" cm="1">
        <f t="array" ref="J3">_xll.FDS(B3,"STD(FG_PRICE_CHANGE(0,-3AY,M))")*SQRT(12)</f>
        <v>6.2450194039499847</v>
      </c>
      <c r="L3">
        <f t="shared" ref="L3:L23" si="0">(1-(_xlfn.PERCENTRANK.EXC($F$3:$F$23,F3)))*100</f>
        <v>81.899999999999991</v>
      </c>
      <c r="M3">
        <f t="shared" ref="M3:M23" si="1">(1-(_xlfn.PERCENTRANK.EXC($G$3:$G$23,G3)))*100</f>
        <v>68.199999999999989</v>
      </c>
      <c r="N3">
        <f t="shared" ref="N3:N23" si="2">(1-(_xlfn.PERCENTRANK.EXC($H$3:$H$23,H3)))*100</f>
        <v>77.3</v>
      </c>
      <c r="O3">
        <f>SUMPRODUCT($L$1:$N$1,L3:N3)</f>
        <v>74.58</v>
      </c>
      <c r="P3">
        <f t="shared" ref="P3:P23" si="3">100- (_xlfn.PERCENTRANK.EXC($J$3:$J$23,J3)*100)</f>
        <v>59.1</v>
      </c>
      <c r="Q3">
        <f>VLOOKUP(A3,CAD!$A$3:$J$23, 10, FALSE)</f>
        <v>59</v>
      </c>
      <c r="S3">
        <f>SUMPRODUCT($O$1:$Q$1,O3:Q3)</f>
        <v>66.819999999999993</v>
      </c>
      <c r="U3" cm="1">
        <f t="array" ref="U3">_xlfn.PERCENTRANK.EXC(_xlfn._xlws.FILTER(S$3:S$23, ISNUMBER(S$3:S$23)),S3)*100</f>
        <v>77.2</v>
      </c>
    </row>
    <row r="4" spans="1:21" x14ac:dyDescent="0.35">
      <c r="A4" t="s">
        <v>27</v>
      </c>
      <c r="B4" t="s">
        <v>480</v>
      </c>
      <c r="C4" t="str" cm="1">
        <f t="array" ref="C4">_xll.FDSB(B4,"FG_COMPANY_NAME")</f>
        <v>Chilean Peso per U.S. Dollar</v>
      </c>
      <c r="D4" cm="1">
        <f t="array" ref="D4">_xll.FDSB(B4,"FG_PRICE(0)")</f>
        <v>966.21500000000003</v>
      </c>
      <c r="E4" cm="1">
        <f t="array" ref="E4">_xll.FDSB(B4,"FG_PRICE_CHANGE(0,-1AY)")</f>
        <v>21.765460000000001</v>
      </c>
      <c r="F4" cm="1">
        <f t="array" ref="F4">_xll.FDSB(B4,"FG_PRICE_CHANGE(0,-1AM)")</f>
        <v>2.0074964</v>
      </c>
      <c r="G4" cm="1">
        <f t="array" ref="G4">_xll.FDSB(B4,"FG_PRICE_CHANGE(0,-3AM)")</f>
        <v>4.9634695000000004</v>
      </c>
      <c r="H4" cm="1">
        <f t="array" ref="H4">_xll.FDSB(B4,"FG_PRICE_CHANGE(0,-6AM)")</f>
        <v>3.006351</v>
      </c>
      <c r="I4" cm="1">
        <f t="array" ref="I4">_xll.FDS(B4,"STD(FG_PRICE_CHANGE(0,-1AY,AM))")</f>
        <v>3.9900281604615699</v>
      </c>
      <c r="J4" cm="1">
        <f t="array" ref="J4">_xll.FDS(B4,"STD(FG_PRICE_CHANGE(0,-3AY,M))")*SQRT(12)</f>
        <v>15.126750076369389</v>
      </c>
      <c r="L4">
        <f t="shared" si="0"/>
        <v>45.499999999999993</v>
      </c>
      <c r="M4">
        <f t="shared" si="1"/>
        <v>13.700000000000001</v>
      </c>
      <c r="N4">
        <f t="shared" si="2"/>
        <v>18.200000000000006</v>
      </c>
      <c r="O4">
        <f t="shared" ref="O4:O23" si="4">SUMPRODUCT($L$1:$N$1,L4:N4)</f>
        <v>21.860000000000003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15.46</v>
      </c>
      <c r="U4" cm="1">
        <f t="array" ref="U4">_xlfn.PERCENTRANK.EXC(_xlfn._xlws.FILTER(S$3:S$23, ISNUMBER(S$3:S$23)),S4)*100</f>
        <v>13.600000000000001</v>
      </c>
    </row>
    <row r="5" spans="1:21" x14ac:dyDescent="0.35">
      <c r="A5" t="s">
        <v>35</v>
      </c>
      <c r="B5" t="s">
        <v>469</v>
      </c>
      <c r="C5" t="str" cm="1">
        <f t="array" ref="C5">_xll.FDSB(B5,"FG_COMPANY_NAME")</f>
        <v>Indonesian Rupiah per U.S. Dollar</v>
      </c>
      <c r="D5" cm="1">
        <f t="array" ref="D5">_xll.FDSB(B5,"FG_PRICE(0)")</f>
        <v>16175</v>
      </c>
      <c r="E5" cm="1">
        <f t="array" ref="E5">_xll.FDSB(B5,"FG_PRICE_CHANGE(0,-1AY)")</f>
        <v>8.9592460000000003</v>
      </c>
      <c r="F5" cm="1">
        <f t="array" ref="F5">_xll.FDSB(B5,"FG_PRICE_CHANGE(0,-1AM)")</f>
        <v>3.0911445999999998</v>
      </c>
      <c r="G5" cm="1">
        <f t="array" ref="G5">_xll.FDSB(B5,"FG_PRICE_CHANGE(0,-3AM)")</f>
        <v>3.5531402000000001</v>
      </c>
      <c r="H5" cm="1">
        <f t="array" ref="H5">_xll.FDSB(B5,"FG_PRICE_CHANGE(0,-6AM)")</f>
        <v>2.8289914</v>
      </c>
      <c r="I5" cm="1">
        <f t="array" ref="I5">_xll.FDS(B5,"STD(FG_PRICE_CHANGE(0,-1AY,AM))")</f>
        <v>1.6029881290632899</v>
      </c>
      <c r="J5" cm="1">
        <f t="array" ref="J5">_xll.FDS(B5,"STD(FG_PRICE_CHANGE(0,-3AY,M))")*SQRT(12)</f>
        <v>5.2746451055391672</v>
      </c>
      <c r="L5">
        <f t="shared" si="0"/>
        <v>9.0999999999999979</v>
      </c>
      <c r="M5">
        <f t="shared" si="1"/>
        <v>18.200000000000006</v>
      </c>
      <c r="N5">
        <f t="shared" si="2"/>
        <v>22.799999999999997</v>
      </c>
      <c r="O5">
        <f t="shared" si="4"/>
        <v>18.220000000000002</v>
      </c>
      <c r="P5">
        <f t="shared" si="3"/>
        <v>72.8</v>
      </c>
      <c r="Q5">
        <f>VLOOKUP(A5,CAD!$A$3:$J$23, 10, FALSE)</f>
        <v>45.4</v>
      </c>
      <c r="S5">
        <f t="shared" si="5"/>
        <v>40.03</v>
      </c>
      <c r="U5" cm="1">
        <f t="array" ref="U5">_xlfn.PERCENTRANK.EXC(_xlfn._xlws.FILTER(S$3:S$23, ISNUMBER(S$3:S$23)),S5)*100</f>
        <v>36.299999999999997</v>
      </c>
    </row>
    <row r="6" spans="1:21" x14ac:dyDescent="0.35">
      <c r="A6" t="s">
        <v>30</v>
      </c>
      <c r="B6" t="s">
        <v>479</v>
      </c>
      <c r="C6" t="str" cm="1">
        <f t="array" ref="C6">_xll.FDSB(B6,"FG_COMPANY_NAME")</f>
        <v>Philippines Peso per U.S. Dollar</v>
      </c>
      <c r="D6" cm="1">
        <f t="array" ref="D6">_xll.FDSB(B6,"FG_PRICE(0)")</f>
        <v>57.180500000000002</v>
      </c>
      <c r="E6" cm="1">
        <f t="array" ref="E6">_xll.FDSB(B6,"FG_PRICE_CHANGE(0,-1AY)")</f>
        <v>1.8534063999999999</v>
      </c>
      <c r="F6" cm="1">
        <f t="array" ref="F6">_xll.FDSB(B6,"FG_PRICE_CHANGE(0,-1AM)")</f>
        <v>2.8777838</v>
      </c>
      <c r="G6" cm="1">
        <f t="array" ref="G6">_xll.FDSB(B6,"FG_PRICE_CHANGE(0,-3AM)")</f>
        <v>2.4235367999999999</v>
      </c>
      <c r="H6" cm="1">
        <f t="array" ref="H6">_xll.FDSB(B6,"FG_PRICE_CHANGE(0,-6AM)")</f>
        <v>0.82966090000000003</v>
      </c>
      <c r="I6" cm="1">
        <f t="array" ref="I6">_xll.FDS(B6,"STD(FG_PRICE_CHANGE(0,-1AY,AM))")</f>
        <v>1.73910157011212</v>
      </c>
      <c r="J6" cm="1">
        <f t="array" ref="J6">_xll.FDS(B6,"STD(FG_PRICE_CHANGE(0,-3AY,M))")*SQRT(12)</f>
        <v>6.123388306936266</v>
      </c>
      <c r="L6">
        <f t="shared" si="0"/>
        <v>18.200000000000006</v>
      </c>
      <c r="M6">
        <f t="shared" si="1"/>
        <v>36.4</v>
      </c>
      <c r="N6">
        <f t="shared" si="2"/>
        <v>36.4</v>
      </c>
      <c r="O6">
        <f t="shared" si="4"/>
        <v>32.760000000000005</v>
      </c>
      <c r="P6">
        <f t="shared" si="3"/>
        <v>63.7</v>
      </c>
      <c r="Q6">
        <f>VLOOKUP(A6,CAD!$A$3:$J$23, 10, FALSE)</f>
        <v>18.099999999999998</v>
      </c>
      <c r="S6">
        <f t="shared" si="5"/>
        <v>39.11</v>
      </c>
      <c r="U6" cm="1">
        <f t="array" ref="U6">_xlfn.PERCENTRANK.EXC(_xlfn._xlws.FILTER(S$3:S$23, ISNUMBER(S$3:S$23)),S6)*100</f>
        <v>27.200000000000003</v>
      </c>
    </row>
    <row r="7" spans="1:21" x14ac:dyDescent="0.35">
      <c r="A7" t="s">
        <v>23</v>
      </c>
      <c r="B7" t="s">
        <v>477</v>
      </c>
      <c r="C7" t="str" cm="1">
        <f t="array" ref="C7">_xll.FDSB(B7,"FG_COMPANY_NAME")</f>
        <v>Polish Zloty per U.S. Dollar</v>
      </c>
      <c r="D7" cm="1">
        <f t="array" ref="D7">_xll.FDSB(B7,"FG_PRICE(0)")</f>
        <v>4.0608000000000004</v>
      </c>
      <c r="E7" cm="1">
        <f t="array" ref="E7">_xll.FDSB(B7,"FG_PRICE_CHANGE(0,-1AY)")</f>
        <v>-3.7223220000000001</v>
      </c>
      <c r="F7" cm="1">
        <f t="array" ref="F7">_xll.FDSB(B7,"FG_PRICE_CHANGE(0,-1AM)")</f>
        <v>2.3464440999999998</v>
      </c>
      <c r="G7" cm="1">
        <f t="array" ref="G7">_xll.FDSB(B7,"FG_PRICE_CHANGE(0,-3AM)")</f>
        <v>0.33231973999999997</v>
      </c>
      <c r="H7" cm="1">
        <f t="array" ref="H7">_xll.FDSB(B7,"FG_PRICE_CHANGE(0,-6AM)")</f>
        <v>-3.6686420000000002</v>
      </c>
      <c r="I7" cm="1">
        <f t="array" ref="I7">_xll.FDS(B7,"STD(FG_PRICE_CHANGE(0,-1AY,AM))")</f>
        <v>3.2919038532820499</v>
      </c>
      <c r="J7" cm="1">
        <f t="array" ref="J7">_xll.FDS(B7,"STD(FG_PRICE_CHANGE(0,-3AY,M))")*SQRT(12)</f>
        <v>11.69424287746898</v>
      </c>
      <c r="L7">
        <f t="shared" si="0"/>
        <v>27.3</v>
      </c>
      <c r="M7">
        <f t="shared" si="1"/>
        <v>72.8</v>
      </c>
      <c r="N7">
        <f t="shared" si="2"/>
        <v>91</v>
      </c>
      <c r="O7">
        <f t="shared" si="4"/>
        <v>70.97999999999999</v>
      </c>
      <c r="P7">
        <f t="shared" si="3"/>
        <v>22.799999999999997</v>
      </c>
      <c r="Q7">
        <f>VLOOKUP(A7,CAD!$A$3:$J$23, 10, FALSE)</f>
        <v>54.500000000000007</v>
      </c>
      <c r="S7">
        <f t="shared" si="5"/>
        <v>53.22999999999999</v>
      </c>
      <c r="U7" cm="1">
        <f t="array" ref="U7">_xlfn.PERCENTRANK.EXC(_xlfn._xlws.FILTER(S$3:S$23, ISNUMBER(S$3:S$23)),S7)*100</f>
        <v>54.500000000000007</v>
      </c>
    </row>
    <row r="8" spans="1:21" x14ac:dyDescent="0.35">
      <c r="A8" t="s">
        <v>29</v>
      </c>
      <c r="B8" t="s">
        <v>481</v>
      </c>
      <c r="C8" t="str" cm="1">
        <f t="array" ref="C8">_xll.FDSB(B8,"FG_COMPANY_NAME")</f>
        <v>Peruvian New Sol per U.S. Dollar</v>
      </c>
      <c r="D8" cm="1">
        <f t="array" ref="D8">_xll.FDSB(B8,"FG_PRICE(0)")</f>
        <v>3.7425999999999999</v>
      </c>
      <c r="E8" cm="1">
        <f t="array" ref="E8">_xll.FDSB(B8,"FG_PRICE_CHANGE(0,-1AY)")</f>
        <v>-0.96976759999999995</v>
      </c>
      <c r="F8" cm="1">
        <f t="array" ref="F8">_xll.FDSB(B8,"FG_PRICE_CHANGE(0,-1AM)")</f>
        <v>1.3417125000000001</v>
      </c>
      <c r="G8" cm="1">
        <f t="array" ref="G8">_xll.FDSB(B8,"FG_PRICE_CHANGE(0,-3AM)")</f>
        <v>0.10699034</v>
      </c>
      <c r="H8" cm="1">
        <f t="array" ref="H8">_xll.FDSB(B8,"FG_PRICE_CHANGE(0,-6AM)")</f>
        <v>-2.9635189999999998</v>
      </c>
      <c r="I8" cm="1">
        <f t="array" ref="I8">_xll.FDS(B8,"STD(FG_PRICE_CHANGE(0,-1AY,AM))")</f>
        <v>2.4848690295449698</v>
      </c>
      <c r="J8" cm="1">
        <f t="array" ref="J8">_xll.FDS(B8,"STD(FG_PRICE_CHANGE(0,-3AY,M))")*SQRT(12)</f>
        <v>8.2102365656969116</v>
      </c>
      <c r="L8">
        <f t="shared" si="0"/>
        <v>59.099999999999994</v>
      </c>
      <c r="M8">
        <f t="shared" si="1"/>
        <v>77.3</v>
      </c>
      <c r="N8">
        <f t="shared" si="2"/>
        <v>86.4</v>
      </c>
      <c r="O8">
        <f t="shared" si="4"/>
        <v>77.300000000000011</v>
      </c>
      <c r="P8">
        <f t="shared" si="3"/>
        <v>36.4</v>
      </c>
      <c r="Q8">
        <f>VLOOKUP(A8,CAD!$A$3:$J$23, 10, FALSE)</f>
        <v>36.299999999999997</v>
      </c>
      <c r="S8">
        <f t="shared" si="5"/>
        <v>56.830000000000005</v>
      </c>
      <c r="U8" cm="1">
        <f t="array" ref="U8">_xlfn.PERCENTRANK.EXC(_xlfn._xlws.FILTER(S$3:S$23, ISNUMBER(S$3:S$23)),S8)*100</f>
        <v>59</v>
      </c>
    </row>
    <row r="9" spans="1:21" x14ac:dyDescent="0.35">
      <c r="A9" t="s">
        <v>33</v>
      </c>
      <c r="B9" t="s">
        <v>474</v>
      </c>
      <c r="C9" t="str" cm="1">
        <f t="array" ref="C9">_xll.FDSB(B9,"FG_COMPANY_NAME")</f>
        <v>Malaysian Ringgit per U.S. Dollar</v>
      </c>
      <c r="D9" cm="1">
        <f t="array" ref="D9">_xll.FDSB(B9,"FG_PRICE(0)")</f>
        <v>4.7835000000000001</v>
      </c>
      <c r="E9" cm="1">
        <f t="array" ref="E9">_xll.FDSB(B9,"FG_PRICE_CHANGE(0,-1AY)")</f>
        <v>7.8822729999999996</v>
      </c>
      <c r="F9" cm="1">
        <f t="array" ref="F9">_xll.FDSB(B9,"FG_PRICE_CHANGE(0,-1AM)")</f>
        <v>1.3775587</v>
      </c>
      <c r="G9" cm="1">
        <f t="array" ref="G9">_xll.FDSB(B9,"FG_PRICE_CHANGE(0,-3AM)")</f>
        <v>1.3883114000000001</v>
      </c>
      <c r="H9" cm="1">
        <f t="array" ref="H9">_xll.FDSB(B9,"FG_PRICE_CHANGE(0,-6AM)")</f>
        <v>0.82200766000000003</v>
      </c>
      <c r="I9" cm="1">
        <f t="array" ref="I9">_xll.FDS(B9,"STD(FG_PRICE_CHANGE(0,-1AY,AM))")</f>
        <v>1.4086224824245099</v>
      </c>
      <c r="J9" cm="1">
        <f t="array" ref="J9">_xll.FDS(B9,"STD(FG_PRICE_CHANGE(0,-3AY,M))")*SQRT(12)</f>
        <v>7.609643816576753</v>
      </c>
      <c r="L9">
        <f t="shared" si="0"/>
        <v>54.6</v>
      </c>
      <c r="M9">
        <f t="shared" si="1"/>
        <v>50</v>
      </c>
      <c r="N9">
        <f t="shared" si="2"/>
        <v>41</v>
      </c>
      <c r="O9">
        <f t="shared" si="4"/>
        <v>47.320000000000007</v>
      </c>
      <c r="P9">
        <f t="shared" si="3"/>
        <v>50</v>
      </c>
      <c r="Q9">
        <f>VLOOKUP(A9,CAD!$A$3:$J$23, 10, FALSE)</f>
        <v>68.100000000000009</v>
      </c>
      <c r="S9">
        <f t="shared" si="5"/>
        <v>52.280000000000008</v>
      </c>
      <c r="U9" cm="1">
        <f t="array" ref="U9">_xlfn.PERCENTRANK.EXC(_xlfn._xlws.FILTER(S$3:S$23, ISNUMBER(S$3:S$23)),S9)*100</f>
        <v>50</v>
      </c>
    </row>
    <row r="10" spans="1:21" x14ac:dyDescent="0.35">
      <c r="A10" t="s">
        <v>24</v>
      </c>
      <c r="B10" t="s">
        <v>475</v>
      </c>
      <c r="C10" t="str" cm="1">
        <f t="array" ref="C10">_xll.FDSB(B10,"FG_COMPANY_NAME")</f>
        <v>Taiwan Dollar per U.S. Dollar</v>
      </c>
      <c r="D10" cm="1">
        <f t="array" ref="D10">_xll.FDSB(B10,"FG_PRICE(0)")</f>
        <v>32.345500000000001</v>
      </c>
      <c r="E10" cm="1">
        <f t="array" ref="E10">_xll.FDSB(B10,"FG_PRICE_CHANGE(0,-1AY)")</f>
        <v>5.9500812999999999</v>
      </c>
      <c r="F10" cm="1">
        <f t="array" ref="F10">_xll.FDSB(B10,"FG_PRICE_CHANGE(0,-1AM)")</f>
        <v>2.1361590000000001</v>
      </c>
      <c r="G10" cm="1">
        <f t="array" ref="G10">_xll.FDSB(B10,"FG_PRICE_CHANGE(0,-3AM)")</f>
        <v>2.3899674000000002</v>
      </c>
      <c r="H10" cm="1">
        <f t="array" ref="H10">_xll.FDSB(B10,"FG_PRICE_CHANGE(0,-6AM)")</f>
        <v>0.10987520000000001</v>
      </c>
      <c r="I10" cm="1">
        <f t="array" ref="I10">_xll.FDS(B10,"STD(FG_PRICE_CHANGE(0,-1AY,AM))")</f>
        <v>1.3601939887607599</v>
      </c>
      <c r="J10" cm="1">
        <f t="array" ref="J10">_xll.FDS(B10,"STD(FG_PRICE_CHANGE(0,-3AY,M))")*SQRT(12)</f>
        <v>6.0189376756478037</v>
      </c>
      <c r="L10">
        <f t="shared" si="0"/>
        <v>41</v>
      </c>
      <c r="M10">
        <f t="shared" si="1"/>
        <v>41</v>
      </c>
      <c r="N10">
        <f t="shared" si="2"/>
        <v>54.6</v>
      </c>
      <c r="O10">
        <f t="shared" si="4"/>
        <v>46.440000000000005</v>
      </c>
      <c r="P10">
        <f t="shared" si="3"/>
        <v>68.2</v>
      </c>
      <c r="Q10">
        <f>VLOOKUP(A10,CAD!$A$3:$J$23, 10, FALSE)</f>
        <v>90.9</v>
      </c>
      <c r="S10">
        <f t="shared" si="5"/>
        <v>61.860000000000014</v>
      </c>
      <c r="U10" cm="1">
        <f t="array" ref="U10">_xlfn.PERCENTRANK.EXC(_xlfn._xlws.FILTER(S$3:S$23, ISNUMBER(S$3:S$23)),S10)*100</f>
        <v>68.100000000000009</v>
      </c>
    </row>
    <row r="11" spans="1:21" x14ac:dyDescent="0.35">
      <c r="A11" t="s">
        <v>7</v>
      </c>
      <c r="B11" t="s">
        <v>478</v>
      </c>
      <c r="C11" t="str" cm="1">
        <f t="array" ref="C11">_xll.FDSB(B11,"FG_COMPANY_NAME")</f>
        <v>Mexican Peso per U.S. Dollar</v>
      </c>
      <c r="D11" cm="1">
        <f t="array" ref="D11">_xll.FDSB(B11,"FG_PRICE(0)")</f>
        <v>17.090250000000001</v>
      </c>
      <c r="E11" cm="1">
        <f t="array" ref="E11">_xll.FDSB(B11,"FG_PRICE_CHANGE(0,-1AY)")</f>
        <v>-5.4389772000000001</v>
      </c>
      <c r="F11" cm="1">
        <f t="array" ref="F11">_xll.FDSB(B11,"FG_PRICE_CHANGE(0,-1AM)")</f>
        <v>1.800394</v>
      </c>
      <c r="G11" cm="1">
        <f t="array" ref="G11">_xll.FDSB(B11,"FG_PRICE_CHANGE(0,-3AM)")</f>
        <v>-0.62075259999999999</v>
      </c>
      <c r="H11" cm="1">
        <f t="array" ref="H11">_xll.FDSB(B11,"FG_PRICE_CHANGE(0,-6AM)")</f>
        <v>-6.5506516000000001</v>
      </c>
      <c r="I11" cm="1">
        <f t="array" ref="I11">_xll.FDS(B11,"STD(FG_PRICE_CHANGE(0,-1AY,AM))")</f>
        <v>3.24093972187358</v>
      </c>
      <c r="J11" cm="1">
        <f t="array" ref="J11">_xll.FDS(B11,"STD(FG_PRICE_CHANGE(0,-3AY,M))")*SQRT(12)</f>
        <v>7.9054580098587977</v>
      </c>
      <c r="L11">
        <f t="shared" si="0"/>
        <v>50</v>
      </c>
      <c r="M11">
        <f t="shared" si="1"/>
        <v>95.5</v>
      </c>
      <c r="N11">
        <f t="shared" si="2"/>
        <v>95.5</v>
      </c>
      <c r="O11">
        <f t="shared" si="4"/>
        <v>86.4</v>
      </c>
      <c r="P11">
        <f t="shared" si="3"/>
        <v>41</v>
      </c>
      <c r="Q11">
        <f>VLOOKUP(A11,CAD!$A$3:$J$23, 10, FALSE)</f>
        <v>40.9</v>
      </c>
      <c r="S11">
        <f t="shared" si="5"/>
        <v>63.68</v>
      </c>
      <c r="U11" cm="1">
        <f t="array" ref="U11">_xlfn.PERCENTRANK.EXC(_xlfn._xlws.FILTER(S$3:S$23, ISNUMBER(S$3:S$23)),S11)*100</f>
        <v>72.7</v>
      </c>
    </row>
    <row r="12" spans="1:21" x14ac:dyDescent="0.35">
      <c r="A12" t="s">
        <v>21</v>
      </c>
      <c r="B12" t="s">
        <v>391</v>
      </c>
      <c r="C12" t="str" cm="1">
        <f t="array" ref="C12">_xll.FDSB(B12,"FG_COMPANY_NAME")</f>
        <v>South Korean Won per U.S. Dollar</v>
      </c>
      <c r="D12" cm="1">
        <f t="array" ref="D12">_xll.FDSB(B12,"FG_PRICE(0)")</f>
        <v>1372.95</v>
      </c>
      <c r="E12" cm="1">
        <f t="array" ref="E12">_xll.FDSB(B12,"FG_PRICE_CHANGE(0,-1AY)")</f>
        <v>4.1178464999999997</v>
      </c>
      <c r="F12" cm="1">
        <f t="array" ref="F12">_xll.FDSB(B12,"FG_PRICE_CHANGE(0,-1AM)")</f>
        <v>2.9429436</v>
      </c>
      <c r="G12" cm="1">
        <f t="array" ref="G12">_xll.FDSB(B12,"FG_PRICE_CHANGE(0,-3AM)")</f>
        <v>2.4857163</v>
      </c>
      <c r="H12" cm="1">
        <f t="array" ref="H12">_xll.FDSB(B12,"FG_PRICE_CHANGE(0,-6AM)")</f>
        <v>1.7338990999999999</v>
      </c>
      <c r="I12" cm="1">
        <f t="array" ref="I12">_xll.FDS(B12,"STD(FG_PRICE_CHANGE(0,-1AY,AM))")</f>
        <v>2.8948130145004498</v>
      </c>
      <c r="J12" cm="1">
        <f t="array" ref="J12">_xll.FDS(B12,"STD(FG_PRICE_CHANGE(0,-3AY,M))")*SQRT(12)</f>
        <v>10.43477083395487</v>
      </c>
      <c r="L12">
        <f t="shared" si="0"/>
        <v>13.700000000000001</v>
      </c>
      <c r="M12">
        <f t="shared" si="1"/>
        <v>31.899999999999995</v>
      </c>
      <c r="N12">
        <f t="shared" si="2"/>
        <v>27.3</v>
      </c>
      <c r="O12">
        <f t="shared" si="4"/>
        <v>26.42</v>
      </c>
      <c r="P12">
        <f t="shared" si="3"/>
        <v>27.299999999999997</v>
      </c>
      <c r="Q12">
        <f>VLOOKUP(A12,CAD!$A$3:$J$23, 10, FALSE)</f>
        <v>77.2</v>
      </c>
      <c r="S12">
        <f t="shared" si="5"/>
        <v>36.840000000000003</v>
      </c>
      <c r="U12" cm="1">
        <f t="array" ref="U12">_xlfn.PERCENTRANK.EXC(_xlfn._xlws.FILTER(S$3:S$23, ISNUMBER(S$3:S$23)),S12)*100</f>
        <v>22.7</v>
      </c>
    </row>
    <row r="13" spans="1:21" x14ac:dyDescent="0.35">
      <c r="A13" t="s">
        <v>12</v>
      </c>
      <c r="B13" t="s">
        <v>470</v>
      </c>
      <c r="C13" t="str" cm="1">
        <f t="array" ref="C13">_xll.FDSB(B13,"FG_COMPANY_NAME")</f>
        <v>Brazilian Real per U.S. Dollar</v>
      </c>
      <c r="D13" cm="1">
        <f t="array" ref="D13">_xll.FDSB(B13,"FG_PRICE(0)")</f>
        <v>5.2485999999999997</v>
      </c>
      <c r="E13" cm="1">
        <f t="array" ref="E13">_xll.FDSB(B13,"FG_PRICE_CHANGE(0,-1AY)")</f>
        <v>5.5642129999999996</v>
      </c>
      <c r="F13" cm="1">
        <f t="array" ref="F13">_xll.FDSB(B13,"FG_PRICE_CHANGE(0,-1AM)")</f>
        <v>4.5506596999999998</v>
      </c>
      <c r="G13" cm="1">
        <f t="array" ref="G13">_xll.FDSB(B13,"FG_PRICE_CHANGE(0,-3AM)")</f>
        <v>6.0934067000000001</v>
      </c>
      <c r="H13" cm="1">
        <f t="array" ref="H13">_xll.FDSB(B13,"FG_PRICE_CHANGE(0,-6AM)")</f>
        <v>3.5614967000000002</v>
      </c>
      <c r="I13" cm="1">
        <f t="array" ref="I13">_xll.FDS(B13,"STD(FG_PRICE_CHANGE(0,-1AY,AM))")</f>
        <v>3.0947655905112201</v>
      </c>
      <c r="J13" cm="1">
        <f t="array" ref="J13">_xll.FDS(B13,"STD(FG_PRICE_CHANGE(0,-3AY,M))")*SQRT(12)</f>
        <v>12.665550803747117</v>
      </c>
      <c r="L13">
        <f t="shared" si="0"/>
        <v>4.6000000000000041</v>
      </c>
      <c r="M13">
        <f t="shared" si="1"/>
        <v>9.0999999999999979</v>
      </c>
      <c r="N13">
        <f t="shared" si="2"/>
        <v>9.0999999999999979</v>
      </c>
      <c r="O13">
        <f t="shared" si="4"/>
        <v>8.1999999999999993</v>
      </c>
      <c r="P13">
        <f t="shared" si="3"/>
        <v>18.200000000000003</v>
      </c>
      <c r="Q13">
        <f>VLOOKUP(A13,CAD!$A$3:$J$23, 10, FALSE)</f>
        <v>27.200000000000003</v>
      </c>
      <c r="S13">
        <f t="shared" si="5"/>
        <v>15.000000000000002</v>
      </c>
      <c r="U13" cm="1">
        <f t="array" ref="U13">_xlfn.PERCENTRANK.EXC(_xlfn._xlws.FILTER(S$3:S$23, ISNUMBER(S$3:S$23)),S13)*100</f>
        <v>9</v>
      </c>
    </row>
    <row r="14" spans="1:21" x14ac:dyDescent="0.35">
      <c r="A14" t="s">
        <v>22</v>
      </c>
      <c r="B14" t="s">
        <v>386</v>
      </c>
      <c r="C14" t="str" cm="1">
        <f t="array" ref="C14">_xll.FDSB(B14,"FG_COMPANY_NAME")</f>
        <v>South African Rand per U.S. Dollar</v>
      </c>
      <c r="D14" cm="1">
        <f t="array" ref="D14">_xll.FDSB(B14,"FG_PRICE(0)")</f>
        <v>19.14875</v>
      </c>
      <c r="E14" cm="1">
        <f t="array" ref="E14">_xll.FDSB(B14,"FG_PRICE_CHANGE(0,-1AY)")</f>
        <v>5.3793790000000001</v>
      </c>
      <c r="F14" cm="1">
        <f t="array" ref="F14">_xll.FDSB(B14,"FG_PRICE_CHANGE(0,-1AM)")</f>
        <v>0.95558167000000005</v>
      </c>
      <c r="G14" cm="1">
        <f t="array" ref="G14">_xll.FDSB(B14,"FG_PRICE_CHANGE(0,-3AM)")</f>
        <v>0.99552870000000004</v>
      </c>
      <c r="H14" cm="1">
        <f t="array" ref="H14">_xll.FDSB(B14,"FG_PRICE_CHANGE(0,-6AM)")</f>
        <v>0.52497386999999995</v>
      </c>
      <c r="I14" cm="1">
        <f t="array" ref="I14">_xll.FDS(B14,"STD(FG_PRICE_CHANGE(0,-1AY,AM))")</f>
        <v>3.5634775808457699</v>
      </c>
      <c r="J14" cm="1">
        <f t="array" ref="J14">_xll.FDS(B14,"STD(FG_PRICE_CHANGE(0,-3AY,M))")*SQRT(12)</f>
        <v>13.950592598393449</v>
      </c>
      <c r="L14">
        <f t="shared" si="0"/>
        <v>63.7</v>
      </c>
      <c r="M14">
        <f t="shared" si="1"/>
        <v>54.6</v>
      </c>
      <c r="N14">
        <f t="shared" si="2"/>
        <v>45.499999999999993</v>
      </c>
      <c r="O14">
        <f t="shared" si="4"/>
        <v>52.78</v>
      </c>
      <c r="P14">
        <f t="shared" si="3"/>
        <v>13.700000000000003</v>
      </c>
      <c r="Q14">
        <f>VLOOKUP(A14,CAD!$A$3:$J$23, 10, FALSE)</f>
        <v>22.7</v>
      </c>
      <c r="S14">
        <f t="shared" si="5"/>
        <v>35.04</v>
      </c>
      <c r="U14" cm="1">
        <f t="array" ref="U14">_xlfn.PERCENTRANK.EXC(_xlfn._xlws.FILTER(S$3:S$23, ISNUMBER(S$3:S$23)),S14)*100</f>
        <v>18.099999999999998</v>
      </c>
    </row>
    <row r="15" spans="1:21" x14ac:dyDescent="0.35">
      <c r="A15" t="s">
        <v>28</v>
      </c>
      <c r="B15" t="s">
        <v>468</v>
      </c>
      <c r="C15" t="str" cm="1">
        <f t="array" ref="C15">_xll.FDSB(B15,"FG_COMPANY_NAME")</f>
        <v>Euro per U.S. Dollar</v>
      </c>
      <c r="D15" cm="1">
        <f t="array" ref="D15">_xll.FDSB(B15,"FG_PRICE(0)")</f>
        <v>0.93848246000000002</v>
      </c>
      <c r="E15" cm="1">
        <f t="array" ref="E15">_xll.FDSB(B15,"FG_PRICE_CHANGE(0,-1AY)")</f>
        <v>2.8811336000000001</v>
      </c>
      <c r="F15" cm="1">
        <f t="array" ref="F15">_xll.FDSB(B15,"FG_PRICE_CHANGE(0,-1AM)")</f>
        <v>2.1585106999999999</v>
      </c>
      <c r="G15" cm="1">
        <f t="array" ref="G15">_xll.FDSB(B15,"FG_PRICE_CHANGE(0,-3AM)")</f>
        <v>1.8394231999999999</v>
      </c>
      <c r="H15" cm="1">
        <f t="array" ref="H15">_xll.FDSB(B15,"FG_PRICE_CHANGE(0,-6AM)")</f>
        <v>-1.0980247999999999</v>
      </c>
      <c r="I15" cm="1">
        <f t="array" ref="I15">_xll.FDS(B15,"STD(FG_PRICE_CHANGE(0,-1AY,AM))")</f>
        <v>2.1317776225554801</v>
      </c>
      <c r="J15" cm="1">
        <f t="array" ref="J15">_xll.FDS(B15,"STD(FG_PRICE_CHANGE(0,-3AY,M))")*SQRT(12)</f>
        <v>7.6997282271489738</v>
      </c>
      <c r="L15">
        <f t="shared" si="0"/>
        <v>36.4</v>
      </c>
      <c r="M15">
        <f t="shared" si="1"/>
        <v>45.499999999999993</v>
      </c>
      <c r="N15">
        <f t="shared" si="2"/>
        <v>81.899999999999991</v>
      </c>
      <c r="O15">
        <f t="shared" si="4"/>
        <v>58.239999999999995</v>
      </c>
      <c r="P15">
        <f t="shared" si="3"/>
        <v>45.499999999999993</v>
      </c>
      <c r="Q15">
        <f>VLOOKUP(A15,CAD!$A$3:$J$23, 10, FALSE)</f>
        <v>4.5</v>
      </c>
      <c r="S15">
        <f t="shared" si="5"/>
        <v>43.669999999999995</v>
      </c>
      <c r="U15" cm="1">
        <f t="array" ref="U15">_xlfn.PERCENTRANK.EXC(_xlfn._xlws.FILTER(S$3:S$23, ISNUMBER(S$3:S$23)),S15)*100</f>
        <v>45.4</v>
      </c>
    </row>
    <row r="16" spans="1:21" x14ac:dyDescent="0.35">
      <c r="A16" t="s">
        <v>32</v>
      </c>
      <c r="B16" t="s">
        <v>387</v>
      </c>
      <c r="C16" t="str" cm="1">
        <f t="array" ref="C16">_xll.FDSB(B16,"FG_COMPANY_NAME")</f>
        <v>Indian Rupee per U.S. Dollar</v>
      </c>
      <c r="D16" cm="1">
        <f t="array" ref="D16">_xll.FDSB(B16,"FG_PRICE(0)")</f>
        <v>83.546250000000001</v>
      </c>
      <c r="E16" cm="1">
        <f t="array" ref="E16">_xll.FDSB(B16,"FG_PRICE_CHANGE(0,-1AY)")</f>
        <v>1.8344402</v>
      </c>
      <c r="F16" cm="1">
        <f t="array" ref="F16">_xll.FDSB(B16,"FG_PRICE_CHANGE(0,-1AM)")</f>
        <v>0.76284410000000002</v>
      </c>
      <c r="G16" cm="1">
        <f t="array" ref="G16">_xll.FDSB(B16,"FG_PRICE_CHANGE(0,-3AM)")</f>
        <v>0.51130056000000002</v>
      </c>
      <c r="H16" cm="1">
        <f t="array" ref="H16">_xll.FDSB(B16,"FG_PRICE_CHANGE(0,-6AM)")</f>
        <v>0.33324956999999999</v>
      </c>
      <c r="I16" cm="1">
        <f t="array" ref="I16">_xll.FDS(B16,"STD(FG_PRICE_CHANGE(0,-1AY,AM))")</f>
        <v>0.56116231638367398</v>
      </c>
      <c r="J16" cm="1">
        <f t="array" ref="J16">_xll.FDS(B16,"STD(FG_PRICE_CHANGE(0,-3AY,M))")*SQRT(12)</f>
        <v>3.77520430120261</v>
      </c>
      <c r="L16">
        <f t="shared" si="0"/>
        <v>68.199999999999989</v>
      </c>
      <c r="M16">
        <f t="shared" si="1"/>
        <v>59.099999999999994</v>
      </c>
      <c r="N16">
        <f t="shared" si="2"/>
        <v>50</v>
      </c>
      <c r="O16">
        <f t="shared" si="4"/>
        <v>57.28</v>
      </c>
      <c r="P16">
        <f t="shared" si="3"/>
        <v>81.900000000000006</v>
      </c>
      <c r="Q16">
        <f>VLOOKUP(A16,CAD!$A$3:$J$23, 10, FALSE)</f>
        <v>31.8</v>
      </c>
      <c r="S16">
        <f t="shared" si="5"/>
        <v>59.57</v>
      </c>
      <c r="U16" cm="1">
        <f t="array" ref="U16">_xlfn.PERCENTRANK.EXC(_xlfn._xlws.FILTER(S$3:S$23, ISNUMBER(S$3:S$23)),S16)*100</f>
        <v>63.6</v>
      </c>
    </row>
    <row r="17" spans="1:21" x14ac:dyDescent="0.35">
      <c r="A17" t="s">
        <v>26</v>
      </c>
      <c r="B17" t="s">
        <v>473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7.2507000000000001</v>
      </c>
      <c r="E17" cm="1">
        <f t="array" ref="E17">_xll.FDSB(B17,"FG_PRICE_CHANGE(0,-1AY)")</f>
        <v>5.3804280000000002</v>
      </c>
      <c r="F17" cm="1">
        <f t="array" ref="F17">_xll.FDSB(B17,"FG_PRICE_CHANGE(0,-1AM)")</f>
        <v>0.60844419999999999</v>
      </c>
      <c r="G17" cm="1">
        <f t="array" ref="G17">_xll.FDSB(B17,"FG_PRICE_CHANGE(0,-3AM)")</f>
        <v>0.40643214999999999</v>
      </c>
      <c r="H17" cm="1">
        <f t="array" ref="H17">_xll.FDSB(B17,"FG_PRICE_CHANGE(0,-6AM)")</f>
        <v>-1.0595858</v>
      </c>
      <c r="I17" cm="1">
        <f t="array" ref="I17">_xll.FDS(B17,"STD(FG_PRICE_CHANGE(0,-1AY,AM))")</f>
        <v>1.0747863322008899</v>
      </c>
      <c r="J17" cm="1">
        <f t="array" ref="J17">_xll.FDS(B17,"STD(FG_PRICE_CHANGE(0,-3AY,M))")*SQRT(12)</f>
        <v>6.2450194039499847</v>
      </c>
      <c r="L17">
        <f t="shared" si="0"/>
        <v>81.899999999999991</v>
      </c>
      <c r="M17">
        <f t="shared" si="1"/>
        <v>68.199999999999989</v>
      </c>
      <c r="N17">
        <f t="shared" si="2"/>
        <v>77.3</v>
      </c>
      <c r="O17">
        <f t="shared" si="4"/>
        <v>74.58</v>
      </c>
      <c r="P17">
        <f t="shared" si="3"/>
        <v>59.1</v>
      </c>
      <c r="Q17">
        <f>VLOOKUP(A17,CAD!$A$3:$J$23, 10, FALSE)</f>
        <v>59</v>
      </c>
      <c r="S17">
        <f t="shared" si="5"/>
        <v>66.819999999999993</v>
      </c>
      <c r="U17" cm="1">
        <f t="array" ref="U17">_xlfn.PERCENTRANK.EXC(_xlfn._xlws.FILTER(S$3:S$23, ISNUMBER(S$3:S$23)),S17)*100</f>
        <v>77.2</v>
      </c>
    </row>
    <row r="18" spans="1:21" x14ac:dyDescent="0.35">
      <c r="A18" t="s">
        <v>31</v>
      </c>
      <c r="B18" t="s">
        <v>567</v>
      </c>
      <c r="C18" t="str" cm="1">
        <f t="array" ref="C18">_xll.FDSB(B18,"FG_COMPANY_NAME")</f>
        <v>Qatari Rial per U.S. Dollar</v>
      </c>
      <c r="D18" cm="1">
        <f t="array" ref="D18">_xll.FDSB(B18,"FG_PRICE(0)")</f>
        <v>3.641</v>
      </c>
      <c r="E18" cm="1">
        <f t="array" ref="E18">_xll.FDSB(B18,"FG_PRICE_CHANGE(0,-1AY)")</f>
        <v>2.7465819999999998E-2</v>
      </c>
      <c r="F18" cm="1">
        <f t="array" ref="F18">_xll.FDSB(B18,"FG_PRICE_CHANGE(0,-1AM)")</f>
        <v>0</v>
      </c>
      <c r="G18" cm="1">
        <f t="array" ref="G18">_xll.FDSB(B18,"FG_PRICE_CHANGE(0,-3AM)")</f>
        <v>0</v>
      </c>
      <c r="H18" cm="1">
        <f t="array" ref="H18">_xll.FDSB(B18,"FG_PRICE_CHANGE(0,-6AM)")</f>
        <v>2.7465819999999998E-2</v>
      </c>
      <c r="I18" cm="1">
        <f t="array" ref="I18">_xll.FDS(B18,"STD(FG_PRICE_CHANGE(0,-1AY,AM))")</f>
        <v>1.5892567041640899E-2</v>
      </c>
      <c r="J18" cm="1">
        <f t="array" ref="J18">_xll.FDS(B18,"STD(FG_PRICE_CHANGE(0,-3AY,M))")*SQRT(12)</f>
        <v>3.760597663752805E-2</v>
      </c>
      <c r="L18">
        <f t="shared" si="0"/>
        <v>91</v>
      </c>
      <c r="M18">
        <f t="shared" si="1"/>
        <v>86.4</v>
      </c>
      <c r="N18">
        <f t="shared" si="2"/>
        <v>59.099999999999994</v>
      </c>
      <c r="O18">
        <f t="shared" si="4"/>
        <v>76.400000000000006</v>
      </c>
      <c r="P18">
        <f t="shared" si="3"/>
        <v>91</v>
      </c>
      <c r="Q18">
        <f>VLOOKUP(A18,CAD!$A$3:$J$23, 10, FALSE)</f>
        <v>95.399999999999991</v>
      </c>
      <c r="S18">
        <f t="shared" si="5"/>
        <v>84.58</v>
      </c>
      <c r="U18" cm="1">
        <f t="array" ref="U18">_xlfn.PERCENTRANK.EXC(_xlfn._xlws.FILTER(S$3:S$23, ISNUMBER(S$3:S$23)),S18)*100</f>
        <v>90.9</v>
      </c>
    </row>
    <row r="19" spans="1:21" x14ac:dyDescent="0.35">
      <c r="A19" t="s">
        <v>757</v>
      </c>
      <c r="B19" t="s">
        <v>471</v>
      </c>
      <c r="C19" t="str" cm="1">
        <f t="array" ref="C19">_xll.FDSB(B19,"FG_COMPANY_NAME")</f>
        <v>Thailand Baht per U.S. Dollar</v>
      </c>
      <c r="D19" cm="1">
        <f t="array" ref="D19">_xll.FDSB(B19,"FG_PRICE(0)")</f>
        <v>36.767499999999998</v>
      </c>
      <c r="E19" cm="1">
        <f t="array" ref="E19">_xll.FDSB(B19,"FG_PRICE_CHANGE(0,-1AY)")</f>
        <v>7.2251440000000002</v>
      </c>
      <c r="F19" cm="1">
        <f t="array" ref="F19">_xll.FDSB(B19,"FG_PRICE_CHANGE(0,-1AM)")</f>
        <v>2.1887183000000001</v>
      </c>
      <c r="G19" cm="1">
        <f t="array" ref="G19">_xll.FDSB(B19,"FG_PRICE_CHANGE(0,-3AM)")</f>
        <v>3.3012629000000002</v>
      </c>
      <c r="H19" cm="1">
        <f t="array" ref="H19">_xll.FDSB(B19,"FG_PRICE_CHANGE(0,-6AM)")</f>
        <v>1.3367294999999999</v>
      </c>
      <c r="I19" cm="1">
        <f t="array" ref="I19">_xll.FDS(B19,"STD(FG_PRICE_CHANGE(0,-1AY,AM))")</f>
        <v>1.67524654289563</v>
      </c>
      <c r="J19" cm="1">
        <f t="array" ref="J19">_xll.FDS(B19,"STD(FG_PRICE_CHANGE(0,-3AY,M))")*SQRT(12)</f>
        <v>10.353569984930164</v>
      </c>
      <c r="L19">
        <f t="shared" si="0"/>
        <v>31.899999999999995</v>
      </c>
      <c r="M19">
        <f t="shared" si="1"/>
        <v>27.3</v>
      </c>
      <c r="N19">
        <f t="shared" si="2"/>
        <v>31.899999999999995</v>
      </c>
      <c r="O19">
        <f t="shared" si="4"/>
        <v>30.06</v>
      </c>
      <c r="P19">
        <f t="shared" si="3"/>
        <v>31.899999999999991</v>
      </c>
      <c r="Q19">
        <f>VLOOKUP(A19,CAD!$A$3:$J$23, 10, FALSE)</f>
        <v>72.7</v>
      </c>
      <c r="S19">
        <f t="shared" si="5"/>
        <v>39.139999999999993</v>
      </c>
      <c r="U19" cm="1">
        <f t="array" ref="U19">_xlfn.PERCENTRANK.EXC(_xlfn._xlws.FILTER(S$3:S$23, ISNUMBER(S$3:S$23)),S19)*100</f>
        <v>31.8</v>
      </c>
    </row>
    <row r="20" spans="1:21" x14ac:dyDescent="0.35">
      <c r="A20" t="s">
        <v>25</v>
      </c>
      <c r="B20" t="s">
        <v>476</v>
      </c>
      <c r="C20" t="str" cm="1">
        <f t="array" ref="C20">_xll.FDSB(B20,"FG_COMPANY_NAME")</f>
        <v>Turkish New Lira per U.S. Dollar</v>
      </c>
      <c r="D20" cm="1">
        <f t="array" ref="D20">_xll.FDSB(B20,"FG_PRICE(0)")</f>
        <v>32.496499999999997</v>
      </c>
      <c r="E20" cm="1">
        <f t="array" ref="E20">_xll.FDSB(B20,"FG_PRICE_CHANGE(0,-1AY)")</f>
        <v>67.516350000000003</v>
      </c>
      <c r="F20" cm="1">
        <f t="array" ref="F20">_xll.FDSB(B20,"FG_PRICE_CHANGE(0,-1AM)")</f>
        <v>0.62315463999999998</v>
      </c>
      <c r="G20" cm="1">
        <f t="array" ref="G20">_xll.FDSB(B20,"FG_PRICE_CHANGE(0,-3AM)")</f>
        <v>7.8453419999999996</v>
      </c>
      <c r="H20" cm="1">
        <f t="array" ref="H20">_xll.FDSB(B20,"FG_PRICE_CHANGE(0,-6AM)")</f>
        <v>15.986431</v>
      </c>
      <c r="I20" cm="1">
        <f t="array" ref="I20">_xll.FDS(B20,"STD(FG_PRICE_CHANGE(0,-1AY,AM))")</f>
        <v>5.7518363219100399</v>
      </c>
      <c r="J20" cm="1">
        <f t="array" ref="J20">_xll.FDS(B20,"STD(FG_PRICE_CHANGE(0,-3AY,M))")*SQRT(12)</f>
        <v>26.125010360192913</v>
      </c>
      <c r="L20">
        <f t="shared" si="0"/>
        <v>72.8</v>
      </c>
      <c r="M20">
        <f t="shared" si="1"/>
        <v>4.6000000000000041</v>
      </c>
      <c r="N20">
        <f t="shared" si="2"/>
        <v>4.6000000000000041</v>
      </c>
      <c r="O20">
        <f t="shared" si="4"/>
        <v>18.240000000000002</v>
      </c>
      <c r="P20">
        <f t="shared" si="3"/>
        <v>4.6000000000000085</v>
      </c>
      <c r="Q20">
        <f>VLOOKUP(A20,CAD!$A$3:$J$23, 10, FALSE)</f>
        <v>13.600000000000001</v>
      </c>
      <c r="S20">
        <f t="shared" si="5"/>
        <v>13.220000000000004</v>
      </c>
      <c r="U20" cm="1">
        <f t="array" ref="U20">_xlfn.PERCENTRANK.EXC(_xlfn._xlws.FILTER(S$3:S$23, ISNUMBER(S$3:S$23)),S20)*100</f>
        <v>4.5</v>
      </c>
    </row>
    <row r="21" spans="1:21" x14ac:dyDescent="0.35">
      <c r="A21" t="s">
        <v>34</v>
      </c>
      <c r="B21" t="s">
        <v>565</v>
      </c>
      <c r="C21" t="str" cm="1">
        <f t="array" ref="C21">_xll.FDSB(B21,"FG_COMPANY_NAME")</f>
        <v>UAE Dirham per U.S. Dollar</v>
      </c>
      <c r="D21" cm="1">
        <f t="array" ref="D21">_xll.FDSB(B21,"FG_PRICE(0)")</f>
        <v>3.6724999999999999</v>
      </c>
      <c r="E21" cm="1">
        <f t="array" ref="E21">_xll.FDSB(B21,"FG_PRICE_CHANGE(0,-1AY)")</f>
        <v>5.4359435999999997E-3</v>
      </c>
      <c r="F21" cm="1">
        <f t="array" ref="F21">_xll.FDSB(B21,"FG_PRICE_CHANGE(0,-1AM)")</f>
        <v>-1.2254714999999999E-2</v>
      </c>
      <c r="G21" cm="1">
        <f t="array" ref="G21">_xll.FDSB(B21,"FG_PRICE_CHANGE(0,-3AM)")</f>
        <v>-1.0889769000000001E-2</v>
      </c>
      <c r="H21" cm="1">
        <f t="array" ref="H21">_xll.FDSB(B21,"FG_PRICE_CHANGE(0,-6AM)")</f>
        <v>-1.3619661E-2</v>
      </c>
      <c r="I21" cm="1">
        <f t="array" ref="I21">_xll.FDS(B21,"STD(FG_PRICE_CHANGE(0,-1AY,AM))")</f>
        <v>9.8105275537071109E-3</v>
      </c>
      <c r="J21" cm="1">
        <f t="array" ref="J21">_xll.FDS(B21,"STD(FG_PRICE_CHANGE(0,-3AY,M))")*SQRT(12)</f>
        <v>2.836616634243197E-2</v>
      </c>
      <c r="L21">
        <f t="shared" si="0"/>
        <v>95.5</v>
      </c>
      <c r="M21">
        <f t="shared" si="1"/>
        <v>91</v>
      </c>
      <c r="N21">
        <f t="shared" si="2"/>
        <v>68.199999999999989</v>
      </c>
      <c r="O21">
        <f t="shared" si="4"/>
        <v>82.78</v>
      </c>
      <c r="P21">
        <f t="shared" si="3"/>
        <v>95.5</v>
      </c>
      <c r="Q21">
        <f>VLOOKUP(A21,CAD!$A$3:$J$23, 10, FALSE)</f>
        <v>86.3</v>
      </c>
      <c r="S21">
        <f t="shared" si="5"/>
        <v>87.3</v>
      </c>
      <c r="U21" cm="1">
        <f t="array" ref="U21">_xlfn.PERCENTRANK.EXC(_xlfn._xlws.FILTER(S$3:S$23, ISNUMBER(S$3:S$23)),S21)*100</f>
        <v>95.399999999999991</v>
      </c>
    </row>
    <row r="22" spans="1:21" x14ac:dyDescent="0.35">
      <c r="A22" t="s">
        <v>37</v>
      </c>
      <c r="B22" t="s">
        <v>472</v>
      </c>
      <c r="C22" t="str" cm="1">
        <f t="array" ref="C22">_xll.FDSB(B22,"FG_COMPANY_NAME")</f>
        <v>Vietnam Dong per U.S. Dollar</v>
      </c>
      <c r="D22" cm="1">
        <f t="array" ref="D22">_xll.FDSB(B22,"FG_PRICE(0)")</f>
        <v>25394</v>
      </c>
      <c r="E22" cm="1">
        <f t="array" ref="E22">_xll.FDSB(B22,"FG_PRICE_CHANGE(0,-1AY)")</f>
        <v>8.0205079999999995</v>
      </c>
      <c r="F22" cm="1">
        <f t="array" ref="F22">_xll.FDSB(B22,"FG_PRICE_CHANGE(0,-1AM)")</f>
        <v>2.7057647999999999</v>
      </c>
      <c r="G22" cm="1">
        <f t="array" ref="G22">_xll.FDSB(B22,"FG_PRICE_CHANGE(0,-3AM)")</f>
        <v>3.3957600000000001</v>
      </c>
      <c r="H22" cm="1">
        <f t="array" ref="H22">_xll.FDSB(B22,"FG_PRICE_CHANGE(0,-6AM)")</f>
        <v>3.480029</v>
      </c>
      <c r="I22" cm="1">
        <f t="array" ref="I22">_xll.FDS(B22,"STD(FG_PRICE_CHANGE(0,-1AY,AM))")</f>
        <v>1.0380732674756299</v>
      </c>
      <c r="J22" cm="1">
        <f t="array" ref="J22">_xll.FDS(B22,"STD(FG_PRICE_CHANGE(0,-3AY,M))")*SQRT(12)</f>
        <v>4.2919460313745104</v>
      </c>
      <c r="L22">
        <f t="shared" si="0"/>
        <v>22.799999999999997</v>
      </c>
      <c r="M22">
        <f t="shared" si="1"/>
        <v>22.799999999999997</v>
      </c>
      <c r="N22">
        <f t="shared" si="2"/>
        <v>13.700000000000001</v>
      </c>
      <c r="O22">
        <f t="shared" si="4"/>
        <v>19.16</v>
      </c>
      <c r="P22">
        <f t="shared" si="3"/>
        <v>77.3</v>
      </c>
      <c r="Q22">
        <f>VLOOKUP(A22,CAD!$A$3:$J$23, 10, FALSE)</f>
        <v>50</v>
      </c>
      <c r="S22">
        <f t="shared" si="5"/>
        <v>42.769999999999996</v>
      </c>
      <c r="U22" cm="1">
        <f t="array" ref="U22">_xlfn.PERCENTRANK.EXC(_xlfn._xlws.FILTER(S$3:S$23, ISNUMBER(S$3:S$23)),S22)*100</f>
        <v>40.9</v>
      </c>
    </row>
    <row r="23" spans="1:21" x14ac:dyDescent="0.35">
      <c r="A23" t="s">
        <v>36</v>
      </c>
      <c r="B23" t="s">
        <v>566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3.7511999999999999</v>
      </c>
      <c r="E23" cm="1">
        <f t="array" ref="E23">_xll.FDSB(B23,"FG_PRICE_CHANGE(0,-1AY)")</f>
        <v>1.5997886999999999E-2</v>
      </c>
      <c r="F23" cm="1">
        <f t="array" ref="F23">_xll.FDSB(B23,"FG_PRICE_CHANGE(0,-1AM)")</f>
        <v>2.399683E-2</v>
      </c>
      <c r="G23" cm="1">
        <f t="array" ref="G23">_xll.FDSB(B23,"FG_PRICE_CHANGE(0,-3AM)")</f>
        <v>1.5997886999999999E-2</v>
      </c>
      <c r="H23" cm="1">
        <f t="array" ref="H23">_xll.FDSB(B23,"FG_PRICE_CHANGE(0,-6AM)")</f>
        <v>5.3286551999999999E-3</v>
      </c>
      <c r="I23" cm="1">
        <f t="array" ref="I23">_xll.FDS(B23,"STD(FG_PRICE_CHANGE(0,-1AY,AM))")</f>
        <v>4.8393727734565899E-2</v>
      </c>
      <c r="J23" cm="1">
        <f t="array" ref="J23">_xll.FDS(B23,"STD(FG_PRICE_CHANGE(0,-3AY,M))")*SQRT(12)</f>
        <v>0.14934075955017481</v>
      </c>
      <c r="L23">
        <f t="shared" si="0"/>
        <v>86.4</v>
      </c>
      <c r="M23">
        <f t="shared" si="1"/>
        <v>81.899999999999991</v>
      </c>
      <c r="N23">
        <f t="shared" si="2"/>
        <v>63.7</v>
      </c>
      <c r="O23">
        <f t="shared" si="4"/>
        <v>75.52000000000001</v>
      </c>
      <c r="P23">
        <f t="shared" si="3"/>
        <v>86.4</v>
      </c>
      <c r="Q23">
        <f>VLOOKUP(A23,CAD!$A$3:$J$23, 10, FALSE)</f>
        <v>81.8</v>
      </c>
      <c r="S23">
        <f t="shared" si="5"/>
        <v>80.040000000000006</v>
      </c>
      <c r="U23" cm="1">
        <f t="array" ref="U23">_xlfn.PERCENTRANK.EXC(_xlfn._xlws.FILTER(S$3:S$23, ISNUMBER(S$3:S$23)),S23)*100</f>
        <v>86.3</v>
      </c>
    </row>
    <row r="36" spans="10:10" x14ac:dyDescent="0.35">
      <c r="J36" s="56"/>
    </row>
    <row r="38" spans="10:10" x14ac:dyDescent="0.35">
      <c r="J38" s="70"/>
    </row>
    <row r="40" spans="10:10" x14ac:dyDescent="0.35">
      <c r="J40" s="7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I33" sqref="I33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492</v>
      </c>
      <c r="G1" t="s">
        <v>493</v>
      </c>
      <c r="H1" t="s">
        <v>494</v>
      </c>
      <c r="J1" t="s">
        <v>503</v>
      </c>
    </row>
    <row r="2" spans="1:10" x14ac:dyDescent="0.35">
      <c r="C2" t="s">
        <v>495</v>
      </c>
      <c r="D2" t="s">
        <v>152</v>
      </c>
      <c r="E2" t="s">
        <v>496</v>
      </c>
      <c r="F2" t="s">
        <v>497</v>
      </c>
      <c r="G2" t="s">
        <v>490</v>
      </c>
      <c r="H2" t="s">
        <v>491</v>
      </c>
    </row>
    <row r="3" spans="1:10" x14ac:dyDescent="0.35">
      <c r="A3" t="s">
        <v>432</v>
      </c>
      <c r="B3" t="s">
        <v>473</v>
      </c>
      <c r="C3" t="str" cm="1">
        <f t="array" ref="C3">_xll.FDS($E3,"FG_COMPANY_NAME")</f>
        <v>China</v>
      </c>
      <c r="D3" t="s">
        <v>104</v>
      </c>
      <c r="E3" t="s">
        <v>177</v>
      </c>
      <c r="F3" t="str">
        <f>_xlfn.CONCAT($F$1,D3)</f>
        <v>CAGDPY@CN</v>
      </c>
      <c r="G3" cm="1">
        <f t="array" ref="G3">IFERROR(_xll.FDS($F3,"EE_ACTUAL_ANNUAL(MED,0)"),0)</f>
        <v>1.4141058329546301</v>
      </c>
      <c r="H3" cm="1">
        <f t="array" ref="H3">IFERROR(_xll.FDS($F3,"EE_ACTUAL_ANNUAL(MED,+1)"),0)</f>
        <v>1.3</v>
      </c>
      <c r="J3" cm="1">
        <f t="array" ref="J3">_xlfn.PERCENTRANK.EXC(_xlfn._xlws.FILTER(H$3:H$23, ISNUMBER(H$3:H$23)),H3)*100</f>
        <v>59</v>
      </c>
    </row>
    <row r="4" spans="1:10" x14ac:dyDescent="0.35">
      <c r="A4" t="s">
        <v>27</v>
      </c>
      <c r="B4" t="s">
        <v>480</v>
      </c>
      <c r="C4" t="str" cm="1">
        <f t="array" ref="C4">_xll.FDS($E4,"FG_COMPANY_NAME")</f>
        <v>Chile</v>
      </c>
      <c r="D4" t="s">
        <v>107</v>
      </c>
      <c r="E4" t="s">
        <v>294</v>
      </c>
      <c r="F4" t="str">
        <f t="shared" ref="F4:F23" si="0">_xlfn.CONCAT($F$1,D4)</f>
        <v>CAGDPY@CL</v>
      </c>
      <c r="G4" cm="1">
        <f t="array" ref="G4">IFERROR(_xll.FDS($F4,"EE_ACTUAL_ANNUAL(MED,0)"),0)</f>
        <v>-3.68653581083686</v>
      </c>
      <c r="H4" cm="1">
        <f t="array" ref="H4">IFERROR(_xll.FDS($F4,"EE_ACTUAL_ANNUAL(MED,+1)"),0)</f>
        <v>-3.55</v>
      </c>
      <c r="J4" cm="1">
        <f t="array" ref="J4">_xlfn.PERCENTRANK.EXC(_xlfn._xlws.FILTER(H$3:H$23, ISNUMBER(H$3:H$23)),H4)*100</f>
        <v>9</v>
      </c>
    </row>
    <row r="5" spans="1:10" x14ac:dyDescent="0.35">
      <c r="A5" t="s">
        <v>35</v>
      </c>
      <c r="B5" t="s">
        <v>469</v>
      </c>
      <c r="C5" t="str" cm="1">
        <f t="array" ref="C5">_xll.FDS($E5,"FG_COMPANY_NAME")</f>
        <v>Indonesia</v>
      </c>
      <c r="D5" t="s">
        <v>124</v>
      </c>
      <c r="E5" t="s">
        <v>187</v>
      </c>
      <c r="F5" t="str">
        <f t="shared" si="0"/>
        <v>CAGDPY@ID</v>
      </c>
      <c r="G5" cm="1">
        <f t="array" ref="G5">IFERROR(_xll.FDS($F5,"EE_ACTUAL_ANNUAL(MED,0)"),0)</f>
        <v>-0.11</v>
      </c>
      <c r="H5" cm="1">
        <f t="array" ref="H5">IFERROR(_xll.FDS($F5,"EE_ACTUAL_ANNUAL(MED,+1)"),0)</f>
        <v>-0.5</v>
      </c>
      <c r="J5" cm="1">
        <f t="array" ref="J5">_xlfn.PERCENTRANK.EXC(_xlfn._xlws.FILTER(H$3:H$23, ISNUMBER(H$3:H$23)),H5)*100</f>
        <v>45.4</v>
      </c>
    </row>
    <row r="6" spans="1:10" x14ac:dyDescent="0.35">
      <c r="A6" t="s">
        <v>30</v>
      </c>
      <c r="B6" t="s">
        <v>479</v>
      </c>
      <c r="C6" t="str" cm="1">
        <f t="array" ref="C6">_xll.FDS($E6,"FG_COMPANY_NAME")</f>
        <v>Philippines</v>
      </c>
      <c r="D6" t="s">
        <v>117</v>
      </c>
      <c r="E6" t="s">
        <v>205</v>
      </c>
      <c r="F6" t="str">
        <f t="shared" si="0"/>
        <v>CAGDPY@PH</v>
      </c>
      <c r="G6" cm="1">
        <f t="array" ref="G6">IFERROR(_xll.FDS($F6,"EE_ACTUAL_ANNUAL(MED,0)"),0)</f>
        <v>-2.5666377681185502</v>
      </c>
      <c r="H6" cm="1">
        <f t="array" ref="H6">IFERROR(_xll.FDS($F6,"EE_ACTUAL_ANNUAL(MED,+1)"),0)</f>
        <v>-2.5</v>
      </c>
      <c r="J6" cm="1">
        <f t="array" ref="J6">_xlfn.PERCENTRANK.EXC(_xlfn._xlws.FILTER(H$3:H$23, ISNUMBER(H$3:H$23)),H6)*100</f>
        <v>18.099999999999998</v>
      </c>
    </row>
    <row r="7" spans="1:10" x14ac:dyDescent="0.35">
      <c r="A7" t="s">
        <v>23</v>
      </c>
      <c r="B7" t="s">
        <v>477</v>
      </c>
      <c r="C7" t="str" cm="1">
        <f t="array" ref="C7">_xll.FDS($E7,"FG_COMPANY_NAME")</f>
        <v>Poland</v>
      </c>
      <c r="D7" t="s">
        <v>100</v>
      </c>
      <c r="E7" t="s">
        <v>257</v>
      </c>
      <c r="F7" t="str">
        <f t="shared" si="0"/>
        <v>CAGDPY@PL</v>
      </c>
      <c r="G7" cm="1">
        <f t="array" ref="G7">IFERROR(_xll.FDS($F7,"EE_ACTUAL_ANNUAL(MED,0)"),0)</f>
        <v>1.5817651198487199</v>
      </c>
      <c r="H7" cm="1">
        <f t="array" ref="H7">IFERROR(_xll.FDS($F7,"EE_ACTUAL_ANNUAL(MED,+1)"),0)</f>
        <v>1</v>
      </c>
      <c r="J7" cm="1">
        <f t="array" ref="J7">_xlfn.PERCENTRANK.EXC(_xlfn._xlws.FILTER(H$3:H$23, ISNUMBER(H$3:H$23)),H7)*100</f>
        <v>54.500000000000007</v>
      </c>
    </row>
    <row r="8" spans="1:10" x14ac:dyDescent="0.35">
      <c r="A8" t="s">
        <v>29</v>
      </c>
      <c r="B8" t="s">
        <v>481</v>
      </c>
      <c r="C8" t="str" cm="1">
        <f t="array" ref="C8">_xll.FDS($E8,"FG_COMPANY_NAME")</f>
        <v>Peru</v>
      </c>
      <c r="D8" t="s">
        <v>112</v>
      </c>
      <c r="E8" t="s">
        <v>304</v>
      </c>
      <c r="F8" t="str">
        <f t="shared" si="0"/>
        <v>CAGDPY@PE</v>
      </c>
      <c r="G8" cm="1">
        <f t="array" ref="G8">IFERROR(_xll.FDS($F8,"EE_ACTUAL_ANNUAL(MED,0)"),0)</f>
        <v>0.62568087086372304</v>
      </c>
      <c r="H8" cm="1">
        <f t="array" ref="H8">IFERROR(_xll.FDS($F8,"EE_ACTUAL_ANNUAL(MED,+1)"),0)</f>
        <v>-0.65</v>
      </c>
      <c r="J8" cm="1">
        <f t="array" ref="J8">_xlfn.PERCENTRANK.EXC(_xlfn._xlws.FILTER(H$3:H$23, ISNUMBER(H$3:H$23)),H8)*100</f>
        <v>36.299999999999997</v>
      </c>
    </row>
    <row r="9" spans="1:10" x14ac:dyDescent="0.35">
      <c r="A9" t="s">
        <v>33</v>
      </c>
      <c r="B9" t="s">
        <v>474</v>
      </c>
      <c r="C9" t="str" cm="1">
        <f t="array" ref="C9">_xll.FDS($E9,"FG_COMPANY_NAME")</f>
        <v>Malaysia</v>
      </c>
      <c r="D9" t="s">
        <v>122</v>
      </c>
      <c r="E9" t="s">
        <v>194</v>
      </c>
      <c r="F9" t="str">
        <f t="shared" si="0"/>
        <v>CAGDPY@MY</v>
      </c>
      <c r="G9" cm="1">
        <f t="array" ref="G9">IFERROR(_xll.FDS($F9,"EE_ACTUAL_ANNUAL(MED,0)"),0)</f>
        <v>1.2498866655507599</v>
      </c>
      <c r="H9" cm="1">
        <f t="array" ref="H9">IFERROR(_xll.FDS($F9,"EE_ACTUAL_ANNUAL(MED,+1)"),0)</f>
        <v>2.25</v>
      </c>
      <c r="J9" cm="1">
        <f t="array" ref="J9">_xlfn.PERCENTRANK.EXC(_xlfn._xlws.FILTER(H$3:H$23, ISNUMBER(H$3:H$23)),H9)*100</f>
        <v>68.100000000000009</v>
      </c>
    </row>
    <row r="10" spans="1:10" x14ac:dyDescent="0.35">
      <c r="A10" t="s">
        <v>24</v>
      </c>
      <c r="B10" t="s">
        <v>475</v>
      </c>
      <c r="C10" t="str" cm="1">
        <f t="array" ref="C10">_xll.FDS($E10,"FG_COMPANY_NAME")</f>
        <v>Taiwan, China</v>
      </c>
      <c r="D10" t="s">
        <v>103</v>
      </c>
      <c r="E10" t="s">
        <v>217</v>
      </c>
      <c r="F10" t="str">
        <f t="shared" si="0"/>
        <v>CAGDPY@TW</v>
      </c>
      <c r="G10" cm="1">
        <f t="array" ref="G10">IFERROR(_xll.FDS($F10,"EE_ACTUAL_ANNUAL(MED,0)"),0)</f>
        <v>13.726041867164099</v>
      </c>
      <c r="H10" cm="1">
        <f t="array" ref="H10">IFERROR(_xll.FDS($F10,"EE_ACTUAL_ANNUAL(MED,+1)"),0)</f>
        <v>12.5</v>
      </c>
      <c r="J10" cm="1">
        <f t="array" ref="J10">_xlfn.PERCENTRANK.EXC(_xlfn._xlws.FILTER(H$3:H$23, ISNUMBER(H$3:H$23)),H10)*100</f>
        <v>90.9</v>
      </c>
    </row>
    <row r="11" spans="1:10" x14ac:dyDescent="0.35">
      <c r="A11" t="s">
        <v>7</v>
      </c>
      <c r="B11" t="s">
        <v>478</v>
      </c>
      <c r="C11" t="str" cm="1">
        <f t="array" ref="C11">_xll.FDS($E11,"FG_COMPANY_NAME")</f>
        <v>Mexico</v>
      </c>
      <c r="D11" t="s">
        <v>121</v>
      </c>
      <c r="E11" t="s">
        <v>301</v>
      </c>
      <c r="F11" t="str">
        <f t="shared" si="0"/>
        <v>CAGDPY@MX</v>
      </c>
      <c r="G11" cm="1">
        <f t="array" ref="G11">IFERROR(_xll.FDS($F11,"EE_ACTUAL_ANNUAL(MED,0)"),0)</f>
        <v>-0.47499999999999998</v>
      </c>
      <c r="H11" cm="1">
        <f t="array" ref="H11">IFERROR(_xll.FDS($F11,"EE_ACTUAL_ANNUAL(MED,+1)"),0)</f>
        <v>-0.6</v>
      </c>
      <c r="J11" cm="1">
        <f t="array" ref="J11">_xlfn.PERCENTRANK.EXC(_xlfn._xlws.FILTER(H$3:H$23, ISNUMBER(H$3:H$23)),H11)*100</f>
        <v>40.9</v>
      </c>
    </row>
    <row r="12" spans="1:10" x14ac:dyDescent="0.35">
      <c r="A12" t="s">
        <v>21</v>
      </c>
      <c r="B12" t="s">
        <v>391</v>
      </c>
      <c r="C12" t="str" cm="1">
        <f t="array" ref="C12">_xll.FDS($E12,"FG_COMPANY_NAME")</f>
        <v>South Korea</v>
      </c>
      <c r="D12" t="s">
        <v>101</v>
      </c>
      <c r="E12" t="s">
        <v>210</v>
      </c>
      <c r="F12" t="str">
        <f t="shared" si="0"/>
        <v>CAGDPY@KR</v>
      </c>
      <c r="G12" cm="1">
        <f t="array" ref="G12">IFERROR(_xll.FDS($F12,"EE_ACTUAL_ANNUAL(MED,0)"),0)</f>
        <v>2.04376201054732</v>
      </c>
      <c r="H12" cm="1">
        <f t="array" ref="H12">IFERROR(_xll.FDS($F12,"EE_ACTUAL_ANNUAL(MED,+1)"),0)</f>
        <v>2.4500000000000002</v>
      </c>
      <c r="J12" cm="1">
        <f t="array" ref="J12">_xlfn.PERCENTRANK.EXC(_xlfn._xlws.FILTER(H$3:H$23, ISNUMBER(H$3:H$23)),H12)*100</f>
        <v>77.2</v>
      </c>
    </row>
    <row r="13" spans="1:10" x14ac:dyDescent="0.35">
      <c r="A13" t="s">
        <v>12</v>
      </c>
      <c r="B13" t="s">
        <v>470</v>
      </c>
      <c r="C13" t="str" cm="1">
        <f t="array" ref="C13">_xll.FDS($E13,"FG_COMPANY_NAME")</f>
        <v>Brazil</v>
      </c>
      <c r="D13" t="s">
        <v>127</v>
      </c>
      <c r="E13" t="s">
        <v>291</v>
      </c>
      <c r="F13" t="str">
        <f t="shared" si="0"/>
        <v>CAGDPY@BR</v>
      </c>
      <c r="G13" cm="1">
        <f t="array" ref="G13">IFERROR(_xll.FDS($F13,"EE_ACTUAL_ANNUAL(MED,0)"),0)</f>
        <v>-1.3135524173916</v>
      </c>
      <c r="H13" cm="1">
        <f t="array" ref="H13">IFERROR(_xll.FDS($F13,"EE_ACTUAL_ANNUAL(MED,+1)"),0)</f>
        <v>-1.5</v>
      </c>
      <c r="J13" cm="1">
        <f t="array" ref="J13">_xlfn.PERCENTRANK.EXC(_xlfn._xlws.FILTER(H$3:H$23, ISNUMBER(H$3:H$23)),H13)*100</f>
        <v>27.200000000000003</v>
      </c>
    </row>
    <row r="14" spans="1:10" x14ac:dyDescent="0.35">
      <c r="A14" t="s">
        <v>22</v>
      </c>
      <c r="B14" t="s">
        <v>386</v>
      </c>
      <c r="C14" t="str" cm="1">
        <f t="array" ref="C14">_xll.FDS($E14,"FG_COMPANY_NAME")</f>
        <v>South Africa</v>
      </c>
      <c r="D14" t="s">
        <v>99</v>
      </c>
      <c r="E14" t="s">
        <v>366</v>
      </c>
      <c r="F14" t="str">
        <f t="shared" si="0"/>
        <v>CAGDPY@ZA</v>
      </c>
      <c r="G14" cm="1">
        <f t="array" ref="G14">IFERROR(_xll.FDS($F14,"EE_ACTUAL_ANNUAL(MED,0)"),0)</f>
        <v>-1.6</v>
      </c>
      <c r="H14" cm="1">
        <f t="array" ref="H14">IFERROR(_xll.FDS($F14,"EE_ACTUAL_ANNUAL(MED,+1)"),0)</f>
        <v>-2.4</v>
      </c>
      <c r="J14" cm="1">
        <f t="array" ref="J14">_xlfn.PERCENTRANK.EXC(_xlfn._xlws.FILTER(H$3:H$23, ISNUMBER(H$3:H$23)),H14)*100</f>
        <v>22.7</v>
      </c>
    </row>
    <row r="15" spans="1:10" x14ac:dyDescent="0.35">
      <c r="A15" t="s">
        <v>28</v>
      </c>
      <c r="B15" t="s">
        <v>468</v>
      </c>
      <c r="C15" t="str" cm="1">
        <f t="array" ref="C15">_xll.FDS($E15,"FG_COMPANY_NAME")</f>
        <v>Greece</v>
      </c>
      <c r="D15" t="s">
        <v>111</v>
      </c>
      <c r="E15" t="s">
        <v>498</v>
      </c>
      <c r="F15" t="str">
        <f t="shared" si="0"/>
        <v>CAGDPY@GR</v>
      </c>
      <c r="G15" cm="1">
        <f t="array" ref="G15">IFERROR(_xll.FDS($F15,"EE_ACTUAL_ANNUAL(MED,0)"),0)</f>
        <v>-6.3414496078128799</v>
      </c>
      <c r="H15" cm="1">
        <f t="array" ref="H15">IFERROR(_xll.FDS($F15,"EE_ACTUAL_ANNUAL(MED,+1)"),0)</f>
        <v>-6</v>
      </c>
      <c r="J15" cm="1">
        <f t="array" ref="J15">_xlfn.PERCENTRANK.EXC(_xlfn._xlws.FILTER(H$3:H$23, ISNUMBER(H$3:H$23)),H15)*100</f>
        <v>4.5</v>
      </c>
    </row>
    <row r="16" spans="1:10" x14ac:dyDescent="0.35">
      <c r="A16" t="s">
        <v>32</v>
      </c>
      <c r="B16" t="s">
        <v>387</v>
      </c>
      <c r="C16" t="str" cm="1">
        <f t="array" ref="C16">_xll.FDS($E16,"FG_COMPANY_NAME")</f>
        <v>India</v>
      </c>
      <c r="D16" t="s">
        <v>118</v>
      </c>
      <c r="E16" t="s">
        <v>184</v>
      </c>
      <c r="F16" t="str">
        <f t="shared" si="0"/>
        <v>CAGDPY@IN</v>
      </c>
      <c r="G16" cm="1">
        <f t="array" ref="G16">IFERROR(_xll.FDS($F16,"EE_ACTUAL_ANNUAL(MED,0)"),0)</f>
        <v>-2</v>
      </c>
      <c r="H16" cm="1">
        <f t="array" ref="H16">IFERROR(_xll.FDS($F16,"EE_ACTUAL_ANNUAL(MED,+1)"),0)</f>
        <v>-1.25</v>
      </c>
      <c r="J16" cm="1">
        <f t="array" ref="J16">_xlfn.PERCENTRANK.EXC(_xlfn._xlws.FILTER(H$3:H$23, ISNUMBER(H$3:H$23)),H16)*100</f>
        <v>31.8</v>
      </c>
    </row>
    <row r="17" spans="1:10" x14ac:dyDescent="0.35">
      <c r="A17" t="s">
        <v>26</v>
      </c>
      <c r="B17" t="s">
        <v>473</v>
      </c>
      <c r="C17" t="str" cm="1">
        <f t="array" ref="C17">_xll.FDS($E17,"FG_COMPANY_NAME")</f>
        <v>China</v>
      </c>
      <c r="D17" t="s">
        <v>104</v>
      </c>
      <c r="E17" t="s">
        <v>177</v>
      </c>
      <c r="F17" t="str">
        <f t="shared" si="0"/>
        <v>CAGDPY@CN</v>
      </c>
      <c r="G17" cm="1">
        <f t="array" ref="G17">IFERROR(_xll.FDS($F17,"EE_ACTUAL_ANNUAL(MED,0)"),0)</f>
        <v>1.4141058329546301</v>
      </c>
      <c r="H17" cm="1">
        <f t="array" ref="H17">IFERROR(_xll.FDS($F17,"EE_ACTUAL_ANNUAL(MED,+1)"),0)</f>
        <v>1.3</v>
      </c>
      <c r="J17" cm="1">
        <f t="array" ref="J17">_xlfn.PERCENTRANK.EXC(_xlfn._xlws.FILTER(H$3:H$23, ISNUMBER(H$3:H$23)),H17)*100</f>
        <v>59</v>
      </c>
    </row>
    <row r="18" spans="1:10" x14ac:dyDescent="0.35">
      <c r="A18" t="s">
        <v>31</v>
      </c>
      <c r="B18" t="s">
        <v>567</v>
      </c>
      <c r="C18" t="str" cm="1">
        <f t="array" ref="C18">_xll.FDS($E18,"FG_COMPANY_NAME")</f>
        <v>Qatar</v>
      </c>
      <c r="D18" t="s">
        <v>120</v>
      </c>
      <c r="E18" t="s">
        <v>360</v>
      </c>
      <c r="F18" t="str">
        <f t="shared" si="0"/>
        <v>CAGDPY@QA</v>
      </c>
      <c r="G18" cm="1">
        <f t="array" ref="G18">IFERROR(_xll.FDS($F18,"EE_ACTUAL_ANNUAL(MED,0)"),0)</f>
        <v>16.2</v>
      </c>
      <c r="H18" cm="1">
        <f t="array" ref="H18">IFERROR(_xll.FDS($F18,"EE_ACTUAL_ANNUAL(MED,+1)"),0)</f>
        <v>15.2</v>
      </c>
      <c r="J18" cm="1">
        <f t="array" ref="J18">_xlfn.PERCENTRANK.EXC(_xlfn._xlws.FILTER(H$3:H$23, ISNUMBER(H$3:H$23)),H18)*100</f>
        <v>95.399999999999991</v>
      </c>
    </row>
    <row r="19" spans="1:10" x14ac:dyDescent="0.35">
      <c r="A19" t="s">
        <v>757</v>
      </c>
      <c r="B19" t="s">
        <v>471</v>
      </c>
      <c r="C19" t="str" cm="1">
        <f t="array" ref="C19">_xll.FDS($E19,"FG_COMPANY_NAME")</f>
        <v>Thailand</v>
      </c>
      <c r="D19" t="s">
        <v>220</v>
      </c>
      <c r="E19" t="s">
        <v>221</v>
      </c>
      <c r="F19" t="str">
        <f t="shared" si="0"/>
        <v>CAGDPY@TH</v>
      </c>
      <c r="G19" cm="1">
        <f t="array" ref="G19">IFERROR(_xll.FDS($F19,"EE_ACTUAL_ANNUAL(MED,0)"),0)</f>
        <v>1.1975003031323801</v>
      </c>
      <c r="H19" cm="1">
        <f t="array" ref="H19">IFERROR(_xll.FDS($F19,"EE_ACTUAL_ANNUAL(MED,+1)"),0)</f>
        <v>2.4</v>
      </c>
      <c r="J19" cm="1">
        <f t="array" ref="J19">_xlfn.PERCENTRANK.EXC(_xlfn._xlws.FILTER(H$3:H$23, ISNUMBER(H$3:H$23)),H19)*100</f>
        <v>72.7</v>
      </c>
    </row>
    <row r="20" spans="1:10" x14ac:dyDescent="0.35">
      <c r="A20" t="s">
        <v>25</v>
      </c>
      <c r="B20" t="s">
        <v>476</v>
      </c>
      <c r="C20" t="str" cm="1">
        <f t="array" ref="C20">_xll.FDS($E20,"FG_COMPANY_NAME")</f>
        <v>Turkey</v>
      </c>
      <c r="D20" t="s">
        <v>105</v>
      </c>
      <c r="E20" t="s">
        <v>279</v>
      </c>
      <c r="F20" t="str">
        <f t="shared" si="0"/>
        <v>CAGDPY@TR</v>
      </c>
      <c r="G20" cm="1">
        <f t="array" ref="G20">IFERROR(_xll.FDS($F20,"EE_ACTUAL_ANNUAL(MED,0)"),0)</f>
        <v>-5.1155626847795697</v>
      </c>
      <c r="H20" cm="1">
        <f t="array" ref="H20">IFERROR(_xll.FDS($F20,"EE_ACTUAL_ANNUAL(MED,+1)"),0)</f>
        <v>-2.8</v>
      </c>
      <c r="J20" cm="1">
        <f t="array" ref="J20">_xlfn.PERCENTRANK.EXC(_xlfn._xlws.FILTER(H$3:H$23, ISNUMBER(H$3:H$23)),H20)*100</f>
        <v>13.600000000000001</v>
      </c>
    </row>
    <row r="21" spans="1:10" x14ac:dyDescent="0.35">
      <c r="A21" t="s">
        <v>34</v>
      </c>
      <c r="B21" t="s">
        <v>565</v>
      </c>
      <c r="C21" t="str" cm="1">
        <f t="array" ref="C21">_xll.FDS($E21,"FG_COMPANY_NAME")</f>
        <v>United Arab Emirates</v>
      </c>
      <c r="D21" t="s">
        <v>123</v>
      </c>
      <c r="E21" t="s">
        <v>373</v>
      </c>
      <c r="F21" t="str">
        <f t="shared" si="0"/>
        <v>CAGDPY@AE</v>
      </c>
      <c r="G21" cm="1">
        <f t="array" ref="G21">IFERROR(_xll.FDS($F21,"EE_ACTUAL_ANNUAL(MED,0)"),0)</f>
        <v>12.55</v>
      </c>
      <c r="H21" cm="1">
        <f t="array" ref="H21">IFERROR(_xll.FDS($F21,"EE_ACTUAL_ANNUAL(MED,+1)"),0)</f>
        <v>12.25</v>
      </c>
      <c r="J21" cm="1">
        <f t="array" ref="J21">_xlfn.PERCENTRANK.EXC(_xlfn._xlws.FILTER(H$3:H$23, ISNUMBER(H$3:H$23)),H21)*100</f>
        <v>86.3</v>
      </c>
    </row>
    <row r="22" spans="1:10" x14ac:dyDescent="0.35">
      <c r="A22" t="s">
        <v>37</v>
      </c>
      <c r="B22" t="s">
        <v>472</v>
      </c>
      <c r="C22" t="str" cm="1">
        <f t="array" ref="C22">_xll.FDS($E22,"FG_COMPANY_NAME")</f>
        <v>Vietnam</v>
      </c>
      <c r="D22" t="s">
        <v>126</v>
      </c>
      <c r="E22" t="s">
        <v>224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50</v>
      </c>
    </row>
    <row r="23" spans="1:10" x14ac:dyDescent="0.35">
      <c r="A23" t="s">
        <v>36</v>
      </c>
      <c r="B23" t="s">
        <v>566</v>
      </c>
      <c r="C23" t="str" cm="1">
        <f t="array" ref="C23">_xll.FDS($E23,"FG_COMPANY_NAME")</f>
        <v>Saudi Arabia</v>
      </c>
      <c r="D23" t="s">
        <v>125</v>
      </c>
      <c r="E23" t="s">
        <v>363</v>
      </c>
      <c r="F23" t="str">
        <f t="shared" si="0"/>
        <v>CAGDPY@SA</v>
      </c>
      <c r="G23" cm="1">
        <f t="array" ref="G23">IFERROR(_xll.FDS($F23,"EE_ACTUAL_ANNUAL(MED,0)"),0)</f>
        <v>3.1913644205675902</v>
      </c>
      <c r="H23" cm="1">
        <f t="array" ref="H23">IFERROR(_xll.FDS($F23,"EE_ACTUAL_ANNUAL(MED,+1)"),0)</f>
        <v>3.2</v>
      </c>
      <c r="J23" cm="1">
        <f t="array" ref="J23">_xlfn.PERCENTRANK.EXC(_xlfn._xlws.FILTER(H$3:H$23, ISNUMBER(H$3:H$23)),H23)*100</f>
        <v>81.8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 t="e">
        <v>#N/A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 t="e">
        <v>#N/A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 t="e">
        <v>#N/A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 t="e">
        <v>#N/A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 t="e">
        <v>#N/A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 t="e">
        <v>#N/A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>
        <v>5.3314000000000004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397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507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>
        <f t="shared" si="2"/>
        <v>5.3314000000000004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5" x14ac:dyDescent="0.35"/>
  <cols>
    <col min="1" max="1" width="10.54296875" customWidth="1"/>
  </cols>
  <sheetData>
    <row r="1" spans="1:22" x14ac:dyDescent="0.35">
      <c r="B1" t="s">
        <v>432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757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3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75" t="str">
        <v/>
      </c>
      <c r="K3" s="7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75" t="str">
        <v/>
      </c>
      <c r="K4" s="7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75" t="str">
        <v/>
      </c>
      <c r="K5" s="7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75" t="str">
        <v/>
      </c>
      <c r="K6" s="7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75" t="str">
        <v/>
      </c>
      <c r="K7" s="7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75" t="str">
        <v/>
      </c>
      <c r="K8" s="7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75" t="str">
        <v/>
      </c>
      <c r="K9" s="7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75" t="str">
        <v/>
      </c>
      <c r="K10" s="7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75" t="str">
        <v/>
      </c>
      <c r="K11" s="7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75" t="str">
        <v/>
      </c>
      <c r="K12" s="7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75" t="str">
        <v/>
      </c>
      <c r="K13" s="7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75">
        <v>12.236196707276701</v>
      </c>
      <c r="K14" s="7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75">
        <v>12.6640790394995</v>
      </c>
      <c r="K15" s="7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5">
      <c r="A16" s="2">
        <v>43465</v>
      </c>
      <c r="B16">
        <v>12.9587909941324</v>
      </c>
      <c r="C16">
        <v>11.2778516938703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75">
        <v>12.897214341888199</v>
      </c>
      <c r="K16" s="7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5">
      <c r="A17" s="2">
        <v>43830</v>
      </c>
      <c r="B17">
        <v>13.4756717158229</v>
      </c>
      <c r="C17">
        <v>9.8359095445121802</v>
      </c>
      <c r="D17">
        <v>14.430010326605601</v>
      </c>
      <c r="E17">
        <v>12.053931830843901</v>
      </c>
      <c r="F17">
        <v>9.4389843194853</v>
      </c>
      <c r="G17">
        <v>11.9146021102361</v>
      </c>
      <c r="H17">
        <v>9.3328071547593403</v>
      </c>
      <c r="I17">
        <v>10.898313482389399</v>
      </c>
      <c r="J17" s="75">
        <v>12.086926249434899</v>
      </c>
      <c r="K17" s="75">
        <v>7.6764812978912396</v>
      </c>
      <c r="L17">
        <v>14.523025635774401</v>
      </c>
      <c r="M17">
        <v>13.6185226458136</v>
      </c>
      <c r="N17">
        <v>5.8100215417249998</v>
      </c>
      <c r="O17">
        <v>14.5354845941958</v>
      </c>
      <c r="P17">
        <v>12.8854614778539</v>
      </c>
      <c r="Q17">
        <v>11.644637815588201</v>
      </c>
      <c r="R17">
        <v>10.939594922582099</v>
      </c>
      <c r="S17">
        <v>14.8395465769289</v>
      </c>
      <c r="T17">
        <v>8.1284551585419198</v>
      </c>
      <c r="U17">
        <v>15.480793943374101</v>
      </c>
      <c r="V17">
        <v>11.230555981468701</v>
      </c>
    </row>
    <row r="18" spans="1:29" ht="25.5" customHeight="1" x14ac:dyDescent="0.35">
      <c r="A18" s="2">
        <v>44196</v>
      </c>
      <c r="B18">
        <v>12.992301639581701</v>
      </c>
      <c r="C18">
        <v>8.7546394285479305</v>
      </c>
      <c r="D18">
        <v>11.4814604290421</v>
      </c>
      <c r="E18">
        <v>8.9157572980100799</v>
      </c>
      <c r="F18">
        <v>7.2076865078890204</v>
      </c>
      <c r="G18">
        <v>12.086026376396999</v>
      </c>
      <c r="H18">
        <v>10.615395226220899</v>
      </c>
      <c r="I18">
        <v>11.620910867592601</v>
      </c>
      <c r="J18" s="75">
        <v>11.7827107678683</v>
      </c>
      <c r="K18" s="75">
        <v>8.3077031776299393</v>
      </c>
      <c r="L18">
        <v>16.600407780565199</v>
      </c>
      <c r="M18">
        <v>16.711537192718801</v>
      </c>
      <c r="N18">
        <v>5.3671121826145196</v>
      </c>
      <c r="O18">
        <v>12.8423838581616</v>
      </c>
      <c r="P18">
        <v>12.3574085973635</v>
      </c>
      <c r="Q18">
        <v>11.2380998666164</v>
      </c>
      <c r="R18">
        <v>8.3884974999061193</v>
      </c>
      <c r="S18">
        <v>12.883028718566999</v>
      </c>
      <c r="T18">
        <v>6.7620176250090998</v>
      </c>
      <c r="U18">
        <v>17.088911201056401</v>
      </c>
      <c r="V18">
        <v>10.146987054615</v>
      </c>
    </row>
    <row r="19" spans="1:29" ht="25.5" customHeight="1" x14ac:dyDescent="0.35">
      <c r="A19" s="2">
        <v>44561</v>
      </c>
      <c r="B19">
        <v>13.766644836491</v>
      </c>
      <c r="C19">
        <v>10.603891183835101</v>
      </c>
      <c r="D19">
        <v>13.6928560240483</v>
      </c>
      <c r="E19">
        <v>9.5994541006399192</v>
      </c>
      <c r="F19">
        <v>10.1460102201106</v>
      </c>
      <c r="G19">
        <v>15.0555655388878</v>
      </c>
      <c r="H19">
        <v>9.4736311465114298</v>
      </c>
      <c r="I19">
        <v>14.724411980088</v>
      </c>
      <c r="J19" s="75">
        <v>13.687162530438</v>
      </c>
      <c r="K19" s="75">
        <v>10.145877646555199</v>
      </c>
      <c r="L19">
        <v>20.358518612779601</v>
      </c>
      <c r="M19">
        <v>16.932589581546001</v>
      </c>
      <c r="N19">
        <v>8.8257668466653296</v>
      </c>
      <c r="O19">
        <v>15.161283532760899</v>
      </c>
      <c r="P19">
        <v>11.973913876779999</v>
      </c>
      <c r="Q19">
        <v>12.7317850147387</v>
      </c>
      <c r="R19">
        <v>9.9474702733721596</v>
      </c>
      <c r="S19">
        <v>18.572493525177801</v>
      </c>
      <c r="T19">
        <v>11.2349425542518</v>
      </c>
      <c r="U19">
        <v>18.384490602079399</v>
      </c>
      <c r="V19">
        <v>12.799787801291201</v>
      </c>
    </row>
    <row r="20" spans="1:29" ht="25.5" customHeight="1" x14ac:dyDescent="0.35">
      <c r="A20" s="2">
        <v>44925</v>
      </c>
      <c r="B20">
        <v>13.371263046398299</v>
      </c>
      <c r="C20">
        <v>12.7874449833902</v>
      </c>
      <c r="D20">
        <v>15.6524440836665</v>
      </c>
      <c r="E20">
        <v>10.673124632626299</v>
      </c>
      <c r="F20">
        <v>10.9641857238333</v>
      </c>
      <c r="G20">
        <v>13.6225814185959</v>
      </c>
      <c r="H20">
        <v>10.1683466984571</v>
      </c>
      <c r="I20">
        <v>12.940792083987301</v>
      </c>
      <c r="J20" s="75">
        <v>13.3394699175221</v>
      </c>
      <c r="K20" s="75">
        <v>7.5097939609220798</v>
      </c>
      <c r="L20">
        <v>19.409523908352099</v>
      </c>
      <c r="M20">
        <v>16.8118349535848</v>
      </c>
      <c r="N20">
        <v>11.0341923380188</v>
      </c>
      <c r="O20">
        <v>14.9254235326562</v>
      </c>
      <c r="P20">
        <v>11.550502165094199</v>
      </c>
      <c r="Q20">
        <v>13.290131357764499</v>
      </c>
      <c r="R20">
        <v>10.124357710040901</v>
      </c>
      <c r="S20">
        <v>24.1409632075388</v>
      </c>
      <c r="T20">
        <v>12.933849362976</v>
      </c>
      <c r="U20">
        <v>14.733462255063101</v>
      </c>
      <c r="V20">
        <v>13.7729696546777</v>
      </c>
    </row>
    <row r="21" spans="1:29" ht="25.5" customHeight="1" x14ac:dyDescent="0.35">
      <c r="A21" s="2">
        <v>45289</v>
      </c>
      <c r="B21">
        <v>12.022190408047299</v>
      </c>
      <c r="C21">
        <v>13.773591396130101</v>
      </c>
      <c r="D21">
        <v>14.023409817903</v>
      </c>
      <c r="E21">
        <v>11.9407094450378</v>
      </c>
      <c r="F21">
        <v>12.394579327579899</v>
      </c>
      <c r="G21">
        <v>12.932447367368299</v>
      </c>
      <c r="H21">
        <v>9.5588573391121194</v>
      </c>
      <c r="I21">
        <v>11.9152161134331</v>
      </c>
      <c r="J21" s="75">
        <v>13.699010068001799</v>
      </c>
      <c r="K21" s="75">
        <v>8.9049963583202398</v>
      </c>
      <c r="L21">
        <v>18.584863884422202</v>
      </c>
      <c r="M21">
        <v>14.5722752976358</v>
      </c>
      <c r="N21">
        <v>13.1253657894167</v>
      </c>
      <c r="O21">
        <v>16.077047134790998</v>
      </c>
      <c r="P21">
        <v>11.5611924582116</v>
      </c>
      <c r="Q21">
        <v>12.1192289718939</v>
      </c>
      <c r="R21">
        <v>9.3487636742898204</v>
      </c>
      <c r="S21">
        <v>25.846009422427699</v>
      </c>
      <c r="T21">
        <v>13.225118228357401</v>
      </c>
      <c r="U21">
        <v>10.732551346519401</v>
      </c>
      <c r="V21">
        <v>11.7570018859186</v>
      </c>
    </row>
    <row r="23" spans="1:29" x14ac:dyDescent="0.35">
      <c r="A23" t="s">
        <v>91</v>
      </c>
      <c r="B23" s="8">
        <f t="shared" ref="B23:V23" si="0">MIN(_xlfn.ANCHORARRAY(B2))</f>
        <v>12.022190408047299</v>
      </c>
      <c r="C23" s="8">
        <f t="shared" si="0"/>
        <v>8.6838665045544303</v>
      </c>
      <c r="D23" s="8">
        <f t="shared" si="0"/>
        <v>11.4814604290421</v>
      </c>
      <c r="E23" s="8">
        <f t="shared" si="0"/>
        <v>8.9157572980100799</v>
      </c>
      <c r="F23" s="8">
        <f t="shared" si="0"/>
        <v>7.2076865078890204</v>
      </c>
      <c r="G23" s="8">
        <f t="shared" si="0"/>
        <v>8.83035011509517</v>
      </c>
      <c r="H23" s="8">
        <f t="shared" si="0"/>
        <v>9.3328071547593403</v>
      </c>
      <c r="I23" s="8">
        <f t="shared" si="0"/>
        <v>6.1959642113222397</v>
      </c>
      <c r="J23" s="8">
        <f t="shared" si="0"/>
        <v>11.7827107678683</v>
      </c>
      <c r="K23" s="8">
        <f t="shared" si="0"/>
        <v>7.5097939609220798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12.8423838581616</v>
      </c>
      <c r="P23" s="8">
        <f t="shared" si="0"/>
        <v>11.550502165094199</v>
      </c>
      <c r="Q23" s="8">
        <f t="shared" si="0"/>
        <v>11.2380998666164</v>
      </c>
      <c r="R23" s="8">
        <f t="shared" si="0"/>
        <v>8.3884974999061193</v>
      </c>
      <c r="S23" s="8">
        <f t="shared" si="0"/>
        <v>12.7726870869254</v>
      </c>
      <c r="T23" s="8">
        <f t="shared" si="0"/>
        <v>6.7620176250090998</v>
      </c>
      <c r="U23" s="8">
        <f t="shared" si="0"/>
        <v>8.5756546844961008</v>
      </c>
      <c r="V23" s="8">
        <f t="shared" si="0"/>
        <v>10.146987054615</v>
      </c>
      <c r="W23" s="8"/>
      <c r="X23" s="8"/>
      <c r="Y23" s="8"/>
      <c r="Z23" s="8"/>
      <c r="AA23" s="8"/>
      <c r="AB23" s="8"/>
      <c r="AC23" s="8"/>
    </row>
    <row r="24" spans="1:29" x14ac:dyDescent="0.35">
      <c r="A24" t="s">
        <v>397</v>
      </c>
      <c r="B24" s="8">
        <f t="shared" ref="B24:V24" si="1">MEDIAN(_xlfn.ANCHORARRAY(B2))</f>
        <v>13.110180178133749</v>
      </c>
      <c r="C24" s="8">
        <f t="shared" si="1"/>
        <v>11.2778516938703</v>
      </c>
      <c r="D24" s="8">
        <f t="shared" si="1"/>
        <v>15.657517519582651</v>
      </c>
      <c r="E24" s="8">
        <f t="shared" si="1"/>
        <v>12.530824852807651</v>
      </c>
      <c r="F24" s="8">
        <f t="shared" si="1"/>
        <v>10.013481596831115</v>
      </c>
      <c r="G24" s="8">
        <f t="shared" si="1"/>
        <v>12.932447367368299</v>
      </c>
      <c r="H24" s="8">
        <f t="shared" si="1"/>
        <v>11.93920849991995</v>
      </c>
      <c r="I24" s="8">
        <f t="shared" si="1"/>
        <v>12.1490203436593</v>
      </c>
      <c r="J24" s="8">
        <f t="shared" si="1"/>
        <v>12.78064669069385</v>
      </c>
      <c r="K24" s="8">
        <f t="shared" si="1"/>
        <v>10.67142731585205</v>
      </c>
      <c r="L24" s="8">
        <f t="shared" si="1"/>
        <v>14.78925912646825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12.8854614778539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14.7741197510913</v>
      </c>
      <c r="T24" s="8">
        <f t="shared" si="1"/>
        <v>11.15637049467375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35">
      <c r="A25" t="s">
        <v>507</v>
      </c>
      <c r="B25" s="8">
        <f t="shared" ref="B25:V25" si="2">B21</f>
        <v>12.022190408047299</v>
      </c>
      <c r="C25" s="8">
        <f t="shared" si="2"/>
        <v>13.773591396130101</v>
      </c>
      <c r="D25" s="8">
        <f t="shared" si="2"/>
        <v>14.023409817903</v>
      </c>
      <c r="E25" s="8">
        <f t="shared" si="2"/>
        <v>11.9407094450378</v>
      </c>
      <c r="F25" s="8">
        <f t="shared" si="2"/>
        <v>12.394579327579899</v>
      </c>
      <c r="G25" s="8">
        <f t="shared" si="2"/>
        <v>12.932447367368299</v>
      </c>
      <c r="H25" s="8">
        <f t="shared" si="2"/>
        <v>9.5588573391121194</v>
      </c>
      <c r="I25" s="8">
        <f t="shared" si="2"/>
        <v>11.9152161134331</v>
      </c>
      <c r="J25" s="8">
        <f t="shared" si="2"/>
        <v>13.699010068001799</v>
      </c>
      <c r="K25" s="8">
        <f t="shared" si="2"/>
        <v>8.9049963583202398</v>
      </c>
      <c r="L25" s="8">
        <f t="shared" si="2"/>
        <v>18.584863884422202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16.077047134790998</v>
      </c>
      <c r="P25" s="8">
        <f t="shared" si="2"/>
        <v>11.5611924582116</v>
      </c>
      <c r="Q25" s="8">
        <f t="shared" si="2"/>
        <v>12.1192289718939</v>
      </c>
      <c r="R25" s="8">
        <f t="shared" si="2"/>
        <v>9.3487636742898204</v>
      </c>
      <c r="S25" s="8">
        <f t="shared" si="2"/>
        <v>25.846009422427699</v>
      </c>
      <c r="T25" s="8">
        <f t="shared" si="2"/>
        <v>13.225118228357401</v>
      </c>
      <c r="U25" s="8">
        <f t="shared" si="2"/>
        <v>10.732551346519401</v>
      </c>
      <c r="V25" s="8">
        <f t="shared" si="2"/>
        <v>11.7570018859186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E28"/>
  <sheetViews>
    <sheetView topLeftCell="G1" zoomScale="85" zoomScaleNormal="85" workbookViewId="0">
      <selection activeCell="R25" sqref="R25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bestFit="1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8" ht="18.5" x14ac:dyDescent="0.55000000000000004">
      <c r="K1" s="65" t="s">
        <v>795</v>
      </c>
      <c r="L1" s="184">
        <f ca="1">EDATE(TODAY(), -1)</f>
        <v>45370</v>
      </c>
      <c r="M1" s="121"/>
    </row>
    <row r="2" spans="1:28" ht="15" thickBot="1" x14ac:dyDescent="0.4">
      <c r="K2" s="12" t="s">
        <v>796</v>
      </c>
      <c r="L2" s="185">
        <f ca="1">EDATE(TODAY(), -4)</f>
        <v>45279</v>
      </c>
    </row>
    <row r="3" spans="1:28" ht="50.25" customHeight="1" x14ac:dyDescent="0.35">
      <c r="E3" t="s">
        <v>760</v>
      </c>
      <c r="F3" t="s">
        <v>761</v>
      </c>
      <c r="H3" t="s">
        <v>779</v>
      </c>
      <c r="I3" t="s">
        <v>574</v>
      </c>
      <c r="J3" t="s">
        <v>529</v>
      </c>
      <c r="M3" s="119" t="s">
        <v>780</v>
      </c>
      <c r="N3" t="str" cm="1">
        <f t="array" aca="1" ref="N3" ca="1">_xll.FDSRC("-","DUMMY","ECON_DATE("&amp;$L$1&amp;",,, 'MM/YYYY')")</f>
        <v>03/2024</v>
      </c>
      <c r="O3" t="str" cm="1">
        <f t="array" aca="1" ref="O3" ca="1">_xll.FDSRC("-","DUMMY","ECON_DATE("&amp;$L$2&amp;",,, 'MM/YYYY')")</f>
        <v>12/2023</v>
      </c>
      <c r="P3" s="119" t="s">
        <v>786</v>
      </c>
      <c r="Q3" s="119" t="s">
        <v>798</v>
      </c>
      <c r="R3" s="122" t="s">
        <v>799</v>
      </c>
      <c r="S3" s="122" t="s">
        <v>561</v>
      </c>
      <c r="T3" s="122" t="s">
        <v>750</v>
      </c>
    </row>
    <row r="4" spans="1:28" x14ac:dyDescent="0.35">
      <c r="A4" t="s">
        <v>432</v>
      </c>
      <c r="B4" t="s">
        <v>435</v>
      </c>
      <c r="C4" t="s">
        <v>432</v>
      </c>
      <c r="D4" t="s">
        <v>762</v>
      </c>
      <c r="E4">
        <v>53.6</v>
      </c>
      <c r="F4">
        <v>2.4</v>
      </c>
      <c r="G4" t="s">
        <v>104</v>
      </c>
      <c r="H4" s="116" t="s">
        <v>765</v>
      </c>
      <c r="I4" s="117" t="s">
        <v>615</v>
      </c>
      <c r="J4" s="118" t="s">
        <v>435</v>
      </c>
      <c r="K4" s="118" t="s">
        <v>432</v>
      </c>
      <c r="L4" t="s">
        <v>762</v>
      </c>
      <c r="M4" cm="1">
        <f t="array" ref="M4">IF(_xll.FDSRC(,"DUMMY","ECON_EXPR_DATA('FDS_ECON["&amp;H4&amp;"]',,,M)")=0,$J$28,_xll.FDSRC(,"DUMMY","ECON_EXPR_DATA('FDS_ECON["&amp;H4&amp;"]',,,M)"))</f>
        <v>51.129350000000002</v>
      </c>
      <c r="N4" cm="1">
        <f t="array" aca="1" ref="N4" ca="1">_xll.FDSRC("-","DUMMY","ECON_EXPR_DATA('FDS_ECON["&amp;H4&amp;"]',"&amp;$N$3&amp;",,Q)")</f>
        <v>50.938282000000001</v>
      </c>
      <c r="O4" cm="1">
        <f t="array" aca="1" ref="O4" ca="1">_xll.FDSRC("-","DUMMY","ECON_EXPR_DATA('FDS_ECON["&amp;H4&amp;"]',"&amp;$O$3&amp;",,Q)")</f>
        <v>50.34384</v>
      </c>
      <c r="P4">
        <f t="shared" ref="P4:P24" ca="1" si="0">IFERROR(N4-O4,$M$28)</f>
        <v>0.5944420000000008</v>
      </c>
      <c r="Q4" cm="1">
        <f t="array" ref="Q4">_xlfn.PERCENTRANK.EXC(_xlfn._xlws.FILTER(M$4:M$24, ISNUMBER(M$4:M$24)),M4)*100</f>
        <v>40.9</v>
      </c>
      <c r="R4" cm="1">
        <f t="array" aca="1" ref="R4" ca="1">_xlfn.PERCENTRANK.EXC(_xlfn._xlws.FILTER(P$4:P$24, ISNUMBER(P$4:P$24)),P4)*100</f>
        <v>22.7</v>
      </c>
      <c r="S4">
        <f ca="1">Q4*Assumption!$E$27 + R4*Assumption!$F$27</f>
        <v>33.619999999999997</v>
      </c>
      <c r="T4" cm="1">
        <f t="array" aca="1" ref="T4" ca="1">_xlfn.PERCENTRANK.EXC(_xlfn._xlws.FILTER(S$4:S$24, ISNUMBER(S$4:S$24)),S4)*100</f>
        <v>22.7</v>
      </c>
    </row>
    <row r="5" spans="1:28" x14ac:dyDescent="0.35">
      <c r="A5" t="s">
        <v>27</v>
      </c>
      <c r="B5" t="s">
        <v>436</v>
      </c>
      <c r="C5" t="s">
        <v>27</v>
      </c>
      <c r="D5" t="s">
        <v>762</v>
      </c>
      <c r="E5">
        <v>54.9</v>
      </c>
      <c r="F5">
        <v>3.1</v>
      </c>
      <c r="G5" t="s">
        <v>107</v>
      </c>
      <c r="H5" s="116" t="s">
        <v>781</v>
      </c>
      <c r="I5" s="117" t="s">
        <v>614</v>
      </c>
      <c r="J5" s="118" t="s">
        <v>436</v>
      </c>
      <c r="K5" s="118" t="s">
        <v>27</v>
      </c>
      <c r="L5" t="s">
        <v>762</v>
      </c>
      <c r="M5" cm="1">
        <f t="array" ref="M5">IF(_xll.FDSRC(,"DUMMY","ECON_EXPR_DATA('FDS_ECON["&amp;H5&amp;"]',,,M)")=0,$J$28,_xll.FDSRC(,"DUMMY","ECON_EXPR_DATA('FDS_ECON["&amp;H5&amp;"]',,,M)"))</f>
        <v>51.963380000000001</v>
      </c>
      <c r="N5" t="str" cm="1">
        <f t="array" aca="1" ref="N5" ca="1">_xll.FDSRC("-","DUMMY","ECON_EXPR_DATA('FDS_ECON["&amp;H5&amp;"]',"&amp;$N$3&amp;",,Q)")</f>
        <v>-</v>
      </c>
      <c r="O5" t="str" cm="1">
        <f t="array" aca="1" ref="O5" ca="1">_xll.FDSRC("-","DUMMY","ECON_EXPR_DATA('FDS_ECON["&amp;H5&amp;"]',"&amp;$O$3&amp;",,Q)")</f>
        <v>-</v>
      </c>
      <c r="P5">
        <f t="shared" ca="1" si="0"/>
        <v>0.88645700000000005</v>
      </c>
      <c r="Q5" cm="1">
        <f t="array" ref="Q5">_xlfn.PERCENTRANK.EXC(_xlfn._xlws.FILTER(M$4:M$24, ISNUMBER(M$4:M$24)),M5)*100</f>
        <v>50</v>
      </c>
      <c r="R5" cm="1">
        <f t="array" aca="1" ref="R5" ca="1">_xlfn.PERCENTRANK.EXC(_xlfn._xlws.FILTER(P$4:P$24, ISNUMBER(P$4:P$24)),P5)*100</f>
        <v>40.9</v>
      </c>
      <c r="S5">
        <f ca="1">Q5*Assumption!$E$27 + R5*Assumption!$F$27</f>
        <v>46.36</v>
      </c>
      <c r="T5" cm="1">
        <f t="array" aca="1" ref="T5" ca="1">_xlfn.PERCENTRANK.EXC(_xlfn._xlws.FILTER(S$4:S$24, ISNUMBER(S$4:S$24)),S5)*100</f>
        <v>40.9</v>
      </c>
    </row>
    <row r="6" spans="1:28" x14ac:dyDescent="0.35">
      <c r="A6" t="s">
        <v>35</v>
      </c>
      <c r="B6" t="s">
        <v>437</v>
      </c>
      <c r="C6" t="s">
        <v>35</v>
      </c>
      <c r="D6" t="s">
        <v>762</v>
      </c>
      <c r="E6">
        <v>54.9</v>
      </c>
      <c r="F6">
        <v>3.1</v>
      </c>
      <c r="G6" t="s">
        <v>124</v>
      </c>
      <c r="H6" s="116" t="s">
        <v>767</v>
      </c>
      <c r="I6" s="117" t="s">
        <v>651</v>
      </c>
      <c r="J6" s="118" t="s">
        <v>437</v>
      </c>
      <c r="K6" s="118" t="s">
        <v>35</v>
      </c>
      <c r="L6" t="s">
        <v>762</v>
      </c>
      <c r="M6" cm="1">
        <f t="array" ref="M6">IF(_xll.FDSRC(,"DUMMY","ECON_EXPR_DATA('FDS_ECON["&amp;H6&amp;"]',,,M)")=0,$J$28,_xll.FDSRC(,"DUMMY","ECON_EXPR_DATA('FDS_ECON["&amp;H6&amp;"]',,,M)"))</f>
        <v>54.182526000000003</v>
      </c>
      <c r="N6" cm="1">
        <f t="array" aca="1" ref="N6" ca="1">_xll.FDSRC("-","DUMMY","ECON_EXPR_DATA('FDS_ECON["&amp;H6&amp;"]',"&amp;$N$3&amp;",,Q)")</f>
        <v>53.247562000000002</v>
      </c>
      <c r="O6" cm="1">
        <f t="array" aca="1" ref="O6" ca="1">_xll.FDSRC("-","DUMMY","ECON_EXPR_DATA('FDS_ECON["&amp;H6&amp;"]',"&amp;$O$3&amp;",,Q)")</f>
        <v>51.828487000000003</v>
      </c>
      <c r="P6">
        <f t="shared" ca="1" si="0"/>
        <v>1.4190749999999994</v>
      </c>
      <c r="Q6" cm="1">
        <f t="array" ref="Q6">_xlfn.PERCENTRANK.EXC(_xlfn._xlws.FILTER(M$4:M$24, ISNUMBER(M$4:M$24)),M6)*100</f>
        <v>81.8</v>
      </c>
      <c r="R6" cm="1">
        <f t="array" aca="1" ref="R6" ca="1">_xlfn.PERCENTRANK.EXC(_xlfn._xlws.FILTER(P$4:P$24, ISNUMBER(P$4:P$24)),P6)*100</f>
        <v>68.100000000000009</v>
      </c>
      <c r="S6">
        <f ca="1">Q6*Assumption!$E$27 + R6*Assumption!$F$27</f>
        <v>76.320000000000007</v>
      </c>
      <c r="T6" cm="1">
        <f t="array" aca="1" ref="T6" ca="1">_xlfn.PERCENTRANK.EXC(_xlfn._xlws.FILTER(S$4:S$24, ISNUMBER(S$4:S$24)),S6)*100</f>
        <v>81.8</v>
      </c>
    </row>
    <row r="7" spans="1:28" x14ac:dyDescent="0.35">
      <c r="A7" t="s">
        <v>30</v>
      </c>
      <c r="B7" t="s">
        <v>438</v>
      </c>
      <c r="C7" t="s">
        <v>30</v>
      </c>
      <c r="D7" t="s">
        <v>762</v>
      </c>
      <c r="E7">
        <v>54.9</v>
      </c>
      <c r="F7">
        <v>3.1</v>
      </c>
      <c r="G7" t="s">
        <v>117</v>
      </c>
      <c r="H7" s="116" t="s">
        <v>789</v>
      </c>
      <c r="I7" s="117" t="s">
        <v>699</v>
      </c>
      <c r="J7" s="118" t="s">
        <v>438</v>
      </c>
      <c r="K7" s="118" t="s">
        <v>30</v>
      </c>
      <c r="L7" t="s">
        <v>762</v>
      </c>
      <c r="M7" cm="1">
        <f t="array" ref="M7">IF(_xll.FDSRC(,"DUMMY","ECON_EXPR_DATA('FDS_ECON["&amp;H7&amp;"]',,,M)")=0,$J$28,_xll.FDSRC(,"DUMMY","ECON_EXPR_DATA('FDS_ECON["&amp;H7&amp;"]',,,M)"))</f>
        <v>51.963380000000001</v>
      </c>
      <c r="N7" t="str" cm="1">
        <f t="array" aca="1" ref="N7" ca="1">_xll.FDSRC("-","DUMMY","ECON_EXPR_DATA('FDS_ECON["&amp;H7&amp;"]',"&amp;$N$3&amp;",,Q)")</f>
        <v>-</v>
      </c>
      <c r="O7" cm="1">
        <f t="array" aca="1" ref="O7" ca="1">_xll.FDSRC("-","DUMMY","ECON_EXPR_DATA('FDS_ECON["&amp;H7&amp;"]',"&amp;$O$3&amp;",,Q)")</f>
        <v>52.222515000000001</v>
      </c>
      <c r="P7">
        <f t="shared" ca="1" si="0"/>
        <v>0.88645700000000005</v>
      </c>
      <c r="Q7" cm="1">
        <f t="array" ref="Q7">_xlfn.PERCENTRANK.EXC(_xlfn._xlws.FILTER(M$4:M$24, ISNUMBER(M$4:M$24)),M7)*100</f>
        <v>50</v>
      </c>
      <c r="R7" cm="1">
        <f t="array" aca="1" ref="R7" ca="1">_xlfn.PERCENTRANK.EXC(_xlfn._xlws.FILTER(P$4:P$24, ISNUMBER(P$4:P$24)),P7)*100</f>
        <v>40.9</v>
      </c>
      <c r="S7">
        <f ca="1">Q7*Assumption!$E$27 + R7*Assumption!$F$27</f>
        <v>46.36</v>
      </c>
      <c r="T7" cm="1">
        <f t="array" aca="1" ref="T7" ca="1">_xlfn.PERCENTRANK.EXC(_xlfn._xlws.FILTER(S$4:S$24, ISNUMBER(S$4:S$24)),S7)*100</f>
        <v>40.9</v>
      </c>
    </row>
    <row r="8" spans="1:28" x14ac:dyDescent="0.35">
      <c r="A8" t="s">
        <v>23</v>
      </c>
      <c r="B8" t="s">
        <v>439</v>
      </c>
      <c r="C8" t="s">
        <v>23</v>
      </c>
      <c r="D8" t="s">
        <v>762</v>
      </c>
      <c r="E8">
        <v>54.9</v>
      </c>
      <c r="F8">
        <v>3.1</v>
      </c>
      <c r="G8" t="s">
        <v>100</v>
      </c>
      <c r="H8" s="116" t="s">
        <v>773</v>
      </c>
      <c r="I8" s="117" t="s">
        <v>700</v>
      </c>
      <c r="J8" s="118" t="s">
        <v>439</v>
      </c>
      <c r="K8" s="118" t="s">
        <v>23</v>
      </c>
      <c r="L8" t="s">
        <v>762</v>
      </c>
      <c r="M8" cm="1">
        <f t="array" ref="M8">IF(_xll.FDSRC(,"DUMMY","ECON_EXPR_DATA('FDS_ECON["&amp;H8&amp;"]',,,M)")=0,$J$28,_xll.FDSRC(,"DUMMY","ECON_EXPR_DATA('FDS_ECON["&amp;H8&amp;"]',,,M)"))</f>
        <v>47.991664999999998</v>
      </c>
      <c r="N8" cm="1">
        <f t="array" aca="1" ref="N8" ca="1">_xll.FDSRC("-","DUMMY","ECON_EXPR_DATA('FDS_ECON["&amp;H8&amp;"]',"&amp;$N$3&amp;",,Q)")</f>
        <v>47.649479999999997</v>
      </c>
      <c r="O8" cm="1">
        <f t="array" aca="1" ref="O8" ca="1">_xll.FDSRC("-","DUMMY","ECON_EXPR_DATA('FDS_ECON["&amp;H8&amp;"]',"&amp;$O$3&amp;",,Q)")</f>
        <v>46.884846000000003</v>
      </c>
      <c r="P8">
        <f t="shared" ca="1" si="0"/>
        <v>0.76463399999999382</v>
      </c>
      <c r="Q8" cm="1">
        <f t="array" ref="Q8">_xlfn.PERCENTRANK.EXC(_xlfn._xlws.FILTER(M$4:M$24, ISNUMBER(M$4:M$24)),M8)*100</f>
        <v>4.5</v>
      </c>
      <c r="R8" cm="1">
        <f t="array" aca="1" ref="R8" ca="1">_xlfn.PERCENTRANK.EXC(_xlfn._xlws.FILTER(P$4:P$24, ISNUMBER(P$4:P$24)),P8)*100</f>
        <v>36.299999999999997</v>
      </c>
      <c r="S8">
        <f ca="1">Q8*Assumption!$E$27 + R8*Assumption!$F$27</f>
        <v>17.22</v>
      </c>
      <c r="T8" cm="1">
        <f t="array" aca="1" ref="T8" ca="1">_xlfn.PERCENTRANK.EXC(_xlfn._xlws.FILTER(S$4:S$24, ISNUMBER(S$4:S$24)),S8)*100</f>
        <v>9</v>
      </c>
    </row>
    <row r="9" spans="1:28" x14ac:dyDescent="0.35">
      <c r="A9" t="s">
        <v>29</v>
      </c>
      <c r="B9" t="s">
        <v>440</v>
      </c>
      <c r="C9" t="s">
        <v>29</v>
      </c>
      <c r="D9" t="s">
        <v>762</v>
      </c>
      <c r="E9">
        <v>54.9</v>
      </c>
      <c r="F9">
        <v>3.1</v>
      </c>
      <c r="G9" t="s">
        <v>112</v>
      </c>
      <c r="H9" s="116" t="s">
        <v>782</v>
      </c>
      <c r="I9" s="117" t="s">
        <v>698</v>
      </c>
      <c r="J9" s="118" t="s">
        <v>440</v>
      </c>
      <c r="K9" s="118" t="s">
        <v>29</v>
      </c>
      <c r="L9" t="s">
        <v>762</v>
      </c>
      <c r="M9" cm="1">
        <f t="array" ref="M9">IF(_xll.FDSRC(,"DUMMY","ECON_EXPR_DATA('FDS_ECON["&amp;H9&amp;"]',,,M)")=0,$J$28,_xll.FDSRC(,"DUMMY","ECON_EXPR_DATA('FDS_ECON["&amp;H9&amp;"]',,,M)"))</f>
        <v>51.963380000000001</v>
      </c>
      <c r="N9" t="str" cm="1">
        <f t="array" aca="1" ref="N9" ca="1">_xll.FDSRC("-","DUMMY","ECON_EXPR_DATA('FDS_ECON["&amp;H9&amp;"]',"&amp;$N$3&amp;",,Q)")</f>
        <v>-</v>
      </c>
      <c r="O9" t="str" cm="1">
        <f t="array" aca="1" ref="O9" ca="1">_xll.FDSRC("-","DUMMY","ECON_EXPR_DATA('FDS_ECON["&amp;H9&amp;"]',"&amp;$O$3&amp;",,Q)")</f>
        <v>-</v>
      </c>
      <c r="P9">
        <f t="shared" ca="1" si="0"/>
        <v>0.88645700000000005</v>
      </c>
      <c r="Q9" cm="1">
        <f t="array" ref="Q9">_xlfn.PERCENTRANK.EXC(_xlfn._xlws.FILTER(M$4:M$24, ISNUMBER(M$4:M$24)),M9)*100</f>
        <v>50</v>
      </c>
      <c r="R9" cm="1">
        <f t="array" aca="1" ref="R9" ca="1">_xlfn.PERCENTRANK.EXC(_xlfn._xlws.FILTER(P$4:P$24, ISNUMBER(P$4:P$24)),P9)*100</f>
        <v>40.9</v>
      </c>
      <c r="S9">
        <f ca="1">Q9*Assumption!$E$27 + R9*Assumption!$F$27</f>
        <v>46.36</v>
      </c>
      <c r="T9" cm="1">
        <f t="array" aca="1" ref="T9" ca="1">_xlfn.PERCENTRANK.EXC(_xlfn._xlws.FILTER(S$4:S$24, ISNUMBER(S$4:S$24)),S9)*100</f>
        <v>40.9</v>
      </c>
    </row>
    <row r="10" spans="1:28" x14ac:dyDescent="0.35">
      <c r="A10" t="s">
        <v>33</v>
      </c>
      <c r="B10" t="s">
        <v>441</v>
      </c>
      <c r="C10" t="s">
        <v>33</v>
      </c>
      <c r="D10" t="s">
        <v>762</v>
      </c>
      <c r="E10">
        <v>54.9</v>
      </c>
      <c r="F10">
        <v>3.1</v>
      </c>
      <c r="G10" t="s">
        <v>122</v>
      </c>
      <c r="H10" s="116" t="s">
        <v>790</v>
      </c>
      <c r="I10" s="117" t="s">
        <v>673</v>
      </c>
      <c r="J10" s="118" t="s">
        <v>441</v>
      </c>
      <c r="K10" s="118" t="s">
        <v>33</v>
      </c>
      <c r="L10" t="s">
        <v>762</v>
      </c>
      <c r="M10" cm="1">
        <f t="array" ref="M10">IF(_xll.FDSRC(,"DUMMY","ECON_EXPR_DATA('FDS_ECON["&amp;H10&amp;"]',,,M)")=0,$J$28,_xll.FDSRC(,"DUMMY","ECON_EXPR_DATA('FDS_ECON["&amp;H10&amp;"]',,,M)"))</f>
        <v>48.399647000000002</v>
      </c>
      <c r="N10" cm="1">
        <f t="array" aca="1" ref="N10" ca="1">_xll.FDSRC("-","DUMMY","ECON_EXPR_DATA('FDS_ECON["&amp;H10&amp;"]',"&amp;$N$3&amp;",,Q)")</f>
        <v>48.949593</v>
      </c>
      <c r="O10" cm="1">
        <f t="array" aca="1" ref="O10" ca="1">_xll.FDSRC("-","DUMMY","ECON_EXPR_DATA('FDS_ECON["&amp;H10&amp;"]',"&amp;$O$3&amp;",,Q)")</f>
        <v>47.499214000000002</v>
      </c>
      <c r="P10">
        <f t="shared" ca="1" si="0"/>
        <v>1.4503789999999981</v>
      </c>
      <c r="Q10" cm="1">
        <f t="array" ref="Q10">_xlfn.PERCENTRANK.EXC(_xlfn._xlws.FILTER(M$4:M$24, ISNUMBER(M$4:M$24)),M10)*100</f>
        <v>13.600000000000001</v>
      </c>
      <c r="R10" cm="1">
        <f t="array" aca="1" ref="R10" ca="1">_xlfn.PERCENTRANK.EXC(_xlfn._xlws.FILTER(P$4:P$24, ISNUMBER(P$4:P$24)),P10)*100</f>
        <v>72.7</v>
      </c>
      <c r="S10">
        <f ca="1">Q10*Assumption!$E$27 + R10*Assumption!$F$27</f>
        <v>37.24</v>
      </c>
      <c r="T10" cm="1">
        <f t="array" aca="1" ref="T10" ca="1">_xlfn.PERCENTRANK.EXC(_xlfn._xlws.FILTER(S$4:S$24, ISNUMBER(S$4:S$24)),S10)*100</f>
        <v>36.299999999999997</v>
      </c>
    </row>
    <row r="11" spans="1:28" x14ac:dyDescent="0.35">
      <c r="A11" t="s">
        <v>24</v>
      </c>
      <c r="B11" t="s">
        <v>40</v>
      </c>
      <c r="C11" t="s">
        <v>24</v>
      </c>
      <c r="D11" t="s">
        <v>762</v>
      </c>
      <c r="E11">
        <v>54.9</v>
      </c>
      <c r="F11">
        <v>3.1</v>
      </c>
      <c r="G11" t="s">
        <v>103</v>
      </c>
      <c r="H11" s="116" t="s">
        <v>770</v>
      </c>
      <c r="I11" s="117" t="s">
        <v>720</v>
      </c>
      <c r="J11" s="118" t="s">
        <v>40</v>
      </c>
      <c r="K11" s="118" t="s">
        <v>24</v>
      </c>
      <c r="L11" t="s">
        <v>762</v>
      </c>
      <c r="M11" cm="1">
        <f t="array" ref="M11">IF(_xll.FDSRC(,"DUMMY","ECON_EXPR_DATA('FDS_ECON["&amp;H11&amp;"]',,,M)")=0,$J$28,_xll.FDSRC(,"DUMMY","ECON_EXPR_DATA('FDS_ECON["&amp;H11&amp;"]',,,M)"))</f>
        <v>49.3</v>
      </c>
      <c r="N11" cm="1">
        <f t="array" aca="1" ref="N11" ca="1">_xll.FDSRC("-","DUMMY","ECON_EXPR_DATA('FDS_ECON["&amp;H11&amp;"]',"&amp;$N$3&amp;",,Q)")</f>
        <v>48.897906999999996</v>
      </c>
      <c r="O11" cm="1">
        <f t="array" aca="1" ref="O11" ca="1">_xll.FDSRC("-","DUMMY","ECON_EXPR_DATA('FDS_ECON["&amp;H11&amp;"]',"&amp;$O$3&amp;",,Q)")</f>
        <v>47.63588</v>
      </c>
      <c r="P11">
        <f t="shared" ca="1" si="0"/>
        <v>1.2620269999999962</v>
      </c>
      <c r="Q11" cm="1">
        <f t="array" ref="Q11">_xlfn.PERCENTRANK.EXC(_xlfn._xlws.FILTER(M$4:M$24, ISNUMBER(M$4:M$24)),M11)*100</f>
        <v>18.099999999999998</v>
      </c>
      <c r="R11" cm="1">
        <f t="array" aca="1" ref="R11" ca="1">_xlfn.PERCENTRANK.EXC(_xlfn._xlws.FILTER(P$4:P$24, ISNUMBER(P$4:P$24)),P11)*100</f>
        <v>63.6</v>
      </c>
      <c r="S11">
        <f ca="1">Q11*Assumption!$E$27 + R11*Assumption!$F$27</f>
        <v>36.299999999999997</v>
      </c>
      <c r="T11" cm="1">
        <f t="array" aca="1" ref="T11" ca="1">_xlfn.PERCENTRANK.EXC(_xlfn._xlws.FILTER(S$4:S$24, ISNUMBER(S$4:S$24)),S11)*100</f>
        <v>31.8</v>
      </c>
    </row>
    <row r="12" spans="1:28" x14ac:dyDescent="0.35">
      <c r="A12" t="s">
        <v>7</v>
      </c>
      <c r="B12" t="s">
        <v>53</v>
      </c>
      <c r="C12" t="s">
        <v>7</v>
      </c>
      <c r="D12" t="s">
        <v>762</v>
      </c>
      <c r="E12">
        <v>54.9</v>
      </c>
      <c r="F12">
        <v>3.1</v>
      </c>
      <c r="G12" t="s">
        <v>121</v>
      </c>
      <c r="H12" s="116" t="s">
        <v>764</v>
      </c>
      <c r="I12" s="117" t="s">
        <v>678</v>
      </c>
      <c r="J12" s="118" t="s">
        <v>53</v>
      </c>
      <c r="K12" s="118" t="s">
        <v>7</v>
      </c>
      <c r="L12" t="s">
        <v>762</v>
      </c>
      <c r="M12" cm="1">
        <f t="array" ref="M12">IF(_xll.FDSRC(,"DUMMY","ECON_EXPR_DATA('FDS_ECON["&amp;H12&amp;"]',,,M)")=0,$J$28,_xll.FDSRC(,"DUMMY","ECON_EXPR_DATA('FDS_ECON["&amp;H12&amp;"]',,,M)"))</f>
        <v>52.230040000000002</v>
      </c>
      <c r="N12" cm="1">
        <f t="array" aca="1" ref="N12" ca="1">_xll.FDSRC("-","DUMMY","ECON_EXPR_DATA('FDS_ECON["&amp;H12&amp;"]',"&amp;$N$3&amp;",,Q)")</f>
        <v>51.565502000000002</v>
      </c>
      <c r="O12" cm="1">
        <f t="array" aca="1" ref="O12" ca="1">_xll.FDSRC("-","DUMMY","ECON_EXPR_DATA('FDS_ECON["&amp;H12&amp;"]',"&amp;$O$3&amp;",,Q)")</f>
        <v>52.180695</v>
      </c>
      <c r="P12">
        <f t="shared" ca="1" si="0"/>
        <v>-0.61519299999999788</v>
      </c>
      <c r="Q12" cm="1">
        <f t="array" ref="Q12">_xlfn.PERCENTRANK.EXC(_xlfn._xlws.FILTER(M$4:M$24, ISNUMBER(M$4:M$24)),M12)*100</f>
        <v>72.7</v>
      </c>
      <c r="R12" cm="1">
        <f t="array" aca="1" ref="R12" ca="1">_xlfn.PERCENTRANK.EXC(_xlfn._xlws.FILTER(P$4:P$24, ISNUMBER(P$4:P$24)),P12)*100</f>
        <v>9</v>
      </c>
      <c r="S12">
        <f ca="1">Q12*Assumption!$E$27 + R12*Assumption!$F$27</f>
        <v>47.22</v>
      </c>
      <c r="T12" cm="1">
        <f t="array" aca="1" ref="T12" ca="1">_xlfn.PERCENTRANK.EXC(_xlfn._xlws.FILTER(S$4:S$24, ISNUMBER(S$4:S$24)),S12)*100</f>
        <v>68.100000000000009</v>
      </c>
    </row>
    <row r="13" spans="1:28" x14ac:dyDescent="0.35">
      <c r="A13" t="s">
        <v>21</v>
      </c>
      <c r="B13" t="s">
        <v>38</v>
      </c>
      <c r="C13" t="s">
        <v>21</v>
      </c>
      <c r="D13" t="s">
        <v>762</v>
      </c>
      <c r="E13">
        <v>54.9</v>
      </c>
      <c r="F13">
        <v>3.1</v>
      </c>
      <c r="G13" t="s">
        <v>101</v>
      </c>
      <c r="H13" s="116" t="s">
        <v>768</v>
      </c>
      <c r="I13" s="117" t="s">
        <v>769</v>
      </c>
      <c r="J13" s="118" t="s">
        <v>38</v>
      </c>
      <c r="K13" s="118" t="s">
        <v>21</v>
      </c>
      <c r="L13" t="s">
        <v>762</v>
      </c>
      <c r="M13" cm="1">
        <f t="array" ref="M13">IF(_xll.FDSRC(,"DUMMY","ECON_EXPR_DATA('FDS_ECON["&amp;H13&amp;"]',,,M)")=0,$J$28,_xll.FDSRC(,"DUMMY","ECON_EXPR_DATA('FDS_ECON["&amp;H13&amp;"]',,,M)"))</f>
        <v>49.825580000000002</v>
      </c>
      <c r="N13" cm="1">
        <f t="array" aca="1" ref="N13" ca="1">_xll.FDSRC("-","DUMMY","ECON_EXPR_DATA('FDS_ECON["&amp;H13&amp;"]',"&amp;$N$3&amp;",,Q)")</f>
        <v>50.576219999999999</v>
      </c>
      <c r="O13" cm="1">
        <f t="array" aca="1" ref="O13" ca="1">_xll.FDSRC("-","DUMMY","ECON_EXPR_DATA('FDS_ECON["&amp;H13&amp;"]',"&amp;$O$3&amp;",,Q)")</f>
        <v>49.900604000000001</v>
      </c>
      <c r="P13">
        <f t="shared" ca="1" si="0"/>
        <v>0.675615999999998</v>
      </c>
      <c r="Q13" cm="1">
        <f t="array" ref="Q13">_xlfn.PERCENTRANK.EXC(_xlfn._xlws.FILTER(M$4:M$24, ISNUMBER(M$4:M$24)),M13)*100</f>
        <v>22.7</v>
      </c>
      <c r="R13" cm="1">
        <f t="array" aca="1" ref="R13" ca="1">_xlfn.PERCENTRANK.EXC(_xlfn._xlws.FILTER(P$4:P$24, ISNUMBER(P$4:P$24)),P13)*100</f>
        <v>31.8</v>
      </c>
      <c r="S13">
        <f ca="1">Q13*Assumption!$E$27 + R13*Assumption!$F$27</f>
        <v>26.34</v>
      </c>
      <c r="T13" cm="1">
        <f t="array" aca="1" ref="T13" ca="1">_xlfn.PERCENTRANK.EXC(_xlfn._xlws.FILTER(S$4:S$24, ISNUMBER(S$4:S$24)),S13)*100</f>
        <v>13.600000000000001</v>
      </c>
    </row>
    <row r="14" spans="1:28" x14ac:dyDescent="0.35">
      <c r="A14" t="s">
        <v>12</v>
      </c>
      <c r="B14" t="s">
        <v>54</v>
      </c>
      <c r="C14" t="s">
        <v>12</v>
      </c>
      <c r="D14" t="s">
        <v>762</v>
      </c>
      <c r="E14">
        <v>51.8</v>
      </c>
      <c r="F14">
        <v>1.9</v>
      </c>
      <c r="G14" t="s">
        <v>127</v>
      </c>
      <c r="H14" s="116" t="s">
        <v>763</v>
      </c>
      <c r="I14" s="117" t="s">
        <v>603</v>
      </c>
      <c r="J14" s="118" t="s">
        <v>54</v>
      </c>
      <c r="K14" s="118" t="s">
        <v>12</v>
      </c>
      <c r="L14" t="s">
        <v>762</v>
      </c>
      <c r="M14" cm="1">
        <f t="array" ref="M14">IF(_xll.FDSRC(,"DUMMY","ECON_EXPR_DATA('FDS_ECON["&amp;H14&amp;"]',,,M)")=0,$J$28,_xll.FDSRC(,"DUMMY","ECON_EXPR_DATA('FDS_ECON["&amp;H14&amp;"]',,,M)"))</f>
        <v>53.629944000000002</v>
      </c>
      <c r="N14" cm="1">
        <f t="array" aca="1" ref="N14" ca="1">_xll.FDSRC("-","DUMMY","ECON_EXPR_DATA('FDS_ECON["&amp;H14&amp;"]',"&amp;$N$3&amp;",,Q)")</f>
        <v>53.509574999999998</v>
      </c>
      <c r="O14" cm="1">
        <f t="array" aca="1" ref="O14" ca="1">_xll.FDSRC("-","DUMMY","ECON_EXPR_DATA('FDS_ECON["&amp;H14&amp;"]',"&amp;$O$3&amp;",,Q)")</f>
        <v>48.798813000000003</v>
      </c>
      <c r="P14">
        <f t="shared" ca="1" si="0"/>
        <v>4.7107619999999955</v>
      </c>
      <c r="Q14" cm="1">
        <f t="array" ref="Q14">_xlfn.PERCENTRANK.EXC(_xlfn._xlws.FILTER(M$4:M$24, ISNUMBER(M$4:M$24)),M14)*100</f>
        <v>77.2</v>
      </c>
      <c r="R14" cm="1">
        <f t="array" aca="1" ref="R14" ca="1">_xlfn.PERCENTRANK.EXC(_xlfn._xlws.FILTER(P$4:P$24, ISNUMBER(P$4:P$24)),P14)*100</f>
        <v>90.9</v>
      </c>
      <c r="S14">
        <f ca="1">Q14*Assumption!$E$27 + R14*Assumption!$F$27</f>
        <v>82.68</v>
      </c>
      <c r="T14" cm="1">
        <f t="array" aca="1" ref="T14" ca="1">_xlfn.PERCENTRANK.EXC(_xlfn._xlws.FILTER(S$4:S$24, ISNUMBER(S$4:S$24)),S14)*100</f>
        <v>86.3</v>
      </c>
      <c r="AA14" s="1" t="s">
        <v>902</v>
      </c>
    </row>
    <row r="15" spans="1:28" x14ac:dyDescent="0.35">
      <c r="A15" t="s">
        <v>22</v>
      </c>
      <c r="B15" t="s">
        <v>442</v>
      </c>
      <c r="C15" t="s">
        <v>22</v>
      </c>
      <c r="D15" t="s">
        <v>762</v>
      </c>
      <c r="E15">
        <v>47.5</v>
      </c>
      <c r="F15">
        <v>1.1000000000000001</v>
      </c>
      <c r="G15" t="s">
        <v>99</v>
      </c>
      <c r="H15" s="116" t="s">
        <v>791</v>
      </c>
      <c r="I15" s="117" t="s">
        <v>713</v>
      </c>
      <c r="J15" s="118" t="s">
        <v>442</v>
      </c>
      <c r="K15" s="118" t="s">
        <v>22</v>
      </c>
      <c r="L15" t="s">
        <v>762</v>
      </c>
      <c r="M15" cm="1">
        <f t="array" ref="M15">IF(_xll.FDSRC(,"DUMMY","ECON_EXPR_DATA('FDS_ECON["&amp;H15&amp;"]',,,M)")=0,$J$28,_xll.FDSRC(,"DUMMY","ECON_EXPR_DATA('FDS_ECON["&amp;H15&amp;"]',,,M)"))</f>
        <v>48.386839999999999</v>
      </c>
      <c r="N15" cm="1">
        <f t="array" aca="1" ref="N15" ca="1">_xll.FDSRC("-","DUMMY","ECON_EXPR_DATA('FDS_ECON["&amp;H15&amp;"]',"&amp;$N$3&amp;",,Q)")</f>
        <v>49.458922999999999</v>
      </c>
      <c r="O15" cm="1">
        <f t="array" aca="1" ref="O15" ca="1">_xll.FDSRC("-","DUMMY","ECON_EXPR_DATA('FDS_ECON["&amp;H15&amp;"]',"&amp;$O$3&amp;",,Q)")</f>
        <v>49.293605999999997</v>
      </c>
      <c r="P15">
        <f t="shared" ca="1" si="0"/>
        <v>0.16531700000000171</v>
      </c>
      <c r="Q15" cm="1">
        <f t="array" ref="Q15">_xlfn.PERCENTRANK.EXC(_xlfn._xlws.FILTER(M$4:M$24, ISNUMBER(M$4:M$24)),M15)*100</f>
        <v>9</v>
      </c>
      <c r="R15" cm="1">
        <f t="array" aca="1" ref="R15" ca="1">_xlfn.PERCENTRANK.EXC(_xlfn._xlws.FILTER(P$4:P$24, ISNUMBER(P$4:P$24)),P15)*100</f>
        <v>18.099999999999998</v>
      </c>
      <c r="S15">
        <f ca="1">Q15*Assumption!$E$27 + R15*Assumption!$F$27</f>
        <v>12.639999999999999</v>
      </c>
      <c r="T15" cm="1">
        <f t="array" aca="1" ref="T15" ca="1">_xlfn.PERCENTRANK.EXC(_xlfn._xlws.FILTER(S$4:S$24, ISNUMBER(S$4:S$24)),S15)*100</f>
        <v>4.5</v>
      </c>
    </row>
    <row r="16" spans="1:28" x14ac:dyDescent="0.35">
      <c r="A16" t="s">
        <v>28</v>
      </c>
      <c r="B16" t="s">
        <v>443</v>
      </c>
      <c r="C16" t="s">
        <v>28</v>
      </c>
      <c r="D16" t="s">
        <v>762</v>
      </c>
      <c r="E16">
        <v>54.9</v>
      </c>
      <c r="F16">
        <v>3.1</v>
      </c>
      <c r="G16" t="s">
        <v>111</v>
      </c>
      <c r="H16" s="116" t="s">
        <v>772</v>
      </c>
      <c r="I16" s="117" t="s">
        <v>640</v>
      </c>
      <c r="J16" s="118" t="s">
        <v>443</v>
      </c>
      <c r="K16" s="118" t="s">
        <v>28</v>
      </c>
      <c r="L16" t="s">
        <v>762</v>
      </c>
      <c r="M16" cm="1">
        <f t="array" ref="M16">IF(_xll.FDSRC(,"DUMMY","ECON_EXPR_DATA('FDS_ECON["&amp;H16&amp;"]',,,M)")=0,$J$28,_xll.FDSRC(,"DUMMY","ECON_EXPR_DATA('FDS_ECON["&amp;H16&amp;"]',,,M)"))</f>
        <v>56.855103</v>
      </c>
      <c r="N16" cm="1">
        <f t="array" aca="1" ref="N16" ca="1">_xll.FDSRC("-","DUMMY","ECON_EXPR_DATA('FDS_ECON["&amp;H16&amp;"]',"&amp;$N$3&amp;",,Q)")</f>
        <v>55.775460000000002</v>
      </c>
      <c r="O16" cm="1">
        <f t="array" aca="1" ref="O16" ca="1">_xll.FDSRC("-","DUMMY","ECON_EXPR_DATA('FDS_ECON["&amp;H16&amp;"]',"&amp;$O$3&amp;",,Q)")</f>
        <v>50.995750000000001</v>
      </c>
      <c r="P16">
        <f t="shared" ca="1" si="0"/>
        <v>4.7797100000000015</v>
      </c>
      <c r="Q16" cm="1">
        <f t="array" ref="Q16">_xlfn.PERCENTRANK.EXC(_xlfn._xlws.FILTER(M$4:M$24, ISNUMBER(M$4:M$24)),M16)*100</f>
        <v>86.3</v>
      </c>
      <c r="R16" cm="1">
        <f t="array" aca="1" ref="R16" ca="1">_xlfn.PERCENTRANK.EXC(_xlfn._xlws.FILTER(P$4:P$24, ISNUMBER(P$4:P$24)),P16)*100</f>
        <v>95.399999999999991</v>
      </c>
      <c r="S16">
        <f ca="1">Q16*Assumption!$E$27 + R16*Assumption!$F$27</f>
        <v>89.94</v>
      </c>
      <c r="T16" cm="1">
        <f t="array" aca="1" ref="T16" ca="1">_xlfn.PERCENTRANK.EXC(_xlfn._xlws.FILTER(S$4:S$24, ISNUMBER(S$4:S$24)),S16)*100</f>
        <v>90.9</v>
      </c>
      <c r="AB16" t="s">
        <v>896</v>
      </c>
    </row>
    <row r="17" spans="1:31" x14ac:dyDescent="0.35">
      <c r="A17" t="s">
        <v>32</v>
      </c>
      <c r="B17" t="s">
        <v>52</v>
      </c>
      <c r="C17" t="s">
        <v>32</v>
      </c>
      <c r="D17" t="s">
        <v>762</v>
      </c>
      <c r="E17">
        <v>61.6</v>
      </c>
      <c r="F17">
        <v>3.2</v>
      </c>
      <c r="G17" t="s">
        <v>118</v>
      </c>
      <c r="H17" s="116" t="s">
        <v>766</v>
      </c>
      <c r="I17" s="117" t="s">
        <v>650</v>
      </c>
      <c r="J17" s="118" t="s">
        <v>52</v>
      </c>
      <c r="K17" s="118" t="s">
        <v>32</v>
      </c>
      <c r="L17" t="s">
        <v>762</v>
      </c>
      <c r="M17" cm="1">
        <f t="array" ref="M17">IF(_xll.FDSRC(,"DUMMY","ECON_EXPR_DATA('FDS_ECON["&amp;H17&amp;"]',,,M)")=0,$J$28,_xll.FDSRC(,"DUMMY","ECON_EXPR_DATA('FDS_ECON["&amp;H17&amp;"]',,,M)"))</f>
        <v>59.136699999999998</v>
      </c>
      <c r="N17" cm="1">
        <f t="array" aca="1" ref="N17" ca="1">_xll.FDSRC("-","DUMMY","ECON_EXPR_DATA('FDS_ECON["&amp;H17&amp;"]',"&amp;$N$3&amp;",,Q)")</f>
        <v>57.516635999999998</v>
      </c>
      <c r="O17" cm="1">
        <f t="array" aca="1" ref="O17" ca="1">_xll.FDSRC("-","DUMMY","ECON_EXPR_DATA('FDS_ECON["&amp;H17&amp;"]',"&amp;$O$3&amp;",,Q)")</f>
        <v>55.461708000000002</v>
      </c>
      <c r="P17">
        <f t="shared" ca="1" si="0"/>
        <v>2.0549279999999968</v>
      </c>
      <c r="Q17" cm="1">
        <f t="array" ref="Q17">_xlfn.PERCENTRANK.EXC(_xlfn._xlws.FILTER(M$4:M$24, ISNUMBER(M$4:M$24)),M17)*100</f>
        <v>95.399999999999991</v>
      </c>
      <c r="R17" cm="1">
        <f t="array" aca="1" ref="R17" ca="1">_xlfn.PERCENTRANK.EXC(_xlfn._xlws.FILTER(P$4:P$24, ISNUMBER(P$4:P$24)),P17)*100</f>
        <v>81.8</v>
      </c>
      <c r="S17">
        <f ca="1">Q17*Assumption!$E$27 + R17*Assumption!$F$27</f>
        <v>89.96</v>
      </c>
      <c r="T17" cm="1">
        <f t="array" aca="1" ref="T17" ca="1">_xlfn.PERCENTRANK.EXC(_xlfn._xlws.FILTER(S$4:S$24, ISNUMBER(S$4:S$24)),S17)*100</f>
        <v>95.399999999999991</v>
      </c>
    </row>
    <row r="18" spans="1:31" x14ac:dyDescent="0.35">
      <c r="A18" t="s">
        <v>26</v>
      </c>
      <c r="B18" t="s">
        <v>41</v>
      </c>
      <c r="C18" t="s">
        <v>26</v>
      </c>
      <c r="D18" t="s">
        <v>762</v>
      </c>
      <c r="E18">
        <v>53.6</v>
      </c>
      <c r="F18">
        <v>2.4</v>
      </c>
      <c r="G18" t="s">
        <v>104</v>
      </c>
      <c r="H18" s="116" t="s">
        <v>765</v>
      </c>
      <c r="I18" s="117" t="s">
        <v>615</v>
      </c>
      <c r="J18" s="118" t="s">
        <v>41</v>
      </c>
      <c r="K18" s="118" t="s">
        <v>26</v>
      </c>
      <c r="L18" t="s">
        <v>762</v>
      </c>
      <c r="M18" cm="1">
        <f t="array" ref="M18">IF(_xll.FDSRC(,"DUMMY","ECON_EXPR_DATA('FDS_ECON["&amp;H18&amp;"]',,,M)")=0,$J$28,_xll.FDSRC(,"DUMMY","ECON_EXPR_DATA('FDS_ECON["&amp;H18&amp;"]',,,M)"))</f>
        <v>51.129350000000002</v>
      </c>
      <c r="N18" cm="1">
        <f t="array" aca="1" ref="N18" ca="1">_xll.FDSRC("-","DUMMY","ECON_EXPR_DATA('FDS_ECON["&amp;H18&amp;"]',"&amp;$N$3&amp;",,Q)")</f>
        <v>50.938282000000001</v>
      </c>
      <c r="O18" cm="1">
        <f t="array" aca="1" ref="O18" ca="1">_xll.FDSRC("-","DUMMY","ECON_EXPR_DATA('FDS_ECON["&amp;H18&amp;"]',"&amp;$O$3&amp;",,Q)")</f>
        <v>50.34384</v>
      </c>
      <c r="P18">
        <f t="shared" ca="1" si="0"/>
        <v>0.5944420000000008</v>
      </c>
      <c r="Q18" cm="1">
        <f t="array" ref="Q18">_xlfn.PERCENTRANK.EXC(_xlfn._xlws.FILTER(M$4:M$24, ISNUMBER(M$4:M$24)),M18)*100</f>
        <v>40.9</v>
      </c>
      <c r="R18" cm="1">
        <f t="array" aca="1" ref="R18" ca="1">_xlfn.PERCENTRANK.EXC(_xlfn._xlws.FILTER(P$4:P$24, ISNUMBER(P$4:P$24)),P18)*100</f>
        <v>22.7</v>
      </c>
      <c r="S18">
        <f ca="1">Q18*Assumption!$E$27 + R18*Assumption!$F$27</f>
        <v>33.619999999999997</v>
      </c>
      <c r="T18" cm="1">
        <f t="array" aca="1" ref="T18" ca="1">_xlfn.PERCENTRANK.EXC(_xlfn._xlws.FILTER(S$4:S$24, ISNUMBER(S$4:S$24)),S18)*100</f>
        <v>22.7</v>
      </c>
      <c r="AB18" t="s">
        <v>780</v>
      </c>
      <c r="AC18" t="s">
        <v>897</v>
      </c>
      <c r="AE18" t="s">
        <v>503</v>
      </c>
    </row>
    <row r="19" spans="1:31" x14ac:dyDescent="0.35">
      <c r="A19" t="s">
        <v>31</v>
      </c>
      <c r="B19" t="s">
        <v>444</v>
      </c>
      <c r="C19" t="s">
        <v>31</v>
      </c>
      <c r="D19" t="s">
        <v>762</v>
      </c>
      <c r="E19">
        <v>56</v>
      </c>
      <c r="F19">
        <v>10.3</v>
      </c>
      <c r="G19" t="s">
        <v>120</v>
      </c>
      <c r="H19" s="116" t="s">
        <v>792</v>
      </c>
      <c r="I19" s="117" t="s">
        <v>702</v>
      </c>
      <c r="J19" s="118" t="s">
        <v>444</v>
      </c>
      <c r="K19" s="118" t="s">
        <v>31</v>
      </c>
      <c r="L19" t="s">
        <v>762</v>
      </c>
      <c r="M19" cm="1">
        <f t="array" ref="M19">IF(_xll.FDSRC(,"DUMMY","ECON_EXPR_DATA('FDS_ECON["&amp;H19&amp;"]',,,M)")=0,$J$28,_xll.FDSRC(,"DUMMY","ECON_EXPR_DATA('FDS_ECON["&amp;H19&amp;"]',,,M)"))</f>
        <v>50.577514999999998</v>
      </c>
      <c r="N19" cm="1">
        <f t="array" aca="1" ref="N19" ca="1">_xll.FDSRC("-","DUMMY","ECON_EXPR_DATA('FDS_ECON["&amp;H19&amp;"]',"&amp;$N$3&amp;",,Q)")</f>
        <v>50.683044000000002</v>
      </c>
      <c r="O19" cm="1">
        <f t="array" aca="1" ref="O19" ca="1">_xll.FDSRC("-","DUMMY","ECON_EXPR_DATA('FDS_ECON["&amp;H19&amp;"]',"&amp;$O$3&amp;",,Q)")</f>
        <v>50.688426999999997</v>
      </c>
      <c r="P19">
        <f t="shared" ca="1" si="0"/>
        <v>-5.3829999999948086E-3</v>
      </c>
      <c r="Q19" cm="1">
        <f t="array" ref="Q19">_xlfn.PERCENTRANK.EXC(_xlfn._xlws.FILTER(M$4:M$24, ISNUMBER(M$4:M$24)),M19)*100</f>
        <v>36.299999999999997</v>
      </c>
      <c r="R19" cm="1">
        <f t="array" aca="1" ref="R19" ca="1">_xlfn.PERCENTRANK.EXC(_xlfn._xlws.FILTER(P$4:P$24, ISNUMBER(P$4:P$24)),P19)*100</f>
        <v>13.600000000000001</v>
      </c>
      <c r="S19">
        <f ca="1">Q19*Assumption!$E$27 + R19*Assumption!$F$27</f>
        <v>27.22</v>
      </c>
      <c r="T19" cm="1">
        <f t="array" aca="1" ref="T19" ca="1">_xlfn.PERCENTRANK.EXC(_xlfn._xlws.FILTER(S$4:S$24, ISNUMBER(S$4:S$24)),S19)*100</f>
        <v>18.099999999999998</v>
      </c>
      <c r="AB19" t="s">
        <v>898</v>
      </c>
      <c r="AC19" t="s">
        <v>899</v>
      </c>
      <c r="AE19">
        <v>100</v>
      </c>
    </row>
    <row r="20" spans="1:31" x14ac:dyDescent="0.35">
      <c r="A20" t="s">
        <v>434</v>
      </c>
      <c r="B20" t="s">
        <v>445</v>
      </c>
      <c r="C20" t="s">
        <v>434</v>
      </c>
      <c r="D20" t="s">
        <v>762</v>
      </c>
      <c r="E20">
        <v>54.9</v>
      </c>
      <c r="F20">
        <v>3.1</v>
      </c>
      <c r="G20" t="s">
        <v>220</v>
      </c>
      <c r="H20" s="116" t="s">
        <v>793</v>
      </c>
      <c r="I20" s="117" t="s">
        <v>723</v>
      </c>
      <c r="J20" s="118" t="s">
        <v>758</v>
      </c>
      <c r="K20" s="118" t="s">
        <v>757</v>
      </c>
      <c r="L20" t="s">
        <v>762</v>
      </c>
      <c r="M20" cm="1">
        <f t="array" ref="M20">IF(_xll.FDSRC(,"DUMMY","ECON_EXPR_DATA('FDS_ECON["&amp;H20&amp;"]',,,M)")=0,$J$28,_xll.FDSRC(,"DUMMY","ECON_EXPR_DATA('FDS_ECON["&amp;H20&amp;"]',,,M)"))</f>
        <v>51.963380000000001</v>
      </c>
      <c r="N20" t="str" cm="1">
        <f t="array" aca="1" ref="N20" ca="1">_xll.FDSRC("-","DUMMY","ECON_EXPR_DATA('FDS_ECON["&amp;H20&amp;"]',"&amp;$N$3&amp;",,Q)")</f>
        <v>-</v>
      </c>
      <c r="O20" cm="1">
        <f t="array" aca="1" ref="O20" ca="1">_xll.FDSRC("-","DUMMY","ECON_EXPR_DATA('FDS_ECON["&amp;H20&amp;"]',"&amp;$O$3&amp;",,Q)")</f>
        <v>46.695160000000001</v>
      </c>
      <c r="P20">
        <f t="shared" ca="1" si="0"/>
        <v>0.88645700000000005</v>
      </c>
      <c r="Q20" cm="1">
        <f t="array" ref="Q20">_xlfn.PERCENTRANK.EXC(_xlfn._xlws.FILTER(M$4:M$24, ISNUMBER(M$4:M$24)),M20)*100</f>
        <v>50</v>
      </c>
      <c r="R20" cm="1">
        <f t="array" aca="1" ref="R20" ca="1">_xlfn.PERCENTRANK.EXC(_xlfn._xlws.FILTER(P$4:P$24, ISNUMBER(P$4:P$24)),P20)*100</f>
        <v>40.9</v>
      </c>
      <c r="S20">
        <f ca="1">Q20*Assumption!$E$27 + R20*Assumption!$F$27</f>
        <v>46.36</v>
      </c>
      <c r="T20" cm="1">
        <f t="array" aca="1" ref="T20" ca="1">_xlfn.PERCENTRANK.EXC(_xlfn._xlws.FILTER(S$4:S$24, ISNUMBER(S$4:S$24)),S20)*100</f>
        <v>40.9</v>
      </c>
      <c r="AB20" t="s">
        <v>898</v>
      </c>
      <c r="AC20" t="s">
        <v>900</v>
      </c>
      <c r="AE20">
        <v>75</v>
      </c>
    </row>
    <row r="21" spans="1:31" x14ac:dyDescent="0.35">
      <c r="A21" t="s">
        <v>25</v>
      </c>
      <c r="B21" t="s">
        <v>446</v>
      </c>
      <c r="C21" t="s">
        <v>25</v>
      </c>
      <c r="D21" t="s">
        <v>762</v>
      </c>
      <c r="E21">
        <v>54.9</v>
      </c>
      <c r="F21">
        <v>3.1</v>
      </c>
      <c r="G21" t="s">
        <v>105</v>
      </c>
      <c r="H21" s="116" t="s">
        <v>774</v>
      </c>
      <c r="I21" s="117" t="s">
        <v>727</v>
      </c>
      <c r="J21" s="118" t="s">
        <v>446</v>
      </c>
      <c r="K21" s="118" t="s">
        <v>25</v>
      </c>
      <c r="L21" t="s">
        <v>762</v>
      </c>
      <c r="M21" cm="1">
        <f t="array" ref="M21">IF(_xll.FDSRC(,"DUMMY","ECON_EXPR_DATA('FDS_ECON["&amp;H21&amp;"]',,,M)")=0,$J$28,_xll.FDSRC(,"DUMMY","ECON_EXPR_DATA('FDS_ECON["&amp;H21&amp;"]',,,M)"))</f>
        <v>49.978929999999998</v>
      </c>
      <c r="N21" cm="1">
        <f t="array" aca="1" ref="N21" ca="1">_xll.FDSRC("-","DUMMY","ECON_EXPR_DATA('FDS_ECON["&amp;H21&amp;"]',"&amp;$N$3&amp;",,Q)")</f>
        <v>49.822453000000003</v>
      </c>
      <c r="O21" cm="1">
        <f t="array" aca="1" ref="O21" ca="1">_xll.FDSRC("-","DUMMY","ECON_EXPR_DATA('FDS_ECON["&amp;H21&amp;"]',"&amp;$O$3&amp;",,Q)")</f>
        <v>47.664864000000001</v>
      </c>
      <c r="P21">
        <f t="shared" ca="1" si="0"/>
        <v>2.1575890000000015</v>
      </c>
      <c r="Q21" cm="1">
        <f t="array" ref="Q21">_xlfn.PERCENTRANK.EXC(_xlfn._xlws.FILTER(M$4:M$24, ISNUMBER(M$4:M$24)),M21)*100</f>
        <v>31.8</v>
      </c>
      <c r="R21" cm="1">
        <f t="array" aca="1" ref="R21" ca="1">_xlfn.PERCENTRANK.EXC(_xlfn._xlws.FILTER(P$4:P$24, ISNUMBER(P$4:P$24)),P21)*100</f>
        <v>86.3</v>
      </c>
      <c r="S21">
        <f ca="1">Q21*Assumption!$E$27 + R21*Assumption!$F$27</f>
        <v>53.6</v>
      </c>
      <c r="T21" cm="1">
        <f t="array" aca="1" ref="T21" ca="1">_xlfn.PERCENTRANK.EXC(_xlfn._xlws.FILTER(S$4:S$24, ISNUMBER(S$4:S$24)),S21)*100</f>
        <v>72.7</v>
      </c>
      <c r="AB21" t="s">
        <v>901</v>
      </c>
      <c r="AC21" t="s">
        <v>899</v>
      </c>
      <c r="AE21">
        <v>50</v>
      </c>
    </row>
    <row r="22" spans="1:31" x14ac:dyDescent="0.35">
      <c r="A22" t="s">
        <v>34</v>
      </c>
      <c r="B22" t="s">
        <v>447</v>
      </c>
      <c r="C22" t="s">
        <v>34</v>
      </c>
      <c r="D22" t="s">
        <v>762</v>
      </c>
      <c r="E22">
        <v>62.7</v>
      </c>
      <c r="F22">
        <v>3.8</v>
      </c>
      <c r="G22" t="s">
        <v>123</v>
      </c>
      <c r="H22" s="116" t="s">
        <v>783</v>
      </c>
      <c r="I22" s="117" t="s">
        <v>34</v>
      </c>
      <c r="J22" s="118" t="s">
        <v>447</v>
      </c>
      <c r="K22" s="118" t="s">
        <v>34</v>
      </c>
      <c r="L22" t="s">
        <v>762</v>
      </c>
      <c r="M22" cm="1">
        <f t="array" ref="M22">IF(_xll.FDSRC(,"DUMMY","ECON_EXPR_DATA('FDS_ECON["&amp;H22&amp;"]',,,M)")=0,$J$28,_xll.FDSRC(,"DUMMY","ECON_EXPR_DATA('FDS_ECON["&amp;H22&amp;"]',,,M)"))</f>
        <v>51.963380000000001</v>
      </c>
      <c r="N22" t="str" cm="1">
        <f t="array" aca="1" ref="N22" ca="1">_xll.FDSRC("-","DUMMY","ECON_EXPR_DATA('FDS_ECON["&amp;H22&amp;"]',"&amp;$N$3&amp;",,Q)")</f>
        <v>-</v>
      </c>
      <c r="O22" t="str" cm="1">
        <f t="array" aca="1" ref="O22" ca="1">_xll.FDSRC("-","DUMMY","ECON_EXPR_DATA('FDS_ECON["&amp;H22&amp;"]',"&amp;$O$3&amp;",,Q)")</f>
        <v>-</v>
      </c>
      <c r="P22">
        <f t="shared" ca="1" si="0"/>
        <v>0.88645700000000005</v>
      </c>
      <c r="Q22" cm="1">
        <f t="array" ref="Q22">_xlfn.PERCENTRANK.EXC(_xlfn._xlws.FILTER(M$4:M$24, ISNUMBER(M$4:M$24)),M22)*100</f>
        <v>50</v>
      </c>
      <c r="R22" cm="1">
        <f t="array" aca="1" ref="R22" ca="1">_xlfn.PERCENTRANK.EXC(_xlfn._xlws.FILTER(P$4:P$24, ISNUMBER(P$4:P$24)),P22)*100</f>
        <v>40.9</v>
      </c>
      <c r="S22">
        <f ca="1">Q22*Assumption!$E$27 + R22*Assumption!$F$27</f>
        <v>46.36</v>
      </c>
      <c r="T22" cm="1">
        <f t="array" aca="1" ref="T22" ca="1">_xlfn.PERCENTRANK.EXC(_xlfn._xlws.FILTER(S$4:S$24, ISNUMBER(S$4:S$24)),S22)*100</f>
        <v>40.9</v>
      </c>
      <c r="AB22" t="s">
        <v>901</v>
      </c>
      <c r="AC22" t="s">
        <v>900</v>
      </c>
      <c r="AE22">
        <v>25</v>
      </c>
    </row>
    <row r="23" spans="1:31" x14ac:dyDescent="0.35">
      <c r="A23" t="s">
        <v>37</v>
      </c>
      <c r="B23" t="s">
        <v>448</v>
      </c>
      <c r="C23" t="s">
        <v>37</v>
      </c>
      <c r="D23" t="s">
        <v>762</v>
      </c>
      <c r="E23">
        <v>54.9</v>
      </c>
      <c r="F23">
        <v>3.1</v>
      </c>
      <c r="G23" t="s">
        <v>126</v>
      </c>
      <c r="H23" s="116" t="s">
        <v>771</v>
      </c>
      <c r="I23" s="117" t="s">
        <v>736</v>
      </c>
      <c r="J23" s="118" t="s">
        <v>448</v>
      </c>
      <c r="K23" s="118" t="s">
        <v>37</v>
      </c>
      <c r="L23" t="s">
        <v>762</v>
      </c>
      <c r="M23" cm="1">
        <f t="array" ref="M23">IF(_xll.FDSRC(,"DUMMY","ECON_EXPR_DATA('FDS_ECON["&amp;H23&amp;"]',,,M)")=0,$J$28,_xll.FDSRC(,"DUMMY","ECON_EXPR_DATA('FDS_ECON["&amp;H23&amp;"]',,,M)"))</f>
        <v>49.862909999999999</v>
      </c>
      <c r="N23" cm="1">
        <f t="array" aca="1" ref="N23" ca="1">_xll.FDSRC("-","DUMMY","ECON_EXPR_DATA('FDS_ECON["&amp;H23&amp;"]',"&amp;$N$3&amp;",,Q)")</f>
        <v>50.18627</v>
      </c>
      <c r="O23" cm="1">
        <f t="array" aca="1" ref="O23" ca="1">_xll.FDSRC("-","DUMMY","ECON_EXPR_DATA('FDS_ECON["&amp;H23&amp;"]',"&amp;$O$3&amp;",,Q)")</f>
        <v>48.597430000000003</v>
      </c>
      <c r="P23">
        <f t="shared" ca="1" si="0"/>
        <v>1.5888399999999976</v>
      </c>
      <c r="Q23" cm="1">
        <f t="array" ref="Q23">_xlfn.PERCENTRANK.EXC(_xlfn._xlws.FILTER(M$4:M$24, ISNUMBER(M$4:M$24)),M23)*100</f>
        <v>27.200000000000003</v>
      </c>
      <c r="R23" cm="1">
        <f t="array" aca="1" ref="R23" ca="1">_xlfn.PERCENTRANK.EXC(_xlfn._xlws.FILTER(P$4:P$24, ISNUMBER(P$4:P$24)),P23)*100</f>
        <v>77.2</v>
      </c>
      <c r="S23">
        <f ca="1">Q23*Assumption!$E$27 + R23*Assumption!$F$27</f>
        <v>47.2</v>
      </c>
      <c r="T23" cm="1">
        <f t="array" aca="1" ref="T23" ca="1">_xlfn.PERCENTRANK.EXC(_xlfn._xlws.FILTER(S$4:S$24, ISNUMBER(S$4:S$24)),S23)*100</f>
        <v>63.6</v>
      </c>
    </row>
    <row r="24" spans="1:31" x14ac:dyDescent="0.35">
      <c r="A24" t="s">
        <v>36</v>
      </c>
      <c r="B24" t="s">
        <v>449</v>
      </c>
      <c r="C24" t="s">
        <v>36</v>
      </c>
      <c r="D24" t="s">
        <v>762</v>
      </c>
      <c r="E24">
        <v>64.400000000000006</v>
      </c>
      <c r="F24">
        <v>0.8</v>
      </c>
      <c r="G24" t="s">
        <v>125</v>
      </c>
      <c r="H24" s="116" t="s">
        <v>794</v>
      </c>
      <c r="I24" s="117" t="s">
        <v>706</v>
      </c>
      <c r="J24" s="118" t="s">
        <v>449</v>
      </c>
      <c r="K24" s="118" t="s">
        <v>36</v>
      </c>
      <c r="L24" t="s">
        <v>762</v>
      </c>
      <c r="M24" cm="1">
        <f t="array" ref="M24">IF(_xll.FDSRC(,"DUMMY","ECON_EXPR_DATA('FDS_ECON["&amp;H24&amp;"]',,,M)")=0,$J$28,_xll.FDSRC(,"DUMMY","ECON_EXPR_DATA('FDS_ECON["&amp;H24&amp;"]',,,M)"))</f>
        <v>57.046059999999997</v>
      </c>
      <c r="N24" cm="1">
        <f t="array" aca="1" ref="N24" ca="1">_xll.FDSRC("-","DUMMY","ECON_EXPR_DATA('FDS_ECON["&amp;H24&amp;"]',"&amp;$N$3&amp;",,Q)")</f>
        <v>56.53707</v>
      </c>
      <c r="O24" cm="1">
        <f t="array" aca="1" ref="O24" ca="1">_xll.FDSRC("-","DUMMY","ECON_EXPR_DATA('FDS_ECON["&amp;H24&amp;"]',"&amp;$O$3&amp;",,Q)")</f>
        <v>57.793106000000002</v>
      </c>
      <c r="P24">
        <f t="shared" ca="1" si="0"/>
        <v>-1.2560360000000017</v>
      </c>
      <c r="Q24" cm="1">
        <f t="array" ref="Q24">_xlfn.PERCENTRANK.EXC(_xlfn._xlws.FILTER(M$4:M$24, ISNUMBER(M$4:M$24)),M24)*100</f>
        <v>90.9</v>
      </c>
      <c r="R24" cm="1">
        <f t="array" aca="1" ref="R24" ca="1">_xlfn.PERCENTRANK.EXC(_xlfn._xlws.FILTER(P$4:P$24, ISNUMBER(P$4:P$24)),P24)*100</f>
        <v>4.5</v>
      </c>
      <c r="S24">
        <f ca="1">Q24*Assumption!$E$27 + R24*Assumption!$F$27</f>
        <v>56.339999999999996</v>
      </c>
      <c r="T24" cm="1">
        <f t="array" aca="1" ref="T24" ca="1">_xlfn.PERCENTRANK.EXC(_xlfn._xlws.FILTER(S$4:S$24, ISNUMBER(S$4:S$24)),S24)*100</f>
        <v>77.2</v>
      </c>
    </row>
    <row r="26" spans="1:31" x14ac:dyDescent="0.35">
      <c r="K26" t="str" cm="1">
        <f t="array" aca="1" ref="K26" ca="1">_xll.FDSRC("-","DUMMY","ECON_DATE("&amp;$L$1&amp;",,, 'MM/YYYY')")</f>
        <v>03/2024</v>
      </c>
      <c r="L26" t="str" cm="1">
        <f t="array" aca="1" ref="L26" ca="1">_xll.FDSRC("-","DUMMY","ECON_DATE("&amp;$L$2&amp;",,, 'MM/YYYY')")</f>
        <v>12/2023</v>
      </c>
      <c r="M26" t="s">
        <v>797</v>
      </c>
    </row>
    <row r="27" spans="1:31" x14ac:dyDescent="0.35">
      <c r="H27" s="116" t="s">
        <v>775</v>
      </c>
      <c r="I27" s="116" t="s">
        <v>776</v>
      </c>
      <c r="J27" cm="1">
        <f t="array" ref="J27">_xll.FDSRC("-","DUMMY","ECON_EXPR_DATA('FDS_ECON["&amp;H27&amp;"]',,,M)")</f>
        <v>49.286430000000003</v>
      </c>
      <c r="K27" cm="1">
        <f t="array" aca="1" ref="K27" ca="1">_xll.FDSRC("-","DUMMY","ECON_EXPR_DATA('FDS_ECON["&amp;H27&amp;"]',"&amp;$K$26&amp;",,Q)")</f>
        <v>49.135330000000003</v>
      </c>
      <c r="L27" cm="1">
        <f t="array" aca="1" ref="L27" ca="1">_xll.FDSRC("-","DUMMY","ECON_EXPR_DATA('FDS_ECON["&amp;H27&amp;"]',"&amp;$L$26&amp;",,Q)")</f>
        <v>47.377974999999999</v>
      </c>
      <c r="M27">
        <f ca="1">K27-L27</f>
        <v>1.757355000000004</v>
      </c>
    </row>
    <row r="28" spans="1:31" x14ac:dyDescent="0.35">
      <c r="H28" s="116" t="s">
        <v>777</v>
      </c>
      <c r="I28" s="116" t="s">
        <v>778</v>
      </c>
      <c r="J28" cm="1">
        <f t="array" ref="J28">_xll.FDSRC("-","DUMMY","ECON_EXPR_DATA('FDS_ECON["&amp;H28&amp;"]',,,M)")</f>
        <v>51.963380000000001</v>
      </c>
      <c r="K28" cm="1">
        <f t="array" aca="1" ref="K28" ca="1">_xll.FDSRC("-","DUMMY","ECON_EXPR_DATA('FDS_ECON["&amp;H28&amp;"]',"&amp;$K$26&amp;",,Q)")</f>
        <v>51.510579999999997</v>
      </c>
      <c r="L28" cm="1">
        <f t="array" aca="1" ref="L28" ca="1">_xll.FDSRC("-","DUMMY","ECON_EXPR_DATA('FDS_ECON["&amp;H28&amp;"]',"&amp;$L$26&amp;",,Q)")</f>
        <v>50.624122999999997</v>
      </c>
      <c r="M28">
        <f ca="1">K28-L28</f>
        <v>0.88645700000000005</v>
      </c>
    </row>
  </sheetData>
  <hyperlinks>
    <hyperlink ref="H15" r:id="rId1" xr:uid="{6D396D60-C22A-444B-AC80-A6C82D2B9EAD}"/>
    <hyperlink ref="H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753</v>
      </c>
      <c r="B1" t="s">
        <v>530</v>
      </c>
      <c r="C1" t="s">
        <v>846</v>
      </c>
      <c r="D1" t="s">
        <v>883</v>
      </c>
      <c r="E1" t="s">
        <v>574</v>
      </c>
      <c r="F1" t="s">
        <v>884</v>
      </c>
      <c r="G1" t="s">
        <v>885</v>
      </c>
    </row>
    <row r="2" spans="1:7" x14ac:dyDescent="0.35">
      <c r="A2" t="s">
        <v>177</v>
      </c>
      <c r="B2" t="s">
        <v>435</v>
      </c>
      <c r="C2" t="s">
        <v>432</v>
      </c>
      <c r="D2" s="158" cm="1">
        <f t="array" ref="D2">_xll.FDS(C2,"FREF_MARKET_VALUE_COMPANY(0,,,USD,,0,,""LEGACY"")")</f>
        <v>326.74</v>
      </c>
      <c r="E2" t="s">
        <v>615</v>
      </c>
      <c r="F2" t="str">
        <f>_xlfn.CONCAT("FC0000",RIGHT(A2,2))</f>
        <v>FC0000CN</v>
      </c>
      <c r="G2" s="153" cm="1">
        <f t="array" ref="G2">_xll.FDSZ(F2,"FMA_MCAP(0,,,USD,""PORTAGG"")")</f>
        <v>7490056</v>
      </c>
    </row>
    <row r="3" spans="1:7" x14ac:dyDescent="0.35">
      <c r="A3" t="s">
        <v>294</v>
      </c>
      <c r="B3" t="s">
        <v>436</v>
      </c>
      <c r="C3" t="s">
        <v>27</v>
      </c>
      <c r="D3" s="158" cm="1">
        <f t="array" ref="D3">_xll.FDS(C3,"FREF_MARKET_VALUE_COMPANY(0,,,USD,,0,,""LEGACY"")")</f>
        <v>572.68600000000004</v>
      </c>
      <c r="E3" t="s">
        <v>614</v>
      </c>
      <c r="F3" t="str">
        <f t="shared" ref="F3:F17" si="0">_xlfn.CONCAT("FC0000",RIGHT(A3,2))</f>
        <v>FC0000CL</v>
      </c>
      <c r="G3" s="153" cm="1">
        <f t="array" ref="G3">_xll.FDSZ(F3,"FMA_MCAP(0,,,USD,""PORTAGG"")")</f>
        <v>140955</v>
      </c>
    </row>
    <row r="4" spans="1:7" x14ac:dyDescent="0.35">
      <c r="A4" t="s">
        <v>187</v>
      </c>
      <c r="B4" t="s">
        <v>437</v>
      </c>
      <c r="C4" t="s">
        <v>35</v>
      </c>
      <c r="D4" s="158" cm="1">
        <f t="array" ref="D4">_xll.FDS(C4,"FREF_MARKET_VALUE_COMPANY(0,,,USD,,0,,""LEGACY"")")</f>
        <v>463.75799999999998</v>
      </c>
      <c r="E4" t="s">
        <v>651</v>
      </c>
      <c r="F4" t="str">
        <f t="shared" si="0"/>
        <v>FC0000ID</v>
      </c>
      <c r="G4" s="153" cm="1">
        <f t="array" ref="G4">_xll.FDSZ(F4,"FMA_MCAP(0,,,USD,""PORTAGG"")")</f>
        <v>637538.80000000005</v>
      </c>
    </row>
    <row r="5" spans="1:7" x14ac:dyDescent="0.35">
      <c r="A5" t="s">
        <v>205</v>
      </c>
      <c r="B5" t="s">
        <v>438</v>
      </c>
      <c r="C5" t="s">
        <v>30</v>
      </c>
      <c r="D5" s="158" cm="1">
        <f t="array" ref="D5">_xll.FDS(C5,"FREF_MARKET_VALUE_COMPANY(0,,,USD,,0,,""LEGACY"")")</f>
        <v>116.57550000000001</v>
      </c>
      <c r="E5" t="s">
        <v>699</v>
      </c>
      <c r="F5" t="str">
        <f t="shared" si="0"/>
        <v>FC0000PH</v>
      </c>
      <c r="G5" s="153" cm="1">
        <f t="array" ref="G5">_xll.FDSZ(F5,"FMA_MCAP(0,,,USD,""PORTAGG"")")</f>
        <v>204580.81</v>
      </c>
    </row>
    <row r="6" spans="1:7" x14ac:dyDescent="0.35">
      <c r="A6" t="s">
        <v>257</v>
      </c>
      <c r="B6" t="s">
        <v>439</v>
      </c>
      <c r="C6" t="s">
        <v>23</v>
      </c>
      <c r="D6" s="158" cm="1">
        <f t="array" ref="D6">_xll.FDS(C6,"FREF_MARKET_VALUE_COMPANY(0,,,USD,,0,,""LEGACY"")")</f>
        <v>308.29399999999998</v>
      </c>
      <c r="E6" t="s">
        <v>700</v>
      </c>
      <c r="F6" t="str">
        <f t="shared" si="0"/>
        <v>FC0000PL</v>
      </c>
      <c r="G6" s="153" cm="1">
        <f t="array" ref="G6">_xll.FDSZ(F6,"FMA_MCAP(0,,,USD,""PORTAGG"")")</f>
        <v>200453.1</v>
      </c>
    </row>
    <row r="7" spans="1:7" x14ac:dyDescent="0.35">
      <c r="A7" t="s">
        <v>304</v>
      </c>
      <c r="B7" t="s">
        <v>440</v>
      </c>
      <c r="C7" t="s">
        <v>29</v>
      </c>
      <c r="D7" s="158" cm="1">
        <f t="array" ref="D7">_xll.FDS(C7,"FREF_MARKET_VALUE_COMPANY(0,,,USD,,0,,""LEGACY"")")</f>
        <v>111.664</v>
      </c>
      <c r="E7" t="s">
        <v>698</v>
      </c>
      <c r="F7" t="str">
        <f t="shared" si="0"/>
        <v>FC0000PE</v>
      </c>
      <c r="G7" s="153" cm="1">
        <f t="array" ref="G7">_xll.FDSZ(F7,"FMA_MCAP(0,,,USD,""PORTAGG"")")</f>
        <v>34614.86</v>
      </c>
    </row>
    <row r="8" spans="1:7" x14ac:dyDescent="0.35">
      <c r="A8" t="s">
        <v>194</v>
      </c>
      <c r="B8" t="s">
        <v>441</v>
      </c>
      <c r="C8" t="s">
        <v>33</v>
      </c>
      <c r="D8" s="158" cm="1">
        <f t="array" ref="D8">_xll.FDS(C8,"FREF_MARKET_VALUE_COMPANY(0,,,USD,,0,,""LEGACY"")")</f>
        <v>249.94200000000001</v>
      </c>
      <c r="E8" t="s">
        <v>673</v>
      </c>
      <c r="F8" t="str">
        <f t="shared" si="0"/>
        <v>FC0000MY</v>
      </c>
      <c r="G8" s="153" cm="1">
        <f t="array" ref="G8">_xll.FDSZ(F8,"FMA_MCAP(0,,,USD,""PORTAGG"")")</f>
        <v>366440.2</v>
      </c>
    </row>
    <row r="9" spans="1:7" x14ac:dyDescent="0.35">
      <c r="A9" t="s">
        <v>217</v>
      </c>
      <c r="B9" t="s">
        <v>40</v>
      </c>
      <c r="C9" t="s">
        <v>24</v>
      </c>
      <c r="D9" s="158" cm="1">
        <f t="array" ref="D9">_xll.FDS(C9,"FREF_MARKET_VALUE_COMPANY(0,,,USD,,0,,""LEGACY"")")</f>
        <v>4020.009</v>
      </c>
      <c r="E9" t="s">
        <v>720</v>
      </c>
      <c r="F9" t="str">
        <f t="shared" si="0"/>
        <v>FC0000TW</v>
      </c>
      <c r="G9" s="153" cm="1">
        <f t="array" ref="G9">_xll.FDSZ(F9,"FMA_MCAP(0,,,USD,""PORTAGG"")")</f>
        <v>2173821.7999999998</v>
      </c>
    </row>
    <row r="10" spans="1:7" x14ac:dyDescent="0.35">
      <c r="A10" t="s">
        <v>301</v>
      </c>
      <c r="B10" t="s">
        <v>53</v>
      </c>
      <c r="C10" t="s">
        <v>7</v>
      </c>
      <c r="D10" s="158" cm="1">
        <f t="array" ref="D10">_xll.FDS(C10,"FREF_MARKET_VALUE_COMPANY(0,,,USD,,0,,""LEGACY"")")</f>
        <v>2019.0119999999999</v>
      </c>
      <c r="E10" t="s">
        <v>678</v>
      </c>
      <c r="F10" t="str">
        <f t="shared" si="0"/>
        <v>FC0000MX</v>
      </c>
      <c r="G10" s="153" cm="1">
        <f t="array" ref="G10">_xll.FDSZ(F10,"FMA_MCAP(0,,,USD,""PORTAGG"")")</f>
        <v>513856.34</v>
      </c>
    </row>
    <row r="11" spans="1:7" x14ac:dyDescent="0.35">
      <c r="A11" t="s">
        <v>210</v>
      </c>
      <c r="B11" t="s">
        <v>38</v>
      </c>
      <c r="C11" t="s">
        <v>21</v>
      </c>
      <c r="D11" s="158" cm="1">
        <f t="array" ref="D11">_xll.FDS(C11,"FREF_MARKET_VALUE_COMPANY(0,,,USD,,0,,""LEGACY"")")</f>
        <v>4906.92</v>
      </c>
      <c r="E11" t="s">
        <v>660</v>
      </c>
      <c r="F11" t="str">
        <f t="shared" si="0"/>
        <v>FC0000KR</v>
      </c>
      <c r="G11" s="153" cm="1">
        <f t="array" ref="G11">_xll.FDSZ(F11,"FMA_MCAP(0,,,USD,""PORTAGG"")")</f>
        <v>1825360.8</v>
      </c>
    </row>
    <row r="12" spans="1:7" x14ac:dyDescent="0.35">
      <c r="A12" t="s">
        <v>291</v>
      </c>
      <c r="B12" t="s">
        <v>54</v>
      </c>
      <c r="C12" t="s">
        <v>12</v>
      </c>
      <c r="D12" s="158" cm="1">
        <f t="array" ref="D12">_xll.FDS(C12,"FREF_MARKET_VALUE_COMPANY(0,,,USD,,0,,""LEGACY"")")</f>
        <v>4728.7754999999997</v>
      </c>
      <c r="E12" t="s">
        <v>603</v>
      </c>
      <c r="F12" t="str">
        <f t="shared" si="0"/>
        <v>FC0000BR</v>
      </c>
      <c r="G12" s="153" cm="1">
        <f t="array" ref="G12">_xll.FDSZ(F12,"FMA_MCAP(0,,,USD,""PORTAGG"")")</f>
        <v>712846.5</v>
      </c>
    </row>
    <row r="13" spans="1:7" x14ac:dyDescent="0.35">
      <c r="A13" t="s">
        <v>366</v>
      </c>
      <c r="B13" t="s">
        <v>442</v>
      </c>
      <c r="C13" t="s">
        <v>22</v>
      </c>
      <c r="D13" s="158" cm="1">
        <f t="array" ref="D13">_xll.FDS(C13,"FREF_MARKET_VALUE_COMPANY(0,,,USD,,0,,""LEGACY"")")</f>
        <v>252.51599999999999</v>
      </c>
      <c r="E13" t="s">
        <v>713</v>
      </c>
      <c r="F13" t="str">
        <f t="shared" si="0"/>
        <v>FC0000ZA</v>
      </c>
      <c r="G13" s="153" cm="1">
        <f t="array" ref="G13">_xll.FDSZ(F13,"FMA_MCAP(0,,,USD,""PORTAGG"")")</f>
        <v>286270.5</v>
      </c>
    </row>
    <row r="14" spans="1:7" x14ac:dyDescent="0.35">
      <c r="A14" t="s">
        <v>498</v>
      </c>
      <c r="B14" t="s">
        <v>443</v>
      </c>
      <c r="C14" t="s">
        <v>28</v>
      </c>
      <c r="D14" s="158" cm="1">
        <f t="array" ref="D14">_xll.FDS(C14,"FREF_MARKET_VALUE_COMPANY(0,,,USD,,0,,""LEGACY"")")</f>
        <v>186.88693637700001</v>
      </c>
      <c r="E14" t="s">
        <v>640</v>
      </c>
      <c r="F14" t="str">
        <f t="shared" si="0"/>
        <v>FC0000GR</v>
      </c>
      <c r="G14" s="153" cm="1">
        <f t="array" ref="G14">_xll.FDSZ(F14,"FMA_MCAP(0,,,USD,""PORTAGG"")")</f>
        <v>78912.94</v>
      </c>
    </row>
    <row r="15" spans="1:7" x14ac:dyDescent="0.35">
      <c r="A15" t="s">
        <v>184</v>
      </c>
      <c r="B15" t="s">
        <v>52</v>
      </c>
      <c r="C15" t="s">
        <v>32</v>
      </c>
      <c r="D15" s="158" cm="1">
        <f t="array" ref="D15">_xll.FDS(C15,"FREF_MARKET_VALUE_COMPANY(0,,,USD,,0,,""LEGACY"")")</f>
        <v>9391.7729999999992</v>
      </c>
      <c r="E15" t="s">
        <v>650</v>
      </c>
      <c r="F15" t="str">
        <f t="shared" si="0"/>
        <v>FC0000IN</v>
      </c>
      <c r="G15" s="153" cm="1">
        <f t="array" ref="G15">_xll.FDSZ(F15,"FMA_MCAP(0,,,USD,""PORTAGG"")")</f>
        <v>4632098</v>
      </c>
    </row>
    <row r="16" spans="1:7" x14ac:dyDescent="0.35">
      <c r="A16" t="s">
        <v>177</v>
      </c>
      <c r="B16" t="s">
        <v>41</v>
      </c>
      <c r="C16" t="s">
        <v>26</v>
      </c>
      <c r="D16" s="158" cm="1">
        <f t="array" ref="D16">_xll.FDS(C16,"FREF_MARKET_VALUE_COMPANY(0,,,USD,,0,,""LEGACY"")")</f>
        <v>4713.1679999999997</v>
      </c>
      <c r="E16" t="s">
        <v>615</v>
      </c>
      <c r="F16" t="str">
        <f t="shared" si="0"/>
        <v>FC0000CN</v>
      </c>
      <c r="G16" s="153" cm="1">
        <f t="array" ref="G16">_xll.FDSZ(F16,"FMA_MCAP(0,,,USD,""PORTAGG"")")</f>
        <v>7490056</v>
      </c>
    </row>
    <row r="17" spans="1:7" x14ac:dyDescent="0.35">
      <c r="A17" t="s">
        <v>360</v>
      </c>
      <c r="B17" t="s">
        <v>444</v>
      </c>
      <c r="C17" t="s">
        <v>31</v>
      </c>
      <c r="D17" s="158" cm="1">
        <f t="array" ref="D17">_xll.FDS(C17,"FREF_MARKET_VALUE_COMPANY(0,,,USD,,0,,""LEGACY"")")</f>
        <v>78.760499999999993</v>
      </c>
      <c r="E17" t="s">
        <v>702</v>
      </c>
      <c r="F17" t="str">
        <f t="shared" si="0"/>
        <v>FC0000QA</v>
      </c>
      <c r="G17" s="153" cm="1">
        <f t="array" ref="G17">_xll.FDSZ(F17,"FMA_MCAP(0,,,USD,""PORTAGG"")")</f>
        <v>156094.84</v>
      </c>
    </row>
    <row r="18" spans="1:7" x14ac:dyDescent="0.35">
      <c r="A18" t="s">
        <v>221</v>
      </c>
      <c r="B18" t="s">
        <v>758</v>
      </c>
      <c r="C18" t="s">
        <v>757</v>
      </c>
      <c r="D18" s="158" cm="1">
        <f t="array" ref="D18">_xll.FDS(C18,"FG_MCAP_IDX(0,,,USD)")</f>
        <v>457112.30603836</v>
      </c>
      <c r="E18" t="s">
        <v>723</v>
      </c>
      <c r="F18" t="s">
        <v>757</v>
      </c>
      <c r="G18" s="153" cm="1">
        <f t="array" ref="G18">_xll.FDSZ(F18,"FMA_MCAP(0,,,USD,""PORTAGG"")")</f>
        <v>457112.30603836</v>
      </c>
    </row>
    <row r="19" spans="1:7" x14ac:dyDescent="0.35">
      <c r="A19" t="s">
        <v>279</v>
      </c>
      <c r="B19" t="s">
        <v>446</v>
      </c>
      <c r="C19" t="s">
        <v>25</v>
      </c>
      <c r="D19" s="158" cm="1">
        <f t="array" ref="D19">_xll.FDS(C19,"FREF_MARKET_VALUE_COMPANY(0,,,USD,,0,,""LEGACY"")")</f>
        <v>224.315</v>
      </c>
      <c r="E19" t="s">
        <v>727</v>
      </c>
      <c r="F19" t="str">
        <f t="shared" ref="F19:F20" si="1">_xlfn.CONCAT("FC0000",RIGHT(A19,2))</f>
        <v>FC0000TR</v>
      </c>
      <c r="G19" s="153" cm="1">
        <f t="array" ref="G19">_xll.FDSZ(F19,"FMA_MCAP(0,,,USD,""PORTAGG"")")</f>
        <v>376849.1</v>
      </c>
    </row>
    <row r="20" spans="1:7" x14ac:dyDescent="0.35">
      <c r="A20" t="s">
        <v>373</v>
      </c>
      <c r="B20" t="s">
        <v>447</v>
      </c>
      <c r="C20" t="s">
        <v>34</v>
      </c>
      <c r="D20" s="158" cm="1">
        <f t="array" ref="D20">_xll.FDS(C20,"FREF_MARKET_VALUE_COMPANY(0,,,USD,,0,,""LEGACY"")")</f>
        <v>39.366</v>
      </c>
      <c r="E20" t="s">
        <v>731</v>
      </c>
      <c r="F20" t="str">
        <f t="shared" si="1"/>
        <v>FC0000AE</v>
      </c>
      <c r="G20" s="153" cm="1">
        <f t="array" ref="G20">_xll.FDSZ(F20,"FMA_MCAP(0,,,USD,""PORTAGG"")")</f>
        <v>878029.9</v>
      </c>
    </row>
    <row r="21" spans="1:7" x14ac:dyDescent="0.35">
      <c r="A21" t="s">
        <v>224</v>
      </c>
      <c r="B21" t="s">
        <v>448</v>
      </c>
      <c r="C21" t="s">
        <v>37</v>
      </c>
      <c r="D21" s="158" cm="1">
        <f t="array" ref="D21">_xll.FDS(C21,"FREF_MARKET_VALUE_COMPANY(0,,,USD,,0,,""LEGACY"")")</f>
        <v>494.09800000000001</v>
      </c>
      <c r="E21" t="s">
        <v>736</v>
      </c>
      <c r="F21" t="s">
        <v>881</v>
      </c>
      <c r="G21" s="153" cm="1">
        <f t="array" ref="G21">_xll.FDSZ(F21,"FMA_MCAP(0,,,USD,""PORTAGG"")")</f>
        <v>22962.360186000002</v>
      </c>
    </row>
    <row r="22" spans="1:7" x14ac:dyDescent="0.35">
      <c r="A22" t="s">
        <v>363</v>
      </c>
      <c r="B22" t="s">
        <v>449</v>
      </c>
      <c r="C22" t="s">
        <v>36</v>
      </c>
      <c r="D22" s="158" cm="1">
        <f t="array" ref="D22">_xll.FDS(C22,"FREF_MARKET_VALUE_COMPANY(0,,,USD,,0,,""LEGACY"")")</f>
        <v>812.14099999999996</v>
      </c>
      <c r="E22" t="s">
        <v>706</v>
      </c>
      <c r="F22" t="str">
        <f t="shared" ref="F22:F31" si="2">_xlfn.CONCAT("FC0000",RIGHT(A22,2))</f>
        <v>FC0000SA</v>
      </c>
      <c r="G22" s="153" cm="1">
        <f t="array" ref="G22">_xll.FDSZ(F22,"FMA_MCAP(0,,,USD,""PORTAGG"")")</f>
        <v>2884927.3</v>
      </c>
    </row>
    <row r="23" spans="1:7" x14ac:dyDescent="0.35">
      <c r="A23" t="s">
        <v>198</v>
      </c>
      <c r="B23" t="s">
        <v>450</v>
      </c>
      <c r="C23" t="s">
        <v>433</v>
      </c>
      <c r="D23" s="158" cm="1">
        <f t="array" ref="D23">_xll.FDS(C23,"FREF_MARKET_VALUE_COMPANY(0,,,USD,,0,,""LEGACY"")")</f>
        <v>85.8</v>
      </c>
      <c r="E23" t="s">
        <v>687</v>
      </c>
      <c r="F23" t="str">
        <f t="shared" si="2"/>
        <v>FC0000NZ</v>
      </c>
      <c r="G23" s="153" cm="1">
        <f t="array" ref="G23">_xll.FDSZ(F23,"FMA_MCAP(0,,,USD,""PORTAGG"")")</f>
        <v>88983.983999999997</v>
      </c>
    </row>
    <row r="24" spans="1:7" x14ac:dyDescent="0.35">
      <c r="A24" t="s">
        <v>174</v>
      </c>
      <c r="B24" t="s">
        <v>45</v>
      </c>
      <c r="C24" t="s">
        <v>44</v>
      </c>
      <c r="D24" s="158" cm="1">
        <f t="array" ref="D24">_xll.FDS(C24,"FREF_MARKET_VALUE_COMPANY(0,,,USD,,0,,""LEGACY"")")</f>
        <v>1696.24</v>
      </c>
      <c r="E24" t="s">
        <v>589</v>
      </c>
      <c r="F24" t="str">
        <f t="shared" si="2"/>
        <v>FC0000AU</v>
      </c>
      <c r="G24" s="153" cm="1">
        <f t="array" ref="G24">_xll.FDSZ(F24,"FMA_MCAP(0,,,USD,""PORTAGG"")")</f>
        <v>1612711.9</v>
      </c>
    </row>
    <row r="25" spans="1:7" x14ac:dyDescent="0.35">
      <c r="A25" t="s">
        <v>157</v>
      </c>
      <c r="B25" t="s">
        <v>50</v>
      </c>
      <c r="C25" t="s">
        <v>49</v>
      </c>
      <c r="D25" s="158" cm="1">
        <f t="array" ref="D25">_xll.FDS(C25,"FREF_MARKET_VALUE_COMPANY(0,,,USD,,0,,""LEGACY"")")</f>
        <v>2741.64</v>
      </c>
      <c r="E25" t="s">
        <v>611</v>
      </c>
      <c r="F25" t="str">
        <f t="shared" si="2"/>
        <v>FC0000CA</v>
      </c>
      <c r="G25" s="153" cm="1">
        <f t="array" ref="G25">_xll.FDSZ(F25,"FMA_MCAP(0,,,USD,""PORTAGG"")")</f>
        <v>2658612.5</v>
      </c>
    </row>
    <row r="26" spans="1:7" s="1" customFormat="1" x14ac:dyDescent="0.35">
      <c r="A26" s="160" t="s">
        <v>568</v>
      </c>
      <c r="B26" s="160" t="s">
        <v>39</v>
      </c>
      <c r="C26" s="160" t="s">
        <v>11</v>
      </c>
      <c r="D26" s="158" cm="1">
        <f t="array" ref="D26">_xll.FDS(C26,"FREF_MARKET_VALUE_COMPANY(0,,,USD,,0,,""LEGACY"")")</f>
        <v>973.29600000000005</v>
      </c>
      <c r="E26" s="160" t="s">
        <v>638</v>
      </c>
      <c r="F26" s="160" t="str">
        <f t="shared" si="2"/>
        <v>FC0000DE</v>
      </c>
      <c r="G26" s="161" cm="1">
        <f t="array" ref="G26">_xll.FDSZ(F26,"FMA_MCAP(0,,,USD,""PORTAGG"")")</f>
        <v>2223028</v>
      </c>
    </row>
    <row r="27" spans="1:7" x14ac:dyDescent="0.35">
      <c r="A27" t="s">
        <v>164</v>
      </c>
      <c r="B27" t="s">
        <v>47</v>
      </c>
      <c r="C27" t="s">
        <v>46</v>
      </c>
      <c r="D27" s="158" cm="1">
        <f t="array" ref="D27">_xll.FDS(C27,"FREF_MARKET_VALUE_COMPANY(0,,,USD,,0,,""LEGACY"")")</f>
        <v>16364.638499999999</v>
      </c>
      <c r="E27" t="s">
        <v>656</v>
      </c>
      <c r="F27" t="str">
        <f t="shared" si="2"/>
        <v>FC0000JP</v>
      </c>
      <c r="G27" s="153" cm="1">
        <f t="array" ref="G27">_xll.FDSZ(F27,"FMA_MCAP(0,,,USD,""PORTAGG"")")</f>
        <v>6367850.5</v>
      </c>
    </row>
    <row r="28" spans="1:7" x14ac:dyDescent="0.35">
      <c r="A28" t="s">
        <v>276</v>
      </c>
      <c r="B28" t="s">
        <v>43</v>
      </c>
      <c r="C28" t="s">
        <v>42</v>
      </c>
      <c r="D28" s="158" cm="1">
        <f t="array" ref="D28">_xll.FDS(C28,"FREF_MARKET_VALUE_COMPANY(0,,,USD,,0,,""LEGACY"")")</f>
        <v>999.60749999999996</v>
      </c>
      <c r="E28" t="s">
        <v>719</v>
      </c>
      <c r="F28" t="str">
        <f t="shared" si="2"/>
        <v>FC0000CH</v>
      </c>
      <c r="G28" s="153" cm="1">
        <f t="array" ref="G28">_xll.FDSZ(F28,"FMA_MCAP(0,,,USD,""PORTAGG"")")</f>
        <v>2026340.1</v>
      </c>
    </row>
    <row r="29" spans="1:7" x14ac:dyDescent="0.35">
      <c r="A29" t="s">
        <v>167</v>
      </c>
      <c r="B29" t="s">
        <v>451</v>
      </c>
      <c r="C29" t="s">
        <v>48</v>
      </c>
      <c r="D29" s="158" cm="1">
        <f t="array" ref="D29">_xll.FDS(C29,"FREF_MARKET_VALUE_COMPANY(0,,,USD,,0,,""LEGACY"")")</f>
        <v>2599.7399999999998</v>
      </c>
      <c r="E29" t="s">
        <v>732</v>
      </c>
      <c r="F29" t="str">
        <f t="shared" si="2"/>
        <v>FC0000GB</v>
      </c>
      <c r="G29" s="153" cm="1">
        <f t="array" ref="G29">_xll.FDSZ(F29,"FMA_MCAP(0,,,USD,""PORTAGG"")")</f>
        <v>3055768.5</v>
      </c>
    </row>
    <row r="30" spans="1:7" x14ac:dyDescent="0.35">
      <c r="A30" t="s">
        <v>170</v>
      </c>
      <c r="B30" t="s">
        <v>452</v>
      </c>
      <c r="C30" t="s">
        <v>51</v>
      </c>
      <c r="D30" s="158" cm="1">
        <f t="array" ref="D30">_xll.FDS(C30,"FREF_MARKET_VALUE_COMPANY(0,,,USD,,0,,""LEGACY"")")</f>
        <v>245895.35750000001</v>
      </c>
      <c r="E30" t="s">
        <v>733</v>
      </c>
      <c r="F30" t="str">
        <f t="shared" si="2"/>
        <v>FC0000US</v>
      </c>
      <c r="G30" s="153" cm="1">
        <f t="array" ref="G30">_xll.FDSZ(F30,"FMA_MCAP(0,,,USD,""PORTAGG"")")</f>
        <v>52196920</v>
      </c>
    </row>
    <row r="31" spans="1:7" x14ac:dyDescent="0.35">
      <c r="A31" t="s">
        <v>170</v>
      </c>
      <c r="B31" t="s">
        <v>1</v>
      </c>
      <c r="C31" t="s">
        <v>1</v>
      </c>
      <c r="D31" s="158" cm="1">
        <f t="array" ref="D31">_xll.FDS(C31,"FREF_MARKET_VALUE_COMPANY(0,,,USD,,0,,""LEGACY"")")</f>
        <v>498412.11459200003</v>
      </c>
      <c r="E31" t="s">
        <v>733</v>
      </c>
      <c r="F31" t="str">
        <f t="shared" si="2"/>
        <v>FC0000US</v>
      </c>
      <c r="G31" s="153" cm="1">
        <f t="array" ref="G31">_xll.FDSZ(F31,"FMA_MCAP(0,,,USD,""PORTAGG"")")</f>
        <v>52196920</v>
      </c>
    </row>
    <row r="33" spans="1:7" x14ac:dyDescent="0.35">
      <c r="A33" s="46" t="s">
        <v>366</v>
      </c>
      <c r="B33" s="46" t="str" cm="1">
        <f t="array" ref="B33">_xll.FDS(C33,"FG_COMPANY_NAME")</f>
        <v>Nasdaq South Africa</v>
      </c>
      <c r="C33" s="46" t="s">
        <v>889</v>
      </c>
      <c r="D33" s="164" cm="1">
        <f t="array" ref="D33">_xll.FDSZ(C33,"FMA_MCAP(0,,,USD,""PORTAGG"")")</f>
        <v>0</v>
      </c>
      <c r="E33" s="46" t="str" cm="1">
        <f t="array" ref="E33">_xll.FDS(A33,"FG_COMPANY_NAME")</f>
        <v>South Africa</v>
      </c>
      <c r="F33" s="46" t="str">
        <f>_xlfn.CONCAT("FC0000",RIGHT(A33,2))</f>
        <v>FC0000ZA</v>
      </c>
      <c r="G33" s="164" cm="1">
        <f t="array" ref="G33">_xll.FDS(F33,"FG_MCAP_IDX(0,,,USD)")</f>
        <v>286270.5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3513000"><![CDATA[{"FC0000ZA^FG_MCAP_IDX(0,,,USD)":286270.5,"FC0000CN^FMA_MCAP(0,,,USD,\"PORTAGG\")":7490056.0,"NQG00809^FMA_MCAP(0,,,USD,\"PORTAGG\")":null,"MCHI^FREF_MARKET_VALUE_COMPANY(0,,,USD,,0,,\"LEGACY\")":4713.168,"FC0000US^FMA_MCAP(0,,,USD,\"PORTAGG\")":52196920.0,"FC0000IN^FMA_MCAP(0,,,USD,\"PORTAGG\")":4632098.0,"SPY^FREF_MARKET_VALUE_COMPANY(0,,,USD,,0,,\"LEGACY\")":498412.114592,"INDA^FREF_MARKET_VALUE_COMPANY(0,,,USD,,0,,\"LEGACY\")":9391.773,"FC0000GR^FMA_MCAP(0,,,USD,\"PORTAGG\")":78912.94,"QQQ^FREF_MARKET_VALUE_COMPANY(0,,,USD,,0,,\"LEGACY\")":245895.3575,"GREK^FREF_MARKET_VALUE_COMPANY(0,,,USD,,0,,\"LEGACY\")":186.886936377,"FC0000GB^FMA_MCAP(0,,,USD,\"PORTAGG\")":3055768.5,"FC0000ZA^FMA_MCAP(0,,,USD,\"PORTAGG\")":286270.5,"EWU^FREF_MARKET_VALUE_COMPANY(0,,,USD,,0,,\"LEGACY\")":2599.74,"EZA^FREF_MARKET_VALUE_COMPANY(0,,,USD,,0,,\"LEGACY\")":252.516,"FC0000CH^FMA_MCAP(0,,,USD,\"PORTAGG\")":2026340.1,"FC0000BR^FMA_MCAP(0,,,USD,\"PORTAGG\")":712846.5,"EWL^FREF_MARKET_VALUE_COMPANY(0,,,USD,,0,,\"LEGACY\")":999.6075,"EWZ^FREF_MARKET_VALUE_COMPANY(0,,,USD,,0,,\"LEGACY\")":4728.7755,"FC0000JP^FMA_MCAP(0,,,USD,\"PORTAGG\")":6367850.5,"FC0000KR^FMA_MCAP(0,,,USD,\"PORTAGG\")":1825360.8,"EWJ^FREF_MARKET_VALUE_COMPANY(0,,,USD,,0,,\"LEGACY\")":16364.6385,"EWY^FREF_MARKET_VALUE_COMPANY(0,,,USD,,0,,\"LEGACY\")":4906.92,"FC0000DE^FMA_MCAP(0,,,USD,\"PORTAGG\")":2223028.0,"FC0000MX^FMA_MCAP(0,,,USD,\"PORTAGG\")":513856.34,"EWG^FREF_MARKET_VALUE_COMPANY(0,,,USD,,0,,\"LEGACY\")":973.296,"EWW^FREF_MARKET_VALUE_COMPANY(0,,,USD,,0,,\"LEGACY\")":2019.012,"FC0000CA^FMA_MCAP(0,,,USD,\"PORTAGG\")":2658612.5,"FC0000TW^FMA_MCAP(0,,,USD,\"PORTAGG\")":2173821.8,"EWT^FREF_MARKET_VALUE_COMPANY(0,,,USD,,0,,\"LEGACY\")":4020.009,"FC0000AU^FMA_MCAP(0,,,USD,\"PORTAGG\")":1612711.9,"FC0000MY^FMA_MCAP(0,,,USD,\"PORTAGG\")":366440.2,"EWA^FREF_MARKET_VALUE_COMPANY(0,,,USD,,0,,\"LEGACY\")":1696.24,"EWM^FREF_MARKET_VALUE_COMPANY(0,,,USD,,0,,\"LEGACY\")":249.942,"FC0000NZ^FMA_MCAP(0,,,USD,\"PORTAGG\")":88983.984,"FC0000PE^FMA_MCAP(0,,,USD,\"PORTAGG\")":34614.86,"ENZL^FREF_MARKET_VALUE_COMPANY(0,,,USD,,0,,\"LEGACY\")":85.8,"FC0000SA^FMA_MCAP(0,,,USD,\"PORTAGG\")":2884927.3,"KSA^FREF_MARKET_VALUE_COMPANY(0,,,USD,,0,,\"LEGACY\")":812.141,"FTSEWIVNXXXX^FMA_MCAP(0,,,USD,\"PORTAGG\")":22962.360186,"VNM^FREF_MARKET_VALUE_COMPANY(0,,,USD,,0,,\"LEGACY\")":494.098,"EPHE^FREF_MARKET_VALUE_COMPANY(0,,,USD,,0,,\"LEGACY\")":116.5755,"FC0000AE^FMA_MCAP(0,,,USD,\"PORTAGG\")":878029.9,"UAE^FREF_MARKET_VALUE_COMPANY(0,,,USD,,0,,\"LEGACY\")":39.366,"FC0000TR^FMA_MCAP(0,,,USD,\"PORTAGG\")":376849.1,"TUR^FREF_MARKET_VALUE_COMPANY(0,,,USD,,0,,\"LEGACY\")":224.315,"ECH^FREF_MARKET_VALUE_COMPANY(0,,,USD,,0,,\"LEGACY\")":572.686,"SET-BKK^FMA_MCAP(0,,,USD,\"PORTAGG\")":457112.30603836,"SET-BKK^FG_MCAP_IDX(0,,,USD)":457112.30603836,"EWC^FREF_MARKET_VALUE_COMPANY(0,,,USD,,0,,\"LEGACY\")":2741.64,"EPU^FREF_MARKET_VALUE_COMPANY(0,,,USD,,0,,\"LEGACY\")":111.664,"FC0000PL^FMA_MCAP(0,,,USD,\"PORTAGG\")":200453.1,"EPOL^FREF_MARKET_VALUE_COMPANY(0,,,USD,,0,,\"LEGACY\")":308.294,"FC0000PH^FMA_MCAP(0,,,USD,\"PORTAGG\")":204580.81,"FC0000ID^FMA_MCAP(0,,,USD,\"PORTAGG\")":637538.8,"EIDO^FREF_MARKET_VALUE_COMPANY(0,,,USD,,0,,\"LEGACY\")":463.758,"FC0000CL^FMA_MCAP(0,,,USD,\"PORTAGG\")":140955.0,"CNYA^FREF_MARKET_VALUE_COMPANY(0,,,USD,,0,,\"LEGACY\")":326.74,"CC_ZA^FG_COMPANY_NAME":"South Africa","FC0000QA^FMA_MCAP(0,,,USD,\"PORTAGG\")":156094.84,"QAT^FREF_MARKET_VALUE_COMPANY(0,,,USD,,0,,\"LEGACY\")":78.7605,"NQG00809^FG_COMPANY_NAME":"Nasdaq South Africa","DUMMY^ECON_EXPR_DATA('FDS_ECON[NTCPMIMFGSA@PL]',,,M)":47.991665,"DUMMY^ECON_EXPR_DATA('FDS_ECON[NTCPMIMFGSA@TR]',,,M)":49.97893,"DUMMY^ECON_EXPR_DATA('FDS_ECON[NTCPMIINDEXSA@SA]',,,M)":57.04606,"DUMMY^ECON_EXPR_DATA('FDS_ECON[NTCPMIPHMANHE]',,,M)":null,"DUMMY^ECON_EXPR_DATA('FDS_ECON[NTCPMITHMANHE]',,,M)":null,"DUMMY^ECON_EXPR_DATA('FDS_ECON[NTCPMIMFGSA@VN]',,,M)":49.86291,"DUMMY^ECON_EXPR_DATA('FDS_ECON[NTCPMIMFGSA@CN]',,,M)":51.12935,"DUMMY^ECON_EXPR_DATA('FDS_ECON[NTCPMIMFGSA@ID]',,,M)":54.182526,"DUMMY^ECON_EXPR_DATA('FDS_ECON[NTCPMIMFGSA@CL]',,,M)":null,"DUMMY^ECON_EXPR_DATA('FDS_ECON[NTCPMIMFGSA@AE]',,,M)":null,"DUMMY^ECON_EXPR_DATA('FDS_ECON[NTCPMIMFGSA@GR]',,,M)":56.855103,"DUMMY^ECON_EXPR_DATA('FDS_ECON[PMIQAWHEHE]',,,M)":50.577515,"DUMMY^ECON_EXPR_DATA('FDS_ECON[NTCPMIMFGSA@IN]',,,M)":59.1367,"DUMMY^ECON_EXPR_DATA('FDS_ECON[PMIMFGSA@ZA]',,,M)":48.38684,"DUMMY^ECON_EXPR_DATA('FDS_ECON[NTCPMIMFGSA@BR]',,,M)":53.629944,"DUMMY^ECON_EXPR_DATA('FDS_ECON[PMIMYMANHE]',,,M)":48.399647,"DUMMY^ECON_EXPR_DATA('FDS_ECON[NTCPMIMFGSA@KR]',,,M)":49.82558,"DUMMY^ECON_EXPR_DATA('FDS_ECON[NTCPMIMFGSA@MX]',,,M)":52.23004,"DUMMY^ECON_EXPR_DATA('FDS_ECON[NTCPMIMFGSA@TW]',,,M)":49.3,"DUMMY^ECON_EXPR_DATA('FDS_ECON[NTCPMIMFGSA@PE]',,,M)":null,"CAGDPY@QA^EE_ACTUAL_ANNUAL(MED,0)":16.2,"CAGDPY@TW^EE_ACTUAL_ANNUAL(MED,0)":13.7260418671641,"CC_VN^FG_COMPANY_NAME":"Vietnam","CC_PH^FG_COMPANY_NAME":"Philippines","USDVND^FG_PRICE_CHANGE(0,-1AM)":2.7057648,"USDTRY^FG_PRICE_CHANGE(0,-1AM)":0.62315464,"USDQAR^FG_PRICE_CHANGE(0,-1AM)":0.0,"USDINR^FG_PRICE_CHANGE(0,-1AM)":0.7628441,"USDZAR^FG_PRICE_CHANGE(0,-1AM)":0.95558167,"USDKRW^FG_PRICE_CHANGE(0,-1AM)":2.9429436,"USDTWD^FG_PRICE_CHANGE(0,-1AM)":2.136159,"USDPEN^FG_PRICE_CHANGE(0,-1AM)":1.3417125,"USDPHP^FG_PRICE_CHANGE(0,-1AM)":2.8777838,"USDCLP^FG_PRICE_CHANGE(0,-1AM)":2.0074964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240323779405,34.7106307439575,40.2723415308456,42.4815782672563,40.1815851407061]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179819,17.4947707049036,21.2762448555046,20.3723993153625,19.1122217445557],"EWM^P_PRICE_RETURNS_PR('52W',2,-10AY,0,AM)":[4.89192,0.9737015,5.208814,5.4963827,10.937918,0.62537193,-4.4519067,-3.387767,-12.415213,-8.580345,-7.853836,-10.101646,-10.06056,-11.816877,-19.443327,-21.117079,-34.768383,-30.033695,-21.689636,-28.1296,-21.476316,-23.69045,-17.450565,-11.727959,-10.783201,-19.034546,-12.016577,-4.7603664,15.507925,5.081761,-0.09455681,-0.9109199,-2.178061,6.0293674,-2.3272634,-4.577148,-8.253622,4.5615315,8.966005,-0.37267804,-1.0868788,8.004665,6.2981844,14.442897,20.551289,27.325798,27.360308,21.729492,25.455475,14.4697075,5.260694,8.607138,9.457374,5.258763,1.1614561,1.7191172,-7.035935,-8.46135,-10.546589,-8.589375,-16.623926,-14.828324,-5.239618,-4.4165254,-10.020608,-10.435402,-5.75313,-3.754586,0.8604646,-2.4717987,-9.227383,-33.438282,-17.12035,-12.158155,-10.09695,-4.596007,1.1325002,-3.7273765,-2.0272434,0.5616307,5.7956934,1.8403649,4.59255,42.55942,23.091484,15.303922,6.631267,-3.660196,-6.46047,0.86716413,4.75049,-6.352341,-14.406657,-6.9791555,-0.8766353,-2.01661,-2.818811,-7.6573553,-12.307877,-9.83857,-3.6887646,-12.357283,-21.235716,-9.556717,-2.6457965,-2.416557,-9.349108,-14.499849,-10.130077,-6.5155983,-5.6441784,0.39502382,-5.1371517,1.0312438,6.075752,1.7932773,-3.222531,-7.5649977,-2.539742,7.052362,1.0404229],"GREK^FG_TOTAL_RETURNC(-10AY,0,AM)":[-8.761681,-14.084506,19.523108,-9.476304,-6.8870544,-3.550297,-14.979553,-3.2471359,-8.390302,-12.889957,0.94338655,-17.834885,-0.7583082,19.102203,-15.156383,-2.2684216,-2.8046489,5.0746202,-0.8522749,-9.646606,-11.945027,-13.49749,-9.999996,13.7715225,4.6767473,11.300921,-10.625732,-4.0951195,2.0661116,-5.533057,6.5699935,2.2801876,2.2280574,4.195893,-3.136766,1.943016,1.397717,19.674183,3.6649108,7.979822,-3.461182,-8.720928,0.53077936,-7.814157,15.120292,9.964752,0.36967993,-7.090229,6.3429,-12.488341,-1.384449,1.1878967,-9.178215,-2.5852025,-9.288305,0.5319238,-3.7037075,-0.7859945,5.2482247,10.377348,5.250311,-8.816708,18.193388,4.1212797,-12.357217,12.322271,2.004218,2.4819136,1.4127135,1.5478611,-8.582842,-48.580784,29.299366,0.49271584,9.803915,0.6242156,3.7717104,1.7216682,-8.039498,13.036812,17.503393,-2.561748,-2.2580624,7.9207897,8.142209,2.2622824,-1.6937435,-5.590719,3.4264445,2.3406506,-1.1963427,-0.21367073,-5.638832,9.451103,2.6836157,-9.456671,3.190279,-9.422153,-3.2913506,-6.990093,13.269925,-6.4774094,-1.1115849,10.376143,5.0137043,9.869218,11.877394,-10.242838,12.001395,-0.8671522,15.245235,7.2131515,-6.4598203,-4.5948863,-6.298089,12.104618,1.8990755,4.47098,3.8481474,0.50075054,-4.1106043],"UAE^FMA_DIV_YLD(NTMA,-10AY,0,AM,\"PORTAGG\",\"MEANR\")":[null,null,2.61440412809053,2.56502050028042,2.6094514559544,2.45325623499691,2.92186116735587,2.87162057123255,3.59458977678775,3.39246152583865,3.39932380118285,3.8247280190017,3.1271381853021,3.21810869973292,3.4775952111534,3.51118904742777,3.82862005309106,4.05562895941445,3.83487083396826,4.45333786768155,4.16208142534443,4.71150537795765,4.49163768702451,3.94391044461094,3.87446608235902,4.20547324100808,4.05353905418245,3.81023675250991,3.72809452711017,3.68677146082804,3.75136215509281,3.98608827887741,4.13693598745923,3.97718055570973,4.04865474565817,4.18467822732636,4.02302705838573,3.97163133783468,4.06973766864607,3.92772489742954,4.05376768743668,4.08778926771594,4.19076501800225,4.45282703616931,4.4870598829031,4.18232555692948,4.35583310368955,4.49489392048855,4.76203255929903,4.96714054339463,4.87929229701467,4.73849606315897,4.75565763467389,4.83828995361056,4.92548903668997,4.84273454606677,5.17500773445543,5.20991153649931,5.34265815409048,5.1885726449852,4.80098049636646,5.38612590036747,5.27921720002804,5.02912770614222,5.09532831471233,4.7129207408773,4.71677864554659,4.77062530575146,5.04045382234459,5.09364099054554,5.24643605533984,7.85879600346156,5.37608495629722,4.64947063955933,4.39654429725729,4.66360091666041,4.54942742427569,4.25649675311806,4.31604891981993,4.56803756014918,4.38171433141868,4.28450780178034,4.36495034397186,4.45155322464284,4.40395241360439,4.34381931340497,4.38223385903122,4.69580000275208,4.47004188180349,4.16967768739786,4.08289519733003,3.73463938647986,4.11106584482601,4.36481916587062,3.93592280921402,3.69681295598752,3.47376964012611,3.88995040024314,4.32336529384936,4.36321246166793,4.03381917603684,4.10245260670117,4.40243574890055,4.37181240027413,4.69998207585596,4.71806264228307,4.6073122871,4.94929623610938,4.43662192474245,4.51075060557399,4.50559759370909,4.25249947418842,4.22248970212872,4.37849355300305,4.58513679070945,4.66261294606874,4.71120703657706,4.54504467347999,4.86654415452102,5.05312629220729,5.45100351896745],"EIDO^FMA_DIV_YLD(NTMA,-10AY,0,AM,\"PORTAGG\",\"MEANR\")":[2.49949614502139,2.45442941698756,2.60086645741297,2.52984351128715,2.50523300210258,2.50547728601321,2.60702712127026,2.52512477831379,2.51396368124025,2.52471965957757,2.33145033493299,2.32283391420698,2.31595526015455,2.35971838966558,2.47679875942807,2.47296445936021,2.68849197689614,2.73966442100773,2.61112668905421,2.5686310289233,2.56170499814849,2.53165152325379,2.37739703899985,2.33483537730775,2.38113812129247,2.47574833115816,2.37660102830331,2.21462180312742,2.1265679305963,2.26312832200795,2.23351944954254,2.43638272830356,2.48591769990633,2.43651554174965,2.43035077752489,2.42568855277109,2.45477993484301,2.53424999551493,2.55278821942153,2.54273369628415,2.54437918408576,2.58319928564927,2.53751676931571,2.59136320183699,2.60863329048389,2.46243498924671,2.47696994894585,2.64394388212266,2.67296463961525,3.11965982683843,3.00725710910276,3.10191048653776,3.12525953144083,3.10056129822186,3.10706838047379,2.9109600442095,2.88140819582155,2.74317382951825,2.87942468723268,2.77948360109938,2.78736056382885,3.23175609470286,2.83059355243171,2.7014479134819,2.81085447518471,2.78919111635745,2.79239448448141,2.83487759698187,2.77868679576282,2.68929568885426,2.89059313695267,4.32486321095493,3.94461364407827,3.84584816279745,3.15220652882966,2.91214668293995,2.75404992317507,2.91968492523221,2.86217383476221,2.50184762742979,2.21743867743311,2.23827514491256,2.50255198777392,2.53344028941686,2.71393472585266,2.86851645620879,2.94422372257135,3.06104101515892,3.00758691556803,3.11029626269864,2.8575601284897,3.07705256496442,3.14134971020394,3.15792526273893,3.08950123707676,3.23238549719161,3.31753528117762,3.51830067117748,3.56537432502796,3.75819450231777,3.58697912805455,3.58481823279341,3.88954575266486,3.92202058597659,4.03152726036371,4.20474506232917,4.19304081979607,4.3567684372054,4.31485422435249,4.69680191388185,4.29872573128918,4.18531608280448,4.15312754373404,4.16814235317872,4.25900084352714,4.18504342493013,4.18176149571087,4.07714328306665,4.04485427877032,4.07681810844108,4.1878914776844],"EWW^FMA_PE(NTMA,-10AY,0,AM,\"PORTAGG\",\"MEANR\")":[null,null,null,null,null,null,null,null,null,null,null,null,null,null,null,null,null,null,null,null,null,16.2156675150474,17.5173828244804,18.4298696716768,19.2766920760609,19.429968443034,18.316955237272,18.5728501043651,18.8726771063658,17.3958530698151,18.1418369445656,16.4376048850848,16.2046735015886,16.1300654198871,16.3839314480041,16.9321673182168,16.833138976603,16.2812072087755,16.5833787565935,17.1873371201954,17.1128561450649,16.8316559525485,16.2708992948835,15.7124256432394,15.8904345173486,16.1094084590526,15.7355495642054,15.2698174308334,15.8707352684645,14.4524531575218,14.7479727184625,15.5609438654737,14.9109619486944,15.1913273090263,14.2042431930932,12.6782107168808,12.3021282494566,13.2860260255047,12.9284698506109,12.7188733089828,13.7279920295697,13.0551134392035,12.9346059741362,12.6609431051022,12.192904261638,13.4500739231877,13.6411627799819,13.6893469179576,14.3080965609243,14.5844558903935,14.3554305073615,10.8618477051292,11.6704633114022,14.9829353868049,16.6410888910944,16.4451298665117,17.6873477337074,15.1787519290358,14.9053397056832,15.6883699053485,15.325074877776,15.2624090147119,14.3768043458979,15.0722050493308,15.2772691536478,14.9253713868695,15.0939013027873,14.5646574741557,14.599074806459,13.9744879910178,14.1919813128574,13.3682779520986,13.657026218124,13.8089782916989,13.4403427058827,14.0954079630716,13.75460171534,12.4992218384034,11.5797363470021,11.4560218092101,11.9028443633681,11.3029183887808,11.5704363867156,12.6010927321099,11.9543407761114,12.746085613151,12.8358610190574,12.2692559633194,12.5899955328086,12.4335611712246,12.0537663321798,11.8769791380151,11.7311199168835,11.4961060117601,11.0233081178666,11.9324391263724,13.098134831097,12.2703079518214,12.8801077043412,12.5120108779761,12.4018039262755],"MCHI^FMA_PE(LTMA,-10AY,0,AM,\"PORTAGG\",\"MEANR\")":[9.2720335604977,9.21277202923802,9.3335662877497,9.46022818763465,9.75481592115508,9.57910198319719,9.17625037973829,9.41535311052383,9.74212719495031,10.4351891737562,10.7521612365363,10.8006275725654,11.4303913288356,11.4774232209829,11.2744703198801,10.7748449992067,10.3739361000999,9.97536323040676,10.3564479899975,10.0447906557991,9.80346947132303,9.47105169610595,9.51352776598056,9.48988967935135,9.70820007560567,9.57255719638556,10.1475767773986,10.9233898949948,11.7575174995424,12.3326781950592,12.8933357088878,12.8659446542223,12.9303936063388,13.5848569418879,14.2183509246564,14.0740118522163,13.883451993804,14.00906966114,14.0099149839059,14.326161383071,14.5279429603773,14.9119088807604,15.3090840186874,15.5431934900854,15.1316534341018,16.3164218320577,15.5831009622648,15.3671401819616,14.8731400023169,14.8331945830796,14.6402149789412,14.0934044308769,13.4716900753172,13.0226789852001,12.121466497323,12.2991776462069,11.7299282125814,12.1060163622242,12.5043172551517,12.8755313891571,12.9481365114158,12.5506068787236,12.500337305998,12.5988889677301,12.2230398532789,12.6362533395645,12.4174836169791,12.4482896141352,13.6075853623182,14.1386705011611,13.8235473994604,12.688013048705,13.134511646257,13.3670921521775,14.075993754378,14.8505445222856,15.4822520814364,15.8370504973663,16.7026366569194,16.8394900311553,18.0765021477405,19.8472394222571,21.7970150326467,19.6273594658608,19.2318232025145,18.7292205364637,18.7422062365024,18.2127945494873,16.7233321595299,16.3864020049031,16.224737629476,15.5501281449833,14.2408026486212,14.1402507047228,13.8381809811704,12.8283510508854,12.644070647565,12.5096824510215,12.8572710870076,12.7803088013598,12.3137917896754,12.0975387322796,11.1570974867842,11.6044486647623,12.2864603065719,13.5706224152372,12.9503391565767,12.2650844256166,12.3125042623067,12.0347964390462,12.1204896838668,11.7947707460143,11.541733763946,11.6477439263612,11.2767432004047,11.2290462496397,10.6772407213272,9.9841502855342,10.3987361731946,10.4767285935627,10.4008014803379],"DDR3512M-FDS^MAX(FG_PRICE(0,-5AY))":3.3053632,"PASP-FDS^MAX(FG_PRICE(0,-5AY))":3158.12,"PLATI-FDS^MAX(FG_PRICE(0,-5AY))":1272.59,"W-FDS^MAX(FG_PRICE(0,-5AY))":14.2525,"COPP-FDS^MAX(FG_PRICE(0,-5AY))":4.929,"FC0000SA^FG_PRICE(0)":51.36702,"SET-BKK^FG_PRICE(0)":1361.02,"FC0000GR^FG_PRICE(0)":9.245088,"DUMMY^ECON_EXPR_DATA('FDS_ECON[NTCPMIMFGSA@EME]',,,M)":51.96338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5475934,10.6153952262209,9.47363114651143,10.1683466984571,9.55885733911212],"TRYMX10Y-FDS^FG_YIELD(-10AY,0,Y,,\"YTM\")":[5.8237,6.2537,7.5651,7.6401,8.7069,6.8373,5.552,7.558,9.0223,8.95],"TRYPE10Y-FDS^FG_YIELD(-10AY,0,Y,,\"YTM\")":[5.681629,7.426917,6.415413,5.167133,5.645114,4.243226,3.535983,5.889906,7.923381,6.6087],"CAGDPY@CN^EE_ACTUAL_ANNUAL(MED,+1)":1.3,"CAGDPY@MY^EE_ACTUAL_ANNUAL(MED,+1)":2.25,"CC_AE^FG_COMPANY_NAME":"United Arab Emirates","CC_ID^FG_COMPANY_NAME":"Indonesia","USDVND^FG_PRICE_CHANGE(0,-1AY)":8.020508,"USDTRY^FG_PRICE_CHANGE(0,-1AY)":67.51635,"USDQAR^FG_PRICE_CHANGE(0,-1AY)":0.02746582,"USDINR^FG_PRICE_CHANGE(0,-1AY)":1.8344402,"USDZAR^FG_PRICE_CHANGE(0,-1AY)":5.379379,"USDKRW^FG_PRICE_CHANGE(0,-1AY)":4.1178465,"USDTWD^FG_PRICE_CHANGE(0,-1AY)":5.9500813,"USDPEN^FG_PRICE_CHANGE(0,-1AY)":-0.9697676,"USDPHP^FG_PRICE_CHANGE(0,-1AY)":1.8534064,"USDCLP^FG_PRICE_CHANGE(0,-1AY)":21.76546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FC0000CL^JULIAN(FMA_EPS(NTMA,-20AY,0,CY,,\"PORTAGG\",\"MEANR\").DATES)":[38352,38716,39080,39447,39813,40178,40543,40907,41274,41639,42004,42369,42734,43098,43465,43830,44196,44561,44925,45289],"EPU^P_PRICE_RETURNS_PR('52W',2,-10AY,0,AM)":[-15.953266,-7.263553,-4.221308,11.855232,6.8852544,8.040201,-1.2054741,4.240322,-3.4296572,-8.437878,-8.083879,-8.132977,-9.978735,-9.476155,-12.968779,-21.296383,-35.290424,-36.026108,-27.780575,-32.56522,-36.079525,-38.49358,-29.398739,-7.194191,0.27110577,-1.7981112,1.8787861,19.432186,53.884552,43.105804,39.355133,47.148193,58.03225,88.74399,67.86465,31.531275,17.23491,15.245509,14.614761,7.9660177,4.030323,19.570255,29.885435,29.73993,22.40392,32.371235,21.048843,27.032364,36.81948,28.902996,26.663626,16.237663,6.046355,-3.7693918,-10.418534,-7.9673767,-6.009632,-14.603382,-9.127707,-3.3069193,-12.512684,-15.513581,-10.007864,-1.9905388,-7.748997,-0.995332,-1.820606,-1.0519266,2.385068,3.5504103,-7.1209908,-43.89448,-34.282368,-21.90795,-19.594461,-21.334957,-3.288561,-10.341292,-11.12898,-6.502861,1.0414481,-2.6489198,12.250244,69.957565,48.237312,30.452013,2.3492217,0.023269653,-18.8119,-10.078687,2.2736669,-5.499625,-16.65703,-0.8134186,-5.369699,6.1538815,0.29907227,-14.700174,2.224207,-8.756638,12.229538,0.79448223,-10.974085,3.4978747,5.855155,-1.5334904,-10.212779,-18.391598,-4.0650187,11.000538,16.195452,40.448105,21.737576,30.181812,19.056438,9.488546,25.022984,10.306096,23.350216,42.62067,31.710983],"EZA^FG_TOTAL_RETURNC(-10AY,0,AM)":[4.5306206,3.2339692,0.47529936,1.10811,1.7596483,-3.697449,-6.42336,9.625578,-6.2482715,0.13840199,5.497539,-1.9941688,3.8912773,-0.6004274,-7.5506983,2.2204995,-9.669995,-4.451996,8.678638,-10.080183,-13.4121895,-16.383373,21.053982,9.91124,5.4797173,-12.996721,7.458627,12.095701,8.100355,-9.73143,-1.0835648,-6.962496,1.2572408,9.291363,2.7706861,5.0904512,-3.3417702,2.1477222,-1.0427356,4.0183067,1.9423962,-1.4290452,2.6828885,1.3145089,5.6062818,10.765039,2.626121,-5.17171,-0.7385373,-9.758192,-8.260661,3.630066,-9.991527,-2.9915333,-5.23662,8.984852,-5.2259865,10.910929,-3.869325,1.1391759,9.198416,-8.389198,3.5431623,3.121519,-16.180182,10.49012,-0.87548494,0.43178797,4.8179626,-0.49210787,-4.2447925,-43.189156,14.469695,8.802128,8.523071,10.445202,-3.074944,1.3329744,-0.15784502,11.67326,10.999453,-2.7236462,11.222399,-0.61399937,7.392919,-0.9587705,-5.0192413,-1.275456,-1.8545568,-2.0169795,6.717217,-4.2233524,-2.6300013,5.939293,8.53405,4.495883,-3.2954931,-14.767134,-4.0287075,-4.7562656,7.975149,-11.22871,-2.0736217,15.007949,-4.3838797,11.705769,-6.541234,-8.263117,10.589445,-10.544533,10.867012,1.7278075,-10.167515,-0.751102,-0.835073,6.157899,0.5949497,-5.5134177,2.086091,-2.897048,1.9179463],"TUR^FMA_DIV_YLD(NTMA,-10AY,0,AM,\"PORTAGG\",\"MEANR\")":[2.88550958991016,2.97216885341915,2.95839754592177,2.6956427860356,3.15166878553546,3.12130167393983,3.15422064001449,2.88408461470744,2.80836573653243,2.71527275766391,2.87463899089739,3.03370639379381,2.92990024433612,2.72063342599364,3.01838784120813,3.00745844263003,3.27242475376731,3.38292748832137,3.19988322910876,3.18300888321254,3.59017945498175,3.66665378374499,3.54535399876391,3.09951135672876,3.14671990831995,3.4809271948294,3.63977515425848,3.58322621945369,3.46261385583582,3.61373628484746,3.59514582220861,3.75846537058808,3.7909143740479,3.65269440837394,3.48926459041305,3.52671355372339,3.59981106936795,3.70250954238067,3.62889236304217,3.54975870030911,3.79357289311791,3.94515179209294,4.1446757957696,4.27844671176807,4.22175657329874,3.99021077868443,4.16404581837587,4.36144329985355,4.71483005690452,5.23310753197832,5.68301465899751,5.61777015418884,5.78131576347854,5.68099751492704,5.33699717902649,5.28884621284099,5.24511359005277,4.59055922637345,4.62612510982655,4.38908610425005,5.08178910149065,5.63081985452017,4.91733329145467,4.42832816103175,4.96710050195499,4.91917806352529,5.11766306750429,4.45698132074953,4.40140737003224,4.261206091408,4.41273306153331,5.9878259782273,4.82776211710077,3.96191130923315,3.25401857133577,3.31960882071936,4.0442485521881,4.5299846783014,4.21900439543968,3.97419613921151,3.86001374593634,3.87253494043396,4.56108163891013,4.48997523571457,5.33149907925044,5.35660125217981,5.59487389543976,5.99204236348335,5.95229518995762,6.06793690017868,6.17889709947467,5.08758364806883,4.70745243257924,5.45038515461453,5.82077225816085,5.98442676626081,5.28020912300323,5.63732753895338,5.38344756384583,6.19761522755491,5.02278730391485,4.82277151356306,5.04410196196599,5.04062821140223,4.63185876141215,4.78437634134312,5.27848298909083,4.83342692786243,5.10622986958063,5.64762578116771,4.73503741136041,4.16968870303241,3.77400810897163,3.93724598820957,4.14120974002507,4.45358377877457,4.6982324459285,4.40271859380846,4.06262522765113,4.34996518828372,4.01140494676556],"ECH^FMA_DIV_YLD(NTMA,-10AY,0,AM,\"PORTAGG\",\"MEANR\")":[3.03254114809939,3.0058752920972,3.07631568409747,3.10411753943853,3.05434586635633,3.02267362993319,3.28112539448991,2.96200452260912,3.16447703523275,3.30354097956142,3.12909545940427,3.3150474410616,3.14439795821398,3.14777621751395,3.41962376966683,3.5360453629785,3.63361490157568,3.60467620321051,3.71951872195287,3.70249746443699,3.77120795257409,4.06054414524871,3.66167457627992,3.38461677924066,3.45446384141211,3.30211433905855,3.25989540417901,2.89036370989326,2.86906811672753,3.1099542787694,2.71688780408493,2.85342232256786,2.88020662120788,2.92654732350702,2.76252150015522,2.64078642672673,2.4696696308387,2.47182697236,2.65921543903661,2.56824059414551,2.59048623174067,2.49138391541128,2.81087801156032,2.93376768473326,2.96127594660973,2.75316590340615,3.01602416284194,3.0768085670833,3.05483969545235,3.26901531215174,3.28157623544645,3.36825638414992,3.40945491635556,3.44814458161379,3.03088824095636,2.9829907836624,3.14070123152538,2.91049749318637,2.96107771600211,3.02284443169258,2.94020195379755,3.25695038658398,3.30030958652391,3.23813680470042,3.47387075478106,3.27079789170851,3.16525276112541,3.45592792790237,3.66088138013754,3.60902437307366,3.83605667603291,5.98089891125465,4.22761719190067,3.77978857825348,3.3504457335055,3.3261401318058,3.36239735047192,3.81398112896265,3.79806836045316,3.31281789590357,3.18675992431182,3.05206846278559,3.04320098974864,2.82897295825444,3.06052306042637,3.96281262415162,3.9295422303544,4.30604384552199,4.74159675671277,4.58808375899594,5.12771981414976,5.058206018187,5.26172017299749,4.73906462487838,4.74247701499229,4.63117955892639,4.86812975834885,5.18409381743683,6.92880293088726,7.52946819305782,7.34736291642776,6.60950778372447,7.07620493036564,9.02962461349359,8.84102232140052,7.83571829962984,7.89294757238587,8.89073187540771,7.93173094580012,7.27563297557807,6.9650864325846,6.19400078724585,6.14423149811426,6.60671202499388,6.65303946111426,6.6788538463092,6.73622813254117,7.17100291471221,6.58142361809905,7.06213657859593,6.89860091344576],"EWT^FMA_PE(NTMA,-10AY,0,AM,\"PORTAGG\",\"MEANR\")":[14.4197170612428,14.0234775633227,14.4123846908979,14.1473776493444,13.5289092907672,13.5358810008424,12.3494110844001,12.8678946333384,12.5513804675078,12.4181559017914,12.8119373568615,12.83365083502,12.5732470047976,12.7782032673238,12.4232484739949,12.2436583707326,11.3900894580534,11.949505909656,12.1406770818321,11.8773205504821,11.6785129964465,11.1120194237939,12.1717448643966,12.8889414181528,12.7030090147985,12.134630800472,12.9619669784579,13.589618660058,13.7357701439455,13.1988542166652,13.5922491155385,12.9112055379911,13.1080060729486,12.9536429430142,13.1436216730994,13.2705692654972,12.9910875332393,13.276812645287,13.5651308531688,14.0717158862387,13.8171545960909,13.9023752779305,13.7334746998616,13.7115955778349,13.1256555158315,13.7835155483865,12.9893898946064,13.7339392117963,13.3822664814161,13.4339822222204,13.648137109978,13.2433548878869,13.1480772616211,12.9700894850659,12.0968769460364,12.3712633829761,12.3492609151159,13.2040545526891,13.7862903264593,14.5717017234604,15.2193563899875,14.320059198635,14.6955235848859,14.9787726054271,14.4137134113431,15.2593103465578,15.2907020970135,15.7408632514396,16.0454390964124,15.5804924752384,14.9014506955477,12.1859402722028,14.8015033279329,15.1203028629984,16.2006475119643,16.707248204895,16.6575208590382,15.7119670381902,15.1067419502397,15.5531125756217,15.6074853835995,16.6332235964568,16.3160801466227,15.6058735433862,15.2993513790403,13.1720108792884,13.7980811756152,13.9450857115692,12.7784908658901,13.1245894612661,12.584915579513,13.4916212989154,13.4026451493806,13.3811843769424,12.873153854448,12.3289352019337,11.6192068100408,11.4701507870486,10.9266469774608,10.3122514164756,11.2403566032549,10.8155908889655,10.2939610923175,12.4610059184536,12.7887995532808,13.8255233314025,14.3073336881433,14.6095715695911,15.0205768013356,15.6981908601097,16.6111482723189,16.6909614632065,15.7474657777663,15.6842852884725,15.2533847240505,15.6426661760194,15.9791125490644,15.3471409986232,16.3409521425836,17.2735099599146,17.3002902418175],"INDA^FMA_PE(LTMA,-10AY,0,AM,\"PORTAGG\",\"MEANR\")":[16.4091163694723,16.6533600367692,17.0692292917224,17.2273349734471,17.5897023737061,18.0500260261453,17.6018228981549,19.2428568057129,18.8409958817944,19.8716776123964,21.0890659593268,20.8886370812009,20.6955042195641,20.3869626485305,20.1542412392641,21.0230279546586,21.2432967651183,20.4500108632887,20.7266747160464,19.8749038669588,20.195498583959,19.3719867041447,19.3339433684256,18.9428546479608,19.0106712346832,18.9360317343493,19.054380605764,19.4496407188176,19.7180509700095,19.7766676256144,19.8031394311719,18.6101432778257,18.9604812019634,19.3568993843187,20.4333526678025,20.5095130501864,20.3210801006836,20.3617553254984,20.3243000010053,20.6241333946682,20.7588411089339,21.3200822738946,21.4010445760034,21.6969936294441,22.156996048981,23.0388013033867,21.7379853082338,21.5281926924535,21.3942993464908,21.0742105123916,21.3165904033731,21.2366350521392,22.1263316730634,22.0153539688062,20.5814546877459,21.3870322819392,21.7921317303028,21.5603648860277,21.3833351994898,21.7234929385146,21.572625805931,21.307190913606,21.3875670860052,21.3002702889365,21.0406655572059,20.9300753147198,21.8307190086099,22.8429278620096,23.3227185447294,23.8106257280257,23.0593396884249,20.2352796690929,20.6017636593915,20.9062869229617,22.847444483079,24.4380671094617,25.6490474910033,26.1105731251701,26.5672547346082,27.4752417340986,32.8076964961284,33.9564406756956,32.6391438825876,30.6511240340108,29.9548237399432,29.465713080781,29.1707321952048,28.7942908096657,28.9523175378393,29.5916172459906,29.9562483141639,28.8972515225581,28.079795065904,29.3048654351675,27.2726883552951,26.3331988756713,25.9915266101983,25.1246387019506,24.2286242247432,24.5548726136046,26.0690054372149,25.5679466668471,25.2316664328433,26.1933006525476,26.3912542365573,25.9175913446856,25.1294668114032,23.9208114697886,23.7433803958907,23.7627532616065,24.1146103856997,24.2484650087041,23.5776983574862,23.9446340558491,23.5724006918218,23.5424499497249,25.4163175800939,25.5997469863387,26.3900544038346,25.9432805370322,25.7778795411798],"DDR3512M-FDS^FG_PRICE(0)/MAX(FG_PRICE(0,-1AY))":0.881563963636363,"PASP-FDS^FG_PRICE(0)/MAX(FG_PRICE(0,-1AY))":0.646341463414634,"PLATI-FDS^FG_PRICE(0)/MAX(FG_PRICE(0,-1AY))":0.832599118942731,"W-FDS^FG_PRICE(0)/MAX(FG_PRICE(0,-1AY))":0.706017757316672,"COPP-FDS^FG_PRICE(0)/MAX(FG_PRICE(0,-1AY))":1.0,"DUMMY^ECON_EXPR_DATA('FDS_ECON[PMIDMMANHE]',,,M)":49.28643,"EPU^FMA_ROE(NTMA,-20AY,NOW,FY,\"PORTAGG\",\"MEANR\")":[null,null,null,null,null,21.6487924933022,26.674075406927,23.3940784657959,19.9442083003203,14.2295976118279,12.7121203643147,8.83035011509517,12.5824807721625,12.1461987185301,10.92253300719,11.9146021102361,12.086026376397,15.0555655388878,13.6225814185959,12.9324473673683],"TRYIN10Y-FDS^FG_YIELD(-10AY,0,Y,,\"YTM\")":[7.86,7.89,6.63,7.35,7.35,6.55,5.9,6.45,7.33,7.19],"TRYGR10Y-FDS^FG_YIELD(-10AY,0,Y,,\"YTM\")":[9.61,8.24,7.15,4.14,4.37,1.45,0.618,1.315,4.585,3.099],"CAGDPY@CN^EE_ACTUAL_ANNUAL(MED,0)":1.41410583295463,"CAGDPY@MY^EE_ACTUAL_ANNUAL(MED,0)":1.24988666555076,"CC_TR^FG_COMPANY_NAME":"Turkey","CC_CL^FG_COMPANY_NAME":"Chile","USDVND^FG_PRICE(0)":25394.0,"USDTRY^FG_PRICE(0)":32.4965,"USDQAR^FG_PRICE(0)":3.641,"USDINR^FG_PRICE(0)":83.54625,"USDZAR^FG_PRICE(0)":19.14875,"USDKRW^FG_PRICE(0)":1372.95,"USDTWD^FG_PRICE(0)":32.3455,"USDPEN^FG_PRICE(0)":3.7426,"USDPHP^FG_PRICE(0)":57.1805,"USDCLP^FG_PRICE(0)":966.215,"KSA^P_PRICE_RETURNS_PR('52W',2,-10AY,0,AM)":[null,null,null,null,null,null,null,null,null,null,null,null,null,null,null,null,null,null,null,null,null,null,null,null,null,null,null,null,null,null,-22.305,-1.2884438,7.595384,22.481298,24.610138,11.421943,13.440096,5.5527806,7.451439,13.774109,18.32571,24.853277,26.669348,9.321475,3.3033133,16.3818,11.734295,18.874681,26.23005,23.27707,27.26673,22.335756,18.415403,9.910297,15.272558,16.106033,17.540073,19.892609,20.693075,16.229736,15.72398,10.970486,15.405809,11.087381,12.871242,6.022668,4.2744517,8.100903,6.60218,1.0899901,-9.392685,-31.2971,-28.765308,-18.928505,-19.25637,-17.413246,-8.866662,4.4763565,12.069809,4.5361996,4.915607,5.193901,15.072144,59.780014,52.794647,50.717354,46.54058,44.88281,45.85264,41.36486,42.14592,42.054653,32.130768,41.599262,43.234207,40.838326,41.674507,20.748066,10.196257,7.844603,13.195717,3.7873626,1.1249423,-4.3842673,-8.216518,-12.174463,-15.503293,-22.194248,-19.015705,-6.9460573,0.73581934,4.31875,-9.295964,-5.9914947,-10.611307,-0.45921803,14.768707,12.460685,20.104195,27.373577,9.731507],"EPOL^P_PRICE_RETURNS_PR('52W',2,-10AY,0,AM)":[20.880163,16.2436,14.30353,16.050863,7.0333123,0.95614195,-9.925175,-11.726809,-12.151217,-20.318491,-19.114613,-17.90334,-14.472026,-8.293772,-20.23732,-18.68239,-22.898394,-22.472841,-15.693784,-25.586569,-26.448286,-26.338047,-22.979868,-13.927078,-20.110453,-30.53242,-26.886797,-21.729929,-12.155932,-17.210669,-18.196117,-14.254928,2.021706,20.388721,19.470156,16.894627,16.074348,35.38834,45.50177,49.22832,38.021614,52.39569,56.464016,63.095116,52.353584,56.34836,31.762087,16.816282,22.705496,1.9570708,-5.075926,-10.429394,-7.015461,-12.040001,-16.675537,-13.818693,-10.406256,-16.983635,-17.099672,-5.805999,-9.599155,-8.838898,6.2049985,6.5329194,-9.454012,-6.8034706,-1.8586457,0.18963814,-9.275209,-7.8453064,-11.3084135,-44.60262,-35.62659,-28.033585,-24.526764,-23.153358,-5.258065,-17.36483,-23.784328,-17.947245,-6.3808737,-9.181899,-0.07107258,45.2829,39.54128,44.497704,26.71684,27.484535,17.410923,31.43637,52.08576,22.74624,3.9955497,15.969122,4.3375373,2.894926,-5.7554603,-27.343739,-30.69936,-36.36022,-34.331905,-45.326378,-51.066895,-30.399483,-24.842178,-23.49211,-20.569874,-21.893597,-4.2172966,17.877377,39.695526,59.066998,39.957737,44.576763,72.83945,51.02204,55.39906,30.77594,47.042393,63.1935,39.681458],"EWZ^FG_TOTAL_RETURNC(-10AY,0,AM)":[17.66163,3.7471533,1.4206648,2.6508331,-0.39741993,-3.4530938,-6.80173,-11.801249,-9.265953,3.0014038,-3.6220074,-11.443907,10.194635,4.6185017,-4.428458,-7.005924,-16.37056,-13.770866,4.3994665,3.6873102,-13.757366,-12.626386,7.390249,36.1097,3.4701467,-3.4980118,2.541113,19.690586,5.276072,-4.8076987,14.355683,-12.767667,-3.25253,14.52744,10.03927,-5.122328,0.13430119,-12.151283,4.244268,9.645521,5.1454782,10.504746,-0.996989,-6.7213116,-1.5315115,13.282787,3.594184,-2.0421624,-1.726073,-12.636864,-14.960837,7.3013067,-3.227687,-2.253604,18.628967,4.897642,-5.5473804,14.710569,2.8935194,-0.112485886,-8.87388,-8.576364,17.207802,9.016573,-10.756368,2.3049235,-0.4459083,-0.49504638,10.815895,1.442635,-7.356715,-50.623272,17.95231,-6.024575,25.456322,6.634915,-2.0421147,-2.9316008,-3.8255036,12.944865,17.353952,-2.1485448,-3.5510898,-6.0427246,4.8758626,8.385622,7.2221875,-2.093196,-11.300593,-4.447633,-1.3213158,-11.290323,3.8283348,2.7087212,13.949453,5.2551746,8.196247,-14.270478,-8.993191,-7.0200624,22.727276,-5.8380423,6.9999933,-8.193141,-4.2769074,12.05647,-2.3152888,-8.051592,9.969675,3.1713247,10.635757,-0.34034848,-5.184722,5.6319475,-6.664592,11.22551,5.076134,-3.0988216,0.60771704,-3.382665,-5.876833],"SET-BKK^FMA_DIV_YLD(NTMA,-10AY,0,AM,\"PORTAGG\",\"MEANR\")":[3.7602425335103,3.76680415396888,5.52162921981367,5.5387451472003,3.44105083209486,3.34417548838862,3.49028728665879,3.33803190347192,3.46486257193558,3.40912550266784,3.14789005605039,3.39282609330278,3.31575780908509,3.40924598711555,3.42973937437471,3.47149437183762,3.68857678002678,3.61478363768203,3.56729914013885,3.67415697379705,3.91418723570796,3.90130795039376,3.66227229184383,3.40912907846106,3.39093765125919,3.40935871811318,3.34611483029138,3.20252443472164,3.10853248149866,3.29859901468591,3.33428329280166,3.3337405048907,3.25368575910069,3.19341958373059,3.10435202903641,3.15671424709883,3.13856485185033,3.21895550738233,3.19653587851637,3.26710159573275,3.23790576546037,3.008210651955,2.98513584414195,3.01072859050351,3.03907772745882,2.88177164529787,2.96267517416121,2.98715753501607,3.06452073374858,3.10613123938633,3.28932935662776,3.3897964258388,3.27312770003526,3.21306364332494,3.33747058489344,3.43704884781973,3.55787200983632,3.48437586122467,3.308039122034,3.35066431336095,3.24590252567722,3.376655736063,3.19952821804713,3.1303357414175,3.30229849814874,3.23353632936814,3.2541257428846,3.2036273866904,3.26995590952088,3.19754511541837,3.36826329223753,4.58232280796835,3.56333426611043,3.249945312426,3.01300790095234,3.02282790513119,3.0737148670227,3.13230879698181,3.20347481090915,2.85493875061082,2.74445538428789,2.73133868878594,2.8004672488246,2.75414620039239,2.86081650120866,2.91078359079855,2.83024759322282,2.9436188971933,2.96176372043943,2.84895313175749,2.81990740802951,2.79371867807035,2.88106146854574,2.8494820322968,2.82043923029848,2.91301254593595,2.99399688510607,3.04741161410276,3.17602517269399,3.20232955205851,3.09053503029613,3.10206181076174,3.16847882940071,3.05946407237165,3.04448885383862,2.95329128885071,3.01878966170098,3.19481629114587,3.10376591152979,3.18655572580203,3.09489293661926,3.10708995749682,3.13820851575776,3.14008148072944,3.34614518344506,3.34949444249697,3.41130772833814,3.50989469534556,3.45739343580131,3.48062667808914,3.54815414134635],"CNYA^FMA_DIV_YLD(NTMA,-10AY,0,AM,\"PORTAGG\",\"MEANR\")":[null,null,null,null,null,null,null,null,null,null,null,null,null,null,null,null,null,null,null,null,null,null,null,null,null,null,null,2.19744162320999,2.17591545556345,2.26119919990756,2.27292640970022,2.216869648679,2.27898221131575,2.29527647751416,2.33066799162175,2.30674325090769,2.27359196151441,2.25065061902377,2.16067184672988,2.16033189745611,2.19250538034169,2.14310126667997,2.13644201998724,2.08229737011069,2.22756839404461,2.11234559306225,2.3249727774028,2.30276028751934,2.53793738141375,2.66772673044315,2.750389868766,3.07545344691241,3.31511575369193,3.2164369154671,3.49740167766027,3.23043630192266,3.2531041833178,3.21565450679857,3.05900812114227,2.74110288931645,2.60134924518308,2.88578435997909,2.78557177030786,2.74977167698575,2.80359616505012,2.65884955927005,2.72287601583667,2.77386144422163,2.48476480097628,2.4243037468446,2.44445354677754,2.6907122349305,2.46801405045669,2.32797343717685,2.19937886251051,1.97974374103945,1.91477483770669,1.92107985745018,1.93820883694491,1.94540574267323,1.84110712461176,1.69553867791929,1.60695213173286,1.85199411954813,1.95777684139504,1.8671291146534,1.86989339626507,1.86061480088445,1.99289314685383,1.98345718970716,2.00532235957565,2.01667676772877,1.96338610707325,2.06478615888238,2.18312505806736,2.36122511879459,2.43758131358465,2.48724537605462,2.31096993696729,2.35626599742926,2.38792818953846,2.58686891727099,2.65362424560106,2.60883653694981,2.50524708781751,2.40824515319109,2.44992141600244,2.54215885676088,2.42203037688676,2.5435191902911,2.5080634475944,2.59789048133924,2.62908488964412,2.61847158813796,2.72306642390454,2.70045713103252,2.84246408438053,2.90427929769102,2.83925838002594,2.71710545575581,2.8074249700359],"EWM^FMA_PE(NTMA,-10AY,0,AM,\"PORTAGG\",\"MEANR\")":[15.5807994584008,15.7512457059877,15.7691809867215,15.6509814794757,15.6186664707964,15.6739077113115,15.1251227752614,15.374173758841,14.628184769017,14.9988883445248,15.5572324798347,15.6321162582892,16.0710990613469,15.9001980097143,15.2593818667855,15.3194632032196,13.8801840995034,15.158311674625,15.5891162205449,15.0223184251631,15.2173379244722,14.9632357431995,15.5659482828895,16.1341724109893,16.1649579694245,15.4643628500125,15.9554411028554,16.4986704556128,16.7704667164502,16.6240862341626,16.7926461499332,16.2427690873619,16.419910240357,16.5385344124567,16.7500225494194,16.9690536941558,16.7995593372447,16.9539681092504,16.7197025077014,16.2836728711881,16.3767616332861,16.487816695972,16.0502456135635,15.587678558459,16.0512421334545,16.627800881162,16.6663377362033,16.3625887128953,16.5583146663316,16.3050777116957,15.926554225452,15.968412392238,16.3186510963851,16.3885227353483,15.8061026989263,15.7490352525789,15.4835719440943,16.2338462165978,16.293314114497,16.509965677392,15.8861282881789,15.6532630204864,16.5540450277668,16.4398766853019,15.9913060269472,16.1058576460943,15.7819143971986,16.1166557744385,16.1922401235614,16.0163110753749,15.5048042305238,13.143568273224,15.897267989474,16.4034972941055,18.9620236206779,19.679463158299,18.8527241571193,17.508566428689,17.3128085966129,16.5141703679463,15.3470234092752,14.7756016665756,13.9935740070825,14.4886259582399,14.319598589123,14.0331415904813,14.0609051754094,13.5450536334717,13.5673338678311,14.1269643628759,14.7358658889685,14.2839964007467,15.0721590594282,15.4704575394827,15.6406716713714,15.3289679734756,14.9953333647597,14.5118700748867,13.5801820582178,13.3297102577212,14.0520613609657,13.5097501647192,12.7500700192085,13.105139137013,13.4356409237027,13.577039868282,13.3365673159331,12.9302363982569,13.1656433410446,13.1729405671129,13.3232780386065,13.4621665125045,13.7100488445621,13.8607896048457,13.6572361768815,13.668504231905,13.7796164238572,13.6426515059696,14.0515029190416,14.0666296001364,13.8488484325196],"KSA^FMA_ROE(NTMA,-20AY,NOW,FY,\"PORTAGG\",\"MEANR\")":[null,null,null,null,null,null,null,null,null,null,null,12.9007124779981,11.3294751772354,11.9967853551854,12.1701096511068,11.2305559814687,10.146987054615,12.7997878012912,13.7729696546777,11.7570018859186],"EPOL^FMA_ROE(NTMA,-20AY,NOW,FY,\"PORTAGG\",\"MEANR\")":[null,null,null,null,null,null,12.9136409385463,11.6682069956937,9.88095297355163,9.32819662687838,9.08400416739547,8.19593899535384,8.81992527720217,10.5838129179285,10.2657999868947,9.4389843194853,7.20768650788902,10.1460102201106,10.9641857238333,12.3945793275799],"TRYQA10Y-FDS^FG_YIELD(-10AY,0,Y,,\"YTM\")":[null,null,null,null,null,null,null,null,null,null],"TRYCH10Y-FDS^FG_YIELD(-10AY,0,Y,,\"YTM\")":[0.314,null,-0.12,-0.09,-0.176,-0.434,-0.49,-0.111,1.617,0.703],"CAGDPY@IN^EE_ACTUAL_ANNUAL(MED,+1)":-1.25,"CAGDPY@PE^EE_ACTUAL_ANNUAL(MED,+1)":-0.65,"CC_TH^FG_COMPANY_NAME":"Thailand","CC_CN^FG_COMPANY_NAME":"China","USDVND^FG_COMPANY_NAME":"Vietnam Dong per U.S. Dollar","USDTRY^FG_COMPANY_NAME":"Turkish New Lira per U.S. Dollar","USDQAR^FG_COMPANY_NAME":"Qatari Rial per U.S. Dollar","USDINR^FG_COMPANY_NAME":"Indian Rupee per U.S. Dollar","USDZAR^FG_COMPANY_NAME":"South African Rand per U.S. Dollar","USDKRW^FG_COMPANY_NAME":"South Korean Won per U.S. Dollar","USDTWD^FG_COMPANY_NAME":"Taiwan Dollar per U.S. Dollar","USDPEN^FG_COMPANY_NAME":"Peruvian New Sol per U.S. Dollar","USDPHP^FG_COMPANY_NAME":"Philippines Peso per U.S. Dollar","USDCLP^FG_COMPANY_NAME":"Chilean Peso per U.S. Dollar"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70914,33.7058784911957,47.02001632811,46.0469770059164,54.6862433634991],"VNM^P_PRICE_RETURNS_PR('52W',2,-10AY,0,AM)":[13.424349,-1.65416,8.584631,16.116535,23.61039,28.01975,12.045789,10.527635,3.2866716,-6.60277,-10.753364,-16.210133,-9.554201,-11.4440975,-10.733116,-8.336568,-20.41936,-28.74863,-12.9830065,-19.59015,-20.645958,-28.003883,-26.161558,-18.18375,-19.660313,-8.6554165,-17.25821,-15.951681,-6.87021,-7.450885,-12.34867,-13.571632,-9.714233,6.428504,2.8331041,-1.497066,0.50114393,-3.1320453,2.8837204,-3.874725,-5.2182016,8.77198,7.117462,23.917591,33.57817,41.02707,37.39288,41.895355,40.937733,27.820814,13.3665085,11.663675,17.444874,12.901581,1.5697837,-8.529079,-9.57334,-16.731209,-12.165016,-9.281415,-12.82469,-5.0258455,-1.2651443,2.0065427,-3.1618893,-3.7555575,4.978776,8.780443,4.7799826,5.0869107,-8.023185,-41.043915,-26.5688,-18.319738,-14.1024885,-10.471755,-6.9955587,-6.6658792,-5.865365,-4.890567,7.1190357,15.874207,21.272064,78.12824,60.084568,41.457428,46.132553,34.026207,35.47071,33.350204,29.767263,35.337555,23.556805,7.2586417,9.280479,6.369138,-6.220394,-17.348402,-25.751888,-25.998867,-18.977959,-26.609861,-36.464024,-45.1465,-39.292072,-34.810078,-39.4823,-36.953632,-31.978167,-18.829668,-10.991794,-0.26324987,-8.483476,3.0261993,3.9487123,15.271211,5.2576065,7.057762,15.720474,20.943308,5.5269957],"EPHE^P_PRICE_RETURNS_PR('52W',2,-10AY,0,AM)":[-8.175331,-11.345929,1.8287063,2.6435852,11.044359,7.1543455,5.9109926,14.317417,19.467926,31.425262,30.607128,20.561182,17.319763,12.214554,10.292935,6.797397,-4.3714404,-8.188504,-1.0024667,-10.923677,-11.44771,-24.627335,-20.214945,-11.011809,-12.262333,-9.127969,-0.24580956,4.419327,11.191738,4.2649508,1.4426231,-1.5453458,-5.554265,12.18108,1.9787788,-4.274994,-0.9022057,-3.7071943,-3.77236,-9.532303,-10.525471,1.5625596,2.6384473,11.713612,20.41117,16.693233,10.028374,3.2700896,-4.708785,-7.820696,-16.286177,-13.393986,-9.556848,-17.632437,-21.236801,-16.738855,-16.558546,-10.201656,-7.5146856,-3.0795574,2.322173,-1.3896942,14.359867,18.74727,7.3684335,12.141037,19.059086,14.944828,8.480072,-0.8015454,-5.198449,-43.419647,-28.447025,-24.91657,-20.682585,-25.32677,-16.523123,-20.88018,-22.658098,-8.067041,-2.3444593,-1.218617,-3.7260592,54.640293,24.5425,20.364904,13.081348,7.6364994,4.573691,14.942169,22.673119,3.4692526,-0.14543533,-3.4844518,7.431674,3.2805443,2.6515126,-0.2093792,-14.616156,-13.396275,-2.5474608,-15.176779,-26.490974,-20.895714,-19.209105,-6.5804005,-13.951672,-13.218993,-12.892187,-4.5532703,-1.0934174,9.695137,-8.491987,-4.383075,6.5877438,0.79057217,2.1140933,-8.075762,0.9768367,7.659173,-0.9238422],"EWY^FG_TOTAL_RETURNC(-10AY,0,AM)":[6.327212,2.0882368,-0.4306376,0.015449524,2.5482655,-4.2921724,-10.621559,0.31690598,-2.1028519,2.0137906,-0.44460297,3.5369754,5.2795053,-2.6057005,-6.1080275,-5.107522,-9.027391,3.7782907,8.641731,-4.1981277,-1.8066466,-8.848679,3.033626,11.243868,2.052164,-8.212739,3.5217047,7.911396,5.6634903,-4.2497873,2.5362253,-8.215547,4.388833,4.998338,3.0394673,5.7271004,-2.8226435,9.922767,2.7493477,4.742086,-4.2719307,3.543365,3.837347,5.1020503,-0.95775723,5.442941,-2.00544,0.7129669,-0.58992505,-3.745222,-4.9595776,-4.584116,-2.356857,2.9862285,-8.954329,0.3960371,-2.6957393,5.204594,3.1895876,-1.9239902,1.7687798,-12.671828,5.464089,-1.0121822,-9.532064,9.099615,1.123786,6.146908,2.5525808,4.3676615,-4.6221075,-33.4152,24.834038,2.2454143,10.267771,3.8434625,8.546436,2.3558617,0.7722616,12.456787,9.365665,13.555777,-0.6722331,-4.3445053,6.6301584,-3.2855332,0.807786,-0.42809844,-6.9782853,-1.540643,-4.1405916,-1.7704606,2.595079,-4.556447,-2.6803493,-2.0279586,-3.9440572,-6.479323,-7.052785,-4.0536046,4.8184395,-9.393734,-7.7205896,15.637445,-1.8360257,8.897173,-0.7012427,-4.204297,7.9547405,-2.8108656,8.627451,1.2936115,-9.904957,4.252517,-7.5573087,6.464851,3.1164646,-6.4325333,9.670258,2.4458647,-6.021905],"QAT^FMA_DIV_YLD(NTMA,-10AY,0,AM,\"PORTAGG\",\"MEANR\")":[null,null,4.06968524604346,3.94192610040388,3.93613643217993,3.86898543263165,4.25418508877838,4.01077343743427,4.85849873567116,4.70438429196102,4.1008784698484,4.53340053568074,4.53462125896666,4.4754696910624,4.67290203017395,4.6352944494029,4.86112993461621,4.96159219109809,4.82629569533722,5.22344249173331,5.68898531930651,6.08824992391575,5.23336952535561,4.19151459338304,4.23889333435495,4.26901358149406,4.27164876486514,4.00392375905316,3.63019925312924,3.91731088256744,3.90982840255853,4.19746647139295,3.96090281408718,3.58869779356044,3.72473641547624,3.85666512334892,3.83679611096087,3.8965623305929,4.32578754475882,4.2037679847336,4.25629788503364,4.89555277105828,4.55104045925938,4.65580235692523,4.46399610244983,4.04873746456657,4.55566108992938,4.84426773358456,4.73638971744648,4.85181258210376,4.82087982861078,4.65733117994483,4.57836209980034,4.35525178075794,4.27827396919319,4.34960863092659,4.49140913831796,4.36074409124219,4.67398507871439,4.62816490855546,4.3048182946762,4.47254344877878,4.14945149745969,4.15630724712884,4.50884814547615,4.11742681170226,4.09641318479571,4.11790091179803,4.06356256875332,3.8897041573634,4.36268273408067,4.63563206984175,4.46307294559949,4.22425109598139,3.89053937934243,3.79264676503694,3.5891320575379,3.49044157606435,3.51071893367124,3.64711483489431,3.7083386603628,3.73605704361118,3.83289827933846,3.88136887052177,3.68625037812171,3.79767088675642,3.83751110560509,3.90248707323582,3.87515860304974,4.09515172575273,3.83882657766735,3.83090748119158,3.99637489761264,3.85921427236556,3.97369479813035,3.71905937512898,3.70638458872192,4.04035203951201,4.43126991224355,4.30548036676518,3.65573569651007,3.84449856017661,3.99708076270131,4.1651048316706,4.69032573954362,4.77577674764391,4.69929151085292,5.04109386107177,5.05442388752772,4.61178223613813,4.66085418732496,4.71133536909956,4.52561702338423,4.72391100871627,4.84598494052561,4.82458300564202,5.01986375906956,4.79078874601661,4.81861668669296,4.82577955740762,5.6519181873475],"ECH^JULIAN(FMA_DIV_YLD(NTMA,-10AY,0,AM,\"PORTAGG\",\"MEANR\").DATES)":[41746,41775,41808,41838,41869,41900,41929,41961,41991,42020,42053,42081,42111,42142,42173,42202,42234,42265,42293,42326,42356,42384,42418,42447,42478,42508,42538,42569,42600,42629,42661,42692,42720,42753,42783,42811,42843,42873,42902,42934,42965,42996,43026,43056,43087,43118,43147,43175,43208,43238,43269,43299,43329,43361,43391,43420,43452,43483,43511,43542,43573,43602,43634,43664,43693,43726,43756,43787,43817,43847,43879,43908,43938,43969,44000,44029,44061,44092,44120,44153,44183,44211,44245,44273,44302,44334,44365,44393,44426,44456,44487,44518,44547,44579,44610,44638,44669,44699,44729,44760,44791,44820,44852,44883,44911,44944,44974,45002,45034,45064,45093,45125,45156,45187,45217,45247,45278,45309,45338,45369,45398],"EPU^FMA_PE(NTMA,-10AY,0,AM,\"PORTAGG\",\"MEANR\")":[11.6268341699734,12.2480241629908,13.6590761571553,14.5239967357745,13.7487178467175,13.4341635078552,12.1575138530307,12.1049926786114,12.2607336616735,12.5582121459658,13.4158930868988,12.5497183192429,12.1838625177633,13.4230435573634,14.0748161243645,12.8493209920303,11.3692476717446,11.3634821629682,11.7100919261543,7.85691632325682,7.30583113901386,10.6076248821523,13.5544063325345,15.6329994083391,15.4602156217752,14.8529710392714,14.0697438389687,14.5138539676257,14.5511838153402,13.4189748108841,12.4565647761932,11.4716384611003,11.1911605333532,12.2562920199997,13.4655797606889,13.214772209906,11.8607768597435,11.7948775537078,11.5941084861035,12.2716513453534,12.9317477577759,13.0588524066511,13.111247311106,12.7277031253839,12.4679197616924,14.251628532859,13.2815173767912,13.4279812850603,14.0972181071017,13.4952712774455,13.7814960300083,13.4168716296864,13.4283440399409,12.593417903421,12.9302339477243,13.4482288539223,13.2114544574982,14.6503471410212,15.779154459717,15.6590838820012,14.8471684299111,13.0535404983677,13.294520500623,15.0203413571521,14.2741982351796,14.054276167599,13.8364767726986,13.7995621807124,14.2641683354101,14.7198818080244,14.4301138610183,9.92675400640682,11.8247854993459,15.1309432057556,18.0982236829507,19.5046388069211,23.1787029735992,21.8643444836635,18.4037911640127,17.4491479838086,15.6606336528097,14.2182811941068,15.4708066595485,14.2359194621749,12.10119114448,11.795988685945,8.64615574620874,9.19052381154043,8.66979151825755,8.87907434852246,10.101198004079,9.66825395899298,9.6362068133024,11.4584246044993,11.0342329764983,11.5300396519119,9.95377833357973,7.93902730755153,7.5827141187594,6.92019784194359,7.76733162354465,7.82271495929553,8.40754350840358,9.65796867353372,9.10863246250037,10.3530602700368,9.60747572128073,9.37285411661695,9.98318807986798,9.41135721268313,10.1732105113177,10.4968855430321,10.246695181436,10.1650733596251,9.59158923470124,10.0713459739116,11.6378257050529,11.1840387613165,11.9521816945428,12.9497375724784,12.7618678679894],"EZA^FMA_PE(LTMA,-10AY,0,AM,\"PORTAGG\",\"MEANR\")":[15.6291300620485,15.6167620241566,15.7560331540252,16.0444248446806,16.3010100093765,16.5011350737345,15.9173850167227,16.9664596804506,16.7474648552849,16.9922138724151,18.1509678238437,18.3477547962966,18.5508345781306,18.4545752045842,17.9300760333954,18.0801305476325,17.3400201878803,17.1775611222395,17.7707036029829,17.3623838522316,16.1552385232363,14.6097365086275,16.3531440623536,16.0896640871268,16.065977123142,15.6284011221812,15.7488781002735,16.244298635231,17.0557574774306,16.4932927314905,16.5653036851585,16.2625449784051,16.3242483817879,17.5605218765638,18.5335198604956,18.493992195382,18.2753382039191,18.2666659754458,17.6155342580058,17.8219147588427,18.0871827294752,17.6630659717968,18.1951358482216,18.8216380416981,17.9835494891932,18.8891892466722,18.4209862955283,18.1736685758851,17.9132710569073,17.4446408350915,17.0221725890059,16.6453810502755,16.0445268924438,15.701534949239,14.561647333687,14.7767893170352,14.5139148640554,15.3197979979924,15.0420966797736,15.3228884514134,15.3922483457549,15.0551809151728,15.0589077654416,14.8596308095199,14.0269790242827,14.0516979898936,13.692246403557,13.7146260055358,14.7261356806984,14.6305382898934,14.4737431523199,11.9541938355113,12.2258360881697,12.4971742097164,12.9038876720046,13.5004620548633,13.5961998649124,13.3459252385433,13.2675822533379,13.777605308595,14.1841140090554,13.8981592310036,14.2250641349734,13.4522765499408,13.1118251379309,12.6685636305492,12.1857738055412,11.8052617392937,11.1438470656025,10.6835621860632,10.8801189984623,10.7154856396274,10.3771504584901,10.6115886725529,11.2056224351668,11.1492096822201,10.8784427930895,10.5454077842725,10.1124554123485,10.1843280940802,10.3415435488477,9.67203310522386,9.63526109209761,10.2579147703557,9.99816617093237,11.0303073210897,10.4420237203425,10.1421951527128,10.2783595920364,10.0349128964011,10.2515667412933,10.6139586906948,10.3026250745097,10.5557626008094,10.6015089677231,11.0117497909516,11.27117187239,10.8420310654587,10.9102298863899,10.6172282413423,10.6053759882732],"DDR3512M-FDS^FG_PRICE_CHANGE(0,-6AM)":-4.23045597177284,"PASP-FDS^FG_PRICE_CHANGE(0,-6AM)":-7.4235807860262,"VNM^FMA_ROE(NTMA,-20AY,NOW,FY,\"PORTAGG\",\"MEANR\")":[null,null,null,null,null,12.2007678582522,16.4162915324944,16.394053839446,15.4303491131499,15.2759317822094,10.9403666714676,8.5756546844961,13.4991404349356,12.1231419211942,15.1097267855615,15.4807939433741,17.0889112010564,18.3844906020794,14.7334622550631,10.7325513465194],"EPHE^FMA_ROE(NTMA,-20AY,NOW,FY,\"PORTAGG\",\"MEANR\")":[null,null,null,null,null,null,14.7602970828313,15.1929773886247,13.700399154582,13.6976116734629,14.2196145027033,13.3322794237975,12.7182053290138,12.3434443766015,11.7069295115669,12.0539318308439,8.91575729801008,9.59945410063992,10.6731246326263,11.9407094450378],"TRYUS10Y-FDS^FG_YIELD(-10AY,0,Y,,\"YTM\")":[2.1881,2.2961,2.4752,2.4325,2.6836,1.9185,0.9174,1.5119,3.8776,3.8791],"TRYZA10Y-FDS^JULIAN(FG_YIELD(-10AY,0,CY,,\"YTM\").DATES)":[42004,42369,42734,43098,43465,43830,44196,44561,44925,45289],"CAGDPY@IN^EE_ACTUAL_ANNUAL(MED,0)":-2.0,"CAGDPY@PE^EE_ACTUAL_ANNUAL(MED,0)":0.625680870863723,"CC_QA^FG_COMPANY_NAME":"Qatar","UAE^FMA_ROE(NTMA,-20AY,NOW,FY,\"PORTAGG\",\"MEANR\")":[null,null,null,null,null,null,null,null,null,null,11.0777984350957,12.3046871114493,11.0383578639711,12.0257898837902,10.3907544258318,8.12845515854192,6.7620176250091,11.2349425542518,12.933849362976,13.2251182283574],"EIDO^FMA_ROE(NTMA,-20AY,NOW,FY,\"PORTAGG\",\"MEANR\")":[null,null,null,null,null,null,18.9279585586526,18.0738292901709,16.8092892463225,19.1020740705792,18.4086750507428,15.6625909554988,15.054606398618,15.7733994434049,15.5352440090718,14.4300103266056,11.4814604290421,13.6928560240483,15.6524440836665,14.023409817903],"TIPSCL10Y-FDS^FG_YIELD(-10AY,0,Y,,\"YTM\")":[null,null,null,null,null,null,null,null,null,5.3314],"CAGDPY@SA^EE_ACTUAL_ANNUAL(MED,+1)":3.2,"CAGDPY@GR^EE_ACTUAL_ANNUAL(MED,+1)":-6.0,"CAGDPY@PL^EE_ACTUAL_ANNUAL(MED,+1)":1.0,"TUR^FMA_ROE(NTMA,-20AY,NOW,FY,\"PORTAGG\",\"MEANR\")":[null,null,null,null,14.5323662756041,15.0832531129689,15.8676026141806,14.4769185864537,15.0590425800443,13.6524897976729,12.866544620472,12.7726870869254,12.8458107179109,15.2051271731034,14.7086929252537,14.8395465769289,12.883028718567,18.5724935251778,24.1409632075388,25.8460094224277],"ECH^FMA_ROE(NTMA,-20AY,NOW,FY,\"PORTAGG\",\"MEANR\")":[null,null,null,14.1776881603624,11.2798802315493,14.2628883913247,14.4661394368492,14.0754868016221,12.4952890187187,10.8480668279512,9.37758339699264,9.57060991333475,8.68386650455443,9.38392046774864,11.2778516938703,9.83590954451218,8.75463942854793,10.6038911838351,12.7874449833902,13.7735913961301],"TRYFR10Y-FDS^FG_YIELD(-10AY,0,Y,,\"YTM\")":[0.837,0.9989,0.682,0.785,0.71,0.118,-0.344,0.201,3.07,2.534],"CAGDPY@SA^EE_ACTUAL_ANNUAL(MED,0)":3.19136442056759,"CAGDPY@GR^EE_ACTUAL_ANNUAL(MED,0)":-6.34144960781288,"CAGDPY@PL^EE_ACTUAL_ANNUAL(MED,0)":1.58176511984872,"CC_IN^FG_COMPANY_NAME":"India","USDSAR^FG_PRICE_CHANGE(0,-6AM)":0.0053286552,"USDAED^FG_PRICE_CHANGE(0,-6AM)":-0.013619661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25821,8.38849749990612,9.94747027337216,10.1243577100409,9.34876367428982],"CNYA^FMA_ROE(NTMA,-20AY,NOW,FY,\"PORTAGG\",\"MEANR\")":[null,null,null,null,null,null,null,null,null,null,null,null,12.0357109832906,13.2280587166858,12.9587909941324,13.4756717158229,12.9923016395817,13.766644836491,13.3712630463983,12.0221904080473],"CAGDPY@VN^EE_ACTUAL_ANNUAL(MED,+1)":null,"CAGDPY@ZA^EE_ACTUAL_ANNUAL(MED,+1)":-2.4,"CAGDPY@PH^EE_ACTUAL_ANNUAL(MED,+1)":-2.5,"CC_GR^FG_COMPANY_NAME":"Greece","USDSAR^FG_PRICE_CHANGE(0,-3AM)":0.015997887,"USDAED^FG_PRICE_CHANGE(0,-3AM)":-0.010889769,"CAGDPY@AE^EE_ACTUAL_ANNUAL(MED,0)":12.55,"CAGDPY@BR^EE_ACTUAL_ANNUAL(MED,0)":-1.3135524173916,"CAGDPY@ID^EE_ACTUAL_ANNUAL(MED,0)":-0.11,"CC_KR^FG_COMPANY_NAME":"South Korea","USDSAR^FG_PRICE(0)":3.7512,"USDAED^FG_PRICE(0)":3.6725,"USDTHB^FG_PRICE(0)":36.7675,"USDCNH^FG_PRICE(0)":7.2507,"USDEUR^FG_PRICE(0)":0.93848246,"USDBRL^FG_PRICE(0)":5.2486,"USDMXN^FG_PRICE(0)":17.09025,"USDMYR^FG_PRICE(0)":4.7835,"USDPLN^FG_PRICE(0)":4.0608,"USDIDR^FG_PRICE(0)":16175.0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987954726436,16.3882261582609,16.0085524514106,16.6997810142664,16.7568420391715],"GREK^P_PRICE_RETURNS_PR('52W',2,-10AY,0,AM)":[48.93956,-5.3142967,45.287895,38.36303,13.749123,0.4274845,-24.661266,-25.420301,-33.67369,-46.186,-45.495575,-58.529804,-54.89206,-37.468147,-55.61169,-51.58829,-49.9762,-45.502865,-32.16437,-40.650963,-42.95388,-43.705784,-49.493034,-30.064552,-26.234478,-31.06618,-27.31641,-28.74235,-25.171412,-32.40559,-27.689426,-18.144321,-4.854822,14.468741,22.431517,7.2902083,6.9313765,14.975918,39.631607,50.150932,42.01964,37.22707,29.450548,18.381357,31.388796,38.663197,46.143784,33.15042,37.337482,0.4279256,-4.4637623,-10.472977,-15.447044,-10.113203,-18.892664,-10.108024,-26.012629,-33.24603,-30.576729,-16.841251,-17.69564,-15.767455,2.7826905,5.762315,3.643632,17.678738,32.328354,34.895073,42.062332,46.65221,26.295996,-41.16509,-27.63772,-20.342367,-25.996542,-27.655703,-15.320587,-23.312355,-30.286568,-23.742712,-11.643326,-15.387976,-9.353458,90.25275,62.86589,61.92378,44.968616,37.44726,35.562263,34.67759,46.53629,29.3589,4.606509,16.689003,22.588598,2.8493285,-1.8602371,-13.073635,-15.847415,-15.753823,-7.735795,-16.624414,-15.613306,-6.657779,2.1033525,4.27655,12.9912615,12.45563,22.24332,33.78911,61.193993,83.77957,51.768208,54.823174,46.703003,49.234188,44.581116,37.477398,28.834248,42.88542,22.330593],"UAE^FG_TOTAL_RETURNC(-10AY,0,AM)":[null,null,-9.278208,4.270923,-0.7033527,5.583334,-15.035516,6.363213,-18.73362,7.1401596,-0.5646765,-7.4341774,17.49184,-0.9531498,-0.7514298,0.843668,-8.014274,-4.6625495,2.9741883,-15.313351,-3.2181501,-4.2102695,6.0634613,12.18791,3.308928,-7.5702906,1.9957542,7.774389,0.28951168,-3.0023098,-3.273803,-2.7692318,8.101261,2.765274,0.57537556,-3.3180773,0.79882145,1.1446953,1.5089989,4.2586803,-1.4084518,1.4342785,0.10703802,-4.952174,-1.1249185,6.9658756,-4.4212875,-1.5910327,0.0,-4.4323387,2.5075555,-0.3338158,0.0,-2.2407115,-2.1611035,1.6733646,-8.138662,1.5850186,-1.1347592,4.519367,6.3136578,-11.232477,1.5118003,5.37045,-3.3353567,3.1341076,1.6961217,-5.3161917,-1.1376143,1.5961409,-5.2166643,-35.549034,18.181824,2.9352188,4.654217,0.0495553,6.1416507,1.8198729,-1.7415166,5.503738,7.5825095,4.1118383,2.1327019,2.7068734,1.5481949,6.1873317,3.2936096,-2.134359,4.3260694,3.682661,-1.7670095,12.314951,4.5737386,-5.2416983,4.7326446,6.9835544,4.004383,-8.491552,-6.515324,-3.8083255,8.613003,-1.5087485,-6.4950943,2.2280455,-1.4521122,-1.8252909,-0.86321235,-8.171469,7.877457,-1.1494279,2.2999763,4.052198,-0.66006184,1.1960149,-6.9599447,5.9280157,-3.2644868,3.2872558,0.20134449,-0.8707285,-1.4864862],"EIDO^FG_TOTAL_RETURNC(-10AY,0,AM)":[-0.45661926,4.340148,-8.691239,8.104336,1.0391355,-3.1539261,-4.2477903,3.2902122,-4.0138245,0.0,3.1413674,-0.76141953,0.7672548,-6.308919,-6.3854456,-2.3685873,-12.655508,-9.086448,14.69475,-1.6486108,-3.1130254,-0.45379996,13.333332,5.267775,-0.41701794,-8.0820675,5.1025033,10.851049,5.8498025,-5.0037327,4.3238997,-10.135645,-0.25156736,2.1725297,1.1943936,4.27351,1.0928869,0.34749508,4.0784955,1.3736248,0.07382631,-1.1066079,-0.52219033,1.7622828,0.81061125,8.305418,1.7229795,-9.066761,0.91307163,-14.368439,1.9019485,-0.8723736,-2.55754,-1.7497897,-4.4523597,14.725077,0.6799817,9.296692,-3.920126,0.88529587,1.7550588,-16.160477,15.31291,4.929018,-6.764376,2.2168517,-1.6955853,-0.9626925,3.7521958,3.871727,-8.772588,-40.486996,8.668518,3.509891,15.937721,1.181519,4.777074,-8.510637,1.6611338,18.028318,11.389542,2.2120237,-4.16497,-2.6842713,-3.8966715,-2.5057018,-2.7039826,-2.1749675,3.2608747,1.7224908,15.7102585,-4.3902454,-2.4190605,1.0530949,4.2118907,1.8333316,1.227498,-5.982214,-1.3798416,-4.332453,10.258781,1.7183542,-6.716114,2.4293303,-0.81980824,-0.6148517,2.4304032,-5.0905943,9.000004,-2.21017,1.0286808,1.2925506,-3.0199945,-0.43858886,-6.079298,1.4540315,0.9708762,2.423954,2.4785876,-0.21987557,-7.933015],"QAT^FMA_ROE(NTMA,-20AY,NOW,FY,\"PORTAGG\",\"MEANR\")":[null,null,null,null,null,null,null,null,null,null,16.7779984816015,14.8814458142908,12.1435908718223,12.1306553272553,12.3947412104099,11.6446378155882,11.2380998666164,12.7317850147387,13.2901313577645,12.1192289718939],"TRYPH10Y-FDS^FG_YIELD(-10AY,0,Y,,\"YTM\")":[3.8633,4.1,4.6281,5.6986,7.1730304,4.847582,3.4208684,4.796723,6.9293385,6.0028777],"CC_BR^FG_COMPANY_NAME":"Brazil","USDVND^FG_PRICE_CHANGE(0,-3AM)":3.39576,"USDINR^STD(FG_PRICE_CHANGE(0,-3AY,M))":1.08980760977258,"USDPEN^STD(FG_PRICE_CHANGE(0,-3AY,M))":2.37009114565781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4,23.3955887248491],"EWY^FMA_PE(NTMA,-10AY,0,AM,\"PORTAGG\",\"MEANR\")":[9.33107625501189,9.61094628030184,9.54424322687696,9.89302012234991,10.2347692995242,10.2700156043346,9.21332816977369,9.73605230004886,9.46057488593578,9.36033783739593,9.80909870909165,10.050070100975,10.3368541095593,9.88470669174176,9.47041326840123,9.56775285460386,9.41514787985236,9.73052715931232,10.1085337185037,10.0598010373273,10.0212611279593,9.77222607682048,10.3036490058216,10.659205535557,10.6424473527054,9.83600583520848,9.83837940227898,10.1326183996587,10.1829262923401,9.91326076647663,10.0697618323648,9.59502799894762,9.90990014832141,9.7806646998858,9.42228169265711,9.77596318952646,9.18325422658106,9.38571197000724,9.50301273866337,9.61580528224433,9.12591895057914,9.30723488644941,9.43167524564332,9.38721870526981,9.14526167786092,9.28159829382746,8.97438295611793,9.17775329301574,9.04508379955556,8.77879084476915,8.63582111403081,8.3377654604101,8.08660637786956,8.26445698106257,7.78365937541895,7.9283485329801,8.26268574968976,9.1490788010211,10.1781563561422,10.5638165566713,11.1727993814722,10.5424235730081,10.9148167494057,11.1291516273632,10.517547271779,11.0590406920416,10.9112037314504,11.5286978736504,11.4830263474611,11.6335862765296,11.3403141412887,8.23369217410031,10.8174979091606,11.556406369762,12.5962430262946,12.7464513921212,13.0295820869938,12.8959553470743,12.1164618282965,12.5387716349084,13.1799743872961,14.3910101920901,13.7069051617123,13.3335914918286,13.1922994711031,11.1877092856412,11.302178808262,11.0730234981278,10.2668903779705,10.2882227133676,9.98627701498783,9.97105865366305,10.359279132944,9.7618643234114,9.47740638675248,9.32976439480441,9.07302297298051,8.86945909730856,8.22442362009165,8.37536520064111,8.8263395995533,8.54525367082971,9.00121681783309,10.6267059587984,10.8319607225355,11.3974391194373,12.7552557205022,12.886404347819,14.1939567084393,12.9820868652525,12.7001096037554,12.0568282506115,11.0704133876981,11.1891894268585,10.4200481796931,10.1502273412658,10.1426844678323,9.45987650327468,10.4602769276907,10.5116115922022,10.2084010963625],"CPALM-FDS^FG_PRICE_MAVG(0,,,,30)":4351.533,"COPP-FDS^FG_PRICE_CHANGE(0,-6AM)":23.9670575097711,"FC0000CN^FG_PRICE(0)":249.65451,"FC0000PE^FG_PRICE(0)":758.6872,"UAE^FG_PRICE(0)":14.58,"INDA^FG_PRICE_MAVG(0,,,,60)":51.051167,"EPOL^FG_PRICE_MAVG(0,,,,60)":23.0205,"VNM^PERCENT_CHANGE(FMA_EPS(+1,0,,,,\"PORTAGG\",\"MEAN\"),FMA_EPS(+1,-1AM,,,,\"PORTAGG\",\"MEAN\"))":-1.66599710408366,"QAT^PERCENT_CHANGE(FMA_EPS(+1,0,,,,\"PORTAGG\",\"MEAN\"),FMA_EPS(+1,-3AM,,,,\"PORTAGG\",\"MEAN\"))":3.6006397208674,"EZA^FG_TOTAL_RETURNC(0,-1AM)":1.9179463,"EWT^FG_TOTAL_RETURNC(0,-1AM)":-3.4931839,"EPU^FG_TOTAL_RETURNC(0,-1AM)":2.4139762,"ECH^FG_TOTAL_RETURNC(0,-3AM)":3.7519813,"SPY^PERCENT_CHANGE(FMA_EPS(+1,0,,,,\"PORTAGG\",\"MEAN\"),FMA_EPS(+1,-1AM,,,,\"PORTAGG\",\"MEAN\"))":-0.212579606823208,"UAE^SIZE(FG_CONSTITUENTS)":42,"EWT^FMA_COS_UP(\"EPS\",\"1M\",+1,NOW,,,\"PORTAGG\",\"MEANR\")":30.0,"CNYA^SIZE(FG_CONSTITUENTS)":519,"CC_IN^IMF_IFS_RCPI_Q(0)":null,"VWO^FMA_DIV_YLD(NTMA,NOW,NOW,M,\"PORTAGG\",\"MEANR\")":3.0627682456432,"CAGDPY@MX^EE_ACTUAL_ANNUAL(MED,+1)":-0.6,"USDTHB^FG_PRICE_CHANGE(0,-1AM)":2.1887183,"USDBRL^STD(FG_PRICE_CHANGE(0,-3AY,M))":3.65622958298914,"USDMXN^FG_PRICE_CHANGE(0,-1AM)":1.800394,"USDIDR^STD(FG_PRICE_CHANGE(0,-3AY,M))":1.52265888578139,"USDCNH^FG_PRICE_CHANGE(0,-1AM)":0.6084442,"EIDO^P_PRICE_RETURNS_PR('52W',2,-10AY,0,AM)":[-16.879822,-14.506662,-15.671891,-3.0098677,5.814004,3.1778336,2.7158022,15.9970045,20.937109,16.170097,11.640131,-2.5187314,-1.3202131,-11.391581,-9.153975,-16.00566,-29.075182,-33.41984,-17.218655,-24.061691,-23.34903,-23.15082,-16.156942,-11.063093,-12.108332,-13.771725,-2.5050163,9.918213,33.206142,36.243893,26.602543,15.677631,16.053593,22.236084,7.5850606,6.7329288,9.751951,19.817019,18.341887,8.505476,2.5845885,6.793022,1.8322349,14.54624,16.542625,23.538076,23.031664,8.805561,8.103299,-7.7500105,-9.679186,-11.680317,-13.137513,-14.561921,-17.937416,-6.7971888,-7.6039076,-6.758255,-11.430788,-2.2922516,-1.477021,-6.425947,9.156084,15.5444145,11.4826565,15.019512,18.338097,2.1562696,5.273533,0.30794144,-5.0046325,-43.961506,-40.599586,-26.113152,-25.7128,-27.521587,-19.498516,-27.947014,-24.73188,-11.198288,-4.6614647,-4.4947805,-1.4464915,61.154793,51.92512,34.237957,12.653744,7.829237,7.340586,18.754887,35.839867,10.038149,-4.1231275,-4.695928,3.6345243,8.4454775,14.227713,10.15451,8.916271,9.191179,16.591,15.499711,-6.0098944,0.6941438,1.5424132,0.65516233,-0.5267143,-8.317542,-0.7124126,3.2710552,4.499638,12.013531,-1.4765799,-3.5657823,-2.907455,-2.699083,-2.0956516,0.89787245,0.46856403,6.1258197,-10.360694],"EPOL^FG_TOTAL_RETURNC(-10AY,0,AM)":[1.735878,-2.1077275,5.1606297,-4.3734255,-0.03427267,-0.82276464,-6.0490847,0.073587894,-6.1544657,-9.699398,5.3040385,-1.4541686,5.9880257,4.963684,-8.535176,-3.7788212,-3.9665043,-0.27536154,1.5646577,-11.146349,-7.2412014,-9.5640545,10.104752,10.1287,-1.6260147,-8.729339,-3.735143,3.0079246,7.7803254,-3.980893,-1.7689288,-6.8655133,9.335351,7.7239394,9.937239,7.040906,-2.2666693,6.457484,2.1785617,6.9666862,-0.3137231,6.018889,0.8534312,-2.0971298,1.2777209,10.54852,-5.7639837,-7.5280485,3.581214,-11.543549,-4.8697114,0.9340644,2.183032,1.5686274,-4.4615984,-0.22452474,6.853986,2.4327755,-3.7499964,2.7272701,-0.5899668,-9.580332,9.33466,1.2457013,-13.491726,4.9534082,0.6074786,1.8578768,-3.2404482,4.0038586,-7.3283854,-35.83584,16.692675,0.06684065,14.662385,1.2948751,8.541548,-8.458244,-8.070177,10.687017,10.399019,0.47096014,2.3958325,-6.7141414,7.360959,8.176732,0.552845,0.8427024,1.0213494,3.9751768,4.839778,-10.666102,-4.4587555,9.685469,-7.8743696,-8.00395,-1.6648829,-16.602945,-4.046279,-7.4380217,4.241073,-11.634546,-8.077544,27.065027,4.921055,9.792089,-2.7489364,-9.359294,18.364513,2.6346684,10.268105,8.691156,-8.281767,-8.718216,9.891987,11.63994,7.367933,-7.604575,8.798075,1.1047244,1.3111949],"EWM^FMA_DIV_YLD(NTMA,-10AY,0,AM,\"PORTAGG\",\"MEANR\")":[3.14882863843256,3.08975582904606,3.11044039496902,3.16335676240878,3.15948032587761,3.20470943953399,3.32039955973404,3.2316266775039,3.42558112382735,3.33722156553257,3.20782554978938,3.21927024065696,3.11955202298514,3.13759075575504,3.26945403503799,3.26838939866335,3.57494508667832,3.32251854989881,3.23668756770102,3.34023453987626,3.32358663965764,3.3660149057184,3.18950085814192,3.06189376987345,3.05920821481994,3.20720643346494,3.11021324790033,2.99922164404728,2.93205241183959,2.97779915014239,2.94225096679254,3.03990726498964,3.01651711946476,3.01454465372794,2.97325093281369,2.94845784079571,2.98730376674853,2.9721780765006,2.99392649609923,3.05868578649928,3.03402505619367,3.01079066510253,3.10036091364797,3.27652337705327,3.22836602288134,3.13508213014345,3.12739410808487,3.20470058384159,3.16199616061031,3.21354602640222,3.26957321367497,3.26937512020572,3.21645893118106,3.21482685461022,3.35126839885755,3.37207316241075,3.40308239141993,3.26177528153897,3.27511562896835,3.30088207228409,3.43011023912412,3.48138682310234,3.47458918955175,3.46674283335101,3.50213784290222,3.51217676843871,3.56058919570672,3.46376638338967,3.4598228712921,3.4776179405806,3.62383291623527,4.45793362316283,3.79158809559411,3.63572046371689,3.14113651779788,3.01159806566556,3.11897365373479,3.31059811467347,3.28114612562174,3.37796809424368,3.52123044183201,3.66358299940714,3.89760063082819,3.95644370206748,3.97056600076104,4.02258016506898,4.08307767919216,4.23565787967684,4.19366907550265,4.0275398182279,3.8590057134427,3.98190057135112,3.8899839430961,3.78035584355988,3.74794527755405,3.7968014489606,3.85697585923204,3.97656069018562,4.18764858043459,4.22531511121931,4.01022942636194,4.20075833309293,4.42323103345649,4.25464269602814,4.21580120914529,4.17952632475647,4.26347902490129,4.48792096505664,4.3948076189119,4.39604279995242,4.41759034542153,4.38904066575583,4.27812633795245,4.26816702193783,4.29616544294345,4.26794204992551,4.26897649880477,4.30515945814183,4.16927208106755,4.12282302776884,4.20152968840786],"EWW^FMA_PE(LTMA,-10AY,0,AM,\"PORTAGG\",\"MEANR\")":[null,null,null,null,null,null,null,null,null,null,null,null,null,null,null,null,null,null,null,null,null,22.1994685523522,23.9041990850408,24.7277604672983,24.54393720169,24.2318157740571,23.1952442942501,23.0035938771805,22.9829288341971,21.6953387316197,22.2472797395718,20.6175924586172,20.5167386815569,20.3876788472492,21.5563714927453,21.4046719031598,21.0022502215114,20.4210313893049,20.1631810379322,19.9889045702908,19.596448764895,19.2264504017204,18.4662728375381,16.9567006352221,17.1867174644409,17.3874485431402,17.8494757382631,17.847267229879,17.8238868707428,17.1874054081599,17.1955326109594,17.5931405530828,17.0685936270302,17.2810838542521,16.3824854799339,15.0178024236474,14.4244103527251,15.5685394964164,15.5803068794362,15.386808513947,15.484427202199,15.1167270784936,14.9379448416323,14.6916551972303,14.2251212170725,15.0937787572328,15.2751804801881,15.4240097401237,16.004210169382,16.4627156936023,16.5126114607343,14.5725107208684,14.5430268556666,16.1154140908471,17.4626831752427,18.3317318175769,20.7719468495527,19.6504892752503,20.4367624213107,23.718176002147,31.8160610629667,32.349911357891,28.8493399327873,26.8886604651075,25.8392919431971,24.52663290505,23.430771870608,22.0616517683429,20.7418117794295,19.1908132400132,17.7499399444338,16.2757370985345,15.654731648184,15.2650895060935,14.9773460602333,15.0899650598723,14.9660045682273,14.424159535841,13.8609256402419,13.5541539294112,13.6351239435411,13.0054919960205,12.8478561623058,13.6827809106345,13.0591161442013,13.8567969619614,14.5960320478619,14.451889593909,14.3787833548562,14.1791983786807,13.7708782780714,13.4124671070573,13.1545114531962,12.7679722867712,12.1708193313375,12.9454131224723,14.159675519418,13.3498732217163,14.8065418224329,15.8291248917558,15.5516243396891],"WL-FDS^FG_PRICE(0)/MAX(FG_PRICE(0,-1AY))":0.745218758187058,"NI-FDS^FG_PRICE_CHANGE(0,-3AM)":14.7448015122873,"FTSEWIVNXXXX^FG_PRICE(0)":364.2671741,"FC0000BR^FG_PRICE(0)":197.67548,"FC0000CL^FG_PRICE(0)":200.31154,"INDA^FG_PRICE_MAVG(0,,,,30)":51.33,"EWW^FG_PRICE_MAVG(0,,,,200)":63.2777,"CNYA^FG_PRICE(0)":26.35,"TUR^PERCENT_CHANGE(FMA_EPS(+1,0,,,,\"PORTAGG\",\"MEAN\"),FMA_EPS(+1,-1AM,,,,\"PORTAGG\",\"MEAN\"))":-1.37103294041771,"INDA^PERCENT_CHANGE(FMA_EPS(+1,0,,,,\"PORTAGG\",\"MEAN\"),FMA_EPS(+1,-3AM,,,,\"PORTAGG\",\"MEAN\"))":-0.958313136049614,"EWY^FG_TOTAL_RETURNC(0,-1AM)":-6.021905,"EWT^PERCENT_CHANGE(FMA_EPS(+1,0,,,,\"PORTAGG\",\"MEAN\"),FMA_EPS(+1,-3AM,,,,\"PORTAGG\",\"MEAN\"))":-5.55530710217831,"EPHE^FG_TOTAL_RETURNC(0,-1AM)":-9.133744,"EWJ^P_PRICE(0)/P_PRICE_LOW_PR(0,,,,,,\"PRICE\",\"INTRA\",\"52W\")-1":0.16940558,"EWJ^FMA_COS_DOWN(\"EPS\",\"1M\",+1,NOW,,,\"PORTAGG\",\"MEANR\")":88.0,"GREK^SIZE(FG_CONSTITUENTS)":30,"EWM^SIZE(FG_CONSTITUENTS)":34,"EPU^FMA_RBICS_REV_CURRENT(30, LOC, \"PORTAGG\")":32.4825470100704,"EWY^FG_ROE(0)":5.66106714551062,"TRYIN10Y-FDS^FG_YIELD_NAME":"India Benchmark Bond - 10 Year","REFVNDISC-FDS^(SUBARRAY(NOT_NA(NO_REPEAT_F(FG_YIELD(NOW,-10AY,D))),0,1)-SUBARRAY(NOT_NA(NO_REPEAT_F(FG_YIELD(NOW,-10AY,D))),1,1))*100":-50.0,"REFCNRMB-FDS^PROPER_NAME(0,,,\"SECURITY\",\"NAME\")":"China Loan Prime Rate (LPR) - 1 Year","REFMXTON-FDS^FG_YIELD(NOW,,,0)":11.0,"REFIDRREPO-FDS^(SUBARRAY(NOT_NA(NO_REPEAT_F(FG_YIELD(NOW,-10AY,D))),0,1)-SUBARRAY(NOT_NA(NO_REPEAT_F(FG_YIELD(NOW,-10AY,D))),1,1))*100":25.0,"TRYTH10Y-FDS^PCTCHG(FG_YIELD(0,,,,\"YTM\"),FG_YIELD(-3AM,,,,\"YTM\"))":-2.1554956,"TRYMX10Y-FDS^PCTCHG(FG_YIELD(0,,,,\"YTM\"),FG_YIELD(-1AM,,,,\"YTM\"))":6.702929,"MCHI^FMA_ROE(NTMA,-20AY,NOW,FY,\"PORTAGG\",\"MEANR\")":[null,null,null,null,null,null,null,16.2489448712134,14.7844836511748,14.7477410048543,13.8220324417748,12.2640889399399,12.007707790005,13.3821124977803,13.2137488528733,12.8854614778539,12.3574085973635,11.97391387678,11.5505021650942,11.5611924582116],"TRY10Y-FDS^FG_YIELD(-10AY,0,Y,,\"YTM\")":[null,null,null,null,null,null,null,null,null,null],"USDINR^STD(FG_PRICE_CHANGE(0,-1AY,AM))":0.561162316383674,"USDPEN^STD(FG_PRICE_CHANGE(0,-1AY,AM))":2.48486902954497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6632760141823,25.625710924974,24.8900071951995,26.8368786307733,30.8315679492368],"CPALM-FDS^FG_PRICE(0)":4125.0,"COPP-FDS^FG_PRICE_CHANGE(0,-3AM)":18.5714285714286,"TUR^FG_PRICE_MAVG(0,,,,200)":35.53265,"INDA^FG_PRICE(0)":51.07,"EPOL^FG_PRICE_MAVG(0,,,,30)":23.436,"VNM^FMA_PCT_ABOVE_MAVG(200,0,,,,\"PORTAGG\")":43.4782608695652,"QAT^PERCENT_CHANGE(FMA_EPS(+1,0,,,,\"PORTAGG\",\"MEAN\"),FMA_EPS(+1,-1AM,,,,\"PORTAGG\",\"MEAN\"))":-0.890554703491881,"EZA^PERCENT_CHANGE(FMA_EPS(+1,0,,,,\"PORTAGG\",\"MEAN\"),FMA_EPS(+1,-3AM,,,,\"PORTAGG\",\"MEAN\"))":-2.20696281485447,"EWY^PERCENT_CHANGE(FMA_EPS(+1,0,,,,\"PORTAGG\",\"MEAN\"),FMA_EPS(+1,-3AM,,,,\"PORTAGG\",\"MEAN\"))":-6.24325948049508,"CAGDPY@MX^EE_ACTUAL_ANNUAL(MED,0)":-0.475,"CC_MX^FG_COMPANY_NAME":"Mexico","USDAED^STD(FG_PRICE_CHANGE(0,-3AY,M))":0.0081886068868404,"USDTHB^FG_PRICE_CHANGE(0,-1AY)":7.225144,"USDBRL^STD(FG_PRICE_CHANGE(0,-1AY,AM))":3.09476559051122,"USDMXN^FG_PRICE_CHANGE(0,-1AY)":-5.4389772,"USDIDR^STD(FG_PRICE_CHANGE(0,-1AY,AM))":1.60298812906329,"USDCNH^FG_PRICE_CHANGE(0,-1AY)":5.380428,"ECH^P_PRICE_RETURNS_PR('52W',2,-10AY,0,AM)":[-22.558027,-21.095102,-15.176498,-13.504637,-8.276564,-18.105602,-19.437849,-13.777876,-13.808197,-15.981447,-5.400771,-7.827491,-8.178276,-6.02532,-12.561006,-15.237576,-21.446436,-17.466963,-11.053777,-19.814968,-17.679464,-19.417107,-16.436356,-4.304701,-10.361422,-18.105179,-6.860137,4.3895483,15.090704,3.6664128,8.856177,14.307129,20.508612,33.485176,23.783648,17.934847,23.061502,22.155905,23.598183,18.576586,22.691381,37.09923,36.511253,36.41298,41.060402,45.227276,34.755314,27.507591,25.318384,24.288702,15.289629,5.513644,-2.060026,-5.524784,-14.943248,-8.627415,-18.254072,-15.610111,-15.46821,-13.057047,-17.988508,-21.99495,-16.390085,-11.639786,-15.558547,-13.619667,-6.2627196,-22.807222,-18.215757,-24.48858,-31.608307,-59.50765,-45.127697,-36.84843,-34.08057,-32.982487,-25.783348,-33.403366,-36.845215,-15.116197,-9.110058,-3.0127525,8.767891,96.68914,54.478477,21.147537,13.007366,2.2275925,3.8465858,10.405803,2.9122353,-7.9803762,-15.200692,-17.499458,-16.095661,-13.640374,-18.332779,-1.8007696,-4.2332945,-1.9002736,4.7193646,4.7103167,6.8950295,8.596921,11.716377,17.801643,19.483543,2.0646095,13.995707,18.214714,20.596552,36.88146,14.867413,6.6625953,10.896993,9.350157,14.016843,-3.8504958,-10.525054,5.3608894,-7.2434845],"EPHE^FG_TOTAL_RETURNC(-10AY,0,AM)":[3.8284302,3.825903,-2.53672,2.9013634,2.57442,0.9411812,-3.004402,3.3911943,-2.1877348,6.460154,4.4267654,-1.2383938,1.0368943,-0.69212914,-4.205722,-1.6959369,-6.9045124,-3.0879498,3.4423828,-5.9405923,-2.763158,-9.159422,10.2657795,10.153675,-0.38294196,2.855575,3.3635974,4.687321,-0.8665502,-8.116883,-0.462085,-8.7110815,-4.5767307,5.472636,0.2980709,2.9123306,3.5518289,-0.055772066,3.3203125,-1.6043961,-1.9548416,4.296541,0.59235096,-0.66916347,2.883315,2.2159696,-4.615384,-4.704303,-3.9774299,-3.319627,-6.1683416,1.7950296,2.0440817,-4.6948376,-3.8095236,4.2676687,3.8336039,10.003161,-1.8932879,0.0,1.3742566,-6.3455343,8.258783,5.7003736,-9.3225,1.2851119,2.124524,0.6645441,-2.0062208,-0.93814135,-4.7943234,-40.31706,28.385412,-1.8661201,14.363539,-1.8909097,2.8169036,-4.001445,-0.11265278,19.586468,4.093635,-0.18160343,-6.8526387,-4.1341124,0.7130742,-2.6298046,7.443142,-5.645686,-1.1348009,5.913043,6.206894,0.8657932,0.21389723,-3.2852292,3.6825418,-7.8383327,0.099658966,-5.3435087,-6.8752885,-5.523813,11.250008,-6.9952908,-8.768511,8.54336,1.6906738,12.558329,-4.352331,-5.5615783,-1.2619495,3.7180543,-2.9481769,4.1861296,-7.1949124,-2.8191745,1.6991377,1.6299844,4.0497184,1.326251,5.5981636,0.18155575,-9.133744],"EPU^FMA_DIV_YLD(NTMA,-10AY,0,AM,\"PORTAGG\",\"MEANR\")":[2.62867266183829,2.37557696152556,2.19583746163153,2.23530259538195,2.1427367653216,2.12423785812999,2.30137152757176,2.23471565960885,2.16950613868237,2.26731739626595,2.13369949842319,2.35619326193273,2.24344063269265,1.89389453574421,2.01167366673906,2.03385372270408,2.32170655405788,2.50462332980405,2.40302898589539,2.31042703470031,2.75456909060969,2.92045389460717,2.51700203602978,2.0934778907672,1.96436437329925,1.74241236835348,1.81172205445333,1.70857682674229,1.42840370503676,1.55096959487034,1.55369203077346,1.97437753366867,2.20390528791215,2.20418406683144,1.98198162334293,2.13758722802807,2.08520998467842,2.24748546516363,2.28818529059288,2.25695343090408,2.24983596107822,2.25713242128257,2.37800018710628,2.70685480445346,2.84203567677805,2.57105733773247,2.51930944419881,2.21863134438123,2.09487967128695,4.6945559600009,1.95098398124756,2.07733520543753,4.41231343634928,2.4922224883693,2.41385708227214,2.37910755252793,2.36212665467388,2.29809489770744,2.23326563978342,2.21665338366553,2.33484908227307,2.70710551794651,2.70434603303816,2.6406112966478,2.96912417322727,2.93029139199964,3.03771664616497,2.94077386908251,2.66553876702621,2.61665178651581,2.98553161859441,4.59992627137895,4.00065763303101,3.17059850781972,3.15648898704061,3.02379068336653,2.47158793643923,2.57857384760267,2.63854851623927,2.17936383537272,1.71679146182478,1.70996657905465,1.72785535660174,2.0091045850901,2.11547408269584,2.26470017407012,2.90600068447548,2.99903339782964,3.6612252071594,3.65443973192408,3.46946547024095,3.77693785862865,4.26955789067193,3.58742874478548,3.44376365373938,3.55529058609639,3.83742494432072,4.59955565507475,5.01260397262292,5.38340864975225,5.09060148882411,4.99165820887627,5.11816982130383,3.81985414008648,3.92944780772806,3.79614708418635,4.2075658428241,4.80218361450722,4.63575241643149,5.10401163746674,4.88423622821609,4.59399310050433,4.66479452955234,4.71431258974315,5.15708884407255,4.33592540995568,3.79805832985679,3.6652798553232,3.7222353698726,3.35923084235071,3.40621777183675],"EPOL^FMA_PE(NTMA,-10AY,0,AM,\"PORTAGG\",\"MEANR\")":[14.0262183914833,13.5528960164679,13.7190934234193,13.1628708402072,13.3005058151361,13.6177577991804,13.2871463321465,13.403205847737,13.5048022268821,12.9530128207367,13.3860328393956,13.5579588480038,14.6864361891926,14.6361532932547,13.34890807707,13.1774719615709,12.5700054315599,12.4376572200725,12.3589868380789,11.905251082863,11.9418634109131,12.0031391766976,13.1675273006104,13.4990758861871,13.1686939915561,12.0912195866779,11.5494351455481,11.6213160376057,12.2432199577924,11.6255586925626,11.5029945992302,11.217325686978,11.9919415983667,11.7594358256357,12.7806344595362,12.7590001173423,12.3490620081355,12.2376846880249,12.3596070987777,12.714425665602,12.4707700050334,12.498388692409,12.1802352945094,11.7850066070095,11.89709407721,12.7309265495627,11.6770508966233,11.1015815826714,11.5123238574277,11.0864390485645,10.45689670427,10.4123032539981,10.7323166398942,10.5500903335768,10.4135924176577,10.213591555842,10.8221549882721,11.0652176341509,10.7120383106372,11.2187666124462,11.2715579161568,10.2025090768732,10.7527010424594,10.7399131060818,9.46265462717494,10.0518611707112,9.90112108272874,10.2729519383432,10.1359199726149,10.5717929834379,10.7390077704919,7.72715895272882,10.6565415860334,11.8982354845505,13.1170218006691,12.4628728812645,12.7206581508854,11.6640740578863,11.4433091392916,13.6665063444499,13.4457447505586,13.7805030779914,11.1595345408282,11.6009870498877,11.9333792253029,12.8604696345346,12.4912749891195,11.9423612502692,11.9580542354533,11.4559438611636,12.2286040549216,11.3405393378855,10.1231538951755,10.749667602023,9.81999724489326,9.34899959791859,8.69871062231138,6.98572209282171,6.50397687624773,5.94010837240265,6.32715686742267,5.7969857700436,6.55845553978137,7.23371545070555,7.24508507107931,7.98342120791639,7.70940930847035,6.82576537897446,7.24879552412787,7.23216759810002,8.15478371919949,8.09201990965739,8.06459844020556,8.00227189030158,8.4972264625411,8.33146963942177,9.07185379815135,8.01114631222258,9.07444088429165,9.15999447224438,8.51554023375688],"EWT^FMA_PE(LTMA,-10AY,0,AM,\"PORTAGG\",\"MEANR\")":[15.6626969072773,15.4538325582235,15.5531150970208,15.3465668149565,14.8925818623395,14.7594905328269,13.7068439159322,13.8451301462865,13.383547723767,13.7528343719015,14.2814416581901,14.2701492714904,14.0802549345719,14.035349361259,13.7749366124695,13.5258066461957,12.8007178591179,12.9220025966423,12.8867699934009,12.5608846719889,12.2652654420964,11.2218104941015,12.2859520582614,12.5142305246149,12.5567218294507,12.4537968068904,12.8953695169208,13.3999255189444,13.7852681258967,13.7153739347202,14.2975894755673,13.895854277079,14.3725152040955,14.2856696420186,14.6264871200497,14.5101951340024,14.3314363291015,14.3298057182173,14.4039907301744,14.7308501727393,14.6453591340962,14.6370419419524,14.724036231546,14.858288878467,14.4777389373383,14.9606124995901,14.0742315816994,14.499267487031,14.3270356930599,14.2816818209931,14.3396192886612,14.0826323593477,13.9320476708704,13.6819729389199,12.8200651314952,12.6177907803138,12.490318744774,12.9637385311436,13.5402434599586,14.1803978046581,14.4803165338837,14.3185080575007,14.6232467465686,15.0336355339148,14.7940971513869,15.5984122683236,15.9876151631139,16.7625012117289,17.5527010280264,17.6048613899258,16.9924465256355,15.7867243893987,16.3021454928507,16.4389711538505,17.0655940150537,17.572263807067,17.7337358469685,17.3145727105399,17.0557441408249,17.4917648312941,17.7296805484768,19.0692338837649,19.3611496662841,18.4864159896807,18.1155236335207,16.9576520801784,16.6843798688694,16.3314768420384,15.0105096780138,14.6331945276858,13.6063210287328,13.6454995698934,12.9295509699429,13.0722696391181,12.8045506297107,12.3266531829181,12.1084296647902,11.9661106259305,11.6589309758369,11.0891866172404,11.3718127103527,10.9171802568785,10.0369476254301,10.9028969455481,11.017154169211,11.5551459291132,12.274065953888,12.6485426586836,13.1424842405016,13.8501544925605,14.8564645251124,15.6973441756555,15.7585490896801,16.3639864956768,16.5730195619923,17.2470704414089,18.4151983237331,18.356345837451,19.5102031136961,19.8420902228287,19.7146549467283],"WL-FDS^FG_PRICE_CHANGE(0,-1AY)":-15.8556426564118,"NI-FDS^FG_PRICE_CHANGE(0,-1AM)":2.99773755656108,"FC0000KR^FG_PRICE(0)":454.3068,"TUR^FG_PRICE_MAVG(0,,,,60)":36.8055,"EWW^FG_PRICE_MAVG(0,,,,60)":67.154335,"KSA^FG_TOTAL_RETURNC(0,-12AM)":9.731507,"TUR^FMA_PCT_ABOVE_MAVG(200,0,,,,\"PORTAGG\")":63.0434782608696,"INDA^PERCENT_CHANGE(FMA_EPS(+1,0,,,,\"PORTAGG\",\"MEAN\"),FMA_EPS(+1,-1AM,,,,\"PORTAGG\",\"MEAN\"))":-1.1624594084595,"EWY^PERCENT_CHANGE(FMA_EPS(+1,0,,,,\"PORTAGG\",\"MEAN\"),FMA_EPS(+1,-1AM,,,,\"PORTAGG\",\"MEAN\"))":-3.91920503637531,"EWT^PERCENT_CHANGE(FMA_EPS(+1,0,,,,\"PORTAGG\",\"MEAN\"),FMA_EPS(+1,-1AM,,,,\"PORTAGG\",\"MEAN\"))":-2.68707042276717,"EPHE^PERCENT_CHANGE(FMA_EPS(+1,0,,,,\"PORTAGG\",\"MEAN\"),FMA_EPS(+1,-3AM,,,,\"PORTAGG\",\"MEAN\"))":-2.66361661321086,"EWJ^P_PRICE(0)/P_PRICE_HIGH_PR(0,,,,,,\"PRICE\",\"INTRA\",\"52W\")":0.9281898,"EWJ^FMA_COS_UP(\"EPS\",\"1M\",+1,NOW,,,\"PORTAGG\",\"MEANR\")":97.0,"GREK^FMA_COS_DOWN(\"EPS\",\"1M\",+1,NOW,,,\"PORTAGG\",\"MEANR\")":6.0,"EWM^FMA_COS_UP(\"EPS\",\"1M\",+1,NOW,,,\"PORTAGG\",\"MEANR\")":8.0,"EPOL^FMA_RBICS_REV_CURRENT(30, LOC, \"PORTAGG\")":48.9007931524452,"EWW^FG_ROE(0)":13.7167744379181,"TRYGR10Y-FDS^FG_YIELD_NAME":"Greece Benchmark Bond - 10 Year","REFVNDISC-FDS^FG_YIELD(NOW,,,0)":3.0,"REFINREPO-FDS^(SUBARRAY(NOT_NA(NO_REPEAT_F(FG_YIELD(NOW,-10AY,D))),0,1)-SUBARRAY(NOT_NA(NO_REPEAT_F(FG_YIELD(NOW,-10AY,D))),1,1))*100":25.0,"REFMXTON-FDS^PROPER_NAME(0,,,\"SECURITY\",\"NAME\")":"Mexico Target Rate - Overnight","REFIDRREPO-FDS^FG_YIELD(NOW,,,0)":6.0,"TRYTH10Y-FDS^PCTCHG(FG_YIELD(0,,,,\"YTM\"),FG_YIELD(-1AM,,,,\"YTM\"))":6.8356314,"TRYTW10Y-FDS^PCTCHG(FG_YIELD(0,,,,\"YTM\"),FG_YIELD(-3AM,,,,\"YTM\"))":39.795914,"TRYUS10Y-FDS^FG_YIELD_NAME":"US Benchmark Bond - 10 Year","TRYGR10Y-FDS^FG_YIELD(0,,,,\"YTM\")":3.541,"CC_ZA^IMF_IFS_RCPI_Q(0)":null,"VWO^FG_PE(0)":13.8523150839886,"VNM^FMA_EVAL_EBITDA(NTMA,0,,,\"PORTAGG\",\"MEANR\")":9.48470764668765,"TUR^FMA_PE(NTMA,0,,,\"PORTAGG\",\"MEANR\")":5.3949236640789,"MCHI^FMA_EVAL_EBIT(LTMA,NOW,NOW,M,\"PORTAGG\",\"MEANR\")":13.526177189575,"GREK^FMA_DIV_YLD(NTMA,NOW,NOW,M,\"PORTAGG\",\"MEANR\")":5.14851054366064,"EWZ^JULIAN(FMA_DIV_YLD(NTMA,NOW,NOW,M,\"PORTAGG\",\"MEANR\").DATES)":45379,"EWT^FG_FCF_YIELD_NTM(0)":3.82728247802658,"EPU^FMA_PE(LTM,0,,,\"PORTAGG\",\"MEANR\")":18.3825024040905,"EIDO^FMA_EVAL_EBITDA(NTMA,0,,,\"PORTAGG\",\"MEANR\")":6.2048173170402,"CNYA^FMA_PE(NTMA,0,,,\"PORTAGG\",\"MEANR\")":12.1761115883368,"EWW^FG_COMPANY_NAME":"iShares MSCI Mexico ETF","INDA^FMA_ROE(NTMA,-20AY,NOW,FY,\"PORTAGG\",\"MEANR\")":[null,null,null,null,null,null,null,null,15.6108197056138,16.0962597956391,15.7612771435553,15.9055421047158,15.6930916584344,15.3154529754558,14.6122050459717,14.5354845941958,12.8423838581616,15.1612835327609,14.9254235326562,16.077047134791],"TRYCN10Y-FDS^FG_YIELD(-10AY,0,Y,,\"YTM\")":[3.653331,2.901145,3.070911,3.93859,3.259862,3.197311,3.1948,2.7893,2.855,2.574],"USDINR^FG_PRICE_CHANGE(0,-6AM)":0.33324957,"USDPEN^FG_PRICE_CHANGE(0,-6AM)":-2.963519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6927396,51.5269225985592,58.7717055822565,64.97279420912,67.9891780236727],"W-FDS^FG_PRICE_CHANGE(0,-1AY)":-23.1017191977077,"COPP-FDS^FG_PRICE_CHANGE(0,-1AM)":7.92319844452547,"TUR^FG_PRICE_MAVG(0,,,,30)":36.682667,"GREK^FG_PRICE_MAVG(0,,,,200)":37.42401,"EPOL^FG_PRICE(0)":23.18,"UAE^FG_TOTAL_RETURNC(0,-12AM)":1.9243598,"QAT^FMA_PCT_ABOVE_MAVG(200,0,,,,\"PORTAGG\")":32.3529411764706,"EZA^PERCENT_CHANGE(FMA_EPS(+1,0,,,,\"PORTAGG\",\"MEAN\"),FMA_EPS(+1,-1AM,,,,\"PORTAGG\",\"MEAN\"))":0.109988214362036,"EWY^FMA_PCT_ABOVE_MAVG(200,0,,,,\"PORTAGG\")":51.0,"GREK^FMA_ROE(NTMA,-20AY,NOW,FY,\"PORTAGG\",\"MEANR\")":[null,null,null,null,null,null,null,null,5.18059570882845,5.02924580688049,6.28451178662672,5.47133635917723,4.56601797799517,3.94646034419328,4.24726660688599,5.810021541725,5.36711218261452,8.82576684666533,11.0341923380188,13.1253657894167],"CAGDPY@VN^EE_ACTUAL_ANNUAL(MED,0)":null,"CAGDPY@TW^EE_ACTUAL_ANNUAL(MED,+1)":12.5,"CC_TW^FG_COMPANY_NAME":"Taiwan, China","USDAED^STD(FG_PRICE_CHANGE(0,-1AY,AM))":0.00981052755370711,"USDBRL^FG_PRICE_CHANGE(0,-6AM)":3.5614967,"USDIDR^FG_PRICE_CHANGE(0,-6AM)":2.8289914,"CNYA^P_PRICE_RETURNS_PR('52W',2,-10AY,0,AM)":[null,null,null,null,null,null,null,null,null,null,null,null,null,null,null,null,null,null,null,null,null,null,null,null,null,null,null,null,null,null,null,null,null,null,null,null,null,null,11.110234,9.246087,10.025417,20.39218,20.413458,22.043097,22.881699,38.240242,28.22832,24.673319,18.58313,23.144722,12.143302,-4.1874113,-12.518507,-17.021067,-24.715155,-21.136486,-21.96986,-25.682682,-18.889124,-7.46789,3.7062764,-11.751211,-4.4620633,9.076632,12.371456,16.127098,26.621319,18.392075,28.2714,32.043922,18.716562,-8.328944,-7.337892,11.838997,12.311721,26.631142,38.65689,32.849407,35.871685,39.618565,39.455067,43.745388,60.3078,56.193794,46.286797,47.584557,40.795326,24.12585,12.401617,15.17086,12.337518,8.899963,7.251513,-4.154122,-14.038742,-6.695324,-9.961187,-23.963785,-14.229226,-16.133266,-14.5660515,-22.862207,-27.94342,-26.98989,-26.6124,-17.506493,-17.134916,-12.855757,-5.726242,-2.599454,-12.631721,-15.549117,-17.257904,-9.777784,-9.131134,-8.5288105,-17.007154,-25.770008,-20.162857,-11.564368,-17.625242],"EPOL^FMA_DIV_YLD(NTMA,-10AY,0,AM,\"PORTAGG\",\"MEANR\")":[3.83493888817317,3.94290269087,3.94796502226572,4.1085637119195,4.08709126119621,4.12721626927611,4.13009775379636,3.95893594109274,4.00205483209017,4.1490033430902,3.7922656664769,3.73420958008137,3.36512480965345,3.32483767258817,3.6130655648965,3.57303210067652,3.69339313694062,3.59036772114754,3.67584081156399,3.91794005072784,4.0901652198817,4.31269249677219,4.00330072099057,3.69262642948316,3.61068090851851,3.82341580939173,3.93404441754884,3.66926530081502,3.51244719218706,3.63265527451656,3.46721417133769,3.40957523336054,3.07588026891091,2.86724565646273,2.6191874617357,2.36015206446711,2.53817687463421,2.53305777882407,2.52671653138,2.42266929499596,2.45632657138595,2.58627533338107,2.39849799744745,2.47838861438625,2.8016931138468,2.71463471928985,2.99140171729266,3.04790082584074,2.96625414294213,3.08783176405264,3.20200331566059,3.01039563570552,2.9197478581846,3.02661434371895,3.17182398950222,3.19283390937112,3.08796031632912,2.99990474317006,3.04655822551501,3.04674079766824,3.0432453441107,3.34604070173352,3.22069738356195,3.32240072559806,3.87109856281227,3.57236745972992,3.50554998720027,3.32567103983661,3.56059792999246,3.55178777757133,3.68981561721537,5.04245157359514,3.67262498387081,3.17450037867933,2.44384298234148,2.3319323974236,2.713805045907,2.91986490850312,3.26345238395766,2.54568789370819,2.77136233639657,2.89546085488965,2.81596483883095,2.99378330666541,2.90527437822099,2.82531789500934,3.00395305743639,3.08886256550384,2.97108171132757,2.97408301706814,2.96200621742486,3.17640750815543,3.42723163764423,3.1216100621179,3.41226757458336,3.5350432914997,3.46827973479943,3.9351062687092,4.40886369453898,4.31807346582845,4.2334985006258,4.67092733852005,5.18131202853964,4.28631677827026,4.30072344758899,3.94175286613206,4.22233054307943,4.80891836983066,4.43916581521298,4.36649415950574,3.89443905247198,3.81129114783508,4.02243292791281,4.35760084529308,4.11212915723559,4.33962197634142,4.94880498145951,5.18937883310778,4.7704452506998,4.98647155790657,5.17620733399803],"EPHE^FMA_PE(NTMA,-10AY,0,AM,\"PORTAGG\",\"MEANR\")":[17.5194452958259,17.7728421797217,17.211817144926,17.2931834133295,17.4481710026327,17.8735526511712,16.9901775194127,17.7155949601016,16.7772009773819,17.7955309724831,18.3076404496382,18.0703629072974,18.3149461438074,18.3949562065236,17.508344266781,17.6377352064297,17.1357930353022,16.7539658963679,16.6301938461062,15.7188840717459,16.0091762181351,14.8964745760146,15.6433513097908,16.6966095141735,16.6488119293167,16.588241831388,17.1772745442876,17.8840906302143,18.136611038646,16.9081449473198,16.7683599642148,15.6750338745644,15.3236870913936,16.485060087421,16.5702675575862,16.9618716545775,17.3989015167123,17.186898621205,17.6223625632323,16.835205181098,16.5463325916675,17.3166046352406,18.0340163861494,17.4621163073975,17.3753364128241,17.9644934927303,17.2563602100785,16.7318876064142,15.8128110975785,15.9244370465379,15.4827021777207,15.2016328632377,15.3281408252789,14.0548247031424,13.8983602270742,13.5950366105231,14.7250948168318,15.8583853877578,15.3677099764411,15.166935889678,15.1253483193641,14.7907477957659,15.295294921226,15.7728967367027,14.4740634155702,14.0109707077908,13.9117496762281,13.9389543928143,14.0142819793536,13.7803718028832,13.0916628172454,9.8852895334917,11.4917876882462,12.7660143935259,15.7629629239471,15.2827107099947,16.5719701843823,15.8195396768951,15.6184206049659,17.8656475407892,16.9528066473462,16.7256321884733,15.8550037016953,15.3416214258438,14.8190651259918,14.5815713916804,16.2847616733544,15.6402556902057,15.247449016537,15.7551736666231,16.7173354953785,16.1018543224143,15.5604807924772,15.3623332627298,15.33059762436,14.4255732345078,14.203565312904,13.1819130375824,12.873465898159,12.6080368012898,13.2161902221596,12.6621450093606,11.8170184911352,12.0327862229663,12.2988405154081,13.4766179384663,12.6271238452425,11.5811052439431,11.3422845022232,11.2428605783595,10.228604085975,10.1928664124697,9.54042311925933,9.60204938247886,9.86312289567014,9.58614091244001,9.34036344731969,9.35428745357628,9.8503361740693,10.1653286590087,8.82235396863393],"EWM^FMA_PE(LTMA,-10AY,0,AM,\"PORTAGG\",\"MEANR\")":[16.7095469267842,16.7297725152342,16.7376469343789,16.6769401926446,16.7007812707736,16.7480479070002,16.3220444486577,16.4816745213977,15.8053429842561,16.1723007875636,16.5787757067593,16.9996090973129,17.0357761151195,16.9372684944288,16.6152940629596,16.6086089496158,15.6509507979337,16.4309287502317,16.8112218492924,16.3545139502159,16.4243155559563,16.1414941414976,16.7278604041057,16.672641348236,16.6679687888594,16.4007642576225,16.5492480107879,16.8362481544368,17.0844469429314,17.0827481695684,17.3470266734599,17.0029012884874,17.0153272567943,17.1690499989723,17.2845178169441,17.1205544343166,17.1361079679698,17.2736200601998,17.2701858541599,17.1517151261016,17.3471186722232,17.5804370700861,17.3863637794715,17.1563321373947,17.8624408106505,18.5354204290036,18.5014942934472,18.4692149638328,18.3552965982067,18.1361551352909,17.8157062111501,17.6776543421628,17.7965788696396,17.6995742803618,17.0708354971514,16.759492782807,16.4254212702933,16.9674077438565,16.9574465566008,17.0694030920223,16.8654058827969,16.7301500169625,17.113972754914,17.0890614863648,16.8405100647733,16.8967516785567,16.6438120134496,16.917850976967,17.120079734614,17.0203790525232,16.3971291957367,15.8642440624849,16.4974787939339,16.7830593588754,18.4543866689252,19.5425043495802,19.7412216376822,19.9202794109049,20.5260640048784,21.0331383414764,21.3519796441066,20.9084294768333,19.1839895097534,19.5402859243769,18.9745893338077,18.2502167185211,17.6880989009581,16.8945048771355,16.1764188461692,15.8927665603951,15.6996346335229,14.589602096092,15.0916243126666,15.3053460837894,15.7854194389462,15.913844236274,15.8271241287141,15.6514306083075,15.1885317731594,14.9691483124226,15.3778107575354,15.0116207995748,14.39337067516,14.6639002601583,14.8527030242237,14.9802440636539,14.6702238542543,14.7369647231037,14.6516589274702,14.5479819940689,14.5427356785689,14.5846278691047,14.7379483151541,14.9538938166084,14.8888651125498,14.9743519088648,15.2645892306732,15.1581988568576,15.5498847425278,15.7686959588707,15.5794870117774],"WL-FDS^FG_PRICE_CHANGE(0,-6AM)":-23.3081693178754,"NI-FDS^FG_PRICE_MAVG(0,,,,30)":17501.834,"W-FDS^FG_PRICE_CHANGE(0,-6AM)":-7.49676863420941,"FC0000AE^FG_PRICE(0)":144.44943,"TUR^FG_PRICE(0)":37.7,"EWW^FG_PRICE_MAVG(0,,,,30)":67.577,"KSA^P_PRICE(0)/P_PRICE_LOW_PR(0,,,,,,\"PRICE\",\"INTRA\",\"52W\")-1":0.19939244,"SET-BKK^FG_TOTAL_RETURNC(0,-12AM)":-14.60802,"INDA^FMA_PCT_ABOVE_MAVG(200,0,,,,\"PORTAGG\")":78.6764705882353,"EZA^FMA_PCT_ABOVE_MAVG(200,0,,,,\"PORTAGG\")":45.4545454545455,"EWT^FMA_PCT_ABOVE_MAVG(200,0,,,,\"PORTAGG\")":65.5555555555556,"EPHE^PERCENT_CHANGE(FMA_EPS(+1,0,,,,\"PORTAGG\",\"MEAN\"),FMA_EPS(+1,-1AM,,,,\"PORTAGG\",\"MEAN\"))":1.58561928641442,"EWJ^FG_TOTAL_RETURNC(0,-6AM)":15.068388,"URTH^SIZE(FG_CONSTITUENTS)":1469,"USDTHB^FG_COMPANY_NAME":"Thailand Baht per U.S. Dollar","USDINR^FG_PRICE_CHANGE(0,-3AM)":0.51130056,"USDMXN^FG_COMPANY_NAME":"Mexican Peso per U.S. Dollar","USDPEN^FG_PRICE_CHANGE(0,-3AM)":0.10699034,"USDCNH^FG_COMPANY_NAME":"Chinese Offshore Renminbi per U.S. Dollar"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21.6808239098782,17.3861921503202,15.4747210424778,18.6856862684859,25.9091620891167,28.7106028961196],"ECH^FG_TOTAL_RETURNC(-10AY,0,AM)":[8.802986,1.4554858,-3.2067537,-0.11392832,-2.632749,-2.1358728,-4.759693,2.5109649,-5.617875,-4.9962163,8.658695,-4.717672,8.388925,3.834319,-9.938455,-2.7644992,-10.142631,2.8218627,2.3156166,-7.2925386,-3.1042755,-7.322687,13.068366,9.115291,1.5287995,-5.1357865,2.3242593,9.090328,-0.9311974,-5.822456,5.65567,-2.6502311,1.644206,3.1704068,4.757011,3.8537025,6.1451197,-5.833888,2.6720166,5.5351734,2.5066495,5.2369714,5.2025437,-2.1696627,4.515493,6.218052,-1.6753674,-3.1971455,4.693854,-6.6076097,-4.7619047,-3.4136891,-5.4482994,2.155161,-5.2853584,3.1418562,-4.7255096,9.653532,-0.80627203,-1.1423588,-1.2444496,-10.688567,1.5308976,2.0738482,-9.539151,4.382372,2.781415,-15.062541,0.94145536,0.53715706,-9.528047,-41.46981,33.8565,2.7638316,5.980897,3.6456347,0.30257702,-6.3348413,-3.8244784,15.696943,8.083784,6.9313645,1.7935753,5.842364,4.2056084,-18.693947,-1.1402011,-5.283695,0.8611083,1.224947,-11.807853,3.4511447,0.038683414,3.579557,3.5256505,8.939624,-1.4564812,-2.235037,-1.127547,-5.3917828,7.6670766,2.589488,-11.17298,5.0982,3.5930037,8.503938,6.2227845,-8.761745,10.969675,1.3832688,1.5296936,6.680298,-9.648556,-4.738331,-7.6466265,4.6623826,6.9508433,-8.499485,1.0268569,5.1211834,-2.3056865],"COPP-FDS^FG_PRICE_MAVG(0,,,,30)":4.124133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85226458136,16.7115371927188,16.932589581546,16.8118349535848,14.5722752976358],"TRYCA10Y-FDS^FG_YIELD(-10AY,0,Y,,\"YTM\")":[1.79,1.39,1.72,2.04,1.96,1.7,0.67,1.42,3.3,3.0987],"CAGDPY@AE^EE_ACTUAL_ANNUAL(MED,+1)":12.25,"CC_MY^FG_COMPANY_NAME":"Malaysia","USDBRL^FG_PRICE_CHANGE(0,-3AM)":6.0934067,"USDIDR^FG_PRICE_CHANGE(0,-3AM)":3.5531402,"ECH^JULIAN(P_PRICE_RETURNS_PR('52W',2,-10AY,0,AM).DATES)":[41746,41775,41808,41838,41869,41900,41929,41961,41991,42020,42053,42081,42111,42142,42173,42202,42234,42265,42293,42326,42356,42384,42418,42447,42478,42508,42538,42569,42600,42629,42661,42692,42720,42753,42783,42811,42843,42873,42902,42934,42965,42996,43026,43056,43087,43118,43147,43175,43208,43238,43269,43299,43329,43361,43391,43420,43452,43483,43511,43542,43573,43602,43634,43664,43693,43726,43756,43787,43817,43847,43879,43908,43938,43969,44000,44029,44061,44092,44120,44153,44183,44211,44245,44273,44302,44334,44365,44393,44426,44456,44487,44518,44547,44579,44610,44638,44669,44699,44729,44760,44791,44820,44852,44883,44911,44944,44974,45002,45034,45064,45093,45125,45156,45187,45217,45247,45278,45309,45338,45369,45400],"EPHE^FMA_DIV_YLD(NTMA,-10AY,0,AM,\"PORTAGG\",\"MEANR\")":[2.12136658847846,2.05965679379878,2.21631254929674,2.08113165171599,2.04114746546437,1.9416629504845,2.28279379222315,2.15926441666797,2.21177217685549,2.0944308429981,1.95114924316511,1.93308490876128,1.88970465284607,1.89565571159087,1.97215305968349,1.90075331753203,1.97595082121509,2.02634106692317,1.99029194756113,2.06681545042494,1.97541610382437,2.12419389070983,1.9740246463682,1.7932233203465,1.79318705403262,1.72861157439962,1.6790820728257,1.64355510425708,1.60355867848709,1.6810120959147,1.65145756167883,1.75394645974115,1.76618704782721,1.67474226475345,1.64302393890449,1.63853808504665,1.59651195799657,1.59306043653668,1.56218145490518,1.57815258037076,1.5584586446659,1.49908831534557,1.44054896761063,1.49776539770048,1.55761431627848,1.53116433408411,1.55025987104687,1.60705366770373,1.71704120754158,1.74878688657461,1.7959348033649,1.77075013941126,1.76630355115084,1.83308672668164,1.89854509385352,1.91037546671875,1.79789181304436,1.65493219109146,1.69063603248406,1.74975413187327,1.74253761298338,1.84299552021041,1.78188250910788,1.69189493700503,1.83107159772955,1.85201341189454,1.85850026329014,1.84859428374363,1.8663050512681,1.855349939626,1.94391236208385,2.62494020707136,2.42031955191939,2.45776643564922,2.07465246482738,2.10465969630178,2.02201006550985,2.08439245823108,1.97522226302515,1.62577558503824,1.66676469113415,1.67344864591637,1.79942135170843,1.8299187388695,1.95103516653605,2.02228806036446,1.93254601357532,1.97511251850679,2.00300634192336,1.86032060776475,1.78120792817967,1.76806689582269,1.75148595702876,1.78736522191469,1.81220166741682,1.95573110364152,2.05940005382979,2.32725919154319,2.32808017941556,2.47903411773523,2.24736568657139,2.34802154983461,2.60740069748594,2.46612206123882,2.39907934752311,2.21726686199444,2.32623949935162,2.72804267021466,2.79937465517488,2.74512544712281,2.94388128158334,2.96942180221944,3.04223512034299,2.87103617742146,2.86831828658553,3.07101937811747,3.2168679465779,3.15102363556126,2.82222567578601,2.64855140011526,2.97351104413476],"EIDO^FMA_PE(NTMA,-10AY,0,AM,\"PORTAGG\",\"MEANR\")":[14.6043411681681,14.6968339992778,13.9462076525804,14.7069191462284,14.8629112029899,14.7412389114529,14.24680525845,14.7472079711149,14.7318358787853,14.8204090561302,15.9186674674035,15.8309380176908,15.8883925537022,15.2959157880127,14.5002434282901,14.348156337604,13.5486311638824,13.3549831638735,14.1388277530701,14.1423111661184,14.0397328530258,14.3103003184466,15.1959827105945,15.4047494903116,15.0694903777498,14.3511496104757,14.8853591322801,16.0442284404321,16.9562280676324,15.9658513865682,16.544462839751,15.0530850150279,14.9042692846219,15.1815024657897,15.1786412822329,15.4047988373388,15.2830001951157,15.4461331757233,15.5107161334012,15.6855455652657,15.715625657137,15.4219075395671,15.5895183999253,15.4632089903243,15.3803292282368,16.026849716291,15.5600733089094,14.621411647966,14.8906714154578,13.0959544340113,13.3803618181155,12.8233514006934,13.1324559579625,12.9981942443348,13.0520877148563,13.803255185015,13.9138903161845,14.8038385509025,14.2234480765155,14.6981215338116,14.3603079477299,12.4543806801056,13.8032643137222,14.9410450442389,14.5743400301209,14.7092511413243,14.5171572360194,14.6503244703268,15.1384493625013,15.6799943442945,14.4856996150706,9.99282879212844,10.9903121327939,12.2118712683064,15.7806317483727,16.3623477892318,17.0275735113881,15.6504314974454,15.7625890019602,17.3912419456543,18.5803221824636,18.2113381960109,17.1328056857996,17.0187660638335,16.2682247551738,15.3642584451097,15.1554139338162,14.7523808831676,15.2254994904987,14.9087212125894,15.9560528123715,15.0921471438676,14.7347311023853,14.7143291210967,15.3089682321404,14.8480003880689,14.4025214514973,13.4431569677823,12.6439667698548,12.1643625302347,12.9401563646801,13.0908437604666,12.2912744117274,12.6020397841632,12.3770935022627,12.0208121642967,12.2161095790901,11.6074795987638,12.1711466307768,11.7966422757267,13.5428488199623,13.4868324084494,13.4486883000277,13.2261718988144,12.7354981468783,12.4619562823093,12.5645952962737,12.8676983679374,13.1863916300724,13.0667911360248,12.578613482361],"USDQAR^STD(FG_PRICE_CHANGE(0,-3AY,M))":0.0108559103674078,"USDTWD^STD(FG_PRICE_CHANGE(0,-3AY,M))":1.73751764363542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5315851175775,1.93303150117598,3.07367882715563,3.62874668671579,3.01142146885382],"CNYA^FG_TOTAL_RETURNC(-10AY,0,AM)":[null,null,null,null,null,null,null,null,null,null,null,null,null,null,null,null,null,null,null,null,null,null,null,null,null,null,null,6.3408732,3.190279,-3.6805272,1.0317206,0.2647519,-1.9238055,-2.8797925,4.735148,0.8812189,1.1393785,-2.440852,4.5034647,4.5567393,3.9264202,5.3948283,1.0495782,2.541709,-2.1358728,9.258914,-2.7013123,-0.39191246,-5.4176807,1.3119936,-4.832596,-10.669195,-5.142486,0.004327297,-8.320093,8.22854,-3.8969636,4.060173,5.648792,14.2192955,6.004071,-13.952005,3.2236338,1.9898772,-2.5895774,3.6780834,-0.035125017,1.1946559,4.122436,6.1217666,-4.1204395,-11.801654,7.421291,3.593862,3.6599398,15.15646,6.510043,-0.6643653,3.2528043,2.9643059,4.0005207,8.762514,7.540393,-14.0651045,-0.89849234,6.1014414,-1.1086464,1.637423,-3.6593795,1.0750175,1.4181018,-0.18643141,2.4762392,-2.8512359,-3.550297,-6.7239285,-4.3672743,-10.399169,12.030506,-1.0433733,-1.859051,-8.934122,-5.0605354,1.1344075,4.569292,7.5704813,-3.7102401,-3.119266,5.397725,-7.4273705,-1.219368,-2.6911736,-3.8448572,-0.7015109,-4.3800774,2.0783186,-5.377346,-3.7874222,5.051768,5.794239,-1.8256307],"COPP-FDS^FG_PRICE(0)":4.4405,"FC0000IN^FG_PRICE(0)":1277.5667,"FC0000PL^FG_PRICE(0)":207.91612,"GREK^FG_PRICE_MAVG(0,,,,30)":39.809666,"EPHE^FG_PRICE_MAVG(0,,,,60)":27.073,"UAE^P_PRICE(0)/P_PRICE_HIGH_PR(0,,,,,,\"PRICE\",\"INTRA\",\"52W\")":0.92953867,"MCHI^P_PRICE(0)/P_PRICE_LOW_PR(0,,,,,,\"PRICE\",\"INTRA\",\"52W\")-1":0.11129844,"GREK^P_PRICE(0)/P_PRICE_LOW_PR(0,,,,,,\"PRICE\",\"INTRA\",\"52W\")-1":0.2549683,"EWW^P_PRICE(0)/P_PRICE_LOW_PR(0,,,,,,\"PRICE\",\"INTRA\",\"52W\")-1":0.23821521,"EPOL^FG_TOTAL_RETURNC(0,-12AM)":39.681458,"ECH^FMA_PCT_ABOVE_MAVG(200,0,,,,\"PORTAGG\")":72.4137931034483,"EWJ^FMA_PCT_ABOVE_MAVG(200,0,,,,\"PORTAGG\")":69.4063926940639,"TUR^FMA_COS_UP(\"EPS\",\"1M\",+1,NOW,,,\"PORTAGG\",\"MEANR\")":12.0,"EZA^FMA_COS_UP(\"EPS\",\"1M\",+1,NOW,,,\"PORTAGG\",\"MEANR\")":10.0,"VNM^FMA_RBICS_REV_CURRENT(30, LOC, \"PORTAGG\")":55.231368279198,"TRYMY10Y-FDS^PCTCHG(FG_YIELD(0,,,,\"YTM\"),FG_YIELD(-1AM,,,,\"YTM\"))":1.9221423,"TRYVN10Y-FDS^FG_YIELD(0,,,,\"YTM\")":2.7856638,"SET-BKK^P_PRICE(0)/P_PRICE_HIGH_PR(0,,,,,,\"PRICE\",\"INTRA\",\"52W\")":0.8532613,"EWM^P_PRICE(0)/P_PRICE_LOW_PR(0,,,,,,\"PRICE\",\"INTRA\",\"52W\")-1":0.09072578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30256357744,16.6004077805652,20.3585186127796,19.4095239083521,18.5848638844222],"TRYGB10Y-FDS^FG_YIELD(-10AY,0,Y,,\"YTM\")":[1.8155,2.0248,1.2817,1.2536,1.3339,0.822,0.197,0.966,3.662,3.534],"CC_PE^FG_COMPANY_NAME":"Peru","USDAED^FG_PRICE_CHANGE(0,-1AM)":-0.012254715,"USDEUR^STD(FG_PRICE_CHANGE(0,-3AY,M))":2.22272008231571,"USDBRL^FG_PRICE_CHANGE(0,-1AM)":4.5506597,"USDPLN^STD(FG_PRICE_CHANGE(0,-3AY,M))":3.37583713663779,"USDIDR^FG_PRICE_CHANGE(0,-1AM)":3.0911446,"UAE^P_PRICE_RETURNS_PR('52W',2,-10AY,0,AM)":[null,null,null,null,null,null,null,null,null,null,null,null,null,-16.413408,-8.5572605,-10.642302,-18.074232,-26.024372,-9.460831,-28.615635,-14.986837,-23.244493,-18.926685,-1.7407715,-13.602042,-19.374132,-17.01889,-11.447853,-3.4540296,-2.1680295,-7.7327194,5.934274,17.464233,26.940655,19.898092,4.0703535,1.2146592,10.757959,11.503326,6.6336274,4.8282385,9.623003,13.454628,11.400986,1.4417648,5.588269,1.7984748,2.6818156,1.3255835,-4.261434,-3.319645,-7.5783253,-5.174285,-9.654313,-11.701298,-5.040222,-12.246352,-16.660744,-14.500439,-8.442438,-2.6618183,-9.786898,-10.466188,-5.3418455,-7.968754,-3.468287,0.33739805,-6.5603075,0.5610347,1.507926,-3.5803318,-40.54364,-33.21693,-23.35747,-20.9849,-23.336155,-17.619467,-18.66923,-19.344627,-12.438613,-4.7152877,-1.5283704,5.215311,67.667564,44.609116,48.6207,46.688473,43.132053,41.032124,43.349503,43.57505,52.844093,47.97444,35.22183,38.6641,44.43804,47.93161,27.482164,15.618968,13.402772,18.062687,11.526072,6.753278,-2.8341413,-8.963328,-5.131775,-9.8035755,-23.341846,-20.05096,-13.636303,-6.0257616,2.2304177,-6.497729,-3.9299726,-4.4075785,-1.0112286,-2.7694345,2.2939444,3.670156,11.6125345,1.9243598],"KSA^FG_TOTAL_RETURNC(-10AY,0,AM)":[null,null,null,null,null,null,null,null,null,null,null,null,null,null,null,null,null,null,5.2184224,-7.3941229999999996,-0.30568838,-16.894896,1.8454671,10.147381,0.10967255,7.055223,-2.0880044,0.3751278,-5.8057365,-2.2593737,-6.911695,17.655827,7.555926,-4.42034,4.7672033,-2.7208984,2.0572424,-0.38816333,-1.2014389,7.2223186,-2.0374298,3.1325817,-5.557662,1.5612483,1.6160846,7.680297,0.5476475,3.4858346,8.421051,-2.7184486,1.9960046,3.0679703,-5.9405923,-3.4974575,-0.95003843,1.811719,3.360045,9.8355055,0.9984374,-0.12356043,7.949269,-6.5902653,5.9316754,-0.788784,-5.24146,-8.5767565,-2.5832772,5.5477977,1.9270539,2.856207,-8.330673,-24.2688,12.183905,6.0655713,5.503273,1.1173129,4.935539,4.808712,3.1480193,-0.25973916,2.296996,2.0427704,1.3450146,5.1543117,7.4552417,4.452336,2.5795102,0.4889369,5.09603,1.5838146,3.7179232,-0.32378435,-4.727954,9.215713,2.515161,3.3954024,8.093214,-10.976094,-6.071419,-1.9834697,10.3107815,-6.7700443,0.96040964,-5.75406,-8.23254,4.1485906,-1.1976004,-5.0592957,12.628376,2.2917628,2.1868825,1.0019183,-4.08597,-3.3735514,-4.001027,5.3889155,5.3652406,2.054131,5.767858,0.44882298,-2.9713988],"ECH^FMA_PE(NTMA,-10AY,0,AM,\"PORTAGG\",\"MEANR\")":[14.0624107082249,14.4315604402357,14.1729553248972,14.7368644850797,14.6757310797583,14.7092577356364,13.5806858426752,14.3324038033191,13.5648685308361,12.5753230334163,13.4946739982323,13.1240327384588,13.8677396297691,14.3740323849163,13.6590711444061,12.7734638523555,12.549952397211,12.6526238545568,12.7583820365659,13.4464858613167,12.4852486540555,11.5708546926815,12.5247859704169,13.1840699894881,13.4789971039577,13.5044981275088,13.7099739363254,15.1912682627384,15.7353417373858,15.2471023593929,16.2675167807037,15.9548406205033,15.665080684367,15.7231287139116,16.069168147163,16.5051958985177,17.2643807206286,16.9717524997709,16.9358473728911,17.708171513311,18.1174249178087,18.9143259398957,15.4240940498251,14.0315338900356,14.3214740086263,14.7267239125528,14.231952067522,14.0159084480462,14.031632494044,13.179023948407,11.9477789154742,11.7160089387129,11.6411822874633,11.879896369914,15.0891572795646,15.2078565517234,14.5626285834608,15.772756421814,15.77368507374,15.4144729532977,14.9971785616152,14.0430244522927,14.6745045415664,15.0631653242987,13.7387071413672,15.106822893228,15.6493848416974,14.2837321796005,13.5247965451696,13.985696638624,12.8376666811399,8.07770825233573,11.1543327223632,12.7918938090895,14.61390291739,14.8657337919573,16.1326994043871,14.4088126228677,13.8335592185958,15.027036966723,14.0874692973831,14.8309117520521,14.2908470845805,14.8736888382889,14.0510490757204,11.2960809286855,11.2624654593054,10.4340183518187,10.0973430180057,10.2725741032038,9.0954076649781,9.23009802288402,9.60686458241963,9.78243351988637,9.95924066758368,9.62064818604996,9.44340045447787,8.75787508739877,6.63906692565228,6.43843546475367,6.60406525068514,7.62810625464401,7.20926019392661,6.88607125172042,7.16176081338901,7.39866750122351,7.85729771491957,7.29014181484758,7.95078508944087,8.56822463403541,8.41598841314718,9.36834639398839,9.11325739100135,8.87816777435287,8.66883365867688,8.75214280367809,8.01900984469146,7.83760502529935,8.39300660765718,8.08673504800561,7.82077409873814],"EPOL^FMA_PE(LTMA,-10AY,0,AM,\"PORTAGG\",\"MEANR\")":[15.3738677151321,15.1494664353304,15.1404994798733,14.7440601397061,14.7951493025793,14.7725563406913,14.5057026845708,14.6404699491832,14.4604280099274,14.0318595025236,18.9828089337995,20.0323406363527,19.7432817296314,19.1343879662616,17.9253949471129,17.1758147819495,15.8097867762427,14.8753615244983,14.1252954275917,12.815834996237,11.2675641346133,10.7877067356077,12.2791758269036,12.3798005198921,12.4233096416872,12.106099370849,11.8986176069343,11.8775747926438,12.2997343596111,12.0635401507329,12.2786060855263,12.2078972960465,13.392399354748,14.0433179619547,16.1424623478321,15.6670629879934,15.2711512784579,14.9485621580888,14.6889004363188,14.5309858969526,14.2504415432464,13.988813260179,13.4816744360141,12.7757892650921,12.5100769323393,12.9640233750619,12.1607282606849,11.7036885717726,11.8107033717356,11.6816643333133,11.3934300275038,11.3109498051074,11.5214622393347,11.340484806679,11.2557641252701,11.0947908035956,11.6478096778056,11.7723150218439,11.5350907234721,11.6123619427999,11.6595359848644,11.3150919460141,11.5196022661449,11.5593951438519,10.77811076678,11.1246334516006,10.9181833431578,11.0725203643015,10.9094537294523,11.1894287380336,11.4004230710963,9.36016113723187,10.2350026753189,11.1144429160294,12.1090588828365,11.8939321850208,12.6442632193568,12.7143026648075,14.1949215565114,19.3839348441084,21.5571758343837,22.4293400423986,15.641020874923,16.8773660832187,16.4644113474912,16.3682654179499,15.7154821385463,15.0065413019328,14.329951279802,13.7604588717401,14.0625973561539,12.7848533301028,10.5524461947448,10.8459262463175,10.4758951834874,9.7964613138585,9.50915908926977,8.74886628337571,8.20732248477052,7.312033016252,7.08573670676653,6.55154302725268,6.55419829489173,6.1609067321499,5.91960777994779,6.26734025738143,5.48617661069264,5.94859963770654,6.09570178178832,6.18593214485799,6.63442344465798,6.64980798372715,6.75559748748255,6.90632644442838,7.47585870625319,7.4905205231439,9.57719681622213,8.39732587182279,9.02463424395756,8.96081581882046,8.80776627216549],"WL-FDS^FG_PRICE_CHANGE(0,-1AM)":-9.41082802547771,"PLATI-FDS^FG_PRICE_CHANGE(0,-1AY)":-12.5,"W-FDS^FG_PRICE_CHANGE(0,-1AM)":-1.10548134500231,"SET-BKK^FG_PRICE_MAVG(0,,,,60)":1380.9585,"EWT^FG_PRICE_MAVG(0,,,,200)":46.44,"KSA^FG_TOTAL_RETURNC(0,-6AM)":16.821087,"GREK^P_PRICE(0)/P_PRICE_HIGH_PR(0,,,,,,\"PRICE\",\"INTRA\",\"52W\")":0.93513125,"EWZ^P_PRICE(0)/P_PRICE_HIGH_PR(0,,,,,,\"PRICE\",\"INTRA\",\"52W\")":0.8424734,"EIDO^FG_TOTAL_RETURNC(0,-12AM)":-10.360694,"URTH^P_PRICE(0)/P_PRICE_LOW_PR(0,,,,,,\"PRICE\",\"INTRA\",\"52W\")-1":0.20409763,"URTH^FMA_COS_UP(\"EPS\",\"1M\",+1,NOW,,,\"PORTAGG\",\"MEANR\")":577.0,"SET-BKK^SIZE(FG_CONSTITUENTS)":1,"EPU^FMA_COS_UP(\"EPS\",\"1M\",+1,NOW,,,\"PORTAGG\",\"MEANR\")":6.0,"ECH^FMA_RBICS_REV_CURRENT(30, LOC, \"PORTAGG\")":31.8032529247924,"EPU^FG_ROE(0)":9.79876362772851,"TRYKR10Y-FDS^FG_YIELD_NAME":"South Korea Benchmark Bond - 10 Year","REFAEREPO-FDS^FG_YIELD(NOW,,,0)":5.4,"REFEUREFI-FDS^(SUBARRAY(NOT_NA(NO_REPEAT_F(FG_YIELD(NOW,-10AY,D))),0,1)-SUBARRAY(NOT_NA(NO_REPEAT_F(FG_YIELD(NOW,-10AY,D))),1,1))*100":25.0,"REFTWDISC-FDS^PROPER_NAME(0,,,\"SECURITY\",\"NAME\")":"Taiwan China Discount Rate","REFCLMPR-FDS^FG_YIELD(NOW,,,0)":6.5,"TRYCN10Y-FDS^PCTCHG(FG_YIELD(0,,,,\"YTM\"),FG_YIELD(-3AM,,,,\"YTM\"))":-10.196567,"TRYVN10Y-FDS^FG_YIELD_NAME":"Treasury - Vietnam Benchmark Bond 10Y","TRYBR10Y-FDS^FG_YIELD(0,,,,\"YTM\")":11.734497,"TRYID10Y-FDS^FG_YIELD_NAME":"Treasury - Indonesia Benchmark Bond 10Y","CC_MX^IMF_IFS_RCPI_Q(0)":null,"VGK^FMA_EVAL_EBITDA(NTMA,0,,,\"PORTAGG\",\"MEANR\")":9.08174988134934,"VNM^FMA_PE(NTMA,0,,,\"PORTAGG\",\"MEANR\")":15.4065911340177,"SET-BKK^FMA_EVAL_EBIT(LTMA,NOW,NOW,M,\"PORTAGG\",\"MEANR\")":19.0190058207713,"MCHI^FMA_DIV_YLD(NTMA,NOW,NOW,M,\"PORTAGG\",\"MEANR\")":3.03275425005162,"GREK^JULIAN(FMA_DIV_YLD(NTMA,NOW,NOW,M,\"PORTAGG\",\"MEANR\").DATES)":45379,"CAGDPY@TR^EE_ACTUAL_ANNUAL(MED,+1)":-2.8,"USDQAR^STD(FG_PRICE_CHANGE(0,-1AY,AM))":0.0158925670416409,"USDTWD^STD(FG_PRICE_CHANGE(0,-1AY,AM))":1.36019398876076,"VNM^FMA_EPS(NTMA,-20AY,0,CY,,\"PORTAGG\",\"MEANR\")":[null,null,null,null,null,1.76556929798562,1.77344510490664,1.79926295005356,2.1935186011017,2.03454772468732,1.57039558296485,1.29980601244052,1.03619480330304,0.937220389578586,1.03904047410582,1.11601822649293,1.03737377793235,1.28884335629541,1.11127492950619,0.886057282514537],"ECH^JULIAN(FG_TOTAL_RETURNC(-10AY,0,AM).DATES)":[41746,41775,41808,41838,41869,41900,41929,41961,41991,42020,42053,42081,42111,42142,42173,42202,42234,42265,42293,42326,42356,42384,42418,42447,42478,42508,42538,42569,42600,42629,42661,42692,42720,42753,42783,42811,42843,42873,42902,42934,42965,42996,43026,43056,43087,43118,43147,43175,43208,43238,43269,43299,43329,43361,43391,43420,43452,43483,43511,43542,43573,43602,43634,43664,43693,43726,43756,43787,43817,43847,43879,43908,43938,43969,44000,44029,44061,44092,44120,44153,44183,44211,44245,44273,44302,44334,44365,44393,44426,44456,44487,44518,44547,44579,44610,44638,44669,44699,44729,44760,44791,44820,44852,44883,44911,44944,44974,45002,45034,45064,45093,45125,45156,45187,45217,45247,45278,45309,45338,45369,45400],"KSA^FMA_PE(NTMA,-10AY,0,AM,\"PORTAGG\",\"MEANR\")":[null,null,null,null,null,null,null,null,null,null,null,null,null,null,null,null,null,null,12.796116734632,12.1654851203808,12.8860824507168,11.1533004555651,11.6062340777754,12.8751927136001,12.7930501162239,13.6533540203889,13.6959097475837,13.6707567275179,12.6780899964933,12.5243584746743,11.2344257584325,13.5497003298933,14.0389781159944,14.1337833662174,14.4220166240634,14.1316002272573,13.6413305725552,13.5259757975097,13.5872037708754,14.4871739142347,13.8046839068964,13.9978070061469,12.9129385238212,12.9568947926625,13.2931168580969,14.033201614463,13.7159630940363,14.5244247633374,14.973236701594,14.8046802969834,15.0271745500035,15.1794610323546,13.8447906864698,13.4701244453101,13.692357521664,13.4814615291411,14.5420245920867,15.6531124061922,16.2000376020325,16.3121427851558,17.3602881917187,16.1392026692534,16.9721085940011,17.1015511075292,16.846133304645,16.5975209336687,16.1450996170033,16.5116405658981,16.7913315104987,17.2642980488982,15.7494230433691,13.3821691716184,15.7920940286557,18.2949541982242,19.541491012761,19.7142640603045,20.220270829832,21.7784685040077,21.6250952172542,20.1971747161049,19.3860518365039,19.1912864000626,18.4595124386552,18.6885989604072,19.0400715158906,19.1400452631014,19.425936913795,18.9745801902176,19.1754391406519,18.9578640583513,19.1402567779108,18.7003586319247,17.7405564060413,19.1069962615527,19.0718847938878,19.1334877987279,19.5917052926925,17.2331978358819,15.9852512486777,15.7933084363853,16.6388194896897,15.4504867703768,15.4312614443815,14.9950842314284,14.0612471203414,14.8217715212716,15.1325059427569,13.9400490441394,16.2236240598017,16.6717640339841,17.0960432230637,17.5729239852939,17.176583662808,16.2173428031535,15.7056742102574,16.4391806091156,17.5108639389043,18.2108127598656,18.8439885472362,18.4833087108227,18.1653646672427],"PLATI-FDS^FG_PRICE_CHANGE(0,-6AM)":4.41988950276244,"TIOS-FDS^MAX(FG_PRICE(0,-5AY))":219.77,"KSA^FG_PRICE_MAVG(0,,,,200)":41.4011,"GREK^FG_PRICE(0)":38.49,"EPHE^FG_PRICE_MAVG(0,,,,30)":26.988333,"UAE^FG_TOTAL_RETURNC(0,-6AM)":3.5654187,"MCHI^P_PRICE(0)/P_PRICE_HIGH_PR(0,,,,,,\"PRICE\",\"INTRA\",\"52W\")":0.79175013,"GREK^FG_TOTAL_RETURNC(0,-6AM)":19.434034,"EWW^P_PRICE(0)/P_PRICE_HIGH_PR(0,,,,,,\"PRICE\",\"INTRA\",\"52W\")":0.9128233,"EPOL^P_PRICE(0)/P_PRICE_LOW_PR(0,,,,,,\"PRICE\",\"INTRA\",\"52W\")-1":0.4116931,"CNYA^FG_TOTAL_RETURNC(0,-12AM)":-17.625242,"URTH^PERCENT_CHANGE(FMA_EPS(+1,0,,,,\"PORTAGG\",\"MEAN\"),FMA_EPS(+1,-3AM,,,,\"PORTAGG\",\"MEAN\"))":-1.46049663240197,"VWO^SIZE(FG_CONSTITUENTS)":4786,"EWZ^SIZE(FG_CONSTITUENTS)":50,"UAE^FMA_RBICS_REV_CURRENT(30, LOC, \"PORTAGG\")":59.5915280201608,"TRYCN10Y-FDS^PCTCHG(FG_YIELD(0,,,,\"YTM\"),FG_YIELD(-1AM,,,,\"YTM\"))":-3.0213563,"TRYPE10Y-FDS^PCTCHG(FG_YIELD(0,,,,\"YTM\"),FG_YIELD(-3AM,,,,\"YTM\"))":15.118396,"FC0000MX^FG_PRICE(0)":510.25546,"SET-BKK^FG_PRICE_MAVG(0,,,,30)":1379.437,"EWT^FG_PRICE_MAVG(0,,,,60)":47.251335,"KSA^FG_TOTAL_RETURNC(0,-3AM)":3.0856848,"SET-BKK^FG_TOTAL_RETURNC(0,-6AM)":-5.3433895,"MCHI^FG_TOTAL_RETURNC(0,-6AM)":-4.022938,"EWZ^FG_TOTAL_RETURNC(0,-6AM)":3.6144733,"EWM^P_PRICE(0)/P_PRICE_HIGH_PR(0,,,,,,\"PRICE\",\"INTRA\",\"52W\")":0.9738974,"EIDO^P_PRICE(0)/P_PRICE_LOW_PR(0,,,,,,\"PRICE\",\"INTRA\",\"52W\")-1":0.04738033,"URTH^P_PRICE(0)/P_PRICE_HIGH_PR(0,,,,,,\"PRICE\",\"INTRA\",\"52W\")":0.9512363,"VWO^FMA_COS_DOWN(\"EPS\",\"1M\",+1,NOW,,,\"PORTAGG\",\"MEANR\")":1045.0,"SET-BKK^FMA_COS_DOWN(\"EPS\",\"1M\",+1,NOW,,,\"PORTAGG\",\"MEANR\")":72.0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8129789124,8.30770317762994,10.1458776465552,7.50979396092208,8.90499635832024],"CAGDPY@PH^EE_ACTUAL_ANNUAL(MED,0)":-2.56663776811855,"CC_PL^FG_COMPANY_NAME":"Poland","USDAED^FG_PRICE_CHANGE(0,-1AY)":0.0054359436,"USDEUR^STD(FG_PRICE_CHANGE(0,-1AY,AM))":2.13177762255548,"USDBRL^FG_PRICE_CHANGE(0,-1AY)":5.564213,"USDPLN^STD(FG_PRICE_CHANGE(0,-1AY,AM))":3.29190385328205,"USDIDR^FG_PRICE_CHANGE(0,-1AY)":8.959246,"TUR^P_PRICE_RETURNS_PR('52W',2,-10AY,0,AM)":[-24.663914,-27.803928,-8.805794,-1.7637253,-3.9099574,-10.366994,-13.806337,-0.29048324,2.9855251,25.65378,19.701397,5.8825135,-10.767567,-3.7389696,-17.903894,-16.17617,-26.26332,-28.5402,-15.89877,-21.346724,-29.564167,-37.11391,-28.148127,-5.589634,1.2467265,-23.56382,-11.526084,-13.741159,4.459238,5.4715037,-5.519408,-19.775217,-10.48106,-4.0390434,1.1419535,-12.337875,-16.992641,3.7081122,10.348129,15.221643,14.423466,19.618034,14.74682,24.003458,30.591143,42.67596,31.068539,19.923866,13.362813,-12.008029,-27.621572,-34.93685,-49.54621,-49.681843,-38.7233,-34.29631,-38.29155,-37.549347,-35.29703,-33.6092,-38.789867,-35.53647,-16.789543,-2.784741,19.133282,23.509323,1.3209224,8.31579,11.146259,15.164447,2.6943207,-30.617422,-15.3873625,4.7689795,0.25935173,-3.9778411,-16.278744,-21.160507,-11.311478,-13.888031,-4.780555,-4.903519,8.702385,56.698463,23.425175,15.157008,-2.3123622,-7.337153,16.879427,14.418888,5.162537,-1.88393,-27.646996,-26.761078,-30.1413,-28.88006,1.5200853,-12.089813,-9.190816,-11.189592,-1.5083551,10.639524,36.281597,44.894363,82.112,92.09002,75.5319,83.974266,49.491467,50.374985,60.52512,68.922615,66.40204,56.23584,38.612915,22.881817,1.4383078,-1.931709,18.232166,3.0524373,16.913902],"VNM^FG_TOTAL_RETURNC(-10AY,0,AM)":[-6.1224403,-6.666672,9.213257,2.511847,2.0804524,2.2192001,-7.620734,1.0071874,-9.306741,1.4655709,3.8451672,-8.195984,1.3348103,-8.6169,10.090089,4.5826554,-10.7981205,-8.479536,11.629391,-5.6668577,-10.49757,-9.065247,7.81734,1.7228961,-0.49399734,3.9007068,-1.6382217,7.7029824,-1.1597931,-7.887876,4.3878317,-6.9830475,-4.6647253,5.1266193,3.5767436,-1.5827298,1.096487,0.14461279,5.992782,-0.817436,-2.5412142,5.7082534,2.7999997,8.625162,1.8029809,10.988939,0.9076357,0.89946985,1.1536479,-9.175741,-5.9931574,-2.3072183,1.9266605,2.1951199,-7.517898,-2.000004,0.46083927,2.2034287,6.7226887,3.937006,-2.7971983,-1.5587568,-1.7661452,0.92995167,-4.29976,2.695763,0.8749962,1.5489459,-3.2336771,1.9727349,-6.105918,-33.37757,22.011948,8.653069,3.305781,5.4545403,-0.82758665,3.0598044,2.496624,1.8433213,8.985138,9.826195,-1.3015151,-2.1428645,8.309948,-2.7993798,6.7200065,-3.1484306,0.10319948,2.2680402,-1.0584712,6.214988,-0.38369298,-4.773736,0.5589485,-4.749876,-4.509288,-14.333332,-3.8910508,-3.7111938,9.600555,-7.225066,-14.472782,-8.299756,9.929705,2.5529742,-6.5302906,-2.1043777,4.2992234,2.2258878,5.887103,7.387662,0.5673766,4.4428825,-13.706959,2.5821567,-0.49427152,4.3068886,2.0534754,1.2908101,-8.995503],"CNYA^FMA_PE(NTMA,-10AY,0,AM,\"PORTAGG\",\"MEANR\")":[null,null,null,null,null,null,null,null,null,null,null,null,null,null,null,null,null,null,null,null,null,null,null,null,null,null,null,13.8500814876954,14.0454728586081,13.5623847013505,13.7648801481011,14.0313431092834,13.4695228843264,13.1889353920264,13.0546129871036,13.2259543670698,13.403437070849,13.2383379216025,13.8167507807045,14.0085338040852,13.935452134058,14.3515332092693,14.4283494140194,14.6994706423242,13.7153256863033,14.3351650693881,13.1143327651753,13.2436835690412,12.2920587830601,11.9740349862006,11.6483351539194,10.4459821306624,9.71449696073343,10.0671546780927,9.25500759347334,9.99064321825092,9.80649528751029,9.95436416604579,10.4598881089712,11.7236906768552,12.2838449241526,10.9778770257638,11.3777948194271,11.4221633892242,11.2678838894478,11.8783639529731,11.5975497512794,11.543027755242,12.560847466046,12.9020584914627,12.725447840417,11.462181781762,12.4502700806043,13.1504491414927,13.8738245983521,15.5474247235553,16.286043030456,16.2130969502918,16.172778486198,16.0302679025003,16.5684368429963,17.9575304388759,18.8216921864117,16.4375794922223,15.7195060740412,16.3151553479311,16.266167702431,16.0326278885455,15.2402711500199,15.3326887551888,15.2687099479172,15.0751451294717,15.4828243828261,14.7390001722724,13.989506481295,12.8872802246549,12.5683316563235,12.4243605614804,13.3180506462609,13.1835557501433,12.8191964407586,12.0341359889663,11.6738022531602,11.7725164427009,12.0845050286597,12.4848508153813,12.1787946481614,11.7486685635352,12.527907461448,12.0158166197576,12.2176610438714,11.7905137583086,11.693005519368,11.8082542901819,11.3056952220975,11.6252946229709,11.1122167077441,10.7352663592352,11.0467688345325,11.8610122281592,12.1761115883368],"EPHE^FMA_PE(LTMA,-10AY,0,AM,\"PORTAGG\",\"MEANR\")":[19.2867122571415,19.3490684587505,19.0988135208107,19.2291236435333,19.4461928174852,19.9747959091504,19.2540800128904,20.1291139002555,19.4369007907707,20.5331923410186,21.1472408682646,20.9159677301971,20.8150666100952,20.6682050330981,20.18960022849,20.1490566327406,19.6647978140566,19.270224119166,19.1039461941615,18.095413071724,18.0514983183256,16.6910087757462,17.46466795941,16.8910200352889,16.9334498796507,17.0140460478534,17.4100372474987,18.0066016837063,18.3836057057616,17.6635927956277,17.7925411380737,16.9275795072565,16.8454119637236,17.9181096841796,18.2245928325088,17.8785771847513,17.9884536324797,17.9518946688245,18.2297667178588,17.9218361143735,17.8021350744559,18.807429978145,19.5406971784705,19.2736967200825,19.502934962086,20.213665551955,19.4385026382636,19.230156994442,18.7587195943452,18.5604660060596,18.1637437663855,17.7955122519898,17.7291089052731,16.5696652824946,16.2113399799586,15.7076341238279,16.6117658310755,17.7490938435276,17.3614248376644,16.768016358853,16.6637999461895,16.461170021686,16.6287013251469,16.8700548913247,15.9342889169015,15.4527991047614,15.2020122916511,15.1022144611981,14.925942050296,14.8440959495594,13.9666795989436,12.4936745687876,12.7806348044015,13.4042159373437,15.305619168759,15.759421888147,18.026632216398,18.6489093016174,19.7447029112182,24.7539811226266,25.11024412315,25.8727249200815,24.6580433197965,22.5417270790327,21.8248731830263,21.1370284675519,21.5194520358093,20.8002597449878,20.1767701105174,20.4085423038778,21.1454165991911,20.4030815973589,20.0146997791466,19.840291060471,19.7133204765622,19.0246885552189,18.5323109192442,17.8087107977096,17.182029115861,16.5314265505019,16.5076356114916,15.5944043577935,14.38075774493,14.0323106552565,13.7817252284394,14.79948177815,13.9118509616068,13.1297971496075,12.949551790038,12.776252187462,12.162666689326,11.9099591461794,11.2777766601591,11.0812901694599,11.0959387552969,10.6196850154243,9.96958877585876,9.93654879899431,10.4349614369276,10.6903517610458,10.3215303498705],"WL-FDS^FG_PRICE_MAVG(0,,,,30)":625.09,"W-FDS^FG_PRICE_MAVG(0,,,,30)":5.4651666,"EWW^FMA_ROE(NTMA,-20AY,NOW,FY,\"PORTAGG\",\"MEANR\")":[null,null,null,null,null,null,null,null,null,null,null,null,12.2361967072767,12.6640790394995,12.8972143418882,12.0869262494349,11.7827107678683,13.687162530438,13.3394699175221,13.6990100680018],"CAGDPY@TR^EE_ACTUAL_ANNUAL(MED,0)":-5.11556268477957,"USDQAR^FG_PRICE_CHANGE(0,-6AM)":0.02746582,"USDTWD^FG_PRICE_CHANGE(0,-6AM)":0.1098752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66550129132,5.12773396532515,7.54796836303461,11.3918613613101,11.0560462201591],"KSA^FMA_DIV_YLD(NTMA,-10AY,0,AM,\"PORTAGG\",\"MEANR\")":[null,null,null,null,null,null,null,null,null,null,null,null,null,null,null,null,null,null,4.29420047613691,4.74747948856668,4.61841343589144,5.31237297909772,5.20564999675749,4.62433079560035,4.5938724304449,4.11592138406137,4.09933278824744,4.16471235485433,4.52809145204439,4.65766096999669,5.07773013456982,4.16489593320795,3.89082145041814,3.89327078783371,3.76229850007478,3.97020161387718,4.04870105116023,4.06792517556015,3.98166013901819,3.72719645420885,4.05666734163374,4.19575376664592,4.44069922326281,4.34809194475481,4.28706193929623,4.17569664680564,4.23053411055241,3.9790367888955,3.78371081141722,3.84573118783838,3.81261955392827,3.76230027104624,4.14746897139404,4.40890085934433,4.34096714588984,4.41798152362856,4.17147983160375,3.91614136620434,3.88813806913115,3.83822347194099,3.67982187089095,3.89757536175736,3.77243463257306,3.77814961090437,3.98353470641992,4.28569802558053,4.36015209378943,4.1342212367847,4.03640464070568,3.9550748119479,4.4185178751377,5.57333337754808,4.84348308220594,4.42431226703463,3.88534548316878,3.87150582321332,3.57427562253223,3.39675853529123,3.29523788562654,3.40297856385245,3.48434441497424,3.48966129645212,3.53196099722459,3.52191993976154,3.35261686559539,3.29162712400075,3.21196821025278,3.28245161743688,3.13288632897302,3.05331717536082,2.88662364874138,3.04633912246491,3.21517494722211,3.0143854012247,2.97501143276177,2.91450617954492,2.69412851105511,2.87128755947104,3.12540912346508,3.33206505640006,3.05893659573738,3.31702598808102,3.32059031423394,3.49702745357395,3.80163977434626,3.67457267082526,3.70339384238428,3.93805881704209,3.43761459692224,3.43984579529659,3.43870894264452,3.37165616911542,3.58069383906285,3.72496257950987,3.88740416173759,3.76140813219745,3.57003211887691,3.47229619227911,3.31609061731576,3.30738750393069,3.37230638198307],"VNM^FMA_PE(NTMA,-10AY,0,AM,\"PORTAGG\",\"MEANR\")":[11.913340996789,11.9748446455961,12.7374623562498,12.8716382997369,12.7231194313458,12.204395191512,11.7946747199448,11.6736275154257,11.475369768337,12.1749285776459,12.9596816426554,11.7275478955052,13.5019561693428,12.974803420946,13.8075342842759,14.7774800002214,14.1290161373395,13.6649795580947,15.4968099536097,14.5389867307254,11.6654600575256,null,14.2555815592817,14.5578946984045,12.7242354320551,12.823122414418,12.3026182081815,12.6434853462463,11.7570469034642,11.3972695235681,13.2616597343002,12.4861295106295,12.5433861743713,12.4644920843474,13.2736914088181,13.1172401789193,13.9425614030947,14.4539238657438,14.6605478033657,14.5355968797181,15.6858430957169,16.0112508811187,16.128572221112,17.0580999639639,18.3583929437309,20.6442421710167,19.7001673746152,20.9071496975531,21.0044741977439,20.6333389676332,17.9911967424071,17.2170630380384,17.7616174691116,17.5541002024797,15.2040238297189,14.9332846220441,15.457673668964,14.9438139911432,16.1410749445884,17.6485956244657,17.7738781027207,17.498752645337,16.4420604602311,15.6833232488219,14.2170749537527,14.2828827843049,14.2598339482787,14.9139675869335,14.1852982437381,13.9092949750972,13.2803834946389,11.4351332143304,13.8378111994015,14.0063671362476,15.2404493302395,15.2095458217463,14.3964890584495,15.4884220920532,15.5158470090955,15.2152206660114,16.1245946905168,17.3865489076084,17.1921291450733,16.8904966536966,17.0728022060303,16.3466147409146,18.1707510460575,16.7176621845871,16.4261922012408,16.1442812292174,16.1680817624423,15.9826282455548,16.7478559525211,15.0733441929224,15.1246788399902,14.3687649913126,13.7075236715953,12.2879048011886,11.8568909360359,10.8134419400205,11.5758040082319,11.1087595782273,10.5805383169861,10.2294442644407,11.4349097221128,11.6355458337702,12.3686393916592,12.4371789424153,13.7462983761815,14.3607315351806,14.0920282453385,13.7252441662606,13.9956502659415,14.5465289983685,13.4847140804281,13.9193567228888,13.8954229288263,14.4968430772928,14.7789865777616,16.1981970711366,15.4065911340177],"PLATI-FDS^FG_PRICE_CHANGE(0,-3AM)":5.0,"TIOS-FDS^FG_PRICE(0)/MAX(FG_PRICE(0,-1AY))":0.748820754716981,"KSA^FG_PRICE_MAVG(0,,,,60)":44.017334,"EZA^FG_PRICE_MAVG(0,,,,200)":39.41415,"EPHE^FG_PRICE(0)":25.07,"UAE^FG_TOTAL_RETURNC(0,-3AM)":-2.1476507,"MCHI^FG_TOTAL_RETURNC(0,-3AM)":7.06743,"GREK^FG_TOTAL_RETURNC(0,-3AM)":0.07801056,"EWW^FG_TOTAL_RETURNC(0,-6AM)":21.582329,"EPOL^P_PRICE(0)/P_PRICE_HIGH_PR(0,,,,,,\"PRICE\",\"INTRA\",\"52W\")":0.93242157,"CNYA^P_PRICE(0)/P_PRICE_LOW_PR(0,,,,,,\"PRICE\",\"INTRA\",\"52W\")-1":0.1441598,"URTH^PERCENT_CHANGE(FMA_EPS(+1,0,,,,\"PORTAGG\",\"MEAN\"),FMA_EPS(+1,-1AM,,,,\"PORTAGG\",\"MEAN\"))":-1.00881174015027,"VWO^FMA_COS_UP(\"EPS\",\"1M\",+1,NOW,,,\"PORTAGG\",\"MEANR\")":716.0,"EWZ^FMA_COS_DOWN(\"EPS\",\"1M\",+1,NOW,,,\"PORTAGG\",\"MEANR\")":22.0,"TUR^FMA_RBICS_REV_CURRENT(30, LOC, \"PORTAGG\")":20.6004314734115,"REFCNRMB-FDS^(SUBARRAY(NOT_NA(NO_REPEAT_F(FG_YIELD(NOW,-10AY,D))),0,1)-SUBARRAY(NOT_NA(NO_REPEAT_F(FG_YIELD(NOW,-10AY,D))),1,1))*100":-9.99999999999996,"TRYIN10Y-FDS^PCTCHG(FG_YIELD(0,,,,\"YTM\"),FG_YIELD(-3AM,,,,\"YTM\"))":-0.048814293,"EIDO^JULIAN(FMA_DIV_YLD(NTMA,NOW,NOW,M,\"PORTAGG\",\"MEANR\").DATES)":45379,"KSA^FG_TOTAL_RETURNC(0,-1AM)":-2.9713988,"SET-BKK^FG_TOTAL_RETURNC(0,-3AM)":-1.227206,"MCHI^FG_TOTAL_RETURNC(0,-1AM)":-1.8858492,"EWZ^FG_TOTAL_RETURNC(0,-3AM)":-8.508051,"EWM^FG_TOTAL_RETURNC(0,-6AM)":6.440246,"URTH^FG_TOTAL_RETURNC(0,-6AM)":15.9934635,"VGK^FMA_DIV_YLD(NTMA,NOW,NOW,M,\"PORTAGG\",\"MEANR\")":3.58646501222304,"SET-BKK^FG_FCF_YIELD_NTM(0)":5.06146290348731,"EWM^FMA_EVAL_EBIT(LTMA,NOW,NOW,M,\"PORTAGG\",\"MEANR\")":17.9776642364183,"EPHE^FG_COMPANY_NAME":"iShares MSCI Philippines ETF","KSA^FG_PRICE_MAVG(0,,,,30)":44.343666,"UAE^FG_TOTAL_RETURNC(0,-1AM)":-1.4864862,"SET-BKK^FG_TOTAL_RETURNC(0,-1AM)":-1.7980516,"GREK^FG_TOTAL_RETURNC(0,-1AM)":-4.1106043,"EWW^FG_TOTAL_RETURNC(0,-3AM)":1.5326858,"EPOL^FG_TOTAL_RETURNC(0,-6AM)":23.422623,"CNYA^P_PRICE(0)/P_PRICE_HIGH_PR(0,,,,,,\"PRICE\",\"INTRA\",\"52W\")":0.7943926,"TRYJP10Y-FDS^FG_YIELD(-10AY,0,Y,,\"YTM\")":[0.3138,0.2604,0.0315,0.0465,-0.0051,-0.0208,0.0201,0.0672,0.4224,0.6127],"CAGDPY@ID^EE_ACTUAL_ANNUAL(MED,+1)":-0.5,"USDEUR^FG_PRICE_CHANGE(0,-6AM)":-1.0980248,"USDPLN^FG_PRICE_CHANGE(0,-6AM)":-3.668642,"SET-BKK^P_PRICE_RETURNS_PR('52W',2,-10AY,0,AM)":[-7.8822794,-13.142425,1.6771436,3.1078815,6.681609,10.082483,4.0582895,11.047363,12.366474,16.616463,20.881308,11.537563,11.220348,7.4826,3.9053082,-3.6694288,-11.00586,-12.240017,-7.0615587,-12.929487,-15.286886,-17.966843,-19.246609,-9.698993,-10.727251,-7.276833,-6.1704993,0.35378933,12.705719,7.039356,4.170954,7.04813,17.195488,25.362825,22.458422,13.098108,12.557459,10.380578,11.719894,5.329764,1.2617946,12.922311,15.565741,15.980601,13.215017,16.561054,14.58329,16.358494,12.521434,13.473881,6.539476,4.093492,7.7179074,4.4437885,-1.4418483,-3.3259451,-8.152187,-12.947142,-9.423614,-10.718309,-5.4505644,-8.170968,0.23337603,5.3544044,-2.948314,-5.175358,-3.0589879,-1.6513765,-1.2285292,1.2769699,-7.4603615,-35.202183,-25.93593,-19.997389,-18.449747,-20.90177,-18.46819,-22.111189,-24.52063,-15.13744,-5.2029076,-5.6451797,-0.17507076,49.675133,29.063856,21.784962,17.48023,16.80516,16.672302,26.56883,33.25335,20.990192,10.636902,9.942186,13.37961,6.991887,7.689035,3.4165144,-3.6015213,-1.8775702,5.4257035,-0.07966757,-3.2580674,-2.0375311,-1.5990794,1.5160084,-3.5002708,-7.0218086,-4.448885,-5.77907,-0.109535456,-0.6156087,-7.148224,-6.307048,-9.589654,-12.332887,-13.93444,-18.245083,-16.403645,-11.366213,-14.60802],"EIDO^FMA_PE(LTMA,-10AY,0,AM,\"PORTAGG\",\"MEANR\")":[15.7437423780365,15.7703186710426,15.4743432883062,15.8008753441489,15.9294883367803,15.9412337458988,15.896663151606,16.0872926816006,16.6100997673079,16.6690620800283,17.7556124243023,17.8869628250073,17.8008324346129,17.4949706912407,17.0304662147191,16.8268583675978,16.2177719797437,15.8215603905147,16.3381128166099,16.2456243308863,15.7986612129838,15.9414047993457,16.822762598546,16.8355097600451,16.6713742858443,16.3289831494955,16.5335784164228,17.1941217565881,18.0903131828085,17.6236908650807,18.3662199041819,17.1159082846515,17.3348753503809,17.7277430246406,17.5651246521615,17.5090147983414,17.3375450607249,17.3016195682143,17.2621129963733,17.3425066410833,17.3356003359079,17.1739759074583,17.3450613892638,17.3364580759484,17.3437163783742,18.3307823683631,17.8494631541533,17.4315487692011,17.2767421239673,16.4068307984122,16.2390703132329,15.6767437456039,15.5591073194015,15.2590829815009,15.0938822338818,15.6243955580947,15.4235954437307,16.4321237215147,15.7545144494723,15.9147470545852,15.755407035165,14.9630766041044,15.4249010866126,16.014966617622,15.836604478639,16.0028999668204,15.9073852116549,16.1350659583894,16.7570939041681,17.5387959743094,16.432279794063,14.255533717703,14.2248862529076,14.4579224921895,16.442839739367,17.2319971436305,18.523344705387,18.357434207611,19.4539756279404,22.2889150869759,26.1366572044874,25.8672002045072,24.1808487951857,23.7693738384561,23.0075383946551,22.0027060959364,21.2456348608542,20.4347044948871,20.1024713044675,19.3301172730702,19.6960325927375,18.0633045088667,17.1385322806067,16.9018084436581,17.3597099202146,17.2868471298465,16.9420125302126,16.2862734433097,15.5724901027013,14.872655721258,14.9176418471668,14.6311599363719,13.5971549054277,13.3133602378342,12.7100510218622,12.1764421207123,12.4240757561,11.98695577943,12.1527988842019,12.059747343667,13.0402822889052,13.1785410446973,13.3924293857721,13.4323946038228,13.2111735307624,13.2817878150657,13.5734042174032,14.0184522843598,14.4413576669619,14.0888992026858,13.882490911276],"WL-FDS^FG_PRICE(0)":568.9,"W-FDS^FG_PRICE(0)":5.3675,"FC0000TR^FG_PRICE(0)":234.78787,"FC0000PH^FG_PRICE(0)":311.1771,"EWT^FG_PRICE_MAVG(0,,,,30)":48.494,"EIDO^P_PRICE(0)/P_PRICE_HIGH_PR(0,,,,,,\"PRICE\",\"INTRA\",\"52W\")":0.84301853,"URTH^FMA_PCT_ABOVE_MAVG(200,0,,,,\"PORTAGG\")":66.3934426229508,"SET-BKK^FMA_COS_UP(\"EPS\",\"1M\",+1,NOW,,,\"PORTAGG\",\"MEANR\")":60.0,"EPOL^FMA_COS_DOWN(\"EPS\",\"1M\",+1,NOW,,,\"PORTAGG\",\"MEANR\")":9.0,"KSA^FG_ROE(0)":10.6554395702785,"EPHE^FG_ROE(0)":12.37237537183,"TRYTW10Y-FDS^FG_YIELD_NAME":"Taiwan China Benchmark Bond - 10 Year","REFTR1WREPO-FDS^(SUBARRAY(NOT_NA(NO_REPEAT_F(FG_YIELD(NOW,-10AY,D))),0,1)-SUBARRAY(NOT_NA(NO_REPEAT_F(FG_YIELD(NOW,-10AY,D))),1,1))*100":500.0,"REFEUREFI-FDS^PROPER_NAME(0,,,\"SECURITY\",\"NAME\")":"Eurozone Main Refinancing Operations Minimum Bid Rate","REFMYON-FDS^FG_YIELD(NOW,,,0)":3.0,"TRYIN10Y-FDS^PCTCHG(FG_YIELD(0,,,,\"YTM\"),FG_YIELD(-1AM,,,,\"YTM\"))":1.2146031,"TRYPL10Y-FDS^PCTCHG(FG_YIELD(0,,,,\"YTM\"),FG_YIELD(-3AM,,,,\"YTM\"))":9.512426,"TRYAE10Y-FDS^FG_YIELD_NAME":"Treasury - United Arab Emirates USD Benchmark Bond 10Y","TRYKR10Y-FDS^FG_YIELD(0,,,,\"YTM\")":3.5651,"TIPSCL10Y-FDS^FG_YIELD_NAME":"Treasury - Chile Inflation-Indexed (TIPS) Bond 10Y","CC_MY^IMF_IFS_RCPI_Q(0)":null,"VNM^JULIAN(FMA_DIV_YLD(NTMA,NOW,NOW,M,\"PORTAGG\",\"MEANR\").DATES)":45379,"MCHI^FMA_PE(LTM,0,,,\"PORTAGG\",\"MEANR\")":12.7597852518373,"EZA^FMA_EVAL_EBITDA(NTMA,0,,,\"PORTAGG\",\"MEANR\")":7.74126213008124,"EWY^FMA_PE(NTMA,0,,,\"PORTAGG\",\"MEANR\")":10.2084010963625,"EPOL^FMA_DIV_YLD(NTMA,NOW,NOW,M,\"PORTAGG\",\"MEANR\")":4.89190910053165,"VNM^FG_COMPANY_NAME":"VanEck Vietnam ETF","EZA^FG_PRICE_MAVG(0,,,,60)":38.784668,"EIDO^FG_PRICE_MAVG(0,,,,200)":22.27945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3134823894,11.6209108675926,14.724411980088,12.9407920839873,11.9152161134331],"CAGDPY@TH^EE_ACTUAL_ANNUAL(MED,+1)":2.4,"USDSAR^STD(FG_PRICE_CHANGE(0,-3AY,M))":0.0431109638636383,"USDAED^FG_COMPANY_NAME":"UAE Dirham per U.S. Dollar","USDQAR^FG_PRICE_CHANGE(0,-3AM)":0.0,"USDBRL^FG_COMPANY_NAME":"Brazilian Real per U.S. Dollar","USDTWD^FG_PRICE_CHANGE(0,-3AM)":2.3899674,"USDIDR^FG_COMPANY_NAME":"Indonesian Rupiah per U.S. Dollar"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659653832585,23.2814278835731,19.7583566298998,36.4008265142301,47.7168770163727],"TUR^FG_TOTAL_RETURNC(-10AY,0,AM)":[17.264425,3.3434749,3.9705873,4.3847203,-7.295245,-3.2479584,-3.625548,9.116232,-2.2254646,5.279851,-7.7441034,-10.122937,-1.1754632,11.483562,-11.328804,3.555727,-16.06834,-6.23551,11.459196,3.8461447,-12.4406395,-6.8874955,6.4083815,18.094719,5.9805274,-15.835524,1.7151713,1.8768549,1.6410232,-4.364276,-1.1606395,-11.82279,-1.4225245,-1.072079,12.092018,1.5807033,1.1739016,5.153799,7.6469064,6.9500804,0.9369254,-0.022637844,-5.1856875,-5.5170717,4.7017097,8.08264,0.7168412,-5.1823797,-4.152006,-18.379837,-11.454267,-3.859365,-22.75536,1.035285,15.463448,2.7430296,-3.0374467,9.382618,3.8618565,-2.2524118,-11.6313095,-13.990063,14.227605,12.321663,-4.849887,4.2071223,-5.2795053,9.836065,-0.5036533,10.769808,-5.2379313,-33.959538,10.175049,4.170811,9.310854,3.5996437,-13.855934,-1.869154,0.7017493,12.842215,10.019398,10.096539,8.841801,-4.800272,-16.149504,0.588727,-7.2716594,-1.0213614,7.879925,-3.2608688,-8.089882,5.281174,-20.174616,13.267088,3.8183808,-3.0815125,19.692314,-12.8963175,-2.5239527,-4.87805,19.639933,9.94072,11.903774,11.934769,16.572046,2.8261542,-5.4136634,2.8764248,-3.6804616,-12.381512,2.6515841,1.467073,17.854738,3.2239676,-0.7186353,-2.11581,-2.445966,-0.5899787,13.900412,-10.226387,9.275365],"VNM^FMA_DIV_YLD(NTMA,-10AY,0,AM,\"PORTAGG\",\"MEANR\")":[3.5200057640271,3.49412409445649,3.03216132490548,3.47747513251527,3.40202072852364,3.35334703513347,2.95908303817102,2.95142703269469,3.42021413364255,3.02455429132026,2.95935290456168,3.06197019815305,2.93282452830795,2.82783648804957,2.77379101025554,4.14815619479581,3.90582848179013,3.59926456356795,3.02964857633873,2.99333407286872,2.74308481790733,null,null,2.72272928974773,3.11052129949917,3.14487474839181,3.25522395616727,3.08195878665171,3.01272170131768,3.28934241415557,2.59451055226831,2.66682466436244,2.90621293601166,2.89456241881118,3.05556637747703,2.9990710541441,2.65065803600327,2.38634273304137,2.00507333143532,1.61274115216492,1.76684506354282,1.71718606936538,1.86355372799909,1.91777624901664,1.66360190247411,1.54764280692054,1.81365169415972,1.66913273267879,1.90369816592183,1.74168276279057,1.60501104215392,1.79616364727527,1.51602796850531,1.73471224707454,1.71972524078413,1.97359077317909,1.56733643745118,1.7909513862762,1.73042350809203,1.58697539426747,1.59451659741918,1.52507640090095,1.63065517721819,1.78540637895559,1.9296630082448,1.88729491767557,1.83335759794364,1.68188643730239,1.61679880750034,1.49597976014791,1.55212508989675,2.03515811743189,1.86996616040809,1.66068373004499,1.35962165417474,1.36211084656047,1.39905843746182,1.29966457455912,1.34302974917722,1.33704065659009,1.22525497678663,1.14389172889483,1.18024879243529,1.16746220349162,1.1291390071621,1.21997481669363,1.21571532612557,1.42289338011281,1.4164518024174,1.38742215910019,1.42270180366986,1.35832141516672,1.49641966948078,1.58097612840908,1.68370543285006,1.82603732556838,1.66567620839856,1.83203987358267,1.93318143088679,1.95834494579692,1.91582686997958,1.98134720072978,2.46744240663898,2.58118127534687,2.74594406672498,2.64901470713659,2.56749621842434,2.45542535800974,2.48882958886852,2.53206485002144,2.59064496316789,2.60666531972366,2.55466088080445,2.63838591076353,3.13530436924477,2.8620937845771,2.99276882480235,2.7553412622541,2.77391612489346,2.29531055440262,2.41076057328158],"UAE^FMA_PE(NTMA,-10AY,0,AM,\"PORTAGG\",\"MEANR\")":[null,null,14.881458773364,14.9309503090862,14.8070223041751,15.4646407396082,13.168143197639,14.3895476286626,11.4565733061913,11.8648387486469,12.825333020292,11.4423248259491,13.7690440242599,13.9129542259067,12.9593506983145,12.986024869343,11.6540497734614,11.9587812688973,12.2140115123307,10.5739327222479,10.6569439235031,10.5068222604021,10.8744842922359,12.5149723748218,13.2756169537707,12.5822775402072,12.2049712234254,13.033714888646,12.6695453452161,12.1977333338052,12.0428715736635,11.4954053625686,11.6151234202061,12.2165678577967,12.41047611544,11.9461344128287,11.9918389086298,11.7582731383624,11.3249102422058,11.6753635514892,11.6590966084659,11.223993389086,11.4660320739569,10.7581234967223,10.8721979491861,11.6440763710311,11.2272114129561,10.9948478517939,11.3496007582068,10.5543339892876,10.8552098695051,11.2417111447383,11.1049123000374,11.8897961209712,11.5539191169851,11.9549923224593,11.1057414934917,10.8262752635315,10.8327181709897,11.9232803310653,12.2003979170539,10.787377731115,11.5619026781663,11.9946376143629,12.2216151949673,12.9920015600898,13.2143654764733,13.225589931374,13.8445021097038,13.8579964019212,12.7922314800277,8.59075954624816,14.1370324979449,15.6217180308774,17.3724939831742,16.3948576997962,13.746406720071,13.9507570575322,12.3332910888812,15.9471901257206,15.4945525453735,15.6982114013043,15.114117991493,15.3726986316837,14.1706649499181,14.3134684444406,15.0821755500173,14.2875653915374,14.6173599306583,14.7478241527882,14.5934149791916,16.075909900974,16.505792946027,15.4382073883679,15.7388866128649,15.9891842839623,16.4491011023619,14.8133834344329,13.4235947805851,12.7988625752785,13.4900280427998,13.365147096456,12.4507658470661,12.3806320222815,12.1546246042866,12.1621022107333,12.0893469515157,10.8822992430503,11.3146713659015,11.0234395208669,11.1444175022158,11.4458574160669,11.3021917973215,11.0000210203929,10.2335947566867,10.3870938803016,10.2548246201774,10.542264174489,10.2362120002613,9.60731102569698,9.43922459919065],"PLATI-FDS^FG_PRICE_CHANGE(0,-1AM)":1.06951871657754,"TIOS-FDS^FG_PRICE_CHANGE(0,-1AY)":-10.2958284859565,"EWM^JULIAN(FMA_ROE(NTMA,-20AY,NOW,FY,\"PORTAGG\",\"MEANR\").DATES)":[38352,38716,39080,39447,39813,40178,40543,40907,41274,41639,42004,42369,42734,43098,43465,43830,44196,44561,44925,45289],"TRYAU10Y-FDS^FG_YIELD(-10AY,0,Y,,\"YTM\")":[2.81,2.88,2.76,2.63,2.315,1.375,0.972,1.671,4.051,3.955],"USDSAR^STD(FG_PRICE_CHANGE(0,-1AY,AM))":0.0483937277345659,"USDEUR^FG_PRICE_CHANGE(0,-3AM)":1.8394232,"USDPLN^FG_PRICE_CHANGE(0,-3AM)":0.33231974,"QAT^P_PRICE_RETURNS_PR('52W',2,-10AY,0,AM)":[null,null,null,null,null,null,null,null,null,null,null,null,null,-3.4771562,-3.7520409,-9.465581,-13.815719,-19.081974,-8.746803,-22.112852,-18.58114,-23.72176,-20.67871,-10.677796,-13.362056,-19.87275,-16.978,-12.324304,-1.5006661,-7.711017,-7.7987313,-4.184169,5.4581046,23.511087,12.996459,0.25583506,6.573355,3.801,0.41359663,-4.3582497,-16.151398,-15.373373,-18.843508,-22.451735,-13.191223,-10.290056,-13.5638,-10.681671,-11.376887,-8.343416,0.2827406,1.7144918,7.464659,16.504728,24.319136,46.684967,26.753378,21.266472,14.401174,15.950787,16.776525,11.0942955,14.6565075,10.176479,-0.10357499,6.3191175,4.147053,-2.3332655,-2.6275814,-3.9188683,-2.5587916,-16.790659,-13.893682,-5.7003617,-6.7776737,-2.9235303,8.975136,3.9891362,3.8375616,4.61818,7.691622,7.533872,11.815739,30.031036,29.212904,24.883211,17.758633,14.739096,16.253674,12.7144575,18.652582,19.303703,12.227285,17.116463,26.23893,32.5544,29.617548,20.78079,16.46105,12.697554,24.287106,16.928768,6.6779137,2.2253036,-4.2423544,-13.912815,-15.626269,-24.24034,-24.168074,-12.077284,-10.444522,-8.820253,-19.564236,-17.239874,-18.572437,-11.859667,-4.75688,0.99031925,-1.0752678,7.4899435,0.44510365],"KSA^FMA_PE(LTMA,-10AY,0,AM,\"PORTAGG\",\"MEANR\")":[null,null,null,null,null,null,null,null,null,null,null,null,null,null,null,null,null,null,null,null,null,11.7929194961715,11.1669074043934,11.8033989922631,11.952694713207,12.4406243186758,12.7448847562232,13.0289036538939,12.7826490205322,12.8853663981605,12.0567332240588,13.9553568358771,14.957079204894,14.6828382870619,15.3127913489727,15.3474771819022,15.1538396954899,15.0317938294016,14.9360929814188,15.353376185266,15.0257468088265,15.1520270229239,14.2937138042882,14.2644436978604,14.495319048007,15.2395293862862,15.1638314019045,15.1733050511349,15.3288713814211,15.2966683315114,15.476362161049,15.6420796286788,14.8330708820394,14.5381799806291,14.715553584984,14.6723373130585,15.6422880786208,16.8566496734161,17.567304559385,17.2506770744538,17.5422659581207,17.1423795560315,17.5027025261723,17.6553534645121,17.7473080339651,17.8299796349805,17.8170223141703,18.5005165571151,19.6054605129537,20.2444810821466,18.2232251828248,17.028554768778,17.5019593713419,18.4959914032866,19.4395003119628,19.799341273037,20.9785243635878,24.3711002665434,25.9918562059268,26.9654330654694,28.2855289967611,29.1404225386867,26.5668131591645,26.2018541828217,25.6836176035265,25.0222517131656,24.5087838852368,23.6804515770967,23.3446094597982,22.6314214826175,22.2447959697718,21.1975168880498,19.8212980030091,21.1009780636574,21.4221181279028,21.3415164722482,21.3468230381295,20.3234277392663,19.4591547066226,19.0252077464065,19.1585322174228,18.1478548586206,17.5354218798422,16.8436848048914,15.3794709796337,15.8658959363573,15.8637741254669,15.1200888088379,15.7711663131994,16.1466529863595,16.6708345186171,17.3701001925401,17.6831490388947,17.4452090712349,17.4174843034793,18.5021481716619,20.2271228822899,21.0929534990425,21.5670792294633,21.7042710012326,21.4171880739277],"ECH^FMA_PE(LTMA,-10AY,0,AM,\"PORTAGG\",\"MEANR\")":[15.6804360516041,15.8634635294108,15.8608115779745,16.2429579890756,16.5072253212311,16.5759126873308,15.9503131629912,16.4729846021348,16.5123787654125,15.8195303560521,16.7710152279911,16.4570774452319,16.4125894930093,16.4822811838958,16.0810158865101,15.4629178595361,15.1873053484214,15.2491403495275,15.5300597461282,15.9533104751634,16.1911612172335,15.0357859978968,15.9157414722057,15.5052879218636,15.4067798382634,15.2381070178044,15.0581759543624,15.6852227278986,16.0112796871015,15.9132599866376,16.7512499372745,16.5210429490199,15.7173605005766,15.9257945465215,16.6580976431446,16.8913525316466,17.1548103906497,17.1243870173514,17.2597546538869,17.9614092759218,18.6637709372066,19.8124534591969,18.1180812753764,17.7309264664813,18.1767539837664,18.644859497051,17.7731302512759,17.403595880641,17.1214397853161,16.576042224374,15.6812116030079,15.2329281763352,14.9892561298481,15.3000652249413,17.0578716955294,17.5421625913305,16.499133914358,17.9570462244064,17.9091967838578,15.8345451400402,15.7366059194631,15.4770310117659,15.7850354548395,16.0442753811193,15.2364089401442,16.5962226897398,17.257701474651,15.9443230409394,15.8218559248257,15.8187486157745,14.4296613814745,14.6823467426219,15.0457315775878,15.5028218064061,16.5983664857315,17.2611759547868,19.6738581593617,19.156203054582,19.6346614063867,22.6066311606968,24.4593752295033,24.1942776128309,26.1714157673701,31.5564713258596,29.6861737272538,26.6584252562034,24.5397708729601,22.2318377908955,19.779897903225,17.7221313433416,14.7892171664223,12.4357288277889,10.304767456444,9.50394748245626,9.5141230796243,9.86291314331253,9.76959852321252,9.46553284627795,8.21553395742917,7.71208829567127,7.35583542443636,7.83346265691851,7.15866531268849,5.86246720152969,5.50410130679804,5.63449268773716,6.00289673766216,5.82892355392102,6.17133148658655,6.63045977265721,6.81181734648101,7.71142584264075,7.82948341550506,7.9337290246761,7.995594142972,8.19762712442327,8.4256566987584,8.42839165002412,8.98482666740024,7.34553509233567,7.4115865748896],"PASP-FDS^FG_PRICE_CHANGE(0,-1AY)":-35.1681957186544,"BRENT-FDS^MAX(FG_PRICE(0,-5AY))":140.85,"QAT^FG_PRICE_MAVG(0,,,,200)":17.641172,"EWT^FG_PRICE(0)":46.69,"KSA^PERCENT_CHANGE(FMA_EPS(+1,0,,,,\"PORTAGG\",\"MEAN\"),FMA_EPS(+1,-3AM,,,,\"PORTAGG\",\"MEAN\"))":1.33146622112402,"SET-BKK^PERCENT_CHANGE(FMA_EPS(+1,0,,,,\"PORTAGG\",\"MEAN\"),FMA_EPS(+1,-3AM,,,,\"PORTAGG\",\"MEAN\"))":-3.25100025850264,"MCHI^PERCENT_CHANGE(FMA_EPS(+1,0,,,,\"PORTAGG\",\"MEAN\"),FMA_EPS(+1,-3AM,,,,\"PORTAGG\",\"MEAN\"))":-4.20483126536305,"EWZ^FG_TOTAL_RETURNC(0,-1AM)":-5.876833,"EWM^FG_TOTAL_RETURNC(0,-3AM)":3.3922553,"EIDO^FG_TOTAL_RETURNC(0,-6AM)":-1.2247622,"URTH^FG_TOTAL_RETURNC(0,-3AM)":4.4309974,"VWO^PERCENT_CHANGE(FMA_EPS(+1,0,,,,\"PORTAGG\",\"MEAN\"),FMA_EPS(+1,-1AM,,,,\"PORTAGG\",\"MEAN\"))":-13.2809604611122,"QAT^SIZE(FG_CONSTITUENTS)":34,"EPOL^FMA_COS_UP(\"EPS\",\"1M\",+1,NOW,,,\"PORTAGG\",\"MEANR\")":13.0,"VNM^FG_ROE(0)":9.16036961877221,"EIDO^FG_ROE(0)":11.9277721101005,"TRYMY10Y-FDS^FG_YIELD_NAME":"Treasury - Malaysia Benchmark Bond 10Y","REFTR1WREPO-FDS^FG_YIELD(NOW,,,0)":50.0,"REFZAREPO-FDS^(SUBARRAY(NOT_NA(NO_REPEAT_F(FG_YIELD(NOW,-10AY,D))),0,1)-SUBARRAY(NOT_NA(NO_REPEAT_F(FG_YIELD(NOW,-10AY,D))),1,1))*100":50.0,"TRYGR10Y-FDS^PCTCHG(FG_YIELD(0,,,,\"YTM\"),FG_YIELD(-3AM,,,,\"YTM\"))":5.0118594,"TRYPL10Y-FDS^PCTCHG(FG_YIELD(0,,,,\"YTM\"),FG_YIELD(-1AM,,,,\"YTM\"))":3.3075302,"TRYTR7Y-FDS^FG_YIELD(0,,,,\"YTM\")":24.072645,"TRYCN10Y-FDS^FG_YIELD(0,,,,\"YTM\")":2.2661,"TRYEU10Y-FDS^FG_YIELD(-10AY,0,Y,,\"YTM\")":[0.5475,0.636,0.2082,0.4294,0.239,-0.189,-0.575,-0.181,2.533,2.004],"CAGDPY@TH^EE_ACTUAL_ANNUAL(MED,0)":1.19750030313238,"CAGDPY@CL^EE_ACTUAL_ANNUAL(MED,+1)":-3.55,"USDTRY^STD(FG_PRICE_CHANGE(0,-3AY,M))":7.54164088201957,"USDKRW^STD(FG_PRICE_CHANGE(0,-3AY,M))":3.01225887495795,"USDCLP^STD(FG_PRICE_CHANGE(0,-3AY,M))":4.36671661427803,"SET-BKK^FG_TOTAL_RETURNC(-10AY,0,AM)":[2.629137,-0.27818084,3.2805324,5.6533217,0.5836606,2.7146697,-3.5045445,3.4381986,-4.0777326,0.06263256,5.6267858,-4.468733,2.3081899,-3.6021292,-0.15690923,-1.9051194,-7.2128296,1.2902379,2.018249,-2.9301047,-6.674796,-3.1029165,3.9789557,6.8261027,1.1432052,0.12367964,1.4866114,4.9728513,3.6870003,-4.3917,-0.1034379,-0.24906397,3.3008575,2.5168896,1.0898113,-1.0685503,0.861001,-1.8127322,1.9859195,-0.3209412,-0.31752586,6.6178083,2.235067,0.1083374,0.8383155,5.5467606,-0.73818564,0.32504797,-2.2188365,-0.98162293,-4.2464495,-2.6094317,3.3126593,3.2176733,-3.5261035,-2.846855,-3.1688094,0.036644936,3.2795072,-1.1089981,3.5503864,-3.9934337,4.6943307,2.366352,-5.340475,1.3938904,-1.3729155,-1.436168,-2.7524889,2.349496,-5.423367,-30.754852,18.231165,3.8160563,6.719625,-0.9759784,-2.1675766,-3.1365812,-4.2463837,10.611332,8.631897,1.8719912,0.059604645,3.824532,-1.2659192,1.1517406,2.947402,-2.3937047,-1.4291406,4.754269,1.1238575,0.43189526,-0.5626857,1.1292934,3.188026,-2.0248652,-0.6225705,-2.8614163,-3.7609577,-0.93497634,5.9075117,-0.3465593,-2.4558425,1.6989827,0.10077953,4.103124,-2.003628,-5.32794,1.9300699,-4.2136965,2.141893,-1.5448332,-1.0538697,0.55624247,-5.873376,-1.5349269,-1.5800476,-1.1109412,0.6052494,-0.023812056,-1.7980516],"TUR^FMA_PE(NTMA,-10AY,0,AM,\"PORTAGG\",\"MEANR\")":[10.4336745338638,10.4829715735827,10.4818093327091,10.8905495978136,9.98756512140164,9.79670788457188,9.49224516641816,10.1067940159607,10.2219624533536,10.7551082482589,10.5144338781864,9.80326215525018,10.0604018131133,10.8714350553543,9.93907055153425,9.98283093551732,9.02248916352941,8.92475458111996,9.24993478957793,9.38726523978514,8.24796757776098,7.99406386727756,8.33283016815222,9.28209980035454,9.42254323628296,8.45301973793533,8.1618370031192,8.28532433847657,8.44575297775118,8.2455665342079,8.29250663182948,7.70074457444191,7.68921707414215,8.08724520713452,8.6423529837716,8.55348959048189,8.44624529722153,8.57153155000002,8.56005218274547,8.88985536689853,8.54420577807073,8.3494492086029,8.21462352007367,8.01638829958981,7.91854993110828,8.27021375080591,8.0900156144236,7.94841788281917,7.46839869857083,6.7291145030929,6.13577109846178,5.97164557694507,5.71468686541867,5.90848263964936,6.1077261956729,5.74315710231343,5.93007994360784,6.84228789649919,7.08567069049646,7.28863928080979,6.31080147274818,5.60049207781887,6.16346991385466,6.53234600002272,6.25789216800859,6.40961096438337,6.06573345899039,6.33782746280113,6.34576533673099,6.77014972873887,6.5877363219665,4.88515622771718,5.889639411704,6.94574798448442,8.32433255790033,8.38443402084842,7.71286934043337,7.50646387829296,7.68699671497188,8.13501189059139,7.80935869323849,7.8337100526554,7.34369346569397,7.38967766561149,6.35144210860013,6.34668127499866,5.84824028303584,5.53722139494622,5.48647986450391,5.26329901982502,5.09978249200857,5.91734264220592,6.48543394975834,5.44897415054272,4.58168783240002,4.64877426249647,5.17335692293895,4.38346217925952,4.82426979964986,4.25179976737141,4.51332429693141,4.72089434720909,4.90820559175962,5.24111271224208,5.54630241281755,5.55168642331843,4.98500118979521,4.98773079258878,4.69637562386252,4.05289749029707,4.91888638830917,5.45549465383582,5.97869731370294,5.61293025101573,5.53700263122815,4.85958741580417,4.6243850987044,4.71416828168158,5.3434517258969,4.88302642437406,5.3949236640789],"PLATI-FDS^FG_PRICE_MAVG(0,,,,30)":938.13336,"TIOS-FDS^FG_PRICE_CHANGE(0,-6AM)":-9.29333669439543,"TRYVN10Y-FDS^FG_YIELD(-10AY,0,Y,,\"YTM\")":[7.3,6.277413,7.1117578,5.6717234,4.738006,3.5404546,2.4877946,2.059403,4.687226,2.9473283],"USDTRY^FG_PRICE_CHANGE(0,-6AM)":15.986431,"USDKRW^FG_PRICE_CHANGE(0,-6AM)":1.7338991,"USDCLP^FG_PRICE_CHANGE(0,-6AM)":3.006351,"MCHI^FG_TOTAL_RETURNC(-10AY,0,AM)":[5.1620364,-0.7704139,5.30169,2.4872541,6.9325566,-2.6557326,-5.1755247,1.9674182,1.9962907,4.5986533,2.433753,1.3795733,15.705919,-0.21235347,-5.369127,-7.787955,-8.206969,-7.5985966,9.318436,-3.4955025,-3.9398432,-15.48335,1.3227463,10.052228,3.89086,-8.951818,2.2824168,9.249806,7.302737,1.5802741,0.10371208,-6.0712757,-2.911985,6.4769506,5.6022406,2.6321173,-1.2723625,5.678618,2.7058005,7.4282885,3.4142017,7.692313,3.0034184,2.084899,-1.9535303,10.931576,-1.8056571,1.965189,-6.7180576,2.0661235,0.44822693,-7.3301673,-7.0068717,-2.5843263,-9.078383,6.9533944,-4.1548433,6.662929,2.8871298,6.5816283,3.5423636,-11.111111,0.8454919,2.647066,-6.674534,6.122446,-1.7528892,2.7195573,7.9146624,6.3554645,-3.8849413,-19.222462,14.915967,4.204762,4.3108463,9.192753,4.0196776,-0.027030706,5.162859,2.6474833,1.3617516,6.609416,10.799766,-11.180192,-2.4913967,-2.786231,0.7437706,-2.8759956,-12.447119,0.893116,2.6556253,-3.4209728,-8.444511,1.2723446,-2.0833373,-10.573328,-5.9026537,-6.6203413,9.732998,-1.1936307,-6.3854275,-5.3871393,-11.279493,7.5158715,9.036409,11.026621,-4.4140043,-6.3694296,5.654764,-6.599605,3.6065578,-4.638958,-4.6445074,1.8928885,-4.3044806,2.4384499,-5.5696783,-7.330757,5.0365567,3.8927555,-1.8858492],"QAT^FMA_PE(NTMA,-10AY,0,AM,\"PORTAGG\",\"MEANR\")":[null,null,15.2264854321487,15.8135612087406,16.0096483699728,16.1312389950942,14.5630225522606,15.1409156917883,12.3758981227572,13.3506664029115,13.9975278887764,12.8188031292583,13.308492723342,13.7057685245544,13.1146954832892,13.4224668322726,12.8666587463514,12.6773699049401,12.8665511197149,11.904360080069,10.1023022231707,10.2101735179562,11.5011108194353,12.1761635537777,12.2422125058341,11.6812715955601,11.6985473208104,12.5555126964517,13.6493772899908,12.8487988942578,12.9913093303261,12.1909818873993,12.9373656813778,13.7897280497861,13.4409867796861,12.7918310245181,13.1020053981824,13.0338410236465,12.2972789935589,12.3073310194879,12.101783107213,10.7367937031044,10.7183107540422,10.8631341534545,11.4284280320538,12.3636834472046,11.6819665172141,11.2674250618214,11.5270884358979,11.2761461153949,11.3707242467246,11.5558029216252,11.9207790361592,12.4022659862354,12.6894354007422,12.812483997434,13.1231800664832,13.5428392907554,12.4303379523311,12.4677118785625,12.9962644744029,12.170677221671,13.0438206764936,13.3115234487672,12.1668059470565,13.4875036376243,13.6425230361022,13.2210676211205,13.7171819784842,14.2186545133171,13.0079259482272,11.7262539365635,12.3037472347858,13.7443655735223,14.7275830750282,15.0764675781205,15.6770369783221,15.2475068020761,15.5297693414096,15.2248392304765,14.3315133225311,14.5416431230183,13.4700859950704,13.4922349382203,13.9954084314394,13.8812600440257,13.5269807528396,13.0227591643071,13.4476637028857,13.2319191044104,13.3827099552327,13.6621306282737,13.1443345649706,13.9525318785132,13.6645929212682,14.1950607397659,14.0733843837809,13.058374826146,12.1075388375578,12.3041571621443,14.2862437500818,13.1982022803935,12.5981953455907,12.639232483208,11.5021569341794,11.0831664560403,11.1677464538976,10.4911925378643,10.6075991757183,11.3452584332889,11.231356362982,11.186632261391,11.3329025335136,10.8460142145147,10.4505695632937,10.7528516656098,10.2723370080645,10.7332498920387,10.5547570925604,10.5175773424597,10.1685685834051],"CPALM-FDS^MAX(FG_PRICE(0,-5AY))":8163.0,"TIOS-FDS^FG_PRICE_CHANGE(0,-1AM)":-2.28116230650856,"FC0000TW^FG_PRICE(0)":339.9226,"VNM^FG_PRICE_MAVG(0,,,,60)":13.251833,"EWZ^FG_PRICE_MAVG(0,,,,200)":32.34835,"EIDO^FG_PRICE(0)":20.89,"VNM^FG_TOTAL_RETURNC(0,-12AM)":5.5269957,"QAT^FG_TOTAL_RETURNC(0,-12AM)":0.44510365,"GREK^FMA_PCT_ABOVE_MAVG(200,0,,,,\"PORTAGG\")":65.5172413793103,"EWW^PERCENT_CHANGE(FMA_EPS(+1,0,,,,\"PORTAGG\",\"MEAN\"),FMA_EPS(+1,-1AM,,,,\"PORTAGG\",\"MEAN\"))":-0.970628375248747,"EPOL^PERCENT_CHANGE(FMA_EPS(+1,0,,,,\"PORTAGG\",\"MEAN\"),FMA_EPS(+1,-3AM,,,,\"PORTAGG\",\"MEAN\"))":-0.642927876658953,"CNYA^PERCENT_CHANGE(FMA_EPS(+1,0,,,,\"PORTAGG\",\"MEAN\"),FMA_EPS(+1,-3AM,,,,\"PORTAGG\",\"MEAN\"))":-7.27897336566593,"VWO^FG_TOTAL_RETURNC(0,-3AM)":4.5274973,"KSA^SIZE(FG_CONSTITUENTS)":122,"EWY^FMA_COS_UP(\"EPS\",\"1M\",+1,NOW,,,\"PORTAGG\",\"MEANR\")":29.0,"INDA^FMA_RBICS_REV_CURRENT(30, LOC, \"PORTAGG\")":29.4085045540727,"TRYPH10Y-FDS^FG_YIELD_NAME":"Philippines Benchmark Bond - 10 Year","REFTHREPO-FDS^FG_YIELD(NOW,,,0)":2.5,"EZA^FMA_PE(LTM,0,,,\"PORTAGG\",\"MEANR\")":10.7912225749682,"EWW^FMA_EVAL_EBITDA(NTMA,0,,,\"PORTAGG\",\"MEANR\")":6.06773096218205,"USDSAR^FG_PRICE_CHANGE(0,-1AY)":0.015997887,"USDCNH^FG_PRICE_CHANGE(0,-6AM)":-1.0595858,"USDMYR^FG_PRICE_CHANGE(0,-6AM)":0.82200766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211778098761,14.9233563414379,18.5568689204014,21.0713566871922,24.0594592102074],"GREK^FMA_DIV_YLD(NTMA,-10AY,0,AM,\"PORTAGG\",\"MEANR\")":[2.41009357210545,2.33179796179743,1.84270685918267,2.08721824855684,2.16635321962321,2.26303758247649,2.61802277647803,2.69491621676231,2.91731181511837,3.60899969862101,3.34910213196731,3.58833825890715,3.66154340668784,3.21812823482856,3.96491029136417,3.30617860635291,4.04671167381939,3.11404360513014,2.8855669707654,3.1134229942629,2.90757794228433,2.86472892098702,2.76194123277789,3.44566767175808,3.05138570724564,2.33648198802622,2.72675923679299,2.92437512902665,2.9218631488369,3.3428007106985,2.9686051179748,2.85477613468777,2.85507827577969,2.90872295588828,3.07410737168593,2.97531318444258,2.639324826674,2.61471071290147,2.62058831772555,2.46011684140214,2.60920331957911,2.82956624847088,2.81821966652202,3.19578527443219,2.66334768556753,2.61580401181327,2.79456183343588,3.15799083377507,2.9432838792929,3.29463712883514,3.36721608931771,3.39766842882545,3.73774602904968,3.79881767056452,4.2269627263721,4.27262105124867,4.35640353766411,4.33863614094183,4.16976064416968,3.74052897862379,3.50498654083963,3.95551916881588,3.27165483908624,3.20981758555009,3.48413958397812,3.35300145804032,3.21346317057911,3.23707512259538,2.93619211406523,2.88206360311812,2.8617037573601,5.91169658314749,4.62749065745145,4.43589550852477,3.66320452197803,3.72317270173529,3.54889311027969,3.46831000489887,3.81101229466886,3.46288056099518,3.1714598156205,3.26698571973193,3.34278590305744,3.23634925610155,3.30347815738547,3.12150711689834,3.01799367182912,3.08125227370752,3.03592325123004,2.97510693293806,3.06776092710702,2.79538391931672,3.19194342304003,3.12401615416437,2.92729105841992,3.09770474731636,3.15141233493162,3.62885521978808,4.18882760044691,4.37582419413487,3.90292775842099,4.4498643456885,4.36155726453194,4.55789534554149,4.44134206563192,4.430505264781,3.94314303253781,4.45894832458081,4.05103571656194,4.25292155268519,3.82356991215569,4.02565353944393,4.49086712994062,4.53848093321284,5.07652671115823,4.51071334092343,4.48345571026266,4.61688247263391,4.52509557887347,4.87735093002859,5.43483015362543],"TUR^FMA_PE(LTMA,-10AY,0,AM,\"PORTAGG\",\"MEANR\")":[9.74307225752458,9.98513311862473,10.2397699092893,10.7556040256946,10.3948495395251,10.5265162071944,10.4004087720125,11.1952970471707,11.4366883790243,12.1369073121561,12.117875603333,11.7439996999072,11.6942712353265,11.9588631058213,11.5231549471074,11.4996496795064,10.8249761278495,10.6624499311918,10.9556289963821,11.2940846625826,9.99622692082334,9.6571973471253,9.72789804810802,9.87324968359107,9.9182388146094,9.57593243637776,9.4003335441376,9.41885195164569,9.48295328258802,9.36880386291964,9.40916852099439,8.97706567035386,9.00858118836742,9.38066675013423,10.0518872123403,9.84499741559439,9.73005550173899,9.72632429729975,9.64916558016753,9.7729476440724,9.49050807802057,9.32181120651213,9.13004754714125,8.87312362116291,8.77266344821074,9.06661903826189,9.08109711466462,9.14654616654227,8.91771547963449,8.52414530250322,8.07965777060153,7.77791844905277,7.36379810236724,7.47862048311682,7.48110847255532,6.90629407842536,6.59947809464733,7.13176287036923,7.2792640252697,7.47624924890046,7.23709283046403,6.95084271763806,7.24646229593109,7.52829828138823,7.45230382904439,7.70395231960314,7.54716626690305,8.20958056538277,8.81104759684988,9.53087487025108,9.20194757470058,7.75804469477033,7.82160345596527,8.24775368416919,9.26166264017359,9.69855773414091,9.78196931990797,10.1096421209303,11.0679961256138,12.769725784525,12.8337132015554,13.5199657887803,12.2785323139801,11.3859572325332,10.7459625067498,10.285545295787,9.59984014208276,9.01785725714687,8.3882379118185,7.76543577494811,7.09535242649016,7.31497518724589,7.79242891673102,6.84426501532192,6.11279640604659,5.76179892475635,5.82646075981571,5.43344477503247,5.5322974376761,5.15448624729996,4.9663316172939,4.90469305234085,5.01640497869761,4.94457787063507,5.00421266312151,5.19367057823985,4.57277930256252,4.71664434485855,4.68441997706121,4.47333816805314,4.89004377317573,5.37615751962244,6.04551978526257,6.07941193114,6.24227391174733,5.66921348179749,5.60917951806062,5.82435677776441,6.74277971542336,6.47933342080602,6.53914960108455],"DDR3512M-FDS^FG_PRICE_CHANGE(0,-1AY)":-11.8436036363637,"PASP-FDS^FG_PRICE_MAVG(0,,,,30)":1043.0667,"BRENT-FDS^FG_PRICE_CHANGE(0,-6AM)":-9.55440851153482,"TRYSA10Y-FDS^FG_YIELD(-10AY,0,Y,,\"YTM\")":[null,null,3.8912454,3.7299898,4.5715504,2.8775356,2.0844028,2.5113702,4.613973,4.608568],"CAGDPY@ZA^EE_ACTUAL_ANNUAL(MED,0)":-1.6,"CC_SA^FG_COMPANY_NAME":"Saudi Arabia","USDSAR^FG_COMPANY_NAME":"Saudi Arabian Riyal per U.S. Dollar","USDZAR^STD(FG_PRICE_CHANGE(0,-3AY,M))":4.02718919601863,"USDPHP^STD(FG_PRICE_CHANGE(0,-3AY,M))":1.76766994368113,"EWZ^P_PRICE_RETURNS_PR('52W',2,-10AY,0,AM)":[-6.586343,-6.487417,9.603977,17.600441,20.011187,0.53310394,-8.476991,-16.624243,-17.662466,-10.568523,-7.5935183,-19.87114,-24.95625,-24.325974,-28.690237,-33.23519,-45.75866,-51.55533,-43.47596,-36.20308,-39.361084,-46.838642,-42.684044,-11.9060335,-17.281855,-23.6993,-16.662848,5.36654,32.6396,36.29339,60.391174,34.937393,40.575336,98.41715,98.0804,43.597244,37.15284,24.854446,28.99667,16.275715,16.13146,34.81214,16.713106,25.61227,27.02297,25.642527,17.863035,20.123137,19.854677,19.192183,-2.766806,-4.8456373,-10.567152,-22.53437,-7.177913,5.8996916,0.12702942,1.3889909,0.7696271,2.6870012,-4.7817826,-2.3449957,37.33709,39.532482,27.337969,34.678185,13.022685,7.212305,25.786114,11.702574,0.1557231,-50.490685,-35.25983,-34.12717,-29.491352,-29.981548,-24.29729,-28.172165,-30.512249,-21.238249,-16.591364,-17.767954,-16.23915,59.385635,44.873966,63.4465,39.690758,30.041254,16.134823,9.086334,17.297697,-7.871503,-18.898499,-14.44366,1.0804534,13.234865,16.819906,-7.599229,-21.845795,-25.519735,3.053224,-1.2343109,10.117424,13.96203,3.8542628,14.62797,-1.7037749,-12.050104,-12.749797,5.00139,26.068401,36.819122,5.7021976,18.57792,3.4347534,25.270403,37.557137,18.952965,22.726261,28.733265,10.182953],"INDA^FMA_PE(NTMA,-10AY,0,AM,\"PORTAGG\",\"MEANR\")":[15.143550600283,15.8014089195868,16.4714094909452,16.4631343661138,16.6453088821655,16.862178539895,16.0204870182654,17.3246652265059,16.591959332091,17.3709722653611,18.4534594472553,18.1448014212394,17.9890809828313,17.500469029596,17.204929279785,18.7260932784283,18.8286335390393,17.6740777824187,17.8528609206821,16.8911150333323,17.0727251778956,16.3736735836096,16.5135791042635,17.1126043892995,17.5500436598682,17.3660359082069,17.521122375317,18.0188847180992,18.1517629232322,17.9540750068415,17.6675387201486,16.0804730817845,16.2771874717784,16.6725498445479,17.6601497883186,17.9922840093869,17.8145685044734,18.1576806914514,18.0986672739405,18.5878572000492,18.6130695862644,19.0307894682312,18.7818361037235,18.708040797051,18.7560104763651,19.3071586971618,18.3976652615247,17.9436520385328,18.3305018814371,17.9041888385877,18.7052557222084,18.5976413706217,19.6882777528549,19.2324897948254,17.3953634246595,18.0244612268993,18.2013088943882,17.9892849709342,17.9592192484022,18.9204105560966,18.9454741358223,18.4023638156031,18.7706370961466,18.5905743759005,18.1370501294622,17.8545594840025,18.6166600731407,19.0988972582636,19.2643590437732,19.4343133067459,19.0472388408039,13.7053323226518,16.6840947342274,17.8430698931331,21.5320750008689,23.3362949387457,23.7425414674504,23.2556067480873,22.7736252921197,22.9530784320586,24.2059002993814,24.3330271687907,23.7243816882503,22.6940260831892,22.4335772722746,22.769030867875,23.2609799236276,23.1803764472908,23.7893244695728,24.7678438108857,25.0730867126381,23.7137810346149,22.7569594414794,23.7056794182672,22.0661768626847,21.902347326594,21.8641011861114,20.4377302682401,19.3491407415235,20.6542642620775,23.0030004404857,22.2244218250566,21.7088968427769,22.3900818441834,22.3406411805606,21.8540284205734,20.9841355089705,19.8131906333782,20.2178539062656,20.7410480099998,21.6675500472938,21.7993304555242,20.6703771935161,21.0800633635381,20.5043975505912,20.378829935589,21.8243179000352,21.8743455563628,22.6030229191173,22.0632731449209,22.3314852528465],"CPALM-FDS^FG_PRICE_CHANGE(0,-1AY)":-0.362318840579712,"TIOS-FDS^FG_PRICE(0)":107.95,"FC0000QA^FG_PRICE(0)":100.21059,"FC0000MY^FG_PRICE(0)":234.28168,"VNM^FG_PRICE(0)":12.14,"EWZ^FG_PRICE_MAVG(0,,,,30)":31.998667,"ECH^FG_PRICE_MAVG(0,,,,30)":26.666666,"VNM^FG_TOTAL_RETURNC(0,-6AM)":0.1598239,"QAT^P_PRICE(0)/P_PRICE_HIGH_PR(0,,,,,,\"PRICE\",\"INTRA\",\"52W\")":0.8849693,"EZA^P_PRICE(0)/P_PRICE_LOW_PR(0,,,,,,\"PRICE\",\"INTRA\",\"52W\")-1":0.06991053,"EWT^FG_TOTAL_RETURNC(0,-12AM)":17.194033,"EPOL^FMA_PCT_ABOVE_MAVG(200,0,,,,\"PORTAGG\")":51.5151515151515,"ECH^FG_TOTAL_RETURNC(0,-12AM)":-7.2434845,"VGK^P_PRICE(0)/P_PRICE_HIGH_PR(0,,,,,,\"PRICE\",\"INTRA\",\"52W\")":0.95190316,"KSA^FMA_COS_UP(\"EPS\",\"1M\",+1,NOW,,,\"PORTAGG\",\"MEANR\")":33.0,"EWW^FMA_COS_DOWN(\"EPS\",\"1M\",+1,NOW,,,\"PORTAGG\",\"MEANR\")":18.0,"EZA^FMA_RBICS_REV_CURRENT(30, LOC, \"PORTAGG\")":43.9097961797831,"MCHI^FG_ROE(0)":9.99353458004486,"QAT^FMA_EVAL_EBITDA(NTMA,0,,,\"PORTAGG\",\"MEANR\")":9.13632408735479,"INDA^FMA_PE(NTMA,0,,,\"PORTAGG\",\"MEANR\")":22.3314852528465,"CAGDPY@KR^EE_ACTUAL_ANNUAL(MED,+1)":2.45,"USDTHB^STD(FG_PRICE_CHANGE(0,-3AY,M))":2.98881820893653,"USDKRW^STD(FG_PRICE_CHANGE(0,-1AY,AM))":2.89481301450045,"SET-BKK^FMA_PE(NTMA,-10AY,0,AM,\"PORTAGG\",\"MEANR\")":[14.0001434060664,14.1097050926805,13.9542555379686,14.5446386850911,15.7320269379681,15.955959733419,15.1146051196524,15.6442117160587,14.9351327565011,15.0887547461386,16.1854151460213,15.1558208527231,15.4686431114522,15.4033230407266,15.2857779874383,15.1021129395085,14.0150626230546,14.2270590592297,14.4670535608703,13.6909769324534,12.5688727577878,12.3748589665589,13.3262210652127,14.4472508465625,14.4095431384612,14.3595438984337,14.5286279308166,15.1904959968906,15.3820594574746,14.5076450255281,14.4510141115261,14.3932849099911,14.7480424829128,14.9424999216996,15.0811295955032,14.9080257090736,14.9194592187162,14.5157279335103,14.8511463765353,14.5947463374127,14.6650443118385,15.5289407415219,15.6855450608913,15.6508901130631,15.6546596877155,16.4160023515774,16.0419343777833,15.6676018028088,15.1568187437693,15.351356326588,14.590349439667,14.1524485810217,14.5353843625206,14.9766764493233,14.3827594033602,14.0359657358717,13.6249220116611,13.9237088175466,14.6464529142207,14.6591343939612,15.1135884698721,14.5630058959758,15.3770670003706,15.7356392666009,15.1225410171399,15.4277509661679,15.4786461798009,15.7470278910169,15.2068630163688,15.7376733832686,15.2578756117801,11.5985836056287,15.056628183375,17.7926697754129,19.4700147337792,19.3228142802044,19.454278745522,18.9190665214113,17.795792576543,18.7193852414019,19.3802832007204,19.9129479354119,19.3205179335544,19.6065550837511,18.8725199335869,17.7257120973963,17.8084851142774,17.1232057802351,16.8574270693315,17.5152952231717,17.451477751099,17.5620614454222,17.1089118680161,17.324127973367,17.6300519446527,17.0491697868283,16.6036219311564,16.1021693286623,15.1457237051998,14.9680083947007,15.576807472569,15.397232848781,15.1172226026938,15.5600871417349,15.5084830921101,15.9988530239435,15.8946070673442,15.3366922491202,15.808335473182,15.4529588347032,15.9349404223829,15.868788498368,15.71861527191,15.7138710498721,14.7536823508141,14.6301911850141,14.3671625109076,14.1597807821065,14.3397431800045,14.3664101410308,14.1412293440708],"ECH^FG_PRICE(0)":26.27,"TUR^FG_TOTAL_RETURNC(0,-6AM)":6.0679674,"INDA^P_PRICE(0)/P_PRICE_HIGH_PR(0,,,,,,\"PRICE\",\"INTRA\",\"52W\")":0.9736892,"EWY^P_PRICE(0)/P_PRICE_LOW_PR(0,,,,,,\"PRICE\",\"INTRA\",\"52W\")-1":0.13415301,"EIDO^FG_TOTAL_RETURNC(0,-3AM)":-5.8584986,"QAT^FMA_COS_UP(\"EPS\",\"1M\",+1,NOW,,,\"PORTAGG\",\"MEANR\")":6.0,"EWM^FMA_COS_DOWN(\"EPS\",\"1M\",+1,NOW,,,\"PORTAGG\",\"MEANR\")":14.0,"REFINREPO-FDS^FG_YIELD(NOW,,,0)":6.5,"REFPL7D-FDS^FG_YIELD(NOW,,,0)":5.75,"TIPSCL10Y-FDS^PCTCHG(FG_YIELD(0,,,,\"YTM\"),FG_YIELD(-3AM,,,,\"YTM\"))":-47.263405,"VWO^FG_PE_NTM(0,,,90,0)":14.2345516611312,"QAT^FG_FCF_YIELD_NTM(0)":null,"EWY^FMA_PE(LTM,0,,,\"PORTAGG\",\"MEANR\")":17.8995666953474,"EWM^JULIAN(FMA_DIV_YLD(NTMA,NOW,NOW,M,\"PORTAGG\",\"MEANR\").DATES)":45379,"EPHE^JULIAN(FMA_DIV_YLD(NTMA,NOW,NOW,M,\"PORTAGG\",\"MEANR\").DATES)":45379,"CNYA^JULIAN(FMA_DIV_YLD(NTMA,NOW,NOW,M,\"PORTAGG\",\"MEANR\").DATES)":45379,"QAT^FMA_DIV_YLD(NTMA,NOW,NOW,M,\"PORTAGG\",\"MEANR\")":5.03284622965552,"CNYA^FG_COMPANY_NAME":"iShares MSCI China A ETF","USDCLP^FG_PRICE_CHANGE(0,-3AM)":4.9634695,"EWW^FG_PRICE(0)":64.92,"INDA^FMA_COS_DOWN(\"EPS\",\"1M\",+1,NOW,,,\"PORTAGG\",\"MEANR\")":66.0,"EWZ^FMA_EVAL_EBIT(LTMA,NOW,NOW,M,\"PORTAGG\",\"MEANR\")":6.77506445894763,"EPOL^FMA_EVAL_EBIT(LTMA,NOW,NOW,M,\"PORTAGG\",\"MEANR\")":7.69053519997406,"GREK^FG_COMPANY_NAME":"Global X MSCI Greece ETF","EWJ^PERCENT_CHANGE(FMA_EPS(+1,0,,,,\"PORTAGG\",\"MEAN\"),FMA_EPS(+1,-3AM,,,,\"PORTAGG\",\"MEAN\"))":-2.91053547423555,"REFTHREPO-FDS^(SUBARRAY(NOT_NA(NO_REPEAT_F(FG_YIELD(NOW,-10AY,D))),0,1)-SUBARRAY(NOT_NA(NO_REPEAT_F(FG_YIELD(NOW,-10AY,D))),1,1))*100":25.0,"CC_PL^IMF_IFS_RCPI_Q(0)":null,"USDPHP^FG_PRICE_CHANGE(0,-3AM)":2.4235368,"EWY^P_PRICE_RETURNS_PR('52W',2,-10AY,0,AM)":[16.100227,13.467193,19.823254,19.885517,19.176805,0.28187037,-11.749506,-9.82604,-11.429346,-6.3290176,-5.7839336,-2.0769775,-3.0418694,-7.4999332,-12.774235,-16.167486,-26.583815,-20.393068,-3.3718884,-7.5909195,-7.3113203,-17.298508,-14.287334,-7.9072237,-10.73032,-15.869617,-6.334609,5.485153,22.519625,11.612821,6.6889763,2.215004,6.333196,25.171684,23.831345,18.697762,13.287973,35.671616,34.52636,30.704521,18.41452,28.052319,29.677223,47.2458,40.887405,41.483963,34.140278,28.447842,31.120323,14.816594,6.2023044,-3.253919,-0.31349063,-1.8494487,-13.940573,-18.276423,-19.236475,-19.419039,-14.911252,-17.368866,-15.4082775,-23.37923,-14.835972,-11.647815,-17.243969,-13.280993,-3.6818087,1.8354654,7.3282003,7.0317388,-1.5859783,-33.185726,-19.330042,-4.042876,0.32778978,6.597793,26.28144,18.475628,16.926777,25.082064,33.39188,47.13403,51.14565,117.13531,92.36759,75.43856,60.387505,55.173637,31.794394,26.032936,20.596563,5.339527,-1.7744005,-16.943377,-18.622541,-16.651768,-24.91718,-27.396631,-33.510445,-35.495358,-27.31508,-33.54435,-35.61042,-24.199509,-27.158142,-17.250072,-15.705853,-17.013395,-7.2161856,-3.5766244,13.565075,18.970394,2.2591352,17.660439,17.868614,9.215164,13.993967,-2.053225,7.191229,15.686739,0.70905685],"DDR3512M-FDS^FG_PRICE(0)":0.96972036,"BRENT-FDS^FG_PRICE_CHANGE(0,-1AY)":-2.56468452110759,"UAE^FG_PRICE_MAVG(0,,,,200)":14.831117,"EWZ^FG_PRICE(0)":30.11,"EWM^FMA_PCT_ABOVE_MAVG(200,0,,,,\"PORTAGG\")":63.6363636363636,"SPY^FMA_COS_UP(\"EPS\",\"1M\",+1,NOW,,,\"PORTAGG\",\"MEANR\")":180.0,"MCHI^SIZE(FG_CONSTITUENTS)":661,"GREK^FMA_RBICS_REV_CURRENT(30, LOC, \"PORTAGG\")":44.6988114809499,"EWT^FG_ROE(0)":9.86027007664882,"REFPL7D-FDS^PROPER_NAME(0,,,\"SECURITY\",\"NAME\")":"Poland Reference Rate - 7 Day","TRYQA10Y-FDS^PCTCHG(FG_YIELD(0,,,,\"YTM\"),FG_YIELD(-1AM,,,,\"YTM\"))":null,"TRYZA10Y-FDS^FG_YIELD(0,,,,\"YTM\")":12.288452,"CC_AE^IMF_IFS_RCPI_Q(0)":null,"UAE^FMA_EVAL_EBITDA(NTMA,0,,,\"PORTAGG\",\"MEANR\")":6.6996788233614,"EPU^FMA_EVAL_EBIT(LTMA,NOW,NOW,M,\"PORTAGG\",\"MEANR\")":13.2456576815215,"CC_US^IMF_IFS_RCPI_Q(0)":null,"USDTHB^FG_PRICE_CHANGE(0,-3AM)":3.3012629,"EWY^FG_PRICE(0)":61.8,"CNYA^FG_PRICE_MAVG(0,,,,30)":26.301807,"EWY^FG_TOTAL_RETURNC(0,-3AM)":5.5868745,"EPU^FG_TOTAL_RETURNC(0,-6AM)":40.16427,"REFSAREPO-FDS^FG_YIELD(NOW,,,0)":6.0,"VGK^FG_PE(0)":12.7354213307713,"EWW^FMA_PE(LTM,0,,,\"PORTAGG\",\"MEANR\")":12.6716481114664,"USDMYR^STD(FG_PRICE_CHANGE(0,-3AY,M))":2.19671495296888,"REFVNDISC-FDS^PROPER_NAME(0,,,\"SECURITY\",\"NAME\")":"Vietnam Discount Rate","TRYBR10Y-FDS^PCTCHG(FG_YIELD(0,,,,\"YTM\"),FG_YIELD(-1AM,,,,\"YTM\"))":4.5970106,"TUR^FMA_EVAL_EBITDA(NTMA,0,,,\"PORTAGG\",\"MEANR\")":4.63375012950239,"EPOL^FG_TOTAL_RETURNC(0,-3AM)":11.442316,"TRYBR10Y-FDS^FG_YIELD(-10AY,0,Y,,\"YTM\")":[12.319731,15.989595,11.062725,9.887577,8.936093,6.883678,6.961219,10.970291,12.900059,10.455909],"CAGDPY@KR^EE_ACTUAL_ANNUAL(MED,0)":2.04376201054732,"USDTHB^STD(FG_PRICE_CHANGE(0,-1AY,AM))":1.67524654289563,"USDKRW^FG_PRICE_CHANGE(0,-3AM)":2.4857163,"MCHI^FMA_PE(NTMA,-10AY,0,AM,\"PORTAGG\",\"MEANR\")":[8.61001348016217,8.51185037624415,8.80588124986359,8.97143768881131,9.3225205627386,8.97173776106315,8.41030517995337,8.68721830738888,9.04702792705315,9.81443455595724,10.2382600993583,10.1144107866084,12.2489087043863,11.8507235021587,11.0623981592833,10.0075103271884,9.39699286325893,9.04660660861544,9.61367066077979,9.39135272420186,9.2420017903218,8.91882186067358,9.04477667227675,10.0136933267344,10.3478245467224,9.58658096482929,10.4893483015346,11.4595374828592,12.1601733472389,12.2988138479536,12.3211296443729,11.7359416747636,11.4209222150253,11.8207267876339,12.4012146505036,12.6646871436865,12.3097154129289,12.8257507511508,12.8239964790709,13.3195321304091,13.4306020222759,13.762993070701,13.9421446584811,14.0043025221278,13.2597691222051,14.1295922698895,13.4314898757804,13.6568229888411,12.3596288954231,12.6935125900652,12.5421472272221,11.7616693599289,11.1052413725712,10.7994394458397,9.99965440665684,10.5343507902325,10.2937456762568,10.8077454420081,11.0987508813054,11.8760783240943,12.2412876224059,11.1872336235728,11.177779589168,11.3900984807094,10.8532491099222,11.4800471608889,11.1597526484289,11.23150246807,12.2483362301485,12.640668861289,12.4236997769068,10.4080626586057,12.3581929293231,12.8165319705882,13.9500494518853,14.8042889722995,15.1395035990037,14.9194460316549,15.4399231331334,14.9452768434055,15.5297304429494,16.731788867968,18.5757706946077,16.7656172283439,16.051641309871,15.3796147682693,15.8752840596428,15.2610127781074,13.4469464373618,13.4567726700244,13.6284158091914,13.3240574500161,12.3822521217132,12.4670406929814,12.0984068644854,10.6322305374981,10.5679328465179,10.5677464783501,11.5119169671529,11.3647857927093,10.6829600729004,10.4523747757732,9.47971845826,10.0465772352373,10.7597853078123,11.7086589505797,11.1830020280221,10.495738295912,11.0461482511625,10.4733057113925,10.8141684331317,10.306693373408,10.0229167664953,10.1455247624014,9.73240909419479,9.70111860234372,9.23286337382926,8.60367941495808,9.04570957539908,9.3680368438169,9.3237341550998],"CNYA^FG_PRICE_MAVG(0,,,,200)":27.087278,"TUR^FG_TOTAL_RETURNC(0,-3AM)":11.736811,"INDA^FG_TOTAL_RETURNC(0,-6AM)":15.490723,"EWY^P_PRICE(0)/P_PRICE_HIGH_PR(0,,,,,,\"PRICE\",\"INTRA\",\"52W\")":0.9061584,"EPU^FG_TOTAL_RETURNC(0,-12AM)":31.710983,"EIDO^FG_TOTAL_RETURNC(0,-1AM)":-7.933015,"EWJ^FG_TOTAL_RETURNC(0,-3AM)":1.7647862,"EPU^SIZE(FG_CONSTITUENTS)":26,"TRYCN10Y-FDS^FG_YIELD_NAME":"Treasury - China Benchmark Bond 10Y","REFINREPO-FDS^PROPER_NAME(0,,,\"SECURITY\",\"NAME\")":"India Repo Rate","TIPSCL10Y-FDS^PCTCHG(FG_YIELD(0,,,,\"YTM\"),FG_YIELD(-1AM,,,,\"YTM\"))":-47.408783,"TRYZA10Y-FDS^FG_YIELD_NAME":"South Africa Benchmark Bond - 10 Year","CC_TR^IMF_IFS_RCPI_Q(0)":null,"GREK^FMA_PE(NTMA,0,,,\"PORTAGG\",\"MEANR\")":6.76078642551676,"EWY^JULIAN(FMA_DIV_YLD(NTMA,NOW,NOW,M,\"PORTAGG\",\"MEANR\").DATES)":45379,"EIDO^FMA_EVAL_EBIT(LTMA,NOW,NOW,M,\"PORTAGG\",\"MEANR\")":9.49450217133758,"KSA^FG_COMPANY_NAME":"iShares MSCI Saudi Arabia ETF","GREK^FMA_PE(LTM,0,,,\"PORTAGG\",\"MEANR\")":7.17395169971767,"VGK^FMA_EVAL_EBIT(LTMA,NOW,NOW,M,\"PORTAGG\",\"MEANR\")":13.19799269758,"INDA^FG_TOTAL_RETURNC(0,-1AM)":0.7297754,"EWW^FMA_RBICS_REV_CURRENT(30, LOC, \"PORTAGG\")":29.5965573456913,"CC_QA^IMF_IFS_RCPI_Q(0)":null,"UAE^FMA_PE(NTMA,0,,,\"PORTAGG\",\"MEANR\")":9.43922459919065,"TUR^FG_COMPANY_NAME":"iShares MSCI Turkey ETF","EPU^FG_TOTAL_RETURNC(0,-3AM)":20.7402,"EPHE^SIZE(FG_CONSTITUENTS)":35,"ECH^FMA_EVAL_EBITDA(NTMA,0,,,\"PORTAGG\",\"MEANR\")":6.02767336880207,"EWW^JULIAN(FMA_DIV_YLD(NTMA,NOW,NOW,M,\"PORTAGG\",\"MEANR\").DATES)":45379,"EPU^JULIAN(FMA_DIV_YLD(NTMA,NOW,NOW,M,\"PORTAGG\",\"MEANR\").DATES)":45379,"INDA^FG_COMPANY_NAME":"iShares MSCI India ETF","TIOS-FDS^FG_PRICE_CHANGE(0,-3AM)":-20.6716637272193,"QAT^FG_PRICE(0)":17.31,"VNM^P_PRICE(0)/P_PRICE_LOW_PR(0,,,,,,\"PRICE\",\"INTRA\",\"52W\")-1":0.054735065,"EWM^FG_COMPANY_NAME":"iShares MSCI Malaysia ETF","SPY^FMA_COS_DOWN(\"EPS\",\"1M\",+1,NOW,,,\"PORTAGG\",\"MEANR\")":189.0,"TRYID10Y-FDS^PCTCHG(FG_YIELD(0,,,,\"YTM\"),FG_YIELD(-1AM,,,,\"YTM\"))":3.3612862,"CC_VN^IMF_IFS_RCPI_Q(0)":null,"^FG_YIELD(-10AY,0,Y,,\"YTM\")":[null,null,null,null,null,null,null,null,null,null],"EWW^P_PRICE_RETURNS_PR('52W',2,-10AY,0,AM)":[-8.110142,-4.426074,8.518028,7.133734,7.4817777,5.568588,1.4640927,1.8039346,-10.534883,-10.168666,-5.038315,-1.5615523,-6.966835,-8.149558,-12.188662,-16.235601,-22.525019,-24.180912,-13.872987,-16.625893,-12.511474,-20.347178,-17.252333,-8.641911,-10.127008,-15.56015,-15.370119,-8.097845,0.9987116,-11.261755,-4.055542,-18.39621,-12.634605,-4.768449,-2.7107418,-3.7520945,-0.037413836,3.0934334,14.473284,13.34157,8.248305,21.414566,3.0046344,15.465069,16.239023,28.062809,15.764213,4.421282,7.21612,-8.2862015,-15.280456,-9.29879,-9.334028,-6.2322497,-6.965804,-14.934343,-18.661463,-12.434405,-14.187426,-11.023903,-10.953533,-2.3574948,0.83076954,-13.102329,-18.196058,-12.814015,-3.9266527,10.378563,19.286835,9.678268,11.687576,-32.52523,-38.409424,-29.131348,-25.497597,-26.307858,-10.505122,-22.078842,-19.834291,-6.68723,-6.918401,-2.4033725,-10.366511,56.61062,75.02899,59.777485,48.708904,55.24019,47.282135,49.34238,44.056213,18.681776,15.140462,16.113556,22.453426,21.228813,17.195118,6.0109973,-0.18716455,-3.1700432,-1.2779534,-6.875241,-4.365283,15.556669,7.353294,14.932383,20.15711,9.915614,15.81353,29.694153,45.56445,44.90868,32.881798,34.498978,20.466911,19.712437,39.20244,16.694736,18.086647,25.456083,11.220717],"WL-FDS^MAX(FG_PRICE(0,-5AY))":763.4,"BRENT-FDS^FG_PRICE_CHANGE(0,-3AM)":0.0,"UAE^FG_PRICE_MAVG(0,,,,60)":14.750642,"EWY^FG_PRICE_MAVG(0,,,,200)":62.6878,"EIDO^PERCENT_CHANGE(FMA_EPS(+1,0,,,,\"PORTAGG\",\"MEAN\"),FMA_EPS(+1,-3AM,,,,\"PORTAGG\",\"MEAN\"))":-2.85381434618229,"VWO^P_PRICE(0)/P_PRICE_LOW_PR(0,,,,,,\"PRICE\",\"INTRA\",\"52W\")-1":0.09491384,"EWJ^SIZE(FG_CONSTITUENTS)":219,"MCHI^FMA_COS_DOWN(\"EPS\",\"1M\",+1,NOW,,,\"PORTAGG\",\"MEANR\")":407.0,"EWM^FG_ROE(0)":7.9247329700434,"REFEUREFI-FDS^FG_YIELD(NOW,,,0)":4.5,"REFPHRREPO-FDS^(SUBARRAY(NOT_NA(NO_REPEAT_F(FG_YIELD(NOW,-10AY,D))),0,1)-SUBARRAY(NOT_NA(NO_REPEAT_F(FG_YIELD(NOW,-10AY,D))),1,1))*100":25.0,"TRYBR10Y-FDS^FG_YIELD_NAME":"Treasury - Brazil Benchmark Bond 10Y","VWO^JULIAN(FMA_DIV_YLD(NTMA,NOW,NOW,M,\"PORTAGG\",\"MEANR\").DATES)":45351,"UAE^FG_FCF_YIELD_NTM(0)":10.156491343942,"QAT^FMA_PE(NTMA,0,,,\"PORTAGG\",\"MEANR\")":10.1685685834051,"EWW^FMA_EVAL_EBIT(LTMA,NOW,NOW,M,\"PORTAGG\",\"MEANR\")":10.5767938017277,"EPU^FMA_EVAL_EBITDA(NTMA,0,,,\"PORTAGG\",\"MEANR\")":7.04651646613768,"UAE^FG_COMPANY_NAME":"iShares MSCI UAE ETF","TRYMX10Y-FDS^FG_YIELD(0,,,,\"YTM\")":9.9445,"VGK^FG_FCF_YIELD_NTM(0)":5.02473897691092,"TRYZA10Y-FDS^PCTCHG(FG_YIELD(0,,,,\"YTM\"),FG_YIELD(-3AM,,,,\"YTM\"))":7.6718082,"EZA^FG_FCF_YIELD_NTM(0)":5.62655567315534,"SET-BKK^FG_PRICE_MAVG(0,,,,200)":1439.0435,"SET-BKK^P_PRICE(0)/P_PRICE_LOW_PR(0,,,,,,\"PRICE\",\"INTRA\",\"52W\")-1":0.008910298,"REFAEREPO-FDS^PROPER_NAME(0,,,\"SECURITY\",\"NAME\")":"United Arab Emirates Repo Rate","EWT^FMA_EVAL_EBIT(LTMA,NOW,NOW,M,\"PORTAGG\",\"MEANR\")":20.3206316423594,"EPOL^FMA_PE(NTMA,0,,,\"PORTAGG\",\"MEANR\")":8.51554023375688,"EPOL^PERCENT_CHANGE(FMA_EPS(+1,0,,,,\"PORTAGG\",\"MEAN\"),FMA_EPS(+1,-1AM,,,,\"PORTAGG\",\"MEAN\"))":5.32506245326204,"ECH^FMA_PE(LTM,0,,,\"PORTAGG\",\"MEANR\")":10.469937986311,"EZA^FG_TOTAL_RETURNC(0,-6AM)":1.9408584,"INDA^FMA_EVAL_EBITDA(NTMA,0,,,\"PORTAGG\",\"MEANR\")":14.8329476551462,"TRYPH10Y-FDS^PCTCHG(FG_YIELD(0,,,,\"YTM\"),FG_YIELD(-3AM,,,,\"YTM\"))":9.493512,"TRYPH10Y-FDS^PCTCHG(FG_YIELD(0,,,,\"YTM\"),FG_YIELD(-1AM,,,,\"YTM\"))":9.288569,"CAGDPY@CL^EE_ACTUAL_ANNUAL(MED,0)":-3.68653581083686,"USDTHB^FG_PRICE_CHANGE(0,-6AM)":1.3367295,"USDMXN^STD(FG_PRICE_CHANGE(0,-3AY,M))":2.28210915502963,"USDCLP^STD(FG_PRICE_CHANGE(0,-1AY,AM))":3.99002816046157,"WL-FDS^FG_PRICE_CHANGE(0,-3AM)":-12.6516198372486,"BRENT-FDS^FG_PRICE_CHANGE(0,-1AM)":0.0,"EWY^FG_PRICE_MAVG(0,,,,60)":64.295334,"CNYA^FG_PRICE_MAVG(0,,,,60)":25.661291,"TUR^FG_TOTAL_RETURNC(0,-1AM)":9.275365,"INDA^FG_TOTAL_RETURNC(0,-3AM)":4.054606,"EWY^FG_TOTAL_RETURNC(0,-6AM)":8.45989,"EPU^P_PRICE(0)/P_PRICE_LOW_PR(0,,,,,,\"PRICE\",\"INTRA\",\"52W\")-1":0.39684772,"EIDO^PERCENT_CHANGE(FMA_EPS(+1,0,,,,\"PORTAGG\",\"MEAN\"),FMA_EPS(+1,-1AM,,,,\"PORTAGG\",\"MEAN\"))":-2.01113571048065,"VWO^P_PRICE(0)/P_PRICE_HIGH_PR(0,,,,,,\"PRICE\",\"INTRA\",\"52W\")":0.9515081,"MCHI^FMA_COS_UP(\"EPS\",\"1M\",+1,NOW,,,\"PORTAGG\",\"MEANR\")":152.0,"EPU^FMA_COS_DOWN(\"EPS\",\"1M\",+1,NOW,,,\"PORTAGG\",\"MEANR\")":2.0,"EWZ^FMA_RBICS_REV_CURRENT(30, LOC, \"PORTAGG\")":26.7817392728117,"EPOL^FG_ROE(0)":14.6563113919481,"REFSAREPO-FDS^(SUBARRAY(NOT_NA(NO_REPEAT_F(FG_YIELD(NOW,-10AY,D))),0,1)-SUBARRAY(NOT_NA(NO_REPEAT_F(FG_YIELD(NOW,-10AY,D))),1,1))*100":25.0,"CC_TH^IMF_IFS_RCPI_Q(0)":null,"UAE^FMA_DIV_YLD(NTMA,NOW,NOW,M,\"PORTAGG\",\"MEANR\")":5.26227721216501,"TUR^PERCENT_CHANGE(FMA_EPS(+1,0,,,,\"PORTAGG\",\"MEAN\"),FMA_EPS(+1,-3AM,,,,\"PORTAGG\",\"MEAN\"))":-6.61658368780361,"INDA^SIZE(FG_CONSTITUENTS)":137,"REFPHRREPO-FDS^PROPER_NAME(0,,,\"SECURITY\",\"NAME\")":"Philippines Reverse Repo Rate - Overnight","EPU^FMA_DIV_YLD(NTMA,NOW,NOW,M,\"PORTAGG\",\"MEANR\")":3.37445714830346,"GREK^FG_TOTAL_RETURNC(0,-12AM)":22.330593,"REFSAREPO-FDS^PROPER_NAME(0,,,\"SECURITY\",\"NAME\")":"Saudi Arabia Repo Rate","TRYZA10Y-FDS^PCTCHG(FG_YIELD(0,,,,\"YTM\"),FG_YIELD(-1AM,,,,\"YTM\"))":1.3765566,"EIDO^FMA_PE(NTMA,0,,,\"PORTAGG\",\"MEANR\")":12.578613482361,"MCHI^FMA_EVAL_EBITDA(NTMA,0,,,\"PORTAGG\",\"MEANR\")":8.25378804434238,"ECH^FMA_EVAL_EBIT(LTMA,NOW,NOW,M,\"PORTAGG\",\"MEANR\")":9.60358348358897,"SET-BKK^FMA_PCT_ABOVE_MAVG(200,0,,,,\"PORTAGG\")":28.0120481927711,"GREK^PERCENT_CHANGE(FMA_EPS(+1,0,,,,\"PORTAGG\",\"MEAN\"),FMA_EPS(+1,-1AM,,,,\"PORTAGG\",\"MEAN\"))":-0.453132284720865,"EPU^FMA_PCT_ABOVE_MAVG(200,0,,,,\"PORTAGG\")":69.2307692307692,"ECH^FG_TOTAL_RETURNC(0,-6AM)":6.266105,"VGK^FMA_COS_UP(\"EPS\",\"1M\",+1,NOW,,,\"PORTAGG\",\"MEANR\")":473.0,"REFBRSELIC-FDS^PROPER_NAME(0,,,\"SECURITY\",\"NAME\")":"Brazil Target Selic Rate","TRYID10Y-FDS^FG_YIELD(-10AY,0,Y,,\"YTM\")":[7.922017,8.942368,7.89735,6.462641,8.148183,7.263584,5.902206,6.458283,6.936579,6.498571],"EWT^P_PRICE_RETURNS_PR('52W',2,-10AY,0,AM)":[16.829432,7.5063467,17.796028,19.088055,22.451115,12.977636,3.8908362,11.637032,6.984389,8.816719,16.088713,15.567446,7.861829,12.342369,3.2217503,-0.27080178,-15.230185,-12.224859,-2.1702468,-9.792286,-10.440678,-22.116709,-16.970587,-10.626507,-10.508114,-20.715374,-10.340303,-0.5002618,20.12775,11.389387,12.695253,13.140833,18.262661,37.083042,30.648697,22.149479,22.861576,38.59681,30.00778,25.281132,20.20775,27.437365,22.885693,28.714954,22.592617,29.583036,18.648434,18.89193,18.323458,10.704147,7.9824686,3.0276418,4.11278,1.2650371,-9.707856,-9.021115,-8.366453,-12.840623,-10.245073,-8.375579,-1.352644,-7.2423754,-2.8261304,0.93016624,-3.3169568,2.4509907,18.225216,23.837162,33.704628,33.020985,24.015987,-10.451757,2.5036454,15.568137,19.55756,23.987484,36.252285,27.050697,23.6161,27.67458,27.204632,41.213394,52.84535,97.241806,78.55618,63.449932,60.06155,53.48847,37.773586,44.1988,37.573086,36.346687,28.138315,19.806587,12.893748,11.143887,-4.5912266,-7.834631,-15.305651,-21.06964,-11.7446785,-24.086666,-29.776024,-25.058926,-24.91132,-23.155045,-19.747055,-17.988264,-8.315479,-0.15204549,9.019529,16.708767,0.77718496,13.501763,24.237585,16.293812,20.850647,11.999071,17.148792,25.170792,17.194033],"GREK^FMA_PE(NTMA,-10AY,0,AM,\"PORTAGG\",\"MEANR\")":[15.0427809729137,15.8237738660982,10.5954522131655,8.85823494863908,7.84709341413513,7.51402733928226,6.46906365403625,6.4635678650465,5.38677652596627,4.28468839001286,4.88987664736637,4.57778879778736,5.09178344057539,5.04145274855659,4.9783798108404,4.75837588541639,4.72556085861682,4.3086743456226,4.39665232101018,4.06994801662277,4.74261252576005,9.44768156672461,8.47887147804073,8.38897028054853,10.0494049416862,10.73902671442,9.1381943424035,9.03732305655643,8.66964295797993,8.37770714546008,9.01236587003384,9.22224696152579,9.22453879084284,9.18129730890462,8.84213729465833,9.22090312991177,10.6673554260559,13.468024179451,12.8866689574069,13.0884951675621,12.2791362695009,10.7958556177964,12.1737623179358,11.4043047409129,14.0690279514581,14.2584913455454,14.3804543639045,13.8776600860166,14.9069878335169,13.6726870060997,15.0416946907622,14.82297768305,14.2531734448244,14.4094263351812,12.3104115769749,11.8461336447338,11.9694655790629,11.0947906387435,11.813108669114,13.1966071234925,13.9251043759764,12.6883136870056,13.7993558610568,14.0691419398889,12.1647809774554,13.9346366942407,11.9214824866763,11.7501640604107,11.3393381485793,11.2966647254422,10.9552580160874,5.5490797134834,8.3490981196603,10.0223964610459,13.829309068686,13.2454751922578,12.2232223337052,12.4163762693107,10.1575611700297,10.9872983088199,12.3676551289527,11.2984240980297,11.9710967834273,12.0580752752458,12.7088553448569,8.57877950141288,12.5071131953639,11.3282204794127,11.0038592358846,10.5023214659166,10.3676357916124,11.6198953328957,9.57982372604319,10.1604531863055,10.2015572105173,9.72878723858339,10.2897326442101,9.08854953495679,8.36700027685913,7.58551425949541,8.34913016694375,6.84487973042896,6.98178566606068,6.7889567814407,6.64542971376062,6.47321585482747,7.89270250730835,6.93853178761903,7.40144959158347,6.9370327364203,8.07370375749933,8.14352428759587,7.29021072822549,6.89478753731713,6.52552075273534,6.79902943413018,6.6422138757695,6.76658093691083,7.01291600516301,7.08788872766028,6.76078642551676],"PASP-FDS^FG_PRICE_CHANGE(0,-3AM)":12.1693121693122,"UAE^FG_PRICE_MAVG(0,,,,30)":14.76476,"EWY^FG_PRICE_MAVG(0,,,,30)":65.61034,"EPU^P_PRICE(0)/P_PRICE_HIGH_PR(0,,,,,,\"PRICE\",\"INTRA\",\"52W\")":0.96772635,"EIDO^FMA_PCT_ABOVE_MAVG(200,0,,,,\"PORTAGG\")":39.4736842105263,"VWO^FG_TOTAL_RETURNC(0,-6AM)":8.911932,"EPOL^SIZE(FG_CONSTITUENTS)":33,"EWY^FMA_RBICS_REV_CURRENT(30, LOC, \"PORTAGG\")":14.950795428413,"REFZAREPO-FDS^FG_YIELD(NOW,,,0)":8.25,"REFPHRREPO-FDS^FG_YIELD(NOW,,,0)":6.5,"TRYGR10Y-FDS^PCTCHG(FG_YIELD(0,,,,\"YTM\"),FG_YIELD(-1AM,,,,\"YTM\"))":3.598593,"QAT^FMA_PE(LTM,0,,,\"PORTAGG\",\"MEANR\")":11.5186972995318,"EZA^FMA_EVAL_EBIT(LTMA,NOW,NOW,M,\"PORTAGG\",\"MEANR\")":12.2855667963205,"EWW^FG_FCF_YIELD_NTM(0)":7.87096149728727,"EPU^FG_FCF_YIELD_NTM(0)":6.77054443397011,"EIDO^FG_FCF_YIELD_NTM(0)":null,"BRENT-FDS^FG_PRICE_MAVG(0,,,,30)":85.86,"URTH^FMA_COS_DOWN(\"EPS\",\"1M\",+1,NOW,,,\"PORTAGG\",\"MEANR\")":553.0,"EWT^FMA_RBICS_REV_CURRENT(30, LOC, \"PORTAGG\")":17.8066741873402,"REFZAREPO-FDS^PROPER_NAME(0,,,\"SECURITY\",\"NAME\")":"South Africa Repo Rate","TRYUS10Y-FDS^FG_YIELD(0,,,,\"YTM\")":4.6347,"EIDO^FMA_DIV_YLD(NTMA,NOW,NOW,M,\"PORTAGG\",\"MEANR\")":4.05067553325937,"VGK^P_PRICE(0)/P_PRICE_LOW_PR(0,,,,,,\"PRICE\",\"INTRA\",\"52W\")-1":0.17181253,"TRYSA10Y-FDS^FG_YIELD_NAME":"Treasury - SAUDI ARABIA Benchmark Bond 10Y","USDMYR^STD(FG_PRICE_CHANGE(0,-1AY,AM))":1.40862248242451,"EPHE^FMA_PE(LTM,0,,,\"PORTAGG\",\"MEANR\")":10.0169560596091,"USDMXN^STD(FG_PRICE_CHANGE(0,-1AY,AM))":3.24093972187358,"INDA^FMA_EVAL_EBIT(LTMA,NOW,NOW,M,\"PORTAGG\",\"MEANR\")":22.898447607863,"EWY^SIZE(FG_CONSTITUENTS)":101,"TRYSA10Y-FDS^PCTCHG(FG_YIELD(0,,,,\"YTM\"),FG_YIELD(-1AM,,,,\"YTM\"))":6.188932,"TRYVN10Y-FDS^PCTCHG(FG_YIELD(0,,,,\"YTM\"),FG_YIELD(-3AM,,,,\"YTM\"))":13.867952,"TRYTH10Y-FDS^FG_YIELD_NAME":"Thailand Benchmark Bond - 10 Year","KSA^FMA_PE(NTMA,0,,,\"PORTAGG\",\"MEANR\")":18.1653646672427,"KSA^JULIAN(FMA_DIV_YLD(NTMA,NOW,NOW,M,\"PORTAGG\",\"MEANR\").DATES)":45379,"UAE^FMA_COS_UP(\"EPS\",\"1M\",+1,NOW,,,\"PORTAGG\",\"MEANR\")":8.0,"TRYAE10Y-FDS^FG_YIELD(-10AY,0,Y,,\"YTM\")":[null,null,null,null,null,null,null,null,null,null],"USDCNH^STD(FG_PRICE_CHANGE(0,-3AY,M))":1.80278181698248,"EZA^FMA_PE(NTMA,-10AY,0,AM,\"PORTAGG\",\"MEANR\")":[14.1046541636676,14.3152995254812,14.6098230575771,14.9944857844774,15.1129996722445,15.0933493497899,14.1467671411264,15.2930678766089,15.5305200781932,15.9447223741145,16.7398184236721,16.5401237823664,17.5328329731406,17.1504602978112,15.9458934912313,16.4518375356984,15.3486074083949,15.3946759068989,16.0532905976357,15.2180674379986,14.1339660335077,12.8225970814441,14.435711303264,15.2002608657366,15.2095201803025,14.07041547459,14.450268925122,15.3072662567147,15.9405716364233,14.7711168732811,14.5311574480051,14.1292526890315,13.9818903557459,15.1678898693864,15.4141570739356,16.1972505903599,15.9170518898142,16.1736761251649,14.8929044470493,15.4605465620225,15.7457476742512,15.120184565082,15.541511990001,15.9034733345906,14.6107773450727,15.3651424781296,15.2644364681587,15.8367840354714,15.4805600527005,14.6569392329188,14.1342353043576,13.8024063227321,13.11048765822,12.9715892709598,11.9663231527822,12.3951154636591,12.2737113808634,13.0676196012146,12.8299629799796,13.0722642743898,13.8035458339323,13.063869667125,13.3008408367888,13.077832939656,11.8787574562104,12.1281775610921,11.7879541095557,11.8702475496636,12.5257392043924,12.4360787682795,12.0368050165183,7.46240886444931,9.61749720145228,10.5534445234154,11.1963858091691,11.8627075697222,11.3922663042125,10.7247719053036,10.3877447243218,10.5141251520753,10.1328408832742,9.88346688855055,10.294952850794,10.0930924690905,10.0238365084778,9.70491919550403,9.4177049007135,9.35801533578387,9.06326191625306,8.82285166451449,9.57266188563506,9.71465140087069,9.57805497494657,9.79903519007881,10.0537203757874,10.0479948889872,9.43148161956167,8.88375250662732,8.29502985535376,8.68421976622838,8.91737778793995,8.12342824945376,8.30845981187415,8.98099628921895,8.78197818299889,9.4925392021302,9.07852900503553,8.4150821246218,9.31629024905131,8.78654099855767,9.43159207433314,9.96864691167824,9.36943239053629,9.49076724604212,9.376923976385,9.704809279104,9.73946479127483,9.25192914769215,9.40733285793032,9.1700655341205,9.38268658792439],"PASP-FDS^FG_PRICE_CHANGE(0,-1AM)":-1.3953488372093,"EWW^FG_TOTAL_RETURNC(0,-12AM)":11.220717,"ECH^P_PRICE(0)/P_PRICE_LOW_PR(0,,,,,,\"PRICE\",\"INTRA\",\"52W\")-1":0.10984373,"ECH^FG_ROE(0)":10.9698358870268,"UAE^FMA_PE(LTM,0,,,\"PORTAGG\",\"MEANR\")":10.671130103238,"QAT^JULIAN(FMA_DIV_YLD(NTMA,NOW,NOW,M,\"PORTAGG\",\"MEANR\").DATES)":45379,"EWW^FMA_DIV_YLD(NTMA,NOW,NOW,M,\"PORTAGG\",\"MEANR\")":3.98467504611054,"KSA^P_PRICE(0)/P_PRICE_HIGH_PR(0,,,,,,\"PRICE\",\"INTRA\",\"52W\")":0.9630779,"VGK^SIZE(FG_CONSTITUENTS)":1280,"TRYMX10Y-FDS^FG_YIELD_NAME":"Treasury - Mexico Benchmark Bond 10Y","CC_CN^IMF_IFS_RCPI_Q(0)":null,"VGK^FG_PE_NTM(0,,,90,0)":13.9986057326763,"UAE^JULIAN(FMA_DIV_YLD(NTMA,NOW,NOW,M,\"PORTAGG\",\"MEANR\").DATES)":45379,"SET-BKK^FG_COMPANY_NAME":"Thailand SET","EPU^FMA_PE(NTMA,0,,,\"PORTAGG\",\"MEANR\")":12.7618678679894,"EIDO^FMA_PE(LTM,0,,,\"PORTAGG\",\"MEANR\")":15.9150814154322,"QAT^FG_COMPANY_NAME":"iShares MSCI Qatar ETF","TUR^FMA_EVAL_EBIT(LTMA,NOW,NOW,M,\"PORTAGG\",\"MEANR\")":7.3514078682178,"EWW^PERCENT_CHANGE(FMA_EPS(+1,0,,,,\"PORTAGG\",\"MEAN\"),FMA_EPS(+1,-3AM,,,,\"PORTAGG\",\"MEAN\"))":-0.329574250061059,"VGK^FG_TOTAL_RETURNC(0,-6AM)":14.664877,"EZA^FMA_PE(NTMA,0,,,\"PORTAGG\",\"MEANR\")":9.38268658792439,"MCHI^FG_FCF_YIELD_NTM(0)":7.20050740324125,"FC0000ZA^FG_PRICE(0)":294.13074,"EWM^FG_PRICE_MAVG(0,,,,30)":21.876333,"VGK^FG_TOTAL_RETURNC(0,-3AM)":3.8551927,"TRYAE10Y-FDS^FG_YIELD(0,,,,\"YTM\")":null,"CC_KR^IMF_IFS_RCPI_Q(0)":null,"ECH^FMA_COS_DOWN(\"EPS\",\"1M\",+1,NOW,,,\"PORTAGG\",\"MEANR\")":10.0,"TRYPL10Y-FDS^FG_YIELD(0,,,,\"YTM\")":5.7252,"EWM^FMA_PE(LTM,0,,,\"PORTAGG\",\"MEANR\")":17.4706087038377,"USDMXN^FG_PRICE_CHANGE(0,-6AM)":-6.5506516,"QAT^FG_TOTAL_RETURNC(-10AY,0,AM)":[null,null,-4.222572,6.7985177,1.967597,2.118802,-7.9659104,6.1014533,-13.377047,1.6644716,4.52348,-5.3528547,1.7421961,4.698169,-4.4953346,-0.35523772,-2.1390438,-4.1211247,3.5383463,-9.220177,-9.44922,-6.7487774,11.017966,6.5803647,-1.3152897,-3.1697214,-1.4405191,5.6524634,9.941983,-7.819617,0.8066654,-5.661339,2.443993,6.25,0.85470676,-4.2871294,4.375005,-5.6886315,-6.296301,2.392292,-3.6144614,-6.964278,-3.3269405,-10.859031,15.9682865,9.800887,-3.673464,0.060534477,3.2667756,-2.460456,2.5225282,3.8541794,1.5919805,1.1027336,3.1572819,6.1213136,-0.6802738,5.047822,-8.851796,1.1098742,4.0022016,-7.067311,5.6512475,-0.20377636,-8.108961,7.8627825,1.0498166,-0.48185587,-0.9795666,4.1266203,-7.980454,-13.65782,6.6621065,2.6925087,4.4442654,4.308307,2.7722597,2.9276729,0.6692648,0.4986167,1.9294381,3.3531666,-3.7414968,0.4077077,5.30591,-0.10282993,-1.5142739,1.6630411,4.098785,-0.35335422,6.129694,1.0501146,-4.11644,7.855737,3.7562966,5.430913,2.9727697,-6.9133816,-4.4212637,-2.2556365,14.804066,-6.110406,-3.3213615,-3.1675994,-9.339703,-3.9382756,1.2188435,-4.214561,2.342856,7.9285264,-2.6325285,-0.49696565,1.276362,-3.397262,-4.878044,5.128193,-2.3255825,1.8583179,0.1254201,3.0634284,-4.3646455],"BRENT-FDS^FG_PRICE(0)":85.86,"REFBRSELIC-FDS^(SUBARRAY(NOT_NA(NO_REPEAT_F(FG_YIELD(NOW,-10AY,D))),0,1)-SUBARRAY(NOT_NA(NO_REPEAT_F(FG_YIELD(NOW,-10AY,D))),1,1))*100":-50.0,"EWW^FMA_PE(NTMA,0,,,\"PORTAGG\",\"MEANR\")":12.4018039262755,"USDCNH^FG_PRICE_CHANGE(0,-3AM)":0.40643215,"VNM^FMA_PE(LTMA,-10AY,0,AM,\"PORTAGG\",\"MEANR\")":[11.8361272263789,11.8968915771191,12.4342762589833,12.7350877746414,12.9622290210429,13.1315572425469,12.9568607792292,12.8211170833811,12.3705389981795,12.4509108781616,12.9998504512307,16.6269559330554,16.7860826239706,16.3606678671324,16.638728186338,17.2759789066297,17.2451886229004,17.9027083089176,23.7268826203104,24.8357583903887,23.044348975655,32.2397515410017,19.4495413013752,-4.73022152359068,-3.16449427274607,-1.22947173017151,0.665644793529822,2.60925570406696,4.28140147634083,5.76261583673271,10.559607446394,11.7228774967868,13.5571636614408,14.7009991585351,15.8951802837904,15.5018920603268,15.6441459457913,15.7606935738637,15.8377679769097,16.0603480921853,17.0664173341496,18.0042828292188,18.1641769717932,19.4560485552195,21.8719187922572,24.8295235435811,23.8292179790327,24.5317931001974,24.3686050709092,24.1464660038178,22.7152919977938,21.8277021121574,21.9929184273946,21.9692780994486,20.2604218436636,19.0620341193409,19.0448479989942,18.3355828390877,18.5384320327757,19.7481706985987,19.659848877502,19.5225609916688,19.1261734890959,18.6730306891416,17.6164872060202,17.631311682543,17.2611403582311,17.8369215094232,17.1507443447388,16.286064398669,15.3004136752529,14.6706410231998,15.1866110297296,15.2875604744682,16.208380497155,16.5584325446735,16.5339209388172,18.1113700622519,18.6831902789045,18.99379136774,21.5510405393606,24.2862270327333,24.7665388613526,24.1107577102946,23.5611820043122,22.6648129139005,23.0641762083141,21.7057399836479,21.0004764505919,20.3968135375294,20.1417971948919,19.7195329695031,19.3763039483359,17.1568446243107,17.097549008439,16.325958350626,16.004436847395,15.3114203880079,14.7888309032365,13.9220287392711,14.1562330965516,13.5361936999937,12.5556574732786,11.586388348449,12.7088667166565,12.3672952741762,12.8346897112358,12.4085350038537,12.8823273961647,13.3318328944505,13.6092152708756,13.6215473287355,14.3202513372796,15.3833304928238,15.2206972892787,15.4223928127481,16.0129695676793,16.8318833886362,17.0059327208173,18.6391552444827,18.1990487360453],"KSA^FMA_DIV_YLD(NTMA,NOW,NOW,M,\"PORTAGG\",\"MEANR\")":3.37585210609164,"ECH^JULIAN(FMA_DIV_YLD(NTMA,NOW,NOW,M,\"PORTAGG\",\"MEANR\").DATES)":45379,"TRYAE10Y-FDS^PCTCHG(FG_YIELD(0,,,,\"YTM\"),FG_YIELD(-1AM,,,,\"YTM\"))":null,"CNYA^FG_FCF_YIELD_NTM(0)":5.25527944295278,"EWY^FMA_EVAL_EBIT(LTMA,NOW,NOW,M,\"PORTAGG\",\"MEANR\")":20.2723539464788,"EPHE^FMA_DIV_YLD(NTMA,NOW,NOW,M,\"PORTAGG\",\"MEANR\")":2.7516952043142,"TRYPE10Y-FDS^FG_YIELD_NAME":"Treasury - Peru Benchmark Bond 10Y","TRYMY10Y-FDS^FG_YIELD(-10AY,0,Y,,\"YTM\")":[4.131911,4.345605,4.195897,3.902544,4.235642,3.300551,2.804181,3.573893,4.131847,3.727505],"USDCNH^STD(FG_PRICE_CHANGE(0,-1AY,AM))":1.07478633220089,"EWZ^FMA_PE(NTMA,-10AY,0,AM,\"PORTAGG\",\"MEANR\")":[10.9932127549098,11.1638213842764,11.6028393379463,11.783593586017,11.932074766164,12.1172616850436,11.6847800743585,11.1620267022968,10.7660921154468,11.2817943601753,11.9866538020265,12.7160719005668,13.7559699442375,14.0915998883542,13.4362761271369,12.7887925747973,11.3014082860028,11.2145253594665,11.1263738571113,11.0954922209104,10.5095466481496,9.53080731471604,10.7776997590663,13.25225293497,13.8576463161551,12.5177936228782,12.0772424381355,13.5493375759044,14.1257154277383,13.4885449637939,14.735848578073,13.5188883231932,12.4236942129327,13.2453293196835,13.7827284601621,12.7093886976668,12.5070861826138,11.8686182503686,11.7907034186402,12.3405685477466,13.0502146596324,14.1869819131977,14.0575407521914,13.155124467107,13.0041138162905,13.7184805358042,13.5797682108525,12.8870740926295,12.8729471062538,12.0190293524675,10.2434812741258,10.9243893319184,10.7360885536659,10.6351152557606,11.0361490638829,11.6392221047282,11.3836574158909,13.0276428193818,12.83136675503,12.7076660414531,11.4559175393489,11.1313852348888,12.3597267921045,12.7748244506018,12.4260365531287,12.9259225744672,13.081915588657,13.3388338960433,14.2910474511837,14.6322177786826,14.1040113918182,9.28118626151824,12.3430738461965,15.299644831157,18.2906311693496,27.0725321875275,25.2455298779008,19.199160370167,16.4628399138061,14.5721754461381,13.4003655638085,12.0594979215086,11.0289260773339,9.52015892237254,9.27223686167653,9.03664620541902,9.3601867200571,8.76670370797017,7.79355750165846,7.51104689319192,8.03778726681801,7.25794045520099,7.89920864439305,7.8824210550868,8.02437311009351,7.83041912834249,7.39720368667747,6.41296313376933,6.0266875380198,5.90029405700971,6.51269909561077,6.38801063894555,7.04502338343138,6.82717669744986,6.48237991874622,7.10847286216665,7.0953236656219,6.47383158024302,6.90301885390085,7.14521874892726,7.83129705273756,7.84442386917876,7.85168450351144,7.91689526605803,7.4700563342016,8.11637348976594,8.0664640773388,7.72080021492684,8.09979964462382,7.92732660086188,7.54058847571941],"PASP-FDS^FG_PRICE(0)":1060.0,"SET-BKK^PERCENT_CHANGE(FMA_EPS(+1,0,,,,\"PORTAGG\",\"MEAN\"),FMA_EPS(+1,-1AM,,,,\"PORTAGG\",\"MEAN\"))":-0.775276788493096,"GREK^PERCENT_CHANGE(FMA_EPS(+1,0,,,,\"PORTAGG\",\"MEAN\"),FMA_EPS(+1,-3AM,,,,\"PORTAGG\",\"MEAN\"))":-0.830069193285003,"EWW^FG_TOTAL_RETURNC(0,-1AM)":-3.0321121,"EPU^PERCENT_CHANGE(FMA_EPS(+1,0,,,,\"PORTAGG\",\"MEAN\"),FMA_EPS(+1,-3AM,,,,\"PORTAGG\",\"MEAN\"))":0.462918277840469,"ECH^P_PRICE(0)/P_PRICE_HIGH_PR(0,,,,,,\"PRICE\",\"INTRA\",\"52W\")":0.8194011,"VGK^FMA_COS_DOWN(\"EPS\",\"1M\",+1,NOW,,,\"PORTAGG\",\"MEANR\")":451.0,"EWM^FMA_RBICS_REV_CURRENT(30, LOC, \"PORTAGG\")":41.7398347515529,"CNYA^FG_ROE(0)":9.49076681875356,"REFBRSELIC-FDS^FG_YIELD(NOW,,,0)":10.75,"TRYTW10Y-FDS^FG_YIELD(0,,,,\"YTM\")":1.7125,"EZA^FMA_DIV_YLD(NTMA,NOW,NOW,M,\"PORTAGG\",\"MEANR\")":4.16351343635491,"EWZ^FG_COMPANY_NAME":"iShares MSCI Brazil ETF","TRYID10Y-FDS^FG_YIELD(0,,,,\"YTM\")":6.92923,"GREK^FG_ROE(0)":14.1767038825316,"REFPEMPR-FDS^(SUBARRAY(NOT_NA(NO_REPEAT_F(FG_YIELD(NOW,-10AY,D))),0,1)-SUBARRAY(NOT_NA(NO_REPEAT_F(FG_YIELD(NOW,-10AY,D))),1,1))*100":-25.0,"VNM^FG_FCF_YIELD_NTM(0)":-2.78463197755173,"USDMXN^FG_PRICE_CHANGE(0,-3AM)":-0.6207526,"INDA^FG_TOTAL_RETURNC(-10AY,0,AM)":[4.6648383,9.325838,2.7064085,-0.14596581,3.215003,2.0441294,-5.4690003,7.500839,-5.771303,7.4,2.8243303,0.12072325,-2.848959,-5.1357627,-1.40661,4.6174407,-4.171973,-7.211697,6.0530066,-8.341784,0.3316164,-6.850958,-3.5345495,9.139562,3.9984941,-2.9379725,3.3632278,4.7608256,2.7083397,-0.43948293,0.40746927,-11.701048,2.7575612,2.9693007,5.952823,6.61186,0.16067028,2.726984,1.8425941,3.5264015,0.20815134,2.6112795,-0.43377876,1.2198567,2.3242474,4.3426633,-4.6303806,-3.691095,2.9186368,-5.6717277,1.7916799,1.7219543,3.8766503,-4.947698,-11.540747,8.607936,3.6311865,-1.3385892,-2.5640965,11.058903,0.95909834,-5.7837367,4.6845913,-0.17153025,-7.8464985,-0.90118647,6.710565,0.08816719,3.5610676,2.6674151,-3.5655081,-33.07538,11.049247,1.4269114,7.5902224,11.658406,6.2202454,2.4200678,1.6044378,5.110538,7.5179696,4.2207003,4.8060417,-3.7011206,-0.43509603,4.7584414,2.0175934,0.5684376,3.911376,7.2454333,2.5157213,-1.4842689,-5.970353,7.938111,-5.9865117,0.33632517,-0.15642643,-9.35542,-4.2592525,3.1592488,9.975004,-1.9549906,-4.637146,4.3763638,-1.700443,0.6161094,-5.0400376,-4.811507,4.0646076,2.4787188,5.5743456,3.2459974,-2.6948035,4.2464733,-2.1031618,1.8656611,7.570219,1.2898564,4.319477,-0.9765625,0.7297754],"NI-FDS^MAX(FG_PRICE(0,-5AY))":48241.0,"COPP-FDS^FG_PRICE_CHANGE(0,-1AY)":8.58295635163222,"QAT^FG_PRICE_MAVG(0,,,,60)":17.649494,"EWM^FG_PRICE_MAVG(0,,,,200)":21.2143,"KSA^PERCENT_CHANGE(FMA_EPS(+1,0,,,,\"PORTAGG\",\"MEAN\"),FMA_EPS(+1,-1AM,,,,\"PORTAGG\",\"MEAN\"))":-1.00939502619512,"EPU^PERCENT_CHANGE(FMA_EPS(+1,0,,,,\"PORTAGG\",\"MEAN\"),FMA_EPS(+1,-1AM,,,,\"PORTAGG\",\"MEAN\"))":1.06736832672121,"INDA^FMA_COS_UP(\"EPS\",\"1M\",+1,NOW,,,\"PORTAGG\",\"MEANR\")":53.0,"EPHE^FMA_COS_DOWN(\"EPS\",\"1M\",+1,NOW,,,\"PORTAGG\",\"MEANR\")":13.0,"REFIDRREPO-FDS^PROPER_NAME(0,,,\"SECURITY\",\"NAME\")":"Indonesia BI (Reverse) Repo Rate - 7 Day","TRYBR10Y-FDS^PCTCHG(FG_YIELD(0,,,,\"YTM\"),FG_YIELD(-3AM,,,,\"YTM\"))":8.174797,"TRYSA10Y-FDS^FG_YIELD(0,,,,\"YTM\")":5.5183163,"CC_GR^IMF_IFS_RCPI_Q(0)":null,"EPHE^FMA_COS_UP(\"EPS\",\"1M\",+1,NOW,,,\"PORTAGG\",\"MEANR\")":11.0,"MCHI^FG_COMPANY_NAME":"iShares MSCI China ETF","UAE^FMA_PE(LTMA,-10AY,0,AM,\"PORTAGG\",\"MEANR\")":[null,null,null,null,null,null,null,null,null,12.1380216727148,12.7259459817061,12.8217680786303,13.4955075964412,13.7577535578733,13.4963345093629,13.6470482098043,12.961643899009,13.3468019415394,13.7092510361375,12.089517716546,12.0750336100751,12.2016629163545,12.4195064983825,13.0746238895343,13.3050031237525,13.1954620462365,13.0873852895696,13.6541815322181,13.5993257910922,13.4813966685437,13.426948072052,12.6495547411964,12.7048237998429,13.5108030802026,13.5463670009058,13.3423337538435,13.287774347876,13.196108034034,12.9287487420743,13.0775100658811,13.0130709328631,12.3984077339627,12.4187480123048,11.4835092089182,11.7019959905908,12.4637981938988,12.4862283407948,12.3572595761627,12.4159406668306,11.9474272291493,11.9773712654617,12.2081484019255,12.1412415285192,12.7704005097809,12.6267544506227,13.006633073736,11.9654479201523,11.956436920481,12.0017756227472,12.7789351633085,12.8607688093344,12.3347366799427,12.7304396835239,13.0774587962153,13.735164364711,14.5771763153384,14.2506650096439,14.5299262514804,15.930517184415,16.1477028242452,15.1130933291385,13.7894957195831,15.1785186553661,16.1307177470977,17.5972586517207,18.0935115713341,16.186495939128,17.710830102808,16.0249897738563,25.9279085006517,24.4974556917447,24.8213893954164,27.8114587953735,26.9345766781599,25.5458457069669,24.3211398417221,23.5226872165997,22.2523249392012,21.3302158046807,20.3303928036783,18.9196096440992,19.0364824511502,18.0789604543439,16.5853504607206,16.8330932190324,17.2480534492759,17.3880985023951,16.7930657191355,15.9952890554234,15.3907282082645,15.5719507125832,15.3590910777035,14.2670769666911,13.8786796948564,13.2345175806189,12.5633804344418,12.5845401533704,12.1111903800115,12.1054979043487,11.8833516757187,11.8042196290906,11.7951713277708,11.4912628002973,11.1206851813154,10.5996480518782,10.3842272373254,9.96699153271085,10.1438987334003,9.61770349005738,9.39853132192836,9.38713067821494],"TRYKR10Y-FDS^PCTCHG(FG_YIELD(0,,,,\"YTM\"),FG_YIELD(-3AM,,,,\"YTM\"))":5.7202992,"KSA^FMA_EVAL_EBIT(LTMA,NOW,NOW,M,\"PORTAGG\",\"MEANR\")":22.6050843556214,"TUR^FG_FCF_YIELD_NTM(0)":11.8261605254055,"EZA^JULIAN(FMA_DIV_YLD(NTMA,NOW,NOW,M,\"PORTAGG\",\"MEANR\").DATES)":45379,"ECH^FG_FCF_YIELD_NTM(0)":9.22668832580701,"REFKRBASE-FDS^FG_YIELD(NOW,,,0)":3.5,"FC0000ID^FG_PRICE(0)":1074.81,"ECH^FG_TOTAL_RETURNC(0,-1AM)":-2.3056865,"EZA^SIZE(FG_CONSTITUENTS)":34,"EIDO^SIZE(FG_CONSTITUENTS)":77,"TRYTR7Y-FDS^FG_YIELD_NAME":"Treasury - Turkey Benchmark Bond 7Y","REFAEREPO-FDS^(SUBARRAY(NOT_NA(NO_REPEAT_F(FG_YIELD(NOW,-10AY,D))),0,1)-SUBARRAY(NOT_NA(NO_REPEAT_F(FG_YIELD(NOW,-10AY,D))),1,1))*100":25.0,"REFCLMPR-FDS^PROPER_NAME(0,,,\"SECURITY\",\"NAME\")":"Chile Monetary Policy Rate","MCHI^FMA_PE(NTMA,0,,,\"PORTAGG\",\"MEANR\")":9.3237341550998,"REFCNRMB-FDS^FG_YIELD(NOW,,,0)":3.45,"TRYTR7Y-FDS^FG_YIELD(-10AY,0,Y,,\"YTM\")":[7.979133,10.679033,11.110786,11.586128,15.896213,12.034795,12.534946,23.870693,7.323803,21.984322],"EWW^FG_TOTAL_RETURNC(-10AY,0,AM)":[6.3812375,2.8681636,2.128613,3.5503626,1.1520147,0.3374219,-7.9445243,0.28920174,-9.559334,-1.5069485,1.5987635,0.3045678,0.5398154,1.5604019,-2.3624659,-2.3034215,-5.4072976,-1.8071175,3.568077,-1.9764304,-5.0961914,-11.407333,6.8318725,10.741913,-1.0945499,-4.579282,-2.6394725,6.632972,3.955567,-12.333643,10.198843,-16.627861,3.2580853,-4.9771786,8.934951,9.514427,2.9558659,-1.590687,7.35265,6.3212037,-0.7159054,-1.6707718,-6.5104604,-3.8454235,1.0346174,4.6885014,-0.98822117,-3.205371,7.2972417,-15.819627,-0.83425045,13.828075,-1.8715441,2.8508306,-7.241851,-12.920875,-2.4606466,12.703169,-2.8400242,0.22835732,7.382095,-6.1531963,0.72318316,-1.9010484,-8.662158,10.864008,2.2135139,0.045108795,5.4114103,3.670907,-1.1039317,-39.44819,-1.8782616,7.8695536,5.887699,-1.9937694,9.821999,-3.4732282,5.727136,15.825308,5.1502824,4.7826767,-5.777878,5.798137,5.0744295,2.7688384,-1.4476538,3.4814239,3.0134082,-0.42075515,0.2414465,-4.576474,4.168451,3.4814596,-0.63328743,4.740095,1.5782475,-7.0385575,-6.337726,-0.54573417,5.0263286,-3.9498448,0.6744981,15.30149,-5.01014,12.867498,4.4424653,-6.747526,9.379005,4.103172,3.8842797,0.18720627,-3.6904454,-2.7809203,-9.828705,14.514935,10.517001,-5.3820906,5.254936,-0.5200684,-3.0321121],"NI-FDS^FG_PRICE(0)/MAX(FG_PRICE(0,-1AY))":0.712999216914644,"QAT^FG_PRICE_MAVG(0,,,,30)":17.6984,"EWM^FG_PRICE_MAVG(0,,,,60)":21.612667,"KSA^FMA_PCT_ABOVE_MAVG(200,0,,,,\"PORTAGG\")":71.6666666666667,"GREK^FMA_COS_UP(\"EPS\",\"1M\",+1,NOW,,,\"PORTAGG\",\"MEANR\")":6.0,"EPHE^FMA_RBICS_REV_CURRENT(30, LOC, \"PORTAGG\")":47.200409865303,"REFKRBASE-FDS^(SUBARRAY(NOT_NA(NO_REPEAT_F(FG_YIELD(NOW,-10AY,D))),0,1)-SUBARRAY(NOT_NA(NO_REPEAT_F(FG_YIELD(NOW,-10AY,D))),1,1))*100":25.0,"REFCLMPR-FDS^(SUBARRAY(NOT_NA(NO_REPEAT_F(FG_YIELD(NOW,-10AY,D))),0,1)-SUBARRAY(NOT_NA(NO_REPEAT_F(FG_YIELD(NOW,-10AY,D))),1,1))*100":-75.0,"TRYMY10Y-FDS^FG_YIELD(0,,,,\"YTM\")":3.960932,"CC_BR^IMF_IFS_RCPI_Q(0)":null,"VGK^JULIAN(FMA_DIV_YLD(NTMA,NOW,NOW,M,\"PORTAGG\",\"MEANR\").DATES)":45351,"CNYA^FG_TOTAL_RETURNC(0,-3AM)":9.1097355,"VNM^FMA_PE(LTM,0,,,\"PORTAGG\",\"MEANR\")":18.0473031304781,"TRYTR7Y-FDS^PCTCHG(FG_YIELD(0,,,,\"YTM\"),FG_YIELD(-1AM,,,,\"YTM\"))":-0.5592117,"EWT^FG_TOTAL_RETURNC(-10AY,0,AM)":[4.5582056,-0.33534765,4.979813,2.8205156,-0.62345266,0.4391551,-7.1830153,3.7685037,-2.4513364,2.5084734,5.0264597,1.7632246,-2.4133623,3.8046956,-3.543073,-1.773274,-14.571243,3.9999962,4.354143,-5.1460323,-3.1524956,-11.504298,12.786591,9.53871,-2.2840858,-8.035058,8.181095,9.911895,3.1396031,-2.6554406,4.5908213,-4.770994,2.3046017,1.5032172,7.408619,2.0539641,-1.2916803,3.7431479,1.2907028,6.1106324,-1.0371208,3.1991124,0.8551717,0.079488754,-2.88589,7.2910786,-1.2026131,1.825881,-1.7931342,-2.937287,-1.1995614,1.2417078,-0.43608546,0.82125664,-10.073317,0.5736828,-1.9274116,2.0524144,1.5779734,4.1120887,5.7343483,-8.384061,3.110838,5.1552534,-4.6518145,6.8653345,3.7725449,5.3477407,5.887103,0.556767,-4.381317,-24.823767,20.864033,3.435862,6.6702366,7.6845884,6.110072,-0.35164952,0.7278323,9.065044,5.4973483,10.87842,4.1972756,-2.9875815,7.7162623,-3.8226724,4.458916,3.021586,-4.5313478,4.5026064,-4.0908394,8.092773,-0.54620504,3.3483148,-1.8149078,-4.491287,-7.533586,-7.0922017,-2.550733,-5.426061,6.7474723,-9.538233,-11.841005,15.353584,-0.6747067,6.110978,2.2575378,-1.8472612,3.0755162,1.1801362,6.6241264,1.0319948,-7.8243136,1.8838763,-3.5022855,7.8223705,3.366077,-1.6610146,6.862974,4.968536,-3.4931839],"NI-FDS^FG_PRICE_CHANGE(0,-1AY)":-27.0432692307692,"VNM^P_PRICE(0)/P_PRICE_HIGH_PR(0,,,,,,\"PRICE\",\"INTRA\",\"52W\")":0.77596676,"QAT^P_PRICE(0)/P_PRICE_LOW_PR(0,,,,,,\"PRICE\",\"INTRA\",\"52W\")-1":0.105363965,"EZA^FG_TOTAL_RETURNC(0,-12AM)":-9.068495,"EWW^FMA_PCT_ABOVE_MAVG(200,0,,,,\"PORTAGG\")":52.2727272727273,"ECH^PERCENT_CHANGE(FMA_EPS(+1,0,,,,\"PORTAGG\",\"MEAN\"),FMA_EPS(+1,-3AM,,,,\"PORTAGG\",\"MEAN\"))":-2.79982092806774,"KSA^FMA_COS_DOWN(\"EPS\",\"1M\",+1,NOW,,,\"PORTAGG\",\"MEANR\")":34.0,"EZA^FMA_COS_DOWN(\"EPS\",\"1M\",+1,NOW,,,\"PORTAGG\",\"MEANR\")":14.0,"EIDO^FMA_COS_DOWN(\"EPS\",\"1M\",+1,NOW,,,\"PORTAGG\",\"MEANR\")":25.0,"EIDO^FMA_RBICS_REV_CURRENT(30, LOC, \"PORTAGG\")":58.4205434251482,"TRYTW10Y-FDS^FG_YIELD(-10AY,0,Y,,\"YTM\")":[1.6015,1.015,1.2037,0.9478,0.8648,0.672,0.315,0.7413,1.2812,1.211],"USDMYR^FG_PRICE_CHANGE(0,-3AM)":1.3883114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576718,0.557417673683109,0.621885469021717,0.869531876625146,1.21959709581891],"SET-BKK^FMA_PE(LTMA,-10AY,0,AM,\"PORTAGG\",\"MEANR\")":[18.3130738458527,18.0993495896145,17.7198746300696,17.8428623143955,18.8080850931659,19.2140840134277,18.7207549538076,19.8187002547876,19.4075175310456,19.528810853969,22.6479393851056,23.1547878162475,22.529725885477,21.9367705521237,21.2911674309453,20.6972314561529,19.4227505522321,19.0031066676721,18.7643591544555,16.3427605239294,14.616977877518,13.8962235548337,16.001277215638,16.6066987677227,16.4559889768857,16.3300329201495,16.3248407834453,16.6532594211598,16.7197485097683,16.1001488823737,15.9348135703019,15.8178427633143,16.1163835499885,16.3473867678271,16.3671300123503,16.3026720240508,16.2398284033052,16.01374544555,16.1037580014765,15.9091267105874,15.9262376107196,16.5573002277537,16.770404006137,17.0977840156689,17.4441131708732,18.4274349403861,17.9817673436924,17.6600395735414,17.319451537469,17.258758765657,16.7445042512765,16.3041072758716,16.252960903188,16.4571052039718,15.8240091097008,15.2439649817012,14.5411973936623,14.7485165007504,15.570044301568,16.1358273700697,16.1743496758323,15.9301067616834,16.2491089589225,16.498575275677,16.2357076707715,16.5210744254399,16.7545571040719,17.200307560785,16.7810408705987,17.1960961342646,16.4960597105461,14.3662748963991,15.2005792605023,16.6079734282892,18.1352071215831,18.8635082270382,20.2362411339057,21.2380987860436,21.4360137212241,22.9158050486757,25.6000250945076,28.0724961472823,27.8903329819265,27.3627600894968,26.5208849140845,25.2077079804479,24.3547527115282,23.2513094298247,22.1486501055539,21.8549118666183,20.9953832222115,20.2902082453863,19.1310836535161,19.0505692480278,19.2536316174466,18.7885624503391,18.5417821866941,18.209889137481,17.5930026655026,17.2860989241221,17.2811897219667,16.8404901485774,16.2690411911776,16.6285934100244,16.4902586638437,17.1492363741162,17.4590229647908,17.2853522774586,17.3023624368028,17.1162476165966,17.3183666789812,17.3270967681419,17.3794927741247,17.4183750147765,16.8455168502304,16.5154692229841,16.1352874979707,15.4579712171051,16.0918483282551,16.8119841830972,16.5639439582038],"MCHI^FG_PRICE_MAVG(0,,,,200)":41.91435,"EWM^FG_PRICE(0)":21.64,"EPOL^FG_TOTAL_RETURNC(0,-1AM)":1.3111949,"ECH^PERCENT_CHANGE(FMA_EPS(+1,0,,,,\"PORTAGG\",\"MEAN\"),FMA_EPS(+1,-1AM,,,,\"PORTAGG\",\"MEAN\"))":-2.61058854880558,"SPY^PERCENT_CHANGE(FMA_EPS(+1,0,,,,\"PORTAGG\",\"MEAN\"),FMA_EPS(+1,-3AM,,,,\"PORTAGG\",\"MEAN\"))":-0.206187748583798,"CNYA^FMA_RBICS_REV_CURRENT(30, LOC, \"PORTAGG\")":20.5882231369326,"TRYKR10Y-FDS^PCTCHG(FG_YIELD(0,,,,\"YTM\"),FG_YIELD(-1AM,,,,\"YTM\"))":3.8751755,"CC_TW^IMF_IFS_RCPI_Q(0)":null,"KSA^FMA_EVAL_EBITDA(NTMA,0,,,\"PORTAGG\",\"MEANR\")":11.6294733779515,"TUR^FMA_DIV_YLD(NTMA,NOW,NOW,M,\"PORTAGG\",\"MEANR\")":4.26452747098913,"MCHI^JULIAN(FMA_DIV_YLD(NTMA,NOW,NOW,M,\"PORTAGG\",\"MEANR\").DATES)":45379,"EWZ^FMA_EVAL_EBITDA(NTMA,0,,,\"PORTAGG\",\"MEANR\")":4.68711780172639,"EPOL^FMA_EVAL_EBITDA(NTMA,0,,,\"PORTAGG\",\"MEANR\")":4.47950458999966,"ECH^FMA_DIV_YLD(NTMA,NOW,NOW,M,\"PORTAGG\",\"MEANR\")":6.85048293825983,"EPU^FG_PRICE_MAVG(0,,,,60)":36.76029,"VNM^FG_TOTAL_RETURNC(0,-3AM)":-5.9279323,"QAT^FG_TOTAL_RETURNC(0,-6AM)":3.2200336,"EZA^P_PRICE(0)/P_PRICE_HIGH_PR(0,,,,,,\"PRICE\",\"INTRA\",\"52W\")":0.8497501,"EWT^P_PRICE(0)/P_PRICE_LOW_PR(0,,,,,,\"PRICE\",\"INTRA\",\"52W\")-1":0.10836792,"CNYA^FG_TOTAL_RETURNC(0,-6AM)":1.3967276,"TRYQA10Y-FDS^FG_YIELD_NAME":"Treasury - Qatar Benchmark Bond 10Y","REFTR1WREPO-FDS^PROPER_NAME(0,,,\"SECURITY\",\"NAME\")":"Turkey Repo Rate - 1 Week","EPOL^FMA_PE(LTM,0,,,\"PORTAGG\",\"MEANR\")":7.28394210349753,"EPOL^FG_COMPANY_NAME":"iShares MSCI Poland ETF","EWM^FMA_DIV_YLD(NTMA,NOW,NOW,M,\"PORTAGG\",\"MEANR\")":4.19345248935773,"EWM^FMA_PE(NTMA,0,,,\"PORTAGG\",\"MEANR\")":13.8488484325196,"CNYA^FMA_PE(LTM,0,,,\"PORTAGG\",\"MEANR\")":14.1098224544633,"TRYDE10Y-FDS^FG_YIELD(-10AY,0,Y,,\"YTM\")":[0.5475,0.636,0.22,0.47,0.239,-0.189,-0.575,-0.181,2.534,2.004],"USDMYR^FG_PRICE_CHANGE(0,-1AM)":1.3775587,"EWM^FG_TOTAL_RETURNC(-10AY,0,AM)":[2.7308226,2.2151828,0.37151575,0.21169186,1.1264086,-4.0222764,-4.0618954,-0.26881695,-8.828056,0.3018856,1.1286616,-0.89285374,2.777779,0.21914244,-8.309042,-1.9932508,-16.269516,2.9440641,5.719733,-7.03336,-0.3879726,-4.653287,11.838436,5.977595,3.8777947,-9.049773,-0.99502206,6.7685723,1.5494704,-5.633807,-0.24874806,-7.793021,-0.6085217,2.2512674,3.023982,3.1713963,0.22890568,3.654158,3.305006,-2.5042534,0.82148314,3.0398011,-1.824826,-0.123906136,4.0632725,7.9973817,2.7737617,-1.3494492,3.5337806,-5.4225206,-5.0058246,0.5953193,0.528121,0.15450716,-5.6464076,0.45781136,-4.9230337,6.3414574,0.06552935,1.1787772,-5.5663404,-2.5702536,4.804158,1.4690876,-5.892253,0.2504468,-0.71377754,2.5880694,-0.36401153,2.5248885,-6.5903544,-25.807655,18.068075,2.8401852,7.2633743,7.0251226,0.3666997,-4.567045,1.1485457,5.185473,4.8218727,-2.6089907,-2.7846336,1.1240005,0.0,-1.7927587,-0.8044958,-4.9354553,-0.8785963,3.2634974,4.6820164,-5.9634743,-2.9765904,4.5147657,3.5930514,-0.038969517,-0.8187115,-6.68239,-5.9074345,-2.1470964,5.8823586,-4.894185,-7.0468245,7.9800487,4.745579,4.4523597,-3.878945,-5.277157,3.8857698,-2.9292464,-3.8155674999999998,2.8009772,0.047802925,1.2900114,-2.4056613,3.1899452,0.0,-0.23448467,2.2455812,3.1308413,-1.9483447],"QAT^FMA_PE(LTMA,-10AY,0,AM,\"PORTAGG\",\"MEANR\")":[null,null,null,null,null,null,null,null,null,14.6141315995338,15.1763515120075,14.8038942923738,14.7892368614645,14.8409505478249,14.5173639439791,14.653096465998,14.2828531133215,14.0042745707484,14.1061640805469,13.025608710136,10.9091113275245,10.7510548049412,12.2164661008529,12.1381864887064,12.24143314928,12.1044255327437,12.1808022399454,12.6646603765446,13.5050119933986,13.1588262795294,13.4724588475576,12.9786938007699,13.9200594528582,15.0285771219601,14.9374596427881,14.7438808633744,14.7032734660094,14.6160234272547,14.1817098844272,14.124852945779,13.9522477508164,12.7495155455658,12.6011238430923,12.3994315317129,13.0571389517715,13.976211097421,13.4653287366503,12.8107301753772,12.7639465736064,12.5656964727328,12.574202040199,12.6010219347216,12.8103223924326,13.1090362505056,13.4087278052001,13.7369403724251,14.2532169376354,14.7747883795401,13.388312346201,13.5526353097344,13.6317509337455,13.3132047174875,13.6503916943278,13.8578884502916,13.1160895784103,14.0327096476618,14.2296104034892,14.1144404989096,14.4686946731083,15.3983305448433,14.1022910366721,13.6161286328195,13.6508831962907,14.2304121221864,14.8318119967422,15.5187134613235,16.2260937400612,16.1144158054588,16.7459075798021,17.5377935220226,17.3749569959527,17.943869410739,16.4823600386812,16.7738886952073,16.6435323451634,16.4041562454916,16.019302680413,15.5395206151795,15.5068853344099,15.3558695241333,15.4073135915331,15.6044227812508,14.91549823655,15.5913693392762,16.0839453811356,16.2319532714455,16.0277457957001,15.5106921616501,14.8549474964332,14.6116252335016,15.7405814665224,14.8805910269148,14.1650076588448,13.7987669095305,12.3255809623659,11.9058537260435,11.9734780614079,11.6604184399478,11.6043090249828,11.8237966265374,11.8182812115295,11.8184671447251,11.9755004739526,11.6490021981935,11.3423390958289,11.6810935392465,11.2419067045539,11.625338754835,11.4621258239406,11.4473391818735,11.2740718370333],"NI-FDS^FG_PRICE_CHANGE(0,-6AM)":-1.40768814293449,"TIOS-FDS^FG_PRICE_MAVG(0,,,,30)":108.05067,"MCHI^FG_PRICE_MAVG(0,,,,60)":39.089333,"EPU^FG_PRICE_MAVG(0,,,,200)":33.071606,"EIDO^FMA_COS_UP(\"EPS\",\"1M\",+1,NOW,,,\"PORTAGG\",\"MEANR\")":21.0,"REFKRBASE-FDS^PROPER_NAME(0,,,\"SECURITY\",\"NAME\")":"South Korea Base Rate","TRYSA10Y-FDS^PCTCHG(FG_YIELD(0,,,,\"YTM\"),FG_YIELD(-3AM,,,,\"YTM\"))":6.6299896,"TRYPE10Y-FDS^FG_YIELD(0,,,,\"YTM\")":7.562069,"KSA^FG_FCF_YIELD_NTM(0)":null,"EWT^FMA_EVAL_EBITDA(NTMA,0,,,\"PORTAGG\",\"MEANR\")":9.95018055629489,"EPOL^FG_FCF_YIELD_NTM(0)":null,"ECH^FMA_PE(NTMA,0,,,\"PORTAGG\",\"MEANR\")":7.82077409873814,"EZA^FG_COMPANY_NAME":"iShares MSCI South Africa ETF"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033411117562,34.3219020121479,36.7799117251597,38.5431317629314,33.8714101516449],"NI-FDS^FG_PRICE(0)":18210.0,"VNM^SIZE(FG_CONSTITUENTS)":46,"TRYMX10Y-FDS^PCTCHG(FG_YIELD(0,,,,\"YTM\"),FG_YIELD(-3AM,,,,\"YTM\"))":7.310886,"ECH^SIZE(FG_CONSTITUENTS)":29,"TRYTH10Y-FDS^FG_YIELD(0,,,,\"YTM\")":2.706015,"EWJ^PERCENT_CHANGE(FMA_EPS(+1,0,,,,\"PORTAGG\",\"MEAN\"),FMA_EPS(+1,-1AM,,,,\"PORTAGG\",\"MEAN\"))":-3.24928630409766,"EWT^FMA_DIV_YLD(NTMA,NOW,NOW,M,\"PORTAGG\",\"MEANR\")":3.0998293107007,"CC_ID^IMF_IFS_RCPI_Q(0)":null,"EPHE^FMA_EVAL_EBIT(LTMA,NOW,NOW,M,\"PORTAGG\",\"MEANR\")":13.4337843084723,"EPU^FG_COMPANY_NAME":"iShares MSCI Peru and Global Exposure ETF","TRYIN10Y-FDS^FG_YIELD(0,,,,\"YTM\")":7.1665,"TRYQA10Y-FDS^PCTCHG(FG_YIELD(0,,,,\"YTM\"),FG_YIELD(-3AM,,,,\"YTM\"))":null,"USDSAR^FG_PRICE_CHANGE(0,-1AM)":0.02399683,"SPY^FMA_PCT_ABOVE_MAVG(200,0,,,,\"PORTAGG\")":65.0698602794411,"EWZ^FMA_COS_UP(\"EPS\",\"1M\",+1,NOW,,,\"PORTAGG\",\"MEANR\")":21.0,"CC_PE^IMF_IFS_RCPI_Q(0)":null,"EWZ^FG_FCF_YIELD_NTM(0)":9.41453367813715,"REFMXTON-FDS^(SUBARRAY(NOT_NA(NO_REPEAT_F(FG_YIELD(NOW,-10AY,D))),0,1)-SUBARRAY(NOT_NA(NO_REPEAT_F(FG_YIELD(NOW,-10AY,D))),1,1))*100":-25.0,"TUR^FMA_PE(LTM,0,,,\"PORTAGG\",\"MEANR\")":7.12834196863786,"EWT^P_PRICE(0)/P_PRICE_HIGH_PR(0,,,,,,\"PRICE\",\"INTRA\",\"52W\")":0.930265,"TRYKR10Y-FDS^FG_YIELD(-10AY,0,Y,,\"YTM\")":[2.6272,2.0852,2.0916,2.4797,1.9804,1.6728,1.7238,2.2417,3.6906,3.1928],"USDMYR^FG_PRICE_CHANGE(0,-1AY)":7.882273,"EPU^FG_TOTAL_RETURNC(-10AY,0,AM)":[5.44132,4.3598294,0.98741055,3.967321,1.8533826,-1.4722884,-7.751727,-0.4485607,-3.8667738,-4.943919,1.5521765,-7.0243893,3.3228397,4.942453,-2.9089272,-5.7727575,-16.441757,-2.5924385,3.3595085,-6.343806,-8.876681,-9.137994,17.34358,22.217024,11.634135,2.7768254,-0.10006428,11.376131,7.6621294,-8.54581,-0.30636787,-1.1063337,0.8700967,5.285263,4.606807,-5.6662025,0.7731199,1.0327578,-1.3434649,5.6560874,3.7375212,5.115509,8.294082,-1.4012992,-4.6557245,13.858616,-3.4284353,-1.5010774,8.055151,-4.8130693,-3.0573845,-3.040713,-6.112659,-3.8471818,0.81140995,0.055515766,-1.4197409,3.4482718,3.7431717,3.818798,-2.2323608,-7.4727592,2.5845408,5.597317,-12.104422,3.750372,-0.028926134,0.8388758,2.0044684,4.7686696,-7.0750475,-37.286068,15.527666,8.988321,5.623615,2.848351,8.54615,-3.8156629,-0.5345702,5.690515,10.235226,0.25846958,7.8773975,-5.045146,0.19575357,-3.5445154,-17.130493,0.035214424,-11.474836,6.5606356,13.097012,-2.3424566,-2.7101398,19.232141,2.9218793,6.5179586,-5.3304315,-17.968977,1.1300683,-12.315977,8.886158,-4.475367,0.078737736,13.53265,-1.7323315,12.307131,-5.4313064,-3.5810769,10.89698,-5.0868807,7.155454,4.707372,-5.619681,2.150631,-8.47401,5.7472467,10.789692,-0.9129286,6.144798,11.069274,2.4139762],"GREK^FMA_PE(LTMA,-10AY,0,AM,\"PORTAGG\",\"MEANR\")":[31.6075785486027,30.9044776412101,26.4808372048506,23.7572297992183,21.229577527553,19.3539250229076,17.2483823387288,17.0153789445488,17.3415934032718,12.640628831804,15.291812061168,17.331148430284,16.2725125263857,15.0728409490537,14.0215660352987,13.0432561795631,12.1060863519632,11.4949751616457,11.357811384009,11.7730661940713,-3.04419806302451,-1.39016671490513,-0.327840124074135,0.374744619336467,2.00985961997775,3.537255303437,4.02846820667862,5.36179221208688,6.48931205195354,8.14616546143481,10.8627190500633,13.221595281469,14.2918512728072,14.295215623552,13.7103696081201,14.1720550964735,14.2105931733022,15.1975974638195,15.1155530316651,15.4732591908354,15.1756915167422,14.2807750215831,16.2878252500287,16.0170298764663,20.2298446860557,22.160033673308,24.061362925449,23.4080451453554,22.9370269965157,21.713815153881,21.822381964135,21.3721347999975,20.8329168517876,21.6615939940663,18.9065910265151,18.1094143496296,16.8041412642454,15.2796263922145,17.6688283721036,18.6113091220544,18.4386086373376,17.7153177617696,17.8787699803966,18.3355174039812,16.9871870014746,20.0772348340845,15.8439278438645,15.4191022802577,17.0680385232607,18.8132669674532,15.9239246443075,11.6229042307986,11.9187737642511,12.13167255479,14.6581478643662,15.1494132170946,15.0909558165645,16.1274079668633,14.3733617703935,16.0586994586354,18.7695823650643,17.6835846637069,17.7957403935222,17.5769984751222,17.4294054878562,15.7641922882887,17.0350128892689,16.0920321494374,15.7847166516365,14.0882788764975,14.1267328722671,17.1588518902407,12.6848068054663,-61.2263219799388,-185.935017983562,-90.3025372305089,-79.254391305253,-69.1494008265542,-59.0395055375684,-48.8180097140117,-37.7339731039589,-29.2480345652785,-18.2196355877791,-8.42278742596642,1.07229426474276,6.32192442690964,7.86355280337807,7.62674195467989,7.70126151845776,7.48497115182697,8.0272349814125,8.0728177904755,7.49001405035684,7.18273444424181,6.73019107951027,6.74274797147695,6.357815019363,6.42435915374171,6.6994419397394,6.77949789058463,6.70287753759548],"MCHI^FG_PRICE_MAVG(0,,,,30)":39.901333,"EPU^FG_PRICE_MAVG(0,,,,30)":39.12364,"UAE^FG_ROE(0)":12.7281978942899,"VNM^FMA_COS_DOWN(\"EPS\",\"1M\",+1,NOW,,,\"PORTAGG\",\"MEANR\")":7.0,"EWZ^FMA_DIV_YLD(NTMA,NOW,NOW,M,\"PORTAGG\",\"MEANR\")":6.17083660457087,"EWZ^P_PRICE(0)/P_PRICE_LOW_PR(0,,,,,,\"PRICE\",\"INTRA\",\"52W\")-1":0.10698533,"USDEUR^FG_PRICE_CHANGE(0,-1AM)":2.1585107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9042781540267,42.8018507761818,51.3050657360859,35.3894151547613,41.7033181412051],"MCHI^FMA_DIV_YLD(NTMA,-10AY,0,AM,\"PORTAGG\",\"MEANR\")":[3.73062226990285,3.78291205087594,3.66568309666323,3.61653797492343,3.47121543730401,3.59441472744306,3.81142944054071,3.716877742496,3.52377483457253,3.2412769163918,3.10314940746134,3.12270831179689,2.52602417744658,2.58501427666936,2.7746897208161,3.05811300566137,3.26286709709475,3.39160235589192,3.17887791743179,3.24713287457425,3.29907441936571,3.28130532300979,3.24668182844237,2.97609568848594,2.85214026643454,3.05874035441863,2.6965323775767,2.46096218798261,2.31574910572936,2.27162205088033,2.25840786767391,2.35505652924546,2.40592195731818,2.34811735887538,2.24090422027,2.1895725387955,2.30683869972575,2.22228982424959,2.19608375847006,2.13736481159204,2.14807546780669,2.08309389133141,2.04110638933428,2.00993653533245,2.09934416262516,1.96286409729317,2.08170325913802,2.0550606019575,2.31625310848167,2.2468915272783,2.27420328187757,2.42658436233657,2.59641502864078,2.6902734940517,2.90678232197807,2.76258243345365,2.81187505979119,2.66021922756383,2.5732535323559,2.39972070514072,2.33510328502703,2.55442621669713,2.56502735890282,2.49783834782873,2.61910294348051,2.46065683950897,2.51710305308616,2.49411982720806,2.27753273833549,2.19728448281899,2.22781685032436,2.63589468642634,2.21047211035823,2.13950605657986,1.93163405897719,1.82071097141043,1.76523791779394,1.77857562023066,1.71694194299434,1.7462145685203,1.6643612615206,1.49340750980203,1.32640165785801,1.48666569162664,1.60092304594696,1.68573673490048,1.62990719685674,1.68091950509529,1.93844328992018,1.91892562594678,1.90925227628749,1.98799866770768,2.14599310537966,2.14920062575718,2.21823266980113,2.51493093386247,2.60598690194024,2.62269641615017,2.44590473329783,2.46206148045838,2.58271496627581,2.62478091248239,2.85249044683255,2.6789455078192,2.46833688176935,2.24745311736558,2.33598186661122,2.50323356183034,2.41538178370919,2.54159263240744,2.4140337327169,2.50591927904416,2.54818292339695,2.51458866498928,2.60042630145649,2.61238953327719,2.74007399628188,2.9155094114646,2.91566711733052,2.87371406369227,3.04458582476127],"PLATI-FDS^FG_PRICE(0)":945.0,"EPU^FG_PRICE(0)":39.88,"VNM^FG_TOTAL_RETURNC(0,-1AM)":-8.995503,"QAT^FG_TOTAL_RETURNC(0,-3AM)":-1.3112962,"EWT^FMA_PE(LTM,0,,,\"PORTAGG\",\"MEANR\")":21.6187423579418,"EPHE^FG_TOTAL_RETURNC(0,-6AM)":2.99865,"TRYTR7Y-FDS^PCTCHG(FG_YIELD(0,,,,\"YTM\"),FG_YIELD(-3AM,,,,\"YTM\"))":6.303384,"VNM^FMA_DIV_YLD(NTMA,NOW,NOW,M,\"PORTAGG\",\"MEANR\")":2.17933780860093,"GREK^FG_FCF_YIELD_NTM(0)":null,"TRYPL10Y-FDS^FG_YIELD(-10AY,0,Y,,\"YTM\")":[2.5048,2.9303,3.6245,3.292,2.8144,2.1086,1.235,3.6216,6.8411,5.1912]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3691273804025,22.3569609150342,28.181628189907,32.5319871434715,39.3662186798848],"EWZ^FMA_PE(LTMA,-10AY,0,AM,\"PORTAGG\",\"MEANR\")":[11.5297429824457,11.6103462008677,11.9261418894349,12.1383088867735,12.5108521334261,12.727207795872,12.6410730960707,12.3288535720253,11.8916993280683,12.2648396801936,12.7732804514731,13.011890701671,13.4619768717145,13.8892500899683,13.9701543128839,13.6985239666323,12.8341979469129,12.6635393711753,12.4799160319497,12.8408794273037,12.1350269194582,10.9584062511337,11.8881305793952,13.0582819981264,13.400458077918,13.0263148058793,12.9623721590183,13.956100658868,14.5937854610227,14.2400640797051,15.4525614338049,14.8497843514008,14.3259998721693,15.3051240915947,16.8915367238117,16.5512557998797,16.1416036007241,15.5835298841941,15.1546036305461,15.0706292616067,15.3019641301473,15.8590246406253,15.659297438984,14.7007643154641,14.4993054097146,15.6276552321977,16.1442161002291,16.3742976387096,16.0426057681845,15.451328887682,14.2697086096997,14.2988558702268,13.7382497780732,13.3178453985601,13.6650131727912,14.0197685299534,13.5961528504386,14.9022950850591,15.175564329363,14.7466771812782,14.193909453028,13.8688168409018,14.2749719888222,14.3709237891838,14.1783878407901,14.1847704682342,14.7560476107654,15.1653332275039,16.9555000098414,17.3842770201309,16.7742962967748,16.1068694811419,16.4975572322012,17.9203661569413,20.1089142590833,31.632516742073,35.750870302152,31.48786695329,30.9249088304715,30.8749020679931,35.4122529011845,31.2032504034163,28.0578861223969,19.9738162683136,18.7786480037267,17.5612367029014,16.5140451618393,15.0929837660962,13.1376646439054,11.5560135097393,10.3123055820315,8.24355217661395,7.25598402902425,6.71923890008733,7.07538224811298,7.04444343733673,6.95980720305643,6.57178558452453,6.33672410432527,6.15655308992215,6.31982275048042,6.03380889836124,6.27203021835163,5.93115889665379,5.39116772723932,5.84565641543086,5.75572272015102,5.54104352166871,5.77110020633404,5.9962232560802,6.56348049441974,6.88987768816986,7.01714052324392,7.31801841805718,7.33814755929443,8.17894488657042,8.7227819352684,8.38888718337113,8.5268071031127,8.61525371321903,8.44607084523299],"MCHI^FG_PRICE(0)":39.54,"EPHE^FG_TOTAL_RETURNC(0,-12AM)":-0.9238422,"CNYA^FG_TOTAL_RETURNC(0,-1AM)":-1.8256307,"EWY^FMA_COS_DOWN(\"EPS\",\"1M\",+1,NOW,,,\"PORTAGG\",\"MEANR\")":48.0,"ECH^FMA_COS_UP(\"EPS\",\"1M\",+1,NOW,,,\"PORTAGG\",\"MEANR\")":8.0,"TUR^FG_ROE(0)":23.5966641274848,"REFTHREPO-FDS^PROPER_NAME(0,,,\"SECURITY\",\"NAME\")":"Thailand Repo Rate - 1 Day","TRYTW10Y-FDS^PCTCHG(FG_YIELD(0,,,,\"YTM\"),FG_YIELD(-1AM,,,,\"YTM\"))":41.704586,"TRYPL10Y-FDS^FG_YIELD_NAME":"Treasury - Poland Benchmark Bond 10Y","TUR^JULIAN(FMA_DIV_YLD(NTMA,NOW,NOW,M,\"PORTAGG\",\"MEANR\").DATES)":45379,"INDA^FG_FCF_YIELD_NTM(0)":2.92785199134343,"EPOL^JULIAN(FMA_DIV_YLD(NTMA,NOW,NOW,M,\"PORTAGG\",\"MEANR\").DATES)":45379,"EWY^FG_COMPANY_NAME":"iShares MSCI South Korea ETF","USDVND^STD(FG_PRICE_CHANGE(0,-3AY,M))":1.23897809828071,"USDEUR^FG_PRICE_CHANGE(0,-1AY)":2.8811336,"USDMYR^FG_COMPANY_NAME":"Malaysian Ringgit per U.S. Dollar","INDA^FMA_DIV_YLD(NTMA,-10AY,0,AM,\"PORTAGG\",\"MEANR\")":[1.64861265370369,1.63608335057507,1.55550447451378,1.58928133863583,1.57859482197715,1.54364807846554,1.65213422279381,1.53767207787512,1.60765572307482,1.53956822496622,1.46565948923129,1.49964214444625,1.53819667528978,1.6385988394442,1.69150548786999,1.53796708356432,1.55564634275913,1.66513352036237,1.6454535073194,1.76702697575017,1.73234693400013,1.78421548997246,1.83146365778959,1.74929402463923,1.69444409239533,1.69471141175376,1.61554341079756,1.55701585034278,1.54042362316754,1.52569252940205,1.54678836927439,1.71667816522577,1.68222256828934,1.65647127090136,1.59829124108808,1.54784383746729,1.58516257005447,1.59499629272597,1.61644110059242,1.56553334287337,1.55494876900827,1.51685916955328,1.52643795548143,1.53121236865849,1.53313111524353,1.47277667776203,1.56758747456767,1.59748974882745,1.60765806759592,1.64867039985946,1.5948376174349,1.59380991056238,1.50643174536114,1.5307618207805,1.67632208761044,1.64932615925373,1.63011619470603,1.65105203526482,1.67045991250576,1.5856195125743,1.60426510531532,1.72043821020273,1.69991099965781,1.74586052377713,1.81128950847005,1.83130163589423,1.79079250112699,1.76080332082444,1.6586136235259,1.63652148049205,1.67742918519013,2.35390920152726,2.05036328966822,1.99458289869065,1.6982950519346,1.56823979040017,1.51048758445207,1.5193295324764,1.52136536290752,1.45318460771583,1.35064452294868,1.32077414926023,1.32237114440832,1.3933825128209,1.37984872090503,1.39421233293092,1.40276129206932,1.38865475894707,1.34050221730499,1.27395563812363,1.26764591336744,1.35126708577909,1.39313315633617,1.32686620376875,1.45556203126699,1.46078831563935,1.48193877816674,1.66706111265061,1.7334328309782,1.60600590665886,1.45481825220889,1.50865745607794,1.52074468932148,1.48876373032948,1.47219130779153,1.4931554615739,1.53944368284633,1.63292204075424,1.60641172402952,1.62315332371727,1.52835102373413,1.45569185172619,1.51388455415186,1.48642294372877,1.49826311934637,1.50030149475235,1.38553561600549,1.38575720881116,1.34812120550554,1.36780565408349,1.34975840465586],"EWT^FG_TOTAL_RETURNC(0,-6AM)":18.647062,"EPHE^P_PRICE(0)/P_PRICE_LOW_PR(0,,,,,,\"PRICE\",\"INTRA\",\"52W\")-1":0.08293736,"CNYA^PERCENT_CHANGE(FMA_EPS(+1,0,,,,\"PORTAGG\",\"MEAN\"),FMA_EPS(+1,-1AM,,,,\"PORTAGG\",\"MEAN\"))":-5.67100037498085,"VWO^PERCENT_CHANGE(FMA_EPS(+1,0,,,,\"PORTAGG\",\"MEAN\"),FMA_EPS(+1,-3AM,,,,\"PORTAGG\",\"MEAN\"))":-16.6634637556376,"VNM^FMA_COS_UP(\"EPS\",\"1M\",+1,NOW,,,\"PORTAGG\",\"MEANR\")":12.0,"CNYA^FMA_COS_DOWN(\"EPS\",\"1M\",+1,NOW,,,\"PORTAGG\",\"MEANR\")":320.0,"SET-BKK^FG_ROE(0)":7.89393258883949,"REFTWDISC-FDS^(SUBARRAY(NOT_NA(NO_REPEAT_F(FG_YIELD(NOW,-10AY,D))),0,1)-SUBARRAY(NOT_NA(NO_REPEAT_F(FG_YIELD(NOW,-10AY,D))),1,1))*100":12.5,"TRYVN10Y-FDS^PCTCHG(FG_YIELD(0,,,,\"YTM\"),FG_YIELD(-1AM,,,,\"YTM\"))":11.156363,"TRYQA10Y-FDS^FG_YIELD(0,,,,\"YTM\")":null,"TRYPH10Y-FDS^FG_YIELD(0,,,,\"YTM\")":6.802644,"CC_PH^IMF_IFS_RCPI_Q(0)":null,"KSA^FMA_PE(LTM,0,,,\"PORTAGG\",\"MEANR\")":22.9110641654104,"SET-BKK^FMA_EVAL_EBITDA(NTMA,0,,,\"PORTAGG\",\"MEANR\")":9.52881337444011,"INDA^FMA_DIV_YLD(NTMA,NOW,NOW,M,\"PORTAGG\",\"MEANR\")":1.34412815279926,"EWZ^FMA_PE(NTMA,0,,,\"PORTAGG\",\"MEANR\")":7.54058847571941,"EWT^FMA_PE(NTMA,0,,,\"PORTAGG\",\"MEANR\")":17.3002902418175,"CNYA^FMA_EVAL_EBIT(LTMA,NOW,NOW,M,\"PORTAGG\",\"MEANR\")":16.359959721894,"EPHE^P_PRICE(0)/P_PRICE_HIGH_PR(0,,,,,,\"PRICE\",\"INTRA\",\"52W\")":0.89312434,"CNYA^FMA_COS_UP(\"EPS\",\"1M\",+1,NOW,,,\"PORTAGG\",\"MEANR\")":99.0,"CPALM-FDS^FG_PRICE(0)/MAX(FG_PRICE(0,-1AY))":0.900851714348111,"EPOL^FG_PRICE_MAVG(0,,,,200)":20.984,"VNM^PERCENT_CHANGE(FMA_EPS(+1,0,,,,\"PORTAGG\",\"MEAN\"),FMA_EPS(+1,-3AM,,,,\"PORTAGG\",\"MEAN\"))":-12.0014403195168,"QAT^FG_TOTAL_RETURNC(0,-1AM)":-4.3646455,"EZA^FG_TOTAL_RETURNC(0,-3AM)":1.0298371,"TRYZA10Y-FDS^FG_YIELD(-10AY,0,Y,,\"YTM\")":[7.9537,9.7513,8.9047,8.58389,9.37766,9.011772,9.179499,9.791837,10.764477,11.358896],"USDEUR^FG_COMPANY_NAME":"Euro per U.S. Dollar"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786240187251,15.9439970066355,24.3051164443579,19.7601608611663,19.0963688542886],"EWY^FMA_PE(LTMA,-10AY,0,AM,\"PORTAGG\",\"MEANR\")":[11.5082338161441,11.4498202756976,11.2807744740277,11.3425931785643,11.5839536589076,11.6314341777828,10.8848598806712,11.6048357995939,11.331368696688,11.2287231215788,12.30039777804,12.1966290786785,12.0893021649244,11.7375266104019,11.3480392097937,11.1801608042134,10.9055677875801,10.8917606567693,11.1158524804486,11.205208392653,10.5503683235593,9.61812669424602,10.5758151515027,10.6499859352216,10.6950414696744,10.4154941708643,10.4069587752405,10.5954169913272,10.6485040067146,10.5478825363137,10.8351703580016,10.6281636558318,11.1412390314212,11.2562933564978,11.6768504197092,11.6192891436079,11.2640088731788,11.1284259891278,11.0126275031272,10.9474077794266,10.4746548487913,10.5060520593124,10.5978271422469,10.453858418378,10.1909785380853,10.4162429346945,10.5379243184531,10.5374689930042,10.3782658317558,10.167126880683,9.9587338584776,9.66530760446565,9.34879450851339,9.33583405034134,8.76364417040654,8.54252057785447,8.32072719909223,8.76087938706286,9.81788809086575,10.0948909774287,10.4324010813236,10.3983212490772,10.7968047104353,11.1881226114629,11.1478327192676,11.9337417798363,12.2908908884053,13.754400365376,14.4089506756413,15.0176846248511,16.4961576330548,14.4745739655405,14.7602238011018,14.9063606130493,15.3650194502045,15.5764549902968,16.1307542603217,16.3721830518682,15.9082271186835,17.0250242927667,18.7403531742358,21.3258840818504,21.1946625625603,20.0942477931496,19.4652575077421,17.8273059774368,16.9948928531996,16.0659445004477,14.5237767309945,13.5337619346554,12.1880794584884,10.8749943116344,10.1204106563226,9.33135352484022,9.40742223022515,9.31698901223541,9.29394236306939,9.23025064298126,8.93002550858847,8.93490632235713,9.10331603047418,8.7367922486026,8.73958478982614,9.85870161341749,9.73446214672274,10.2051096125248,10.9065482233219,11.2053176905576,12.1107119744958,12.2075630127457,12.5830917497919,12.9003989719429,12.8459959425583,13.7596882509578,13.6885142080831,14.0747975854317,14.8503645577009,14.3976713427798,16.6260372782193,16.0373316705381,15.5000664558106],"INDA^FG_PRICE_MAVG(0,,,,200)":47.042927,"EWT^FG_TOTAL_RETURNC(0,-3AM)":8.25411,"REFQALEND-FDS^(SUBARRAY(NOT_NA(NO_REPEAT_F(FG_YIELD(NOW,-10AY,D))),0,1)-SUBARRAY(NOT_NA(NO_REPEAT_F(FG_YIELD(NOW,-10AY,D))),1,1))*100":25.0,"TRYAE10Y-FDS^PCTCHG(FG_YIELD(0,,,,\"YTM\"),FG_YIELD(-3AM,,,,\"YTM\"))":null,"TRYMY10Y-FDS^PCTCHG(FG_YIELD(0,,,,\"YTM\"),FG_YIELD(-3AM,,,,\"YTM\"))":3.7605386,"USDVND^STD(FG_PRICE_CHANGE(0,-1AY,AM))":1.03807326747563,"USDPLN^FG_PRICE_CHANGE(0,-1AM)":2.3464441,"EZA^FMA_DIV_YLD(NTMA,-10AY,0,AM,\"PORTAGG\",\"MEANR\")":[3.44769846102109,3.40203277388354,3.32725651916081,3.2523965896897,3.26122868140366,3.32489213994749,3.56144505058513,3.28566586666083,3.35282341462269,3.33752180428413,3.11453456196558,3.07592978067572,2.97245976882578,3.07612984309698,3.245017543943,3.14859909691742,3.33048724163772,3.37710235713593,3.24861361788119,3.35396462548007,3.58487063692347,3.80911457694375,3.43511876013101,3.23284673751629,3.19905467441089,3.40277973311682,3.18438186360691,2.99275449360664,2.9284295770785,3.1389667739111,3.24934851858915,3.32759208356343,3.37625739347219,3.13127011138696,3.16565917158009,3.12570567291269,3.14948275111581,3.05981802958212,3.45612101710878,3.27524411912853,3.18347011343749,3.33094914775152,3.22609455532009,3.13840562904469,3.44368259302487,3.28254809268879,3.2857196225051,3.14122530703045,3.25188228602662,3.40944788950573,3.5390024848674,3.62257077927088,3.73681267836244,3.78621402777191,4.11977352758802,4.03711238482831,3.99765648366217,3.73446396137105,3.83875150722867,3.87154800717779,3.62967557347753,3.88197384787661,3.73867045803802,3.76295976589462,4.09710422456677,4.14712153231643,4.18913942735653,4.14167475817761,3.65655277170005,3.648377256514,3.70801715214445,5.85649780930253,4.33695850289267,3.4895063424537,3.38959869625691,3.33555802519429,3.3747419197325,3.4813233630399,3.56906772978805,3.52920389061615,3.7687028456071,3.93238067858946,3.84958564062709,3.83708891327911,4.05136543614259,4.28286510768228,4.28492742588824,4.52233520068696,4.99601576209053,5.15514029276861,4.74935478541962,4.46839174687691,4.64454908201007,4.51906823767767,4.33308245627667,4.33121679588152,4.61680143190158,4.94911398897946,5.24122215775809,5.00306397376781,4.8416383866416,5.37147611860738,5.44489165058495,4.95493888982006,4.99237328189915,4.56106859902495,4.66948182712529,4.92860999789913,4.44807499316173,4.70602357920983,4.41900879382652,4.23805881597193,4.50792314213503,4.48378882274334,4.49260676892259,4.35171284786761,4.22265731776726,4.43968639404147,4.35447055561191,4.32039546550247,4.14933339244289],"EPU^FMA_PE(LTMA,-10AY,0,AM,\"PORTAGG\",\"MEANR\")":[14.8250817521072,14.7774665502127,15.2295400579083,15.8289665684879,15.7337486220945,15.6540714520904,14.2496344830412,14.1648847117845,14.057860387504,14.969922229735,16.3841948538374,16.1094402863266,15.6339653039638,15.6129176232527,16.3478414122687,15.7159337579577,14.9952922849173,14.5564926543739,15.0095418478413,11.3175509679281,10.3708259186498,13.4671276207711,17.8138585431184,22.5098253591353,21.8422359570564,21.0827885597261,20.1619458359601,19.9513258103363,18.9460556083398,17.6775882175594,16.4676298849637,15.6747226212148,15.2099985685799,15.4611397574099,16.937891261651,16.1776916477441,15.4751973559316,15.1516485108675,14.7675117007231,14.9181106049376,15.2650820808148,16.6767689509954,16.4454337748944,16.6527639479502,16.4503893121955,17.6619486836358,18.6939935479772,19.518179280356,19.1076987776669,18.4210607942983,18.1078461015865,17.4667699129487,17.3075158026106,16.1628734810263,16.1946574922204,17.035024169216,17.1828799521264,17.8282426335111,19.3004468538212,20.019380534182,19.4007241632317,18.2794445516714,17.800306988329,18.423376754206,17.8561456495934,17.282892467292,17.0617568664063,16.9552380214588,16.3669081275271,16.9697328475494,16.6692235842382,15.7405353079093,15.9093974844274,17.1322140390369,19.8243697752858,22.4563080357942,29.4747326590934,36.1484945009131,36.9152488602067,43.3048791957352,52.7747084726022,47.9328317082683,52.5464380377308,64.6125514203512,58.9751299519289,53.1803610151208,46.1090457851938,40.6801873464898,34.7309544144676,29.37830749495,24.7023074389426,18.6410505036886,13.5024584966245,12.5893157309966,12.4288647602431,13.5074440062201,12.8143367947611,11.7543401775525,11.1419723175872,10.1718367510343,10.0794362888752,9.3627918435271,9.25460870532276,9.99021406961269,9.2558341288874,10.4145719856886,9.70307286611125,9.38401567029969,9.62863960633754,9.57238670352436,10.0848448008248,10.5429668194738,10.8072036250446,11.0501033407601,10.6839761471325,11.8345569537486,14.3335936255964,14.6084485659305,15.0998705935802,15.2772670196288,15.0900906573049],"GREK^FG_PRICE_MAVG(0,,,,60)":39.852665,"EPHE^FG_PRICE_MAVG(0,,,,200)":25.791872,"UAE^P_PRICE(0)/P_PRICE_LOW_PR(0,,,,,,\"PRICE\",\"INTRA\",\"52W\")-1":0.0954169,"MCHI^FG_TOTAL_RETURNC(0,-12AM)":-17.65151,"EWZ^FG_TOTAL_RETURNC(0,-12AM)":10.182953,"CNYA^FMA_PCT_ABOVE_MAVG(200,0,,,,\"PORTAGG\")":41.8111753371869,"VWO^FMA_PCT_ABOVE_MAVG(200,0,,,,\"PORTAGG\")":40.5057771964247,"UAE^FMA_COS_DOWN(\"EPS\",\"1M\",+1,NOW,,,\"PORTAGG\",\"MEANR\")":5.0,"EWW^SIZE(FG_CONSTITUENTS)":44,"QAT^FG_ROE(0)":10.3896881726862,"REFQALEND-FDS^FG_YIELD(NOW,,,0)":6.25,"REFTWDISC-FDS^FG_YIELD(NOW,,,0)":2.0,"TRYPE10Y-FDS^PCTCHG(FG_YIELD(0,,,,\"YTM\"),FG_YIELD(-1AM,,,,\"YTM\"))":8.548539,"VNM^FMA_EVAL_EBIT(LTMA,NOW,NOW,M,\"PORTAGG\",\"MEANR\")":19.4738951746845,"SET-BKK^FMA_DIV_YLD(NTMA,NOW,NOW,M,\"PORTAGG\",\"MEANR\")":3.51057067004828,"INDA^FMA_PE(LTM,0,,,\"PORTAGG\",\"MEANR\")":25.1898937559266,"EWZ^FMA_PE(LTM,0,,,\"PORTAGG\",\"MEANR\")":7.34519681377362,"EWT^JULIAN(FMA_DIV_YLD(NTMA,NOW,NOW,M,\"PORTAGG\",\"MEANR\").DATES)":45379,"EPHE^FMA_EVAL_EBITDA(NTMA,0,,,\"PORTAGG\",\"MEANR\")":8.40644465813767,"CNYA^FMA_EVAL_EBITDA(NTMA,0,,,\"PORTAGG\",\"MEANR\")":9.86241235505868,"EWT^FG_COMPANY_NAME":"iShares MSCI Taiwan ETF","SPY^P_PRICE(0)/P_PRICE_LOW_PR(0,,,,,,\"PRICE\",\"INTRA\",\"52W\")-1":0.23723185,"KSA^FMA_RBICS_REV_CURRENT(30, LOC, \"PORTAGG\")":44.5429367554233,"REFMYON-FDS^(SUBARRAY(NOT_NA(NO_REPEAT_F(FG_YIELD(NOW,-10AY,D))),0,1)-SUBARRAY(NOT_NA(NO_REPEAT_F(FG_YIELD(NOW,-10AY,D))),1,1))*100":25.0,"CC_CL^IMF_IFS_RCPI_Q(0)":null,"EWM^FG_FCF_YIELD_NTM(0)":6.2103841708457,"SET-BKK^FMA_PE(LTM,0,,,\"PORTAGG\",\"MEANR\")":16.8581921950177,"CNYA^FMA_DIV_YLD(NTMA,NOW,NOW,M,\"PORTAGG\",\"MEANR\")":2.80197942567063,"SET-BKK^JULIAN(FMA_DIV_YLD(NTMA,NOW,NOW,M,\"PORTAGG\",\"MEANR\").DATES)":45380,"VWO^FMA_EVAL_EBITDA(NTMA,0,,,\"PORTAGG\",\"MEANR\")":9.61567290028743,"CAGDPY@QA^EE_ACTUAL_ANNUAL(MED,+1)":15.2,"EWZ^FMA_DIV_YLD(NTMA,-10AY,0,AM,\"PORTAGG\",\"MEANR\")":[4.11484810378419,4.00912856800201,3.9448937165169,3.7721534909077,3.74593228587033,3.69324166389714,3.72535998650366,3.91143167062201,4.3474525747893,4.12277516836964,3.95890856327014,3.93926650487288,3.65560803886743,3.63312685426777,3.84615797048141,3.85574442396407,4.07902085823922,4.28317121504718,4.05319144414366,3.96605735018311,4.13985489386586,4.86447414741386,4.27795612106145,3.27416057008348,3.14890283203665,3.37162498393461,3.45663343874052,2.97005655617098,2.99127897693165,3.18530084219748,2.89494242993285,3.15818018165221,3.59315340319183,3.36730836287543,3.31815526873272,3.6343308778012,3.65849355388237,3.87302603240802,3.69923170238329,3.4959501402585,3.37258072560773,3.11367069140846,3.17160046245116,3.41703934926218,3.52208480498681,3.29187949230528,3.37924466425463,3.44445705232156,3.60754623148489,3.85251722569635,4.5786044201868,4.2434663412765,4.36001871682618,4.34508771687802,4.09919207984837,3.87820234820228,4.02951414810582,3.71391070436455,3.48710120503738,3.29355268767851,3.47810423248706,3.69015981351734,3.12354305336951,3.07708645235697,3.38602642992467,3.21494146449604,3.34216849718683,3.29871390558009,3.14907830156578,3.07888600465559,3.10521495419904,5.32685627606923,4.01225517700665,3.64605485595149,2.85545057611874,2.67675983156573,2.76694049970114,3.36267188807557,3.45260109211442,3.45836750065022,3.35080955706242,3.42429854259437,3.74291578997655,4.28479478426582,4.51800366989217,4.68931826720212,4.72771684380699,5.21819366051393,5.88793868267697,6.51645969260085,6.50627598346415,7.79149205689985,7.47431282570982,7.22526489198847,6.86961149835896,9.11850732101053,8.39660554134222,10.0067242611566,10.8996577354035,11.5301367409036,10.396865503105,10.6162382947983,9.33125766280347,8.45988988927513,7.37713304670379,6.61830772224457,6.45433951819848,7.15479043688117,6.50284890854214,6.53589477744724,6.0485445523245,6.0746731767344,6.02211249873837,5.84459204721095,6.27460335772773,5.98792286017129,5.70304261402863,5.69614766013688,5.73542217837709,6.18490342414532,6.26330626704823],"CNYA^FMA_PE(LTMA,-10AY,0,AM,\"PORTAGG\",\"MEANR\")":[null,null,null,null,null,null,null,null,null,null,null,null,null,null,null,null,null,null,null,null,null,null,null,null,null,null,null,null,null,null,null,null,null,14.9801819338532,15.0193150681439,15.1531869357234,15.065974784787,14.9112379005882,15.1110618329203,15.2409624384416,15.2262648771301,15.6800638480607,15.9159470935535,16.4337231882745,15.6992365087323,16.6164027899679,15.1560849487267,15.2460145510875,14.8136661495357,14.4946153535409,14.1341465320459,13.2312736349803,12.4245753977471,12.3586862815038,11.3650216597953,11.7102005249115,11.2038753886588,11.1585439531637,11.7278583748196,12.7333682339473,12.8508937993221,12.3643048380474,12.5026846559009,12.5250933461417,12.4098681266444,12.9103982323816,12.8202421222388,12.906121444023,14.3650139107775,14.8695085303291,14.6975960904523,14.0029077135721,14.1100327633416,14.3214582722348,14.7062016801038,15.8162180219195,16.6662307478963,17.1471657728455,17.5649416980987,17.9856846675676,19.1660392350437,21.0396373856195,22.0858622004624,19.8646767965187,19.391078744508,19.3105494768798,19.0845823157539,18.7310504810562,18.0370981582757,17.9791599517916,17.8199474087416,17.7008248167763,18.3564308687575,17.4983780585178,16.8149314300265,16.3223403080991,15.9477360529101,15.6339333768744,15.834932382137,15.6221794019071,15.2926990075688,14.6102415088228,14.1238249680555,14.1202672784031,14.4246130035465,14.8636277016669,14.5580862713147,14.4171889554926,14.4469474914462,14.1508091816132,14.146563798325,13.8227249177071,13.6801212207967,13.7967018121296,13.3501856411035,13.6314198851191,13.0941838188689,12.6085060248124,12.9757578192564,13.5888588210051,13.5780370826262],"CPALM-FDS^FG_PRICE_CHANGE(0,-6AM)":9.44547625364818,"USDVND^FG_PRICE_CHANGE(0,-6AM)":3.480029,"USDZAR^STD(FG_PRICE_CHANGE(0,-1AY,AM))":3.56347758084577,"USDPLN^FG_PRICE_CHANGE(0,-1AY)":-3.722322,"EPU^FMA_EPS(NTMA,-20AY,0,CY,,\"PORTAGG\",\"MEANR\")":[null,null,null,null,null,2.32525395129155,3.70455099626404,3.91000310564685,3.95899801372697,2.82022185033686,2.58004727651874,1.7402921975997,2.8587512141433,3.049394604189,2.65459381565907,2.43807405802649,2.41141007958222,2.94854986662745,3.11609677066287,2.96006703881121],"KSA^FG_PRICE(0)":43.43,"EZA^FG_PRICE_MAVG(0,,,,30)":39.089,"EIDO^FG_PRICE_MAVG(0,,,,60)":22.269667,"UAE^PERCENT_CHANGE(FMA_EPS(+1,0,,,,\"PORTAGG\",\"MEAN\"),FMA_EPS(+1,-3AM,,,,\"PORTAGG\",\"MEAN\"))":10.3870767783332,"VGK^PERCENT_CHANGE(FMA_EPS(+1,0,,,,\"PORTAGG\",\"MEAN\"),FMA_EPS(+1,-3AM,,,,\"PORTAGG\",\"MEAN\"))":-8.71714152710512,"INDA^FG_ROE(0)":16.0366503687901,"REFQALEND-FDS^PROPER_NAME(0,,,\"SECURITY\",\"NAME\")":"Qatar Lending Rate - Overnight","REFMYON-FDS^PROPER_NAME(0,,,\"SECURITY\",\"NAME\")":"Malaysia Policy Rate - Overnight","TIPSCL10Y-FDS^FG_YIELD(0,,,,\"YTM\")":2.804432,"SET-BKK^FMA_PE(NTMA,0,,,\"PORTAGG\",\"MEANR\")":14.1412293440708,"INDA^JULIAN(FMA_DIV_YLD(NTMA,NOW,NOW,M,\"PORTAGG\",\"MEANR\").DATES)":45379,"EWM^FMA_EVAL_EBITDA(NTMA,0,,,\"PORTAGG\",\"MEANR\")":8.80053940173025,"EPHE^FG_FCF_YIELD_NTM(0)":7.3580268882598,"GREK^FMA_EVAL_EBIT(LTMA,NOW,NOW,M,\"PORTAGG\",\"MEANR\")":7.38129093499802,"EWY^FMA_EVAL_EBITDA(NTMA,0,,,\"PORTAGG\",\"MEANR\")":6.46527203514203,"GREK^FMA_EVAL_EBITDA(NTMA,0,,,\"PORTAGG\",\"MEANR\")":5.14848810904037,"EIDO^FG_COMPANY_NAME":"iShares MSCI Indonesia ETF","UAE^FMA_EVAL_EBIT(LTMA,NOW,NOW,M,\"PORTAGG\",\"MEANR\")":10.2719332343491,"USDPLN^FG_COMPANY_NAME":"Polish Zloty per U.S. Dollar","EWY^FMA_DIV_YLD(NTMA,-10AY,0,AM,\"PORTAGG\",\"MEANR\")":[1.28461707646279,1.24624785897797,1.2747060906069,1.28431698446963,1.28602777891302,1.32344268367007,1.48631790400145,1.40090652726079,1.43176977441192,1.54913530451921,1.58727725522256,1.53442311637699,1.48909781654516,1.57632627452871,1.67531916920568,1.69139776262861,1.82119978896764,1.78693676902512,1.71988352485286,1.88547779564394,1.91656420017746,2.05757928230743,1.95187084248715,1.90194153640443,1.90370484578198,2.00553615982665,1.98793728138935,1.92636646337756,1.87022663327799,1.92668847318457,1.91333790439222,2.00533905844591,1.94156633794086,1.95607203347295,1.9328518583149,1.86638642799833,1.95525132250209,1.82993718542798,1.7762981751936,1.74123047521813,1.8347375260892,1.78565186515209,1.71844495527191,1.95974499915208,2.04538337365797,2.01468457302981,2.14620088666938,2.14945290195367,2.19516258422727,2.23449892836629,2.291765754202,2.36168069631384,2.4445132326024,2.40738595387215,2.57249298397936,2.60936816657012,2.62769640581873,2.55069191093384,2.47146012303064,2.50879324100199,2.46531275943955,2.60529647833257,2.55058655928844,2.55228803475165,2.71107637335308,2.50877206879288,2.51581063638127,2.37799795357641,2.32312020375293,2.26727171838572,2.26363192949454,3.15266413950816,2.55377141320994,2.4839698779569,2.26964011895138,2.20862633610609,2.10566872234044,2.0901387127611,2.14922696750304,2.00152777993103,1.86105620384333,1.66396843121774,1.66437797418523,1.67987791891029,1.65924950433982,1.74055509398121,1.6625015391858,1.68631818302329,1.81852530381074,1.84329253422103,1.94562286385745,1.99896600686905,1.92479493139756,2.03058068281405,2.16661526146794,2.22845599870395,2.27965914602741,2.35425264210067,2.53512384026543,2.61255078833319,2.4923643285451,2.67261352348745,2.72242316473129,2.51017188875153,2.54585884719959,2.53078708107748,2.4681608878801,2.49806378086969,2.29770599174458,2.39910401662666,2.30060117743495,2.33199180115494,2.48781469072382,2.36899706054931,2.49662689282777,2.43540565716356,2.33218391388409,2.45675032853855,2.24462756485849,2.21552512618746,2.21675264184161],"ECH^JULIAN(FMA_DIV_YLD(LTMA,-10AY,0,AM,\"PORTAGG\",\"MEANR\").DATES)":[41746,41775,41808,41838,41869,41900,41929,41961,41991,42020,42053,42081,42111,42142,42173,42202,42234,42265,42293,42326,42356,42384,42418,42447,42478,42508,42538,42569,42600,42629,42661,42692,42720,42753,42783,42811,42843,42873,42902,42934,42965,42996,43026,43056,43087,43118,43147,43175,43208,43238,43269,43299,43329,43361,43391,43420,43452,43483,43511,43542,43573,43602,43634,43664,43693,43726,43756,43787,43817,43847,43879,43908,43938,43969,44000,44029,44061,44092,44120,44153,44183,44211,44245,44273,44302,44334,44365,44393,44426,44456,44487,44518,44547,44579,44610,44638,44669,44699,44729,44760,44791,44820,44852,44883,44911,44944,44974,45002,45034,45064,45093,45125,45156,45187,45217,45247,45278,45309,45338,45369,45398],"CPALM-FDS^FG_PRICE_CHANGE(0,-3AM)":4.98854670399593,"UAE^PERCENT_CHANGE(FMA_EPS(+1,0,,,,\"PORTAGG\",\"MEAN\"),FMA_EPS(+1,-1AM,,,,\"PORTAGG\",\"MEAN\"))":2.00356880895963,"MCHI^PERCENT_CHANGE(FMA_EPS(+1,0,,,,\"PORTAGG\",\"MEAN\"),FMA_EPS(+1,-1AM,,,,\"PORTAGG\",\"MEAN\"))":-2.39088928517411,"EWZ^PERCENT_CHANGE(FMA_EPS(+1,0,,,,\"PORTAGG\",\"MEAN\"),FMA_EPS(+1,-3AM,,,,\"PORTAGG\",\"MEAN\"))":-5.32720155504339,"EWM^FG_TOTAL_RETURNC(0,-12AM)":1.0404229,"EPHE^FG_TOTAL_RETURNC(0,-3AM)":-3.8726985,"SPY^P_PRICE(0)/P_PRICE_HIGH_PR(0,,,,,,\"PRICE\",\"INTRA\",\"52W\")":0.952174,"VGK^PERCENT_CHANGE(FMA_EPS(+1,0,,,,\"PORTAGG\",\"MEAN\"),FMA_EPS(+1,-1AM,,,,\"PORTAGG\",\"MEAN\"))":-5.01320984237334,"TUR^SIZE(FG_CONSTITUENTS)":98,"EWW^FMA_COS_UP(\"EPS\",\"1M\",+1,NOW,,,\"PORTAGG\",\"MEANR\")":14.0,"USDZAR^FG_PRICE_CHANGE(0,-6AM)":0.52497387,"MCHI^P_PRICE_RETURNS_PR('52W',2,-10AY,0,AM)":[8.574533,0.07907152,13.582098,16.639328,17.017353,5.6313634,1.470685,-0.56955814,3.8534403,14.160466,17.996073,25.577414,38.168217,38.94526,24.865162,13.1021385,-3.559631,-8.4566,6.618488,-0.118255615,-5.931324,-24.362797,-24.816053,-18.38435,-26.718348,-33.136402,-27.378284,-14.376915,0.090289116,6.3263893,0.7580161,-1.9312918,-1.6195178,24.872292,28.934502,22.504997,15.339506,33.873283,33.380795,32.186127,27.395857,35.061203,38.973534,50.90796,52.532196,58.913635,47.075798,46.45641,38.708176,33.966614,31.021893,13.022137,2.112031,-8.065539,-18.849009,-14.941102,-16.887737,-20.085907,-16.652817,-12.47574,-2.8486252,-15.793127,-15.056729,-5.911374,-4.290211,2.864337,11.152053,6.7520022,20.19496,21.334648,11.960006,-15.146219,-5.7964444,10.401117,14.19487,21.640968,35.39704,27.551197,34.52568,36.43391,28.149246,29.802536,48.080944,62.823997,39.24725,28.890587,24.482954,11.334491,-6.8039236,-6.0604277,-8.188522,-13.616370999999999,-22.022104,-25.879717,-34.49796,-34.050415,-36.357613,-38.867672,-33.50398,-32.2595,-27.569515,-31.33068,-41.298218,-34.65069,-23.090017,-14.677345,-18.287546,-8.783579,-2.0815969,-2.0598412,-5.9237003,-10.752333,-9.092623,-2.09772,5.599153,-2.1634161,-12.865376,-27.272392,-21.68737,-11.322576,-17.65151],"VNM^FG_PRICE_MAVG(0,,,,200)":13.56455,"EZA^FG_PRICE(0)":38.26,"EIDO^FG_PRICE_MAVG(0,,,,30)":22.261333,"UAE^FMA_PCT_ABOVE_MAVG(200,0,,,,\"PORTAGG\")":27.027027027027,"TUR^FMA_COS_DOWN(\"EPS\",\"1M\",+1,NOW,,,\"PORTAGG\",\"MEANR\")":12.0,"SET-BKK^FMA_RBICS_REV_CURRENT(30, LOC, \"PORTAGG\")":24.0493361724208,"REFPEMPR-FDS^FG_YIELD(NOW,,,0)":6.0,"VWO^FMA_EVAL_EBIT(LTMA,NOW,NOW,M,\"PORTAGG\",\"MEANR\")":14.3869386780299,"USDTRY^STD(FG_PRICE_CHANGE(0,-1AY,AM))":5.75183632191004,"EWW^FMA_DIV_YLD(NTMA,-10AY,0,AM,\"PORTAGG\",\"MEANR\")":[null,null,null,null,null,null,null,null,null,null,null,null,null,null,null,null,null,null,null,null,null,2.21522564218024,2.145584934031,2.08036202878744,2.0778191200406,2.09280142715675,2.1370522691691,2.0682049996954,2.02038098315987,2.13176132181579,2.07746399951138,2.33243523795422,2.38284145827238,2.36923490827926,2.37692746106561,2.37215274640436,2.39348463955264,2.43517519772149,2.48466312576632,2.37169159644714,2.37233864619671,2.45126744567978,2.47327970947701,2.53479322877522,2.5149778284537,2.4673455719363,2.62706572921456,2.61957148373876,2.57332259072601,2.89013245044069,2.86304536335049,2.70665918418729,2.81929155576395,2.73373199032234,2.94756603601385,3.42956714084556,3.48488857358982,3.23586955165528,3.34559829138291,3.47343445216666,3.2802216151793,3.49013153628187,3.54468301214542,3.66678063382457,3.94378369080649,3.5923014964054,3.48632987034404,3.52055817832426,3.39628948200361,3.33566064456186,3.33748534845211,4.36011738658734,4.33673340032892,3.41520901928698,3.09656066525737,3.16702752119253,2.94966608973409,3.34452200366098,3.34483144391913,3.1971014867527,3.44910815661,3.34687296103816,3.4939801073468,3.3604958870701,3.20827157219276,3.10084379851721,3.13386267915426,3.1217882701488,3.12746217894417,3.17287833770795,3.28581504645395,3.52134819418479,3.44489413402565,3.39370909847961,3.65256017536811,3.43517038578965,3.53384080428227,3.78808324670612,4.16152038008005,4.08338632914951,3.95566351705205,4.10472231089178,4.10090620041219,3.68131323167698,3.88183490192917,3.65973772233668,3.55663347188764,3.8712192036837,3.66355380842304,3.57543021343038,3.66553970073259,3.84243684453175,3.97841302753642,4.14738148402795,4.39197254924984,4.06583043802345,3.72505092948342,3.96151137883018,3.78171379815751,4.05481381913258,4.12234925914564],"DDR3512M-FDS^FG_PRICE_CHANGE(0,-3AM)":-1.74832435118224,"CPALM-FDS^FG_PRICE_CHANGE(0,-1AM)":-4.64632454923717,"TUR^FG_TOTAL_RETURNC(0,-12AM)":16.913902,"MCHI^FMA_PCT_ABOVE_MAVG(200,0,,,,\"PORTAGG\")":40.6676783004552,"EWZ^PERCENT_CHANGE(FMA_EPS(+1,0,,,,\"PORTAGG\",\"MEAN\"),FMA_EPS(+1,-1AM,,,,\"PORTAGG\",\"MEAN\"))":1.19435534058681,"EWM^FG_TOTAL_RETURNC(0,-1AM)":-1.9483447,"SPY^FG_TOTAL_RETURNC(0,-6AM)":16.947006,"VGK^FMA_PCT_ABOVE_MAVG(200,0,,,,\"PORTAGG\")":58.4313725490196,"EWT^SIZE(FG_CONSTITUENTS)":91,"QAT^FMA_RBICS_REV_CURRENT(30, LOC, \"PORTAGG\")":59.4630293891933,"EZA^FG_ROE(0)":15.0022321420751,"EPHE^FMA_PE(NTMA,0,,,\"PORTAGG\",\"MEANR\")":8.82235396863393,"EWY^FG_FCF_YIELD_NTM(0)":5.02252879895897,"CAGDPY@BR^EE_ACTUAL_ANNUAL(MED,+1)":-1.5,"USDZAR^FG_PRICE_CHANGE(0,-3AM)":0.9955287,"USDPHP^STD(FG_PRICE_CHANGE(0,-1AY,AM))":1.73910157011212,"INDA^P_PRICE_RETURNS_PR('52W',2,-10AY,0,AM)":[7.4337244,9.608042,26.12859,23.428785,44.823433,32.837975,23.19498,33.093166,23.435736,30.541945,40.744854,30.86127,21.466839,5.399239,1.1783838,7.8837276,-1.5816689,-10.508621,0.77198744,-14.396894,-8.852631,-19.370472,-25.835836,-19.155163,-13.457012,-11.452019,-4.9608946,-7.04093,-0.36660433,5.581641,1.2142777,-2.4951994,-0.100916624,10.390413,20.404613,19.475735,14.068449,20.725977,19.208504,17.548286,14.686847,18.201113,17.210781,33.08809,33.795822,35.580326,22.163307,9.715212,13.279676,4.0181994,3.9662004,2.154088,6.3039064,-1.9069493,-12.849581,-5.59451,-5.2940726,-10.450625,-10.343284,5.501449,3.4927368,2.0068645,6.307614,4.3287754,-6.0374317,-3.505224,16.404009,7.2726846,7.200098,10.707951,10.406303,-33.46864,-26.962143,-21.218563,-19.031895,-9.566462,4.387009,7.885492,5.164504,7.8777432,11.999583,14.389634,23.56391,77.79804,65.27472,64.64685,56.119,42.926502,37.55671,42.95324,45.32933,36.21116,19.244492,23.372173,10.667753,15.307629,15.630364,0.051748753,-6.9084764,-3.68523,1.9351125,-8.022672,-13.31194,-8.154928,-5.3189635,-10.497469,-9.596407,-13.616925,-10.608774,1.0617256,11.140907,11.535585,-1.3140142,4.927993,7.716131,5.100608,15.03948,15.809798,26.784111,32.349922,28.10867],"DDR3512M-FDS^FG_PRICE_CHANGE(0,-1AM)":0.697773044425287,"TUR^P_PRICE(0)/P_PRICE_LOW_PR(0,,,,,,\"PRICE\",\"INTRA\",\"52W\")-1":0.36544728,"INDA^FG_TOTAL_RETURNC(0,-12AM)":28.10867,"EWZ^FMA_PCT_ABOVE_MAVG(200,0,,,,\"PORTAGG\")":44.0,"SPY^SIZE(FG_CONSTITUENTS)":504,"REFPEMPR-FDS^PROPER_NAME(0,,,\"SECURITY\",\"NAME\")":"Peru Policy Rate","TRYID10Y-FDS^PCTCHG(FG_YIELD(0,,,,\"YTM\"),FG_YIELD(-3AM,,,,\"YTM\"))":4.721918,"USDTRY^FG_PRICE_CHANGE(0,-3AM)":7.845342,"EZA^P_PRICE_RETURNS_PR('52W',2,-10AY,0,AM)":[13.83729,9.890723,21.482431,21.188545,20.58556,3.104496,-2.5298178,10.732424,7.7755213,8.842289,15.486813,6.9740176,6.3197374,2.370727,-5.806679,-3.0081391,-15.466558,-16.128899,-0.54517984,-20.102608,-26.207859,-37.732567,-29.296839,-20.708067,-19.495726,-29.535557,-17.427534,-10.182971,7.4864745,-0.20955205,-7.5742426,-4.36967,10.096275,46.16997,24.725903,20.08196,8.727503,27.65342,19.58282,9.0836525,2.8696656,12.331033,16.608274,26.452303,32.43618,34.221924,33.2062,20.863092,24.202013,9.725534,1.7221808,1.3425231,-9.239078,-11.939549,-18.731285,-9.834475,-21.545584,-21.442253,-27.227842,-21.517187,-13.660359,-14.782649,-1.072973,-1.5584469,-6.640649,4.413247,9.218478,0.64707994,11.313438,-0.8008778,-0.52105784,-44.12172,-41.00855,-30.432266,-27.086401,-20.079262,-9.698402,-17.182367,-15.588724,-7.2457848,-1.7757177,-3.5012484,11.531734,95.115814,86.69832,66.63114,45.837677,30.529749,32.002483,24.622238,36.42775,17.00734,3.8590908,11.78081,9.078968,14.687204,3.2728195,-11.125505,-12.730044,-13.364858,-4.687953,-14.519125,-20.761787,-4.8512936,-6.99479,-1.4793217,-15.999424,-25.604027,-14.8287115,-10.609168,3.3140898,10.295367,-8.23716,2.5935411,3.8911104,-4.279709,0.88995695,-14.662009,-7.369775,-1.3317645,-9.068495],"EWT^FMA_DIV_YLD(NTMA,-10AY,0,AM,\"PORTAGG\",\"MEANR\")":[3.23535671891425,3.27451037350381,3.16071324392421,3.15631724494546,3.30047071477231,3.32060212163889,3.68277485349182,3.48731214798023,3.53519511183116,3.54842433282164,3.40943912321507,3.42879923556543,3.60760214710347,3.72329145904098,3.88309575177356,4.00782296413407,4.35871074185123,4.20553658085194,4.11794385350482,4.22392187497085,4.23348815591709,4.61372359480547,4.31588190866916,4.06629356058917,4.25760945795863,4.52746704517073,4.22534343262884,4.05815469445012,4.03248409868609,4.19155473854849,4.01833718916815,4.23292194140792,4.14792243247906,4.2154648548181,4.0709110149792,4.081339718058,4.1529720643554,4.08829912492716,4.04703869152097,3.96136107227477,4.04693256016275,4.02537765881708,4.00594581193904,4.05183231669755,4.20337923400379,4.07786488003002,4.31142778466364,4.10588545072384,4.22316179657923,4.3557095784788,4.30675901065418,4.45024982153963,4.49279565856616,4.4907599788004,4.94763968299595,4.87095826999278,4.93254499601699,4.73446759034622,4.56685304605726,4.34541939424406,4.20250288498874,4.49311057374745,4.44785533553737,4.30909768663458,4.47766287434203,4.20292525515835,4.19435890713666,4.0381935125197,3.91750745899482,3.97811883572267,4.10762551163066,5.083121756737,4.2374837419614,4.18296506962022,3.92364444773871,3.72937629538242,3.66365125631038,3.81245926030082,3.87100894232197,3.7281692216751,3.69912899158533,3.44840294164254,3.44336175742534,3.61269052654619,3.60967635621863,4.21978733385281,4.02674134222847,4.00975075136914,4.36589813847026,4.27789283235531,4.48676983244615,4.20111064283192,4.20476559602819,4.17978214517006,4.2874355332419,4.52539191519316,4.70114028809246,4.81006370384278,4.96151960969603,5.22354447378143,4.88442373559709,5.06527262631912,5.36930201289055,4.49560048463471,4.44528937884041,4.22167481325137,4.01783462636025,3.98843856871009,3.8652823684919,3.67395558551259,3.43849351214339,3.4004948300606,3.63153572858503,3.59259455505607,3.61948805099703,3.46722397965295,3.36526176793204,3.49005839398735,3.31291491704882,3.13491393919214,3.11691033810349],"W-FDS^FG_PRICE_CHANGE(0,-3AM)":-8.32621690862512,"VNM^FG_PRICE_MAVG(0,,,,30)":13.36,"EWZ^FG_PRICE_MAVG(0,,,,60)":32.5575,"ECH^FG_PRICE_MAVG(0,,,,200)":26.90427,"EWM^PERCENT_CHANGE(FMA_EPS(+1,0,,,,\"PORTAGG\",\"MEAN\"),FMA_EPS(+1,-3AM,,,,\"PORTAGG\",\"MEAN\"))":-0.801303558274609,"EPHE^FMA_PCT_ABOVE_MAVG(200,0,,,,\"PORTAGG\")":37.1428571428571,"SPY^FG_TOTAL_RETURNC(0,-3AM)":5.161214,"QAT^FMA_COS_DOWN(\"EPS\",\"1M\",+1,NOW,,,\"PORTAGG\",\"MEANR\")":5.0,"EWT^FMA_COS_DOWN(\"EPS\",\"1M\",+1,NOW,,,\"PORTAGG\",\"MEANR\")":37.0,"MCHI^FMA_RBICS_REV_CURRENT(30, LOC, \"PORTAGG\")":23.3465581141153,"EWZ^FG_ROE(0)":19.7855746112543,"REFPL7D-FDS^(SUBARRAY(NOT_NA(NO_REPEAT_F(FG_YIELD(NOW,-10AY,D))),0,1)-SUBARRAY(NOT_NA(NO_REPEAT_F(FG_YIELD(NOW,-10AY,D))),1,1))*100":-25.0,"CC_SA^IMF_IFS_RCPI_Q(0)":null,"VWO^FG_FCF_YIELD_NTM(0)":4.90642076521817,"QAT^FMA_EVAL_EBIT(LTMA,NOW,NOW,M,\"PORTAGG\",\"MEANR\")":15.6127770285343,"EWY^FMA_DIV_YLD(NTMA,NOW,NOW,M,\"PORTAGG\",\"MEANR\")":2.15927431751681,"ECH^FG_COMPANY_NAME":"iShares MSCI Chile ETF","USDPHP^FG_PRICE_CHANGE(0,-6AM)":0.8296609,"DDR3512M-FDS^FG_PRICE_MAVG(0,,,,30)":0.9640818,"BRENT-FDS^FG_PRICE(0)/MAX(FG_PRICE(0,-1AY))":0.870614479821537,"ECH^FG_PRICE_MAVG(0,,,,60)":26.037333,"TUR^P_PRICE(0)/P_PRICE_HIGH_PR(0,,,,,,\"PRICE\",\"INTRA\",\"52W\")":0.9481892,"INDA^P_PRICE(0)/P_PRICE_LOW_PR(0,,,,,,\"PRICE\",\"INTRA\",\"52W\")-1":0.28802013,"EWY^FG_TOTAL_RETURNC(0,-12AM)":0.70905685,"EWM^PERCENT_CHANGE(FMA_EPS(+1,0,,,,\"PORTAGG\",\"MEAN\"),FMA_EPS(+1,-1AM,,,,\"PORTAGG\",\"MEAN\"))":-1.7753927882286,"DUMMY^ECON_DATE(45279,,, 'MM/YYYY')":"12/2023","DUMMY^ECON_DATE(45370,,, 'MM/YYYY')":"03/2024","CC_US^IMF_IFS_RCPI_Q(-1AM)":3.2433991,"CC_CN^IMF_IFS_RCPI_Q(-1AM)":-0.322581,"CC_CL^IMF_IFS_RCPI_Q(-1AM)":4.586063,"CC_ID^IMF_IFS_RCPI_Q(-1AM)":2.681245,"CC_PH^IMF_IFS_RCPI_Q(-1AM)":4.322206,"CC_PL^IMF_IFS_RCPI_Q(-1AM)":6.202308,"CC_PE^IMF_IFS_RCPI_Q(-1AM)":3.9030175,"CC_MY^IMF_IFS_RCPI_Q(-1AM)":1.6028895,"CC_TW^IMF_IFS_RCPI_Q(-1AM)":null,"CC_MX^IMF_IFS_RCPI_Q(-1AM)":4.4145546,"CC_KR^IMF_IFS_RCPI_Q(-1AM)":3.404687,"CC_BR^IMF_IFS_RCPI_Q(-1AM)":4.7076507,"CC_ZA^IMF_IFS_RCPI_Q(-1AM)":5.633361,"CC_GR^IMF_IFS_RCPI_Q(-1AM)":3.309465,"CC_IN^IMF_IFS_RCPI_Q(-1AM)":5.3696327,"CC_QA^IMF_IFS_RCPI_Q(-1AM)":null,"CC_TH^IMF_IFS_RCPI_Q(-1AM)":null,"CC_TR^IMF_IFS_RCPI_Q(-1AM)":62.72422,"CC_AE^IMF_IFS_RCPI_Q(-1AM)":null,"CC_VN^IMF_IFS_RCPI_Q(-1AM)":3.5401578,"CC_SA^IMF_IFS_RCPI_Q(-1AM)":1.5943921,"DUMMY^ECON_EXPR_DATA('FDS_ECON[NTCPMIMFGSA@CN]',03/2024,,Q)":50.938282,"DUMMY^ECON_EXPR_DATA('FDS_ECON[NTCPMIMFGSA@CN]',12/2023,,Q)":50.34384,"DUMMY^ECON_EXPR_DATA('FDS_ECON[NTCPMIMFGSA@CL]',03/2024,,Q)":null,"DUMMY^ECON_EXPR_DATA('FDS_ECON[NTCPMIMFGSA@CL]',12/2023,,Q)":null,"DUMMY^ECON_EXPR_DATA('FDS_ECON[NTCPMIMFGSA@ID]',03/2024,,Q)":53.247562,"DUMMY^ECON_EXPR_DATA('FDS_ECON[NTCPMIMFGSA@ID]',12/2023,,Q)":51.828487,"DUMMY^ECON_EXPR_DATA('FDS_ECON[NTCPMIPHMANHE]',03/2024,,Q)":null,"DUMMY^ECON_EXPR_DATA('FDS_ECON[NTCPMIPHMANHE]',12/2023,,Q)":52.222515,"DUMMY^ECON_EXPR_DATA('FDS_ECON[NTCPMIMFGSA@PL]',03/2024,,Q)":47.64948,"DUMMY^ECON_EXPR_DATA('FDS_ECON[NTCPMIMFGSA@PL]',12/2023,,Q)":46.884846,"DUMMY^ECON_EXPR_DATA('FDS_ECON[NTCPMIMFGSA@PE]',03/2024,,Q)":null,"DUMMY^ECON_EXPR_DATA('FDS_ECON[NTCPMIMFGSA@PE]',12/2023,,Q)":null,"DUMMY^ECON_EXPR_DATA('FDS_ECON[PMIMYMANHE]',03/2024,,Q)":48.949593,"DUMMY^ECON_EXPR_DATA('FDS_ECON[PMIMYMANHE]',12/2023,,Q)":47.499214,"DUMMY^ECON_EXPR_DATA('FDS_ECON[NTCPMIMFGSA@TW]',03/2024,,Q)":48.897906999999996,"DUMMY^ECON_EXPR_DATA('FDS_ECON[NTCPMIMFGSA@TW]',12/2023,,Q)":47.63588,"DUMMY^ECON_EXPR_DATA('FDS_ECON[NTCPMIMFGSA@MX]',03/2024,,Q)":51.565502,"DUMMY^ECON_EXPR_DATA('FDS_ECON[NTCPMIMFGSA@MX]',12/2023,,Q)":52.180695,"DUMMY^ECON_EXPR_DATA('FDS_ECON[NTCPMIMFGSA@KR]',03/2024,,Q)":50.57622,"DUMMY^ECON_EXPR_DATA('FDS_ECON[NTCPMIMFGSA@KR]',12/2023,,Q)":49.900604,"DUMMY^ECON_EXPR_DATA('FDS_ECON[NTCPMIMFGSA@BR]',03/2024,,Q)":53.509575,"DUMMY^ECON_EXPR_DATA('FDS_ECON[NTCPMIMFGSA@BR]',12/2023,,Q)":48.798813,"DUMMY^ECON_EXPR_DATA('FDS_ECON[PMIMFGSA@ZA]',03/2024,,Q)":49.458923,"DUMMY^ECON_EXPR_DATA('FDS_ECON[PMIMFGSA@ZA]',12/2023,,Q)":49.293606,"DUMMY^ECON_EXPR_DATA('FDS_ECON[NTCPMIMFGSA@GR]',03/2024,,Q)":55.77546,"DUMMY^ECON_EXPR_DATA('FDS_ECON[NTCPMIMFGSA@GR]',12/2023,,Q)":50.99575,"DUMMY^ECON_EXPR_DATA('FDS_ECON[NTCPMIMFGSA@IN]',03/2024,,Q)":57.516636,"DUMMY^ECON_EXPR_DATA('FDS_ECON[NTCPMIMFGSA@IN]',12/2023,,Q)":55.461708,"DUMMY^ECON_EXPR_DATA('FDS_ECON[PMIQAWHEHE]',03/2024,,Q)":50.683044,"DUMMY^ECON_EXPR_DATA('FDS_ECON[PMIQAWHEHE]',12/2023,,Q)":50.688427,"DUMMY^ECON_EXPR_DATA('FDS_ECON[NTCPMITHMANHE]',03/2024,,Q)":null,"DUMMY^ECON_EXPR_DATA('FDS_ECON[NTCPMITHMANHE]',12/2023,,Q)":46.69516,"DUMMY^ECON_EXPR_DATA('FDS_ECON[NTCPMIMFGSA@TR]',03/2024,,Q)":49.822453,"DUMMY^ECON_EXPR_DATA('FDS_ECON[NTCPMIMFGSA@TR]',12/2023,,Q)":47.664864,"DUMMY^ECON_EXPR_DATA('FDS_ECON[NTCPMIMFGSA@AE]',03/2024,,Q)":null,"DUMMY^ECON_EXPR_DATA('FDS_ECON[NTCPMIMFGSA@AE]',12/2023,,Q)":null,"DUMMY^ECON_EXPR_DATA('FDS_ECON[NTCPMIMFGSA@VN]',03/2024,,Q)":50.18627,"DUMMY^ECON_EXPR_DATA('FDS_ECON[NTCPMIMFGSA@VN]',12/2023,,Q)":48.59743,"DUMMY^ECON_EXPR_DATA('FDS_ECON[NTCPMIINDEXSA@SA]',03/2024,,Q)":56.53707,"DUMMY^ECON_EXPR_DATA('FDS_ECON[NTCPMIINDEXSA@SA]',12/2023,,Q)":57.793106,"DUMMY^ECON_EXPR_DATA('FDS_ECON[PMIDMMANHE]',03/2024,,Q)":49.13533,"DUMMY^ECON_EXPR_DATA('FDS_ECON[PMIDMMANHE]',12/2023,,Q)":47.377975,"DUMMY^ECON_EXPR_DATA('FDS_ECON[NTCPMIMFGSA@EME]',03/2024,,Q)":51.51058,"DUMMY^ECON_EXPR_DATA('FDS_ECON[NTCPMIMFGSA@EME]',12/2023,,Q)":50.624123}]]></FdsFormulaCache>
</file>

<file path=customXml/itemProps1.xml><?xml version="1.0" encoding="utf-8"?>
<ds:datastoreItem xmlns:ds="http://schemas.openxmlformats.org/officeDocument/2006/customXml" ds:itemID="{F38FB6B5-FECA-4AE7-B6E6-5AF8055CA055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2024-04-19T07:50:00Z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