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D34D95E-0962-4C97-9C38-DE2B71B8480C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8" i="61" l="1"/>
  <c r="H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4" i="60" a="1"/>
  <c r="H10" i="60" a="1"/>
  <c r="H6" i="60" a="1"/>
  <c r="K9" i="69" a="1"/>
  <c r="H7" i="69" a="1"/>
  <c r="H3" i="69" a="1"/>
  <c r="G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G14" i="60" a="1"/>
  <c r="G10" i="60" a="1"/>
  <c r="G6" i="60" a="1"/>
  <c r="G7" i="69" a="1"/>
  <c r="G3" i="69" a="1"/>
  <c r="Q21" i="12" a="1"/>
  <c r="F7" i="69" a="1"/>
  <c r="M13" i="12" a="1"/>
  <c r="B13" i="12" a="1"/>
  <c r="Q15" i="12" a="1"/>
  <c r="Q3" i="12" a="1"/>
  <c r="K18" i="12" a="1"/>
  <c r="E7" i="12" a="1"/>
  <c r="F14" i="60" a="1"/>
  <c r="G4" i="60" a="1"/>
  <c r="E9" i="12" a="1"/>
  <c r="H7" i="60" a="1"/>
  <c r="K25" i="12" a="1"/>
  <c r="E26" i="12" a="1"/>
  <c r="Q7" i="12" a="1"/>
  <c r="L23" i="12" a="1"/>
  <c r="L5" i="12" a="1"/>
  <c r="G19" i="12" a="1"/>
  <c r="G5" i="69" a="1"/>
  <c r="R22" i="12" a="1"/>
  <c r="E15" i="60" a="1"/>
  <c r="K8" i="69" a="1"/>
  <c r="Q11" i="12" a="1"/>
  <c r="B12" i="12" a="1"/>
  <c r="K7" i="69" a="1"/>
  <c r="G3" i="12" a="1"/>
  <c r="F3" i="12" a="1"/>
  <c r="Q25" i="12" a="1"/>
  <c r="M10" i="12" a="1"/>
  <c r="E25" i="12" a="1"/>
  <c r="F12" i="12" a="1"/>
  <c r="F10" i="60" a="1"/>
  <c r="F6" i="60" a="1"/>
  <c r="F3" i="69" a="1"/>
  <c r="K3" i="12" a="1"/>
  <c r="M19" i="12" a="1"/>
  <c r="F26" i="12" a="1"/>
  <c r="F15" i="60" a="1"/>
  <c r="F3" i="70" a="1"/>
  <c r="H6" i="61" a="1"/>
  <c r="G26" i="12" a="1"/>
  <c r="Q4" i="12" a="1"/>
  <c r="E3" i="12" a="1"/>
  <c r="H9" i="69" a="1"/>
  <c r="C4" i="69" a="1"/>
  <c r="G21" i="12" a="1"/>
  <c r="F13" i="12" a="1"/>
  <c r="E3" i="70" a="1"/>
  <c r="G6" i="61" a="1"/>
  <c r="P25" i="12" a="1"/>
  <c r="P21" i="12" a="1"/>
  <c r="P15" i="12" a="1"/>
  <c r="P11" i="12" a="1"/>
  <c r="P7" i="12" a="1"/>
  <c r="P3" i="12" a="1"/>
  <c r="K23" i="12" a="1"/>
  <c r="M15" i="12" a="1"/>
  <c r="L10" i="12" a="1"/>
  <c r="K5" i="12" a="1"/>
  <c r="G24" i="12" a="1"/>
  <c r="F19" i="12" a="1"/>
  <c r="E12" i="12" a="1"/>
  <c r="G6" i="12" a="1"/>
  <c r="B11" i="12" a="1"/>
  <c r="E14" i="60" a="1"/>
  <c r="E10" i="60" a="1"/>
  <c r="E6" i="60" a="1"/>
  <c r="K6" i="69" a="1"/>
  <c r="I6" i="69" a="1"/>
  <c r="C9" i="69" a="1"/>
  <c r="O25" i="12" a="1"/>
  <c r="O15" i="12" a="1"/>
  <c r="O11" i="12" a="1"/>
  <c r="O7" i="12" a="1"/>
  <c r="O3" i="12" a="1"/>
  <c r="M22" i="12" a="1"/>
  <c r="L15" i="12" a="1"/>
  <c r="K10" i="12" a="1"/>
  <c r="M4" i="12" a="1"/>
  <c r="E19" i="12" a="1"/>
  <c r="B10" i="12" a="1"/>
  <c r="H9" i="60" a="1"/>
  <c r="H5" i="60" a="1"/>
  <c r="H6" i="69" a="1"/>
  <c r="G18" i="12" a="1"/>
  <c r="E6" i="12" a="1"/>
  <c r="B9" i="12" a="1"/>
  <c r="G9" i="60" a="1"/>
  <c r="K4" i="69" a="1"/>
  <c r="R6" i="61" a="1"/>
  <c r="E5" i="12" a="1"/>
  <c r="K21" i="12" a="1"/>
  <c r="B5" i="12" a="1"/>
  <c r="R18" i="12" a="1"/>
  <c r="F21" i="12" a="1"/>
  <c r="D3" i="70" a="1"/>
  <c r="F6" i="61" a="1"/>
  <c r="O21" i="12" a="1"/>
  <c r="F24" i="12" a="1"/>
  <c r="G11" i="12" a="1"/>
  <c r="F6" i="12" a="1"/>
  <c r="H13" i="60" a="1"/>
  <c r="K5" i="69" a="1"/>
  <c r="C8" i="69" a="1"/>
  <c r="L22" i="12" a="1"/>
  <c r="G5" i="60" a="1"/>
  <c r="G6" i="69" a="1"/>
  <c r="G10" i="12" a="1"/>
  <c r="B7" i="12" a="1"/>
  <c r="E13" i="60" a="1"/>
  <c r="O20" i="12" a="1"/>
  <c r="O6" i="12" a="1"/>
  <c r="R5" i="12" a="1"/>
  <c r="L8" i="12" a="1"/>
  <c r="K12" i="12" a="1"/>
  <c r="G13" i="60" a="1"/>
  <c r="C7" i="69" a="1"/>
  <c r="E9" i="60" a="1"/>
  <c r="I9" i="69" a="1"/>
  <c r="C5" i="69" a="1"/>
  <c r="G12" i="60" a="1"/>
  <c r="G9" i="69" a="1"/>
  <c r="L7" i="12" a="1"/>
  <c r="H11" i="60" a="1"/>
  <c r="F3" i="60" a="1"/>
  <c r="F4" i="69" a="1"/>
  <c r="B15" i="12" a="1"/>
  <c r="C3" i="70" a="1"/>
  <c r="E6" i="61" a="1"/>
  <c r="R24" i="12" a="1"/>
  <c r="R20" i="12" a="1"/>
  <c r="R14" i="12" a="1"/>
  <c r="R10" i="12" a="1"/>
  <c r="R6" i="12" a="1"/>
  <c r="M27" i="12" a="1"/>
  <c r="K15" i="12" a="1"/>
  <c r="M9" i="12" a="1"/>
  <c r="L4" i="12" a="1"/>
  <c r="E24" i="12" a="1"/>
  <c r="F11" i="12" a="1"/>
  <c r="M26" i="12" a="1"/>
  <c r="B6" i="12" a="1"/>
  <c r="L26" i="12" a="1"/>
  <c r="O10" i="12" a="1"/>
  <c r="K14" i="12" a="1"/>
  <c r="H12" i="60" a="1"/>
  <c r="R27" i="12" a="1"/>
  <c r="H3" i="60" a="1"/>
  <c r="F8" i="12" a="1"/>
  <c r="L24" i="12" a="1"/>
  <c r="G20" i="12" a="1"/>
  <c r="B3" i="70" a="1"/>
  <c r="D6" i="61" a="1"/>
  <c r="Q24" i="12" a="1"/>
  <c r="Q20" i="12" a="1"/>
  <c r="Q14" i="12" a="1"/>
  <c r="Q10" i="12" a="1"/>
  <c r="Q6" i="12" a="1"/>
  <c r="L27" i="12" a="1"/>
  <c r="K22" i="12" a="1"/>
  <c r="M14" i="12" a="1"/>
  <c r="L9" i="12" a="1"/>
  <c r="K4" i="12" a="1"/>
  <c r="G23" i="12" a="1"/>
  <c r="G5" i="12" a="1"/>
  <c r="B8" i="12" a="1"/>
  <c r="F9" i="60" a="1"/>
  <c r="K3" i="69" a="1"/>
  <c r="C6" i="61" a="1"/>
  <c r="P24" i="12" a="1"/>
  <c r="P20" i="12" a="1"/>
  <c r="P14" i="12" a="1"/>
  <c r="P10" i="12" a="1"/>
  <c r="P6" i="12" a="1"/>
  <c r="K27" i="12" a="1"/>
  <c r="L14" i="12" a="1"/>
  <c r="K9" i="12" a="1"/>
  <c r="M3" i="12" a="1"/>
  <c r="F23" i="12" a="1"/>
  <c r="E18" i="12" a="1"/>
  <c r="F5" i="12" a="1"/>
  <c r="E5" i="60" a="1"/>
  <c r="I5" i="69" a="1"/>
  <c r="O24" i="12" a="1"/>
  <c r="O14" i="12" a="1"/>
  <c r="L3" i="12" a="1"/>
  <c r="E23" i="12" a="1"/>
  <c r="G15" i="12" a="1"/>
  <c r="F10" i="12" a="1"/>
  <c r="H8" i="60" a="1"/>
  <c r="F15" i="12" a="1"/>
  <c r="G8" i="60" a="1"/>
  <c r="F18" i="12" a="1"/>
  <c r="E11" i="12" a="1"/>
  <c r="F13" i="60" a="1"/>
  <c r="F5" i="60" a="1"/>
  <c r="F6" i="69" a="1"/>
  <c r="C6" i="69" a="1"/>
  <c r="A3" i="70" a="1"/>
  <c r="M21" i="12" a="1"/>
  <c r="L21" i="12" a="1"/>
  <c r="M8" i="12" a="1"/>
  <c r="H4" i="60" a="1"/>
  <c r="R9" i="12" a="1"/>
  <c r="G22" i="12" a="1"/>
  <c r="F7" i="60" a="1"/>
  <c r="B6" i="61" a="1"/>
  <c r="R19" i="12" a="1"/>
  <c r="E10" i="12" a="1"/>
  <c r="E14" i="12" a="1"/>
  <c r="R23" i="12" a="1"/>
  <c r="H4" i="69" a="1"/>
  <c r="K7" i="12" a="1"/>
  <c r="G8" i="69" a="1"/>
  <c r="H5" i="69" a="1"/>
  <c r="R13" i="12" a="1"/>
  <c r="I7" i="69" a="1"/>
  <c r="C3" i="69" a="1"/>
  <c r="R12" i="12" a="1"/>
  <c r="Q6" i="61" a="1"/>
  <c r="G4" i="12" a="1"/>
  <c r="R4" i="12" a="1"/>
  <c r="F14" i="12" a="1"/>
  <c r="R26" i="12" a="1"/>
  <c r="G15" i="60" a="1"/>
  <c r="L6" i="12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2" i="60" a="1"/>
  <c r="F8" i="60" a="1"/>
  <c r="F4" i="60" a="1"/>
  <c r="F9" i="69" a="1"/>
  <c r="F5" i="69" a="1"/>
  <c r="E4" i="60" a="1"/>
  <c r="O5" i="12" a="1"/>
  <c r="E27" i="12" a="1"/>
  <c r="H15" i="60" a="1"/>
  <c r="H8" i="69" a="1"/>
  <c r="G7" i="60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F9" i="12" a="1"/>
  <c r="E4" i="12" a="1"/>
  <c r="B3" i="12" a="1"/>
  <c r="E12" i="60" a="1"/>
  <c r="E8" i="60" a="1"/>
  <c r="I8" i="69" a="1"/>
  <c r="I4" i="69" a="1"/>
  <c r="N6" i="61" a="1"/>
  <c r="O27" i="12" a="1"/>
  <c r="O23" i="12" a="1"/>
  <c r="O13" i="12" a="1"/>
  <c r="O9" i="12" a="1"/>
  <c r="M6" i="12" a="1"/>
  <c r="G13" i="12" a="1"/>
  <c r="E3" i="60" a="1"/>
  <c r="O19" i="12" a="1"/>
  <c r="L25" i="12" a="1"/>
  <c r="R8" i="12" a="1"/>
  <c r="G3" i="60" a="1"/>
  <c r="K20" i="12" a="1"/>
  <c r="L12" i="12" a="1"/>
  <c r="K19" i="12" a="1"/>
  <c r="E11" i="60" a="1"/>
  <c r="M12" i="12" a="1"/>
  <c r="G8" i="12" a="1"/>
  <c r="L19" i="12" a="1"/>
  <c r="F8" i="69" a="1"/>
  <c r="P8" i="12" a="1"/>
  <c r="M11" i="12" a="1"/>
  <c r="G11" i="60" a="1"/>
  <c r="G4" i="69" a="1"/>
  <c r="E7" i="60" a="1"/>
  <c r="I3" i="69" a="1"/>
  <c r="M6" i="61" a="1"/>
  <c r="Q22" i="12" a="1"/>
  <c r="Q18" i="12" a="1"/>
  <c r="Q12" i="12" a="1"/>
  <c r="Q8" i="12" a="1"/>
  <c r="M24" i="12" a="1"/>
  <c r="E21" i="12" a="1"/>
  <c r="F11" i="60" a="1"/>
  <c r="P4" i="12" a="1"/>
  <c r="L6" i="61" a="1"/>
  <c r="Q26" i="12" a="1"/>
  <c r="K6" i="61" a="1"/>
  <c r="P26" i="12" a="1"/>
  <c r="P22" i="12" a="1"/>
  <c r="P18" i="12" a="1"/>
  <c r="P12" i="12" a="1"/>
  <c r="E8" i="12" a="1"/>
  <c r="E8" i="12" l="1"/>
  <c r="P12" i="12"/>
  <c r="P18" i="12"/>
  <c r="P22" i="12"/>
  <c r="P26" i="12"/>
  <c r="K6" i="61"/>
  <c r="Q26" i="12"/>
  <c r="L6" i="61"/>
  <c r="P4" i="12"/>
  <c r="F11" i="60"/>
  <c r="L11" i="60" s="1"/>
  <c r="E21" i="12"/>
  <c r="M24" i="12"/>
  <c r="Q8" i="12"/>
  <c r="Q12" i="12"/>
  <c r="Q18" i="12"/>
  <c r="Q22" i="12"/>
  <c r="M6" i="61"/>
  <c r="I3" i="69"/>
  <c r="E7" i="60"/>
  <c r="G4" i="69"/>
  <c r="G11" i="60"/>
  <c r="M11" i="12"/>
  <c r="P8" i="12"/>
  <c r="F8" i="69"/>
  <c r="L19" i="12"/>
  <c r="G8" i="12"/>
  <c r="M12" i="12"/>
  <c r="E11" i="60"/>
  <c r="K19" i="12"/>
  <c r="L12" i="12"/>
  <c r="K20" i="12"/>
  <c r="G3" i="60"/>
  <c r="M11" i="60" s="1"/>
  <c r="R8" i="12"/>
  <c r="L25" i="12"/>
  <c r="O19" i="12"/>
  <c r="E3" i="60"/>
  <c r="G13" i="12"/>
  <c r="M6" i="12"/>
  <c r="O9" i="12"/>
  <c r="O13" i="12"/>
  <c r="O23" i="12"/>
  <c r="O27" i="12"/>
  <c r="N6" i="61"/>
  <c r="I4" i="69"/>
  <c r="I8" i="69"/>
  <c r="E8" i="60"/>
  <c r="E12" i="60"/>
  <c r="B3" i="12"/>
  <c r="E4" i="12"/>
  <c r="F9" i="12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O6" i="61"/>
  <c r="G7" i="60"/>
  <c r="H8" i="69"/>
  <c r="H15" i="60"/>
  <c r="E27" i="12"/>
  <c r="O5" i="12"/>
  <c r="E4" i="60"/>
  <c r="F5" i="69"/>
  <c r="F9" i="69"/>
  <c r="F4" i="60"/>
  <c r="L4" i="60" s="1"/>
  <c r="F8" i="60"/>
  <c r="F12" i="60"/>
  <c r="L12" i="60" s="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L6" i="12"/>
  <c r="G15" i="60"/>
  <c r="R26" i="12"/>
  <c r="F14" i="12"/>
  <c r="R4" i="12"/>
  <c r="G4" i="12"/>
  <c r="Q6" i="61"/>
  <c r="R12" i="12"/>
  <c r="C3" i="69"/>
  <c r="I7" i="69"/>
  <c r="R13" i="12"/>
  <c r="H5" i="69"/>
  <c r="G8" i="69"/>
  <c r="K7" i="12"/>
  <c r="H4" i="69"/>
  <c r="R23" i="12"/>
  <c r="E14" i="12"/>
  <c r="E10" i="12"/>
  <c r="R19" i="12"/>
  <c r="B6" i="61"/>
  <c r="F7" i="60"/>
  <c r="G22" i="12"/>
  <c r="R9" i="12"/>
  <c r="H4" i="60"/>
  <c r="K4" i="60" s="1"/>
  <c r="M8" i="12"/>
  <c r="L21" i="12"/>
  <c r="M21" i="12"/>
  <c r="A3" i="70"/>
  <c r="C6" i="69"/>
  <c r="F6" i="69"/>
  <c r="F5" i="60"/>
  <c r="F13" i="60"/>
  <c r="L13" i="60" s="1"/>
  <c r="E11" i="12"/>
  <c r="F18" i="12"/>
  <c r="G8" i="60"/>
  <c r="F15" i="12"/>
  <c r="H8" i="60"/>
  <c r="F10" i="12"/>
  <c r="G15" i="12"/>
  <c r="E23" i="12"/>
  <c r="L3" i="12"/>
  <c r="O14" i="12"/>
  <c r="O24" i="12"/>
  <c r="I5" i="69"/>
  <c r="E5" i="60"/>
  <c r="F5" i="12"/>
  <c r="E18" i="12"/>
  <c r="F23" i="12"/>
  <c r="M3" i="12"/>
  <c r="K9" i="12"/>
  <c r="L14" i="12"/>
  <c r="K27" i="12"/>
  <c r="P6" i="12"/>
  <c r="P10" i="12"/>
  <c r="P14" i="12"/>
  <c r="P20" i="12"/>
  <c r="P24" i="12"/>
  <c r="C6" i="61"/>
  <c r="K3" i="69"/>
  <c r="F9" i="60"/>
  <c r="B8" i="12"/>
  <c r="G5" i="12"/>
  <c r="G23" i="12"/>
  <c r="K4" i="12"/>
  <c r="L9" i="12"/>
  <c r="M14" i="12"/>
  <c r="K22" i="12"/>
  <c r="L27" i="12"/>
  <c r="Q6" i="12"/>
  <c r="Q10" i="12"/>
  <c r="Q14" i="12"/>
  <c r="Q20" i="12"/>
  <c r="Q24" i="12"/>
  <c r="D6" i="61"/>
  <c r="B3" i="70"/>
  <c r="G20" i="12"/>
  <c r="L24" i="12"/>
  <c r="F8" i="12"/>
  <c r="H3" i="60"/>
  <c r="R27" i="12"/>
  <c r="H12" i="60"/>
  <c r="K14" i="12"/>
  <c r="O10" i="12"/>
  <c r="L26" i="12"/>
  <c r="B6" i="12"/>
  <c r="M26" i="12"/>
  <c r="F11" i="12"/>
  <c r="E24" i="12"/>
  <c r="L4" i="12"/>
  <c r="M9" i="12"/>
  <c r="K15" i="12"/>
  <c r="M27" i="12"/>
  <c r="R6" i="12"/>
  <c r="R10" i="12"/>
  <c r="R14" i="12"/>
  <c r="R20" i="12"/>
  <c r="R24" i="12"/>
  <c r="E6" i="61"/>
  <c r="C3" i="70"/>
  <c r="B15" i="12"/>
  <c r="F4" i="69"/>
  <c r="F3" i="60"/>
  <c r="L14" i="60" s="1"/>
  <c r="H11" i="60"/>
  <c r="K13" i="60" s="1"/>
  <c r="L7" i="12"/>
  <c r="G9" i="69"/>
  <c r="G12" i="60"/>
  <c r="M12" i="60" s="1"/>
  <c r="C5" i="69"/>
  <c r="I9" i="69"/>
  <c r="E9" i="60"/>
  <c r="C7" i="69"/>
  <c r="G13" i="60"/>
  <c r="K12" i="12"/>
  <c r="L8" i="12"/>
  <c r="R5" i="12"/>
  <c r="O6" i="12"/>
  <c r="O20" i="12"/>
  <c r="E13" i="60"/>
  <c r="B7" i="12"/>
  <c r="G10" i="12"/>
  <c r="G6" i="69"/>
  <c r="G5" i="60"/>
  <c r="M5" i="60" s="1"/>
  <c r="L22" i="12"/>
  <c r="C8" i="69"/>
  <c r="K5" i="69"/>
  <c r="H13" i="60"/>
  <c r="F6" i="12"/>
  <c r="G11" i="12"/>
  <c r="F24" i="12"/>
  <c r="O21" i="12"/>
  <c r="F6" i="61"/>
  <c r="D3" i="70"/>
  <c r="F21" i="12"/>
  <c r="R18" i="12"/>
  <c r="B5" i="12"/>
  <c r="K21" i="12"/>
  <c r="E5" i="12"/>
  <c r="R6" i="61"/>
  <c r="K4" i="69"/>
  <c r="G9" i="60"/>
  <c r="M10" i="60" s="1"/>
  <c r="B9" i="12"/>
  <c r="E6" i="12"/>
  <c r="G18" i="12"/>
  <c r="H6" i="69"/>
  <c r="H5" i="60"/>
  <c r="K12" i="60" s="1"/>
  <c r="H9" i="60"/>
  <c r="B10" i="12"/>
  <c r="E19" i="12"/>
  <c r="M4" i="12"/>
  <c r="K10" i="12"/>
  <c r="L15" i="12"/>
  <c r="M22" i="12"/>
  <c r="O3" i="12"/>
  <c r="O7" i="12"/>
  <c r="O11" i="12"/>
  <c r="O15" i="12"/>
  <c r="O25" i="12"/>
  <c r="C9" i="69"/>
  <c r="I6" i="69"/>
  <c r="K6" i="69"/>
  <c r="E6" i="60"/>
  <c r="E10" i="60"/>
  <c r="E14" i="60"/>
  <c r="B11" i="12"/>
  <c r="G6" i="12"/>
  <c r="E12" i="12"/>
  <c r="F19" i="12"/>
  <c r="G24" i="12"/>
  <c r="K5" i="12"/>
  <c r="L10" i="12"/>
  <c r="M15" i="12"/>
  <c r="K23" i="12"/>
  <c r="P3" i="12"/>
  <c r="P7" i="12"/>
  <c r="P11" i="12"/>
  <c r="P15" i="12"/>
  <c r="P21" i="12"/>
  <c r="P25" i="12"/>
  <c r="G6" i="61"/>
  <c r="E3" i="70"/>
  <c r="F13" i="12"/>
  <c r="G21" i="12"/>
  <c r="C4" i="69"/>
  <c r="H9" i="69"/>
  <c r="E3" i="12"/>
  <c r="Q4" i="12"/>
  <c r="G26" i="12"/>
  <c r="H6" i="61"/>
  <c r="F3" i="70"/>
  <c r="F15" i="60"/>
  <c r="F26" i="12"/>
  <c r="M19" i="12"/>
  <c r="K3" i="12"/>
  <c r="F3" i="69"/>
  <c r="F6" i="60"/>
  <c r="F10" i="60"/>
  <c r="F12" i="12"/>
  <c r="E25" i="12"/>
  <c r="M10" i="12"/>
  <c r="Q25" i="12"/>
  <c r="F3" i="12"/>
  <c r="G3" i="12"/>
  <c r="K7" i="69"/>
  <c r="B12" i="12"/>
  <c r="Q11" i="12"/>
  <c r="K8" i="69"/>
  <c r="E15" i="60"/>
  <c r="R22" i="12"/>
  <c r="G5" i="69"/>
  <c r="G19" i="12"/>
  <c r="L5" i="12"/>
  <c r="L23" i="12"/>
  <c r="Q7" i="12"/>
  <c r="E26" i="12"/>
  <c r="K25" i="12"/>
  <c r="H7" i="60"/>
  <c r="E9" i="12"/>
  <c r="G4" i="60"/>
  <c r="F14" i="60"/>
  <c r="E7" i="12"/>
  <c r="K18" i="12"/>
  <c r="Q3" i="12"/>
  <c r="Q15" i="12"/>
  <c r="B13" i="12"/>
  <c r="M13" i="12"/>
  <c r="F7" i="69"/>
  <c r="Q21" i="12"/>
  <c r="G3" i="69"/>
  <c r="G7" i="69"/>
  <c r="G6" i="60"/>
  <c r="G10" i="60"/>
  <c r="G14" i="60"/>
  <c r="M14" i="60" s="1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G3" i="70"/>
  <c r="H3" i="69"/>
  <c r="H7" i="69"/>
  <c r="K9" i="69"/>
  <c r="H6" i="60"/>
  <c r="H10" i="60"/>
  <c r="H14" i="60"/>
  <c r="K14" i="60" s="1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H3" i="70"/>
  <c r="K11" i="60"/>
  <c r="L5" i="60" l="1"/>
  <c r="M3" i="60"/>
  <c r="K5" i="60"/>
  <c r="Q5" i="60" s="1"/>
  <c r="M9" i="60"/>
  <c r="L9" i="60"/>
  <c r="R212" i="61"/>
  <c r="R211" i="61"/>
  <c r="R215" i="61" s="1"/>
  <c r="R210" i="61"/>
  <c r="R209" i="61"/>
  <c r="R213" i="61" s="1"/>
  <c r="Q14" i="60"/>
  <c r="Q12" i="60"/>
  <c r="Q11" i="60"/>
  <c r="K9" i="60"/>
  <c r="M8" i="60"/>
  <c r="L8" i="60"/>
  <c r="K8" i="60"/>
  <c r="Q8" i="60" s="1"/>
  <c r="L7" i="60"/>
  <c r="L10" i="60"/>
  <c r="K10" i="60"/>
  <c r="L6" i="60"/>
  <c r="M7" i="60"/>
  <c r="K6" i="60"/>
  <c r="L3" i="60"/>
  <c r="M15" i="60"/>
  <c r="L15" i="60"/>
  <c r="M4" i="60"/>
  <c r="Q4" i="60" s="1"/>
  <c r="K15" i="60"/>
  <c r="Q15" i="60" s="1"/>
  <c r="M13" i="60"/>
  <c r="Q13" i="60" s="1"/>
  <c r="K7" i="60"/>
  <c r="M6" i="60"/>
  <c r="K3" i="60"/>
  <c r="C15" i="60"/>
  <c r="C14" i="60"/>
  <c r="H9" i="59" l="1"/>
  <c r="J27" i="59"/>
  <c r="Q7" i="60"/>
  <c r="Q10" i="60"/>
  <c r="F9" i="59"/>
  <c r="H27" i="59"/>
  <c r="R214" i="61"/>
  <c r="Q9" i="60"/>
  <c r="Q6" i="60"/>
  <c r="G38" i="59"/>
  <c r="I36" i="59"/>
  <c r="G33" i="59"/>
  <c r="H36" i="59"/>
  <c r="H40" i="59"/>
  <c r="I33" i="59"/>
  <c r="I37" i="59"/>
  <c r="I41" i="59"/>
  <c r="G41" i="59"/>
  <c r="G36" i="59"/>
  <c r="H34" i="59"/>
  <c r="I35" i="59"/>
  <c r="G37" i="59"/>
  <c r="G39" i="59"/>
  <c r="H37" i="59"/>
  <c r="I38" i="59"/>
  <c r="H41" i="59"/>
  <c r="H33" i="59"/>
  <c r="G34" i="59"/>
  <c r="I39" i="59"/>
  <c r="H38" i="59"/>
  <c r="I34" i="59"/>
  <c r="I40" i="59"/>
  <c r="H35" i="59"/>
  <c r="H39" i="59"/>
  <c r="G40" i="59"/>
  <c r="G35" i="59"/>
  <c r="C25" i="12"/>
  <c r="C26" i="12"/>
  <c r="C27" i="12"/>
  <c r="G9" i="59" l="1"/>
  <c r="I27" i="59"/>
  <c r="E24" i="70"/>
  <c r="E26" i="70" s="1" a="1"/>
  <c r="E26" i="70" s="1"/>
  <c r="J6" i="69" s="1"/>
  <c r="L6" i="69" s="1"/>
  <c r="M6" i="69" s="1"/>
  <c r="F60" i="59" s="1"/>
  <c r="B24" i="70"/>
  <c r="B26" i="70" s="1" a="1"/>
  <c r="B26" i="70" s="1"/>
  <c r="J3" i="69" s="1"/>
  <c r="L3" i="69" s="1"/>
  <c r="M3" i="69" s="1"/>
  <c r="F57" i="59" s="1"/>
  <c r="D24" i="70"/>
  <c r="D26" i="70" s="1" a="1"/>
  <c r="D26" i="70" s="1"/>
  <c r="J5" i="69" s="1"/>
  <c r="L5" i="69" s="1"/>
  <c r="M5" i="69" s="1"/>
  <c r="F59" i="59" s="1"/>
  <c r="G24" i="70"/>
  <c r="G26" i="70" s="1" a="1"/>
  <c r="G26" i="70" s="1"/>
  <c r="J8" i="69" s="1"/>
  <c r="L8" i="69" s="1"/>
  <c r="M8" i="69" s="1"/>
  <c r="F62" i="59" s="1"/>
  <c r="F24" i="70"/>
  <c r="F26" i="70" a="1"/>
  <c r="F26" i="70" s="1"/>
  <c r="J7" i="69" s="1"/>
  <c r="L7" i="69" s="1"/>
  <c r="M7" i="69" s="1"/>
  <c r="F61" i="59" s="1"/>
  <c r="H24" i="70"/>
  <c r="H26" i="70" s="1" a="1"/>
  <c r="H26" i="70" s="1"/>
  <c r="J9" i="69" s="1"/>
  <c r="L9" i="69" s="1"/>
  <c r="M9" i="69" s="1"/>
  <c r="F63" i="59" s="1"/>
  <c r="C24" i="70"/>
  <c r="C26" i="70" s="1" a="1"/>
  <c r="C26" i="70" s="1"/>
  <c r="J4" i="69" s="1"/>
  <c r="L4" i="69" s="1"/>
  <c r="M4" i="69" s="1"/>
  <c r="F58" i="59" s="1"/>
  <c r="I27" i="12"/>
  <c r="M54" i="59" s="1"/>
  <c r="I26" i="12"/>
  <c r="M53" i="59" s="1"/>
  <c r="H26" i="12"/>
  <c r="L53" i="59" s="1"/>
  <c r="H27" i="12"/>
  <c r="L54" i="59" s="1"/>
  <c r="I25" i="12"/>
  <c r="M52" i="59" s="1"/>
  <c r="J27" i="12" l="1"/>
  <c r="F41" i="59" s="1"/>
  <c r="J26" i="12"/>
  <c r="F40" i="59" s="1"/>
  <c r="H25" i="12"/>
  <c r="J25" i="12" l="1"/>
  <c r="F39" i="59" s="1"/>
  <c r="L52" i="59"/>
  <c r="E36" i="59"/>
  <c r="E35" i="59"/>
  <c r="E34" i="59"/>
  <c r="E33" i="59"/>
  <c r="E32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3" i="59" s="1"/>
  <c r="Q214" i="61"/>
  <c r="I26" i="59" s="1"/>
  <c r="O215" i="61"/>
  <c r="I50" i="59" s="1"/>
  <c r="C214" i="61"/>
  <c r="I15" i="59" s="1"/>
  <c r="K214" i="61"/>
  <c r="I23" i="59" s="1"/>
  <c r="M215" i="61"/>
  <c r="J25" i="59" s="1"/>
  <c r="G215" i="61"/>
  <c r="J19" i="59" s="1"/>
  <c r="L214" i="61"/>
  <c r="I24" i="59" s="1"/>
  <c r="K213" i="61"/>
  <c r="H23" i="59" s="1"/>
  <c r="J213" i="61"/>
  <c r="C213" i="61"/>
  <c r="J215" i="61"/>
  <c r="G213" i="61"/>
  <c r="H19" i="59" s="1"/>
  <c r="E215" i="61"/>
  <c r="G214" i="61"/>
  <c r="I19" i="59" s="1"/>
  <c r="F214" i="61"/>
  <c r="P213" i="61"/>
  <c r="G53" i="59" s="1"/>
  <c r="I215" i="61"/>
  <c r="J21" i="59" s="1"/>
  <c r="N215" i="61"/>
  <c r="H213" i="61"/>
  <c r="D213" i="61"/>
  <c r="H16" i="59" s="1"/>
  <c r="N213" i="61"/>
  <c r="H215" i="61"/>
  <c r="D214" i="61"/>
  <c r="I16" i="59" s="1"/>
  <c r="I214" i="61"/>
  <c r="I21" i="59" s="1"/>
  <c r="I213" i="61"/>
  <c r="H21" i="59" s="1"/>
  <c r="O214" i="61"/>
  <c r="H50" i="59" s="1"/>
  <c r="O213" i="61"/>
  <c r="G50" i="59" s="1"/>
  <c r="M214" i="61"/>
  <c r="I25" i="59" s="1"/>
  <c r="P215" i="61"/>
  <c r="I53" i="59" s="1"/>
  <c r="M213" i="61"/>
  <c r="H25" i="59" s="1"/>
  <c r="C215" i="61"/>
  <c r="J15" i="59" s="1"/>
  <c r="N214" i="61"/>
  <c r="G4" i="59" s="1"/>
  <c r="L213" i="61"/>
  <c r="H24" i="59" s="1"/>
  <c r="L215" i="61"/>
  <c r="J24" i="59" s="1"/>
  <c r="F215" i="61"/>
  <c r="F213" i="61"/>
  <c r="Q213" i="61"/>
  <c r="H26" i="59" s="1"/>
  <c r="H214" i="61"/>
  <c r="Q215" i="61"/>
  <c r="J26" i="59" s="1"/>
  <c r="E213" i="61"/>
  <c r="J214" i="61"/>
  <c r="K215" i="61"/>
  <c r="J23" i="59" s="1"/>
  <c r="D215" i="61"/>
  <c r="J16" i="59" s="1"/>
  <c r="E214" i="61"/>
  <c r="I48" i="59" l="1"/>
  <c r="H51" i="59"/>
  <c r="H7" i="59"/>
  <c r="J20" i="59"/>
  <c r="G47" i="59"/>
  <c r="F4" i="59"/>
  <c r="H20" i="59"/>
  <c r="F7" i="59"/>
  <c r="I47" i="59"/>
  <c r="H4" i="59"/>
  <c r="H5" i="59"/>
  <c r="J22" i="59"/>
  <c r="H18" i="59"/>
  <c r="F8" i="59"/>
  <c r="G6" i="59"/>
  <c r="I17" i="59"/>
  <c r="G8" i="59"/>
  <c r="I18" i="59"/>
  <c r="J17" i="59"/>
  <c r="H6" i="59"/>
  <c r="I22" i="59"/>
  <c r="G5" i="59"/>
  <c r="G46" i="59"/>
  <c r="H15" i="59"/>
  <c r="F6" i="59"/>
  <c r="H17" i="59"/>
  <c r="H22" i="59"/>
  <c r="F5" i="59"/>
  <c r="I20" i="59"/>
  <c r="G7" i="59"/>
  <c r="J18" i="59"/>
  <c r="H8" i="59"/>
  <c r="H49" i="59"/>
  <c r="G49" i="59"/>
  <c r="H45" i="59"/>
  <c r="I52" i="59"/>
  <c r="G45" i="59"/>
  <c r="H46" i="59"/>
  <c r="G52" i="59"/>
  <c r="H52" i="59"/>
  <c r="I51" i="59"/>
  <c r="G51" i="59"/>
  <c r="H47" i="59"/>
  <c r="I49" i="59"/>
  <c r="I46" i="59"/>
  <c r="I45" i="59"/>
  <c r="G48" i="59"/>
  <c r="H48" i="59"/>
  <c r="M2" i="60" l="1"/>
  <c r="L2" i="60"/>
  <c r="K2" i="60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1" i="59" s="1"/>
  <c r="I24" i="12"/>
  <c r="M51" i="59" s="1"/>
  <c r="J24" i="12" l="1"/>
  <c r="F38" i="59" s="1"/>
  <c r="C12" i="60"/>
  <c r="C23" i="12" l="1"/>
  <c r="I23" i="12" l="1"/>
  <c r="M50" i="59" s="1"/>
  <c r="G32" i="59"/>
  <c r="H32" i="59"/>
  <c r="H23" i="12"/>
  <c r="L50" i="59" s="1"/>
  <c r="I32" i="59"/>
  <c r="N35" i="59" l="1"/>
  <c r="N37" i="59"/>
  <c r="N36" i="59"/>
  <c r="N40" i="59"/>
  <c r="N38" i="59"/>
  <c r="N33" i="59"/>
  <c r="N39" i="59"/>
  <c r="N34" i="59"/>
  <c r="N41" i="59"/>
  <c r="L41" i="59"/>
  <c r="L40" i="59"/>
  <c r="L34" i="59"/>
  <c r="L37" i="59"/>
  <c r="L36" i="59"/>
  <c r="L33" i="59"/>
  <c r="L38" i="59"/>
  <c r="L35" i="59"/>
  <c r="L39" i="59"/>
  <c r="M37" i="59"/>
  <c r="M36" i="59"/>
  <c r="M41" i="59"/>
  <c r="M35" i="59"/>
  <c r="M34" i="59"/>
  <c r="M33" i="59"/>
  <c r="M40" i="59"/>
  <c r="M38" i="59"/>
  <c r="M39" i="59"/>
  <c r="N32" i="59"/>
  <c r="M32" i="59"/>
  <c r="L32" i="59"/>
  <c r="J23" i="12"/>
  <c r="F37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5" i="60"/>
  <c r="S14" i="60"/>
  <c r="S15" i="60"/>
  <c r="F27" i="59" s="1"/>
  <c r="G27" i="59" s="1"/>
  <c r="S13" i="60"/>
  <c r="S12" i="60"/>
  <c r="S6" i="60"/>
  <c r="F18" i="59" s="1"/>
  <c r="S10" i="60"/>
  <c r="S8" i="60"/>
  <c r="F20" i="59" s="1"/>
  <c r="S4" i="60"/>
  <c r="S7" i="60"/>
  <c r="F19" i="59" s="1"/>
  <c r="S11" i="60"/>
  <c r="S9" i="60"/>
  <c r="F21" i="59" s="1"/>
  <c r="F22" i="59"/>
  <c r="F16" i="59"/>
  <c r="F26" i="59"/>
  <c r="G26" i="59" s="1"/>
  <c r="F17" i="59"/>
  <c r="F25" i="59"/>
  <c r="G25" i="59" s="1"/>
  <c r="F15" i="59"/>
  <c r="F23" i="59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9" i="59" s="1"/>
  <c r="H21" i="12"/>
  <c r="L48" i="59" s="1"/>
  <c r="I21" i="12" l="1"/>
  <c r="I22" i="12"/>
  <c r="M49" i="59" s="1"/>
  <c r="J21" i="12" l="1"/>
  <c r="F35" i="59" s="1"/>
  <c r="M48" i="59"/>
  <c r="J22" i="12"/>
  <c r="F36" i="59" s="1"/>
  <c r="C20" i="12" l="1"/>
  <c r="I20" i="12" l="1"/>
  <c r="M47" i="59" s="1"/>
  <c r="H20" i="12" l="1"/>
  <c r="J20" i="12" l="1"/>
  <c r="F34" i="59" s="1"/>
  <c r="L47" i="59"/>
  <c r="C19" i="12"/>
  <c r="I19" i="12" l="1"/>
  <c r="M46" i="59" s="1"/>
  <c r="H19" i="12"/>
  <c r="L46" i="59" s="1"/>
  <c r="J19" i="12" l="1"/>
  <c r="F33" i="59" s="1"/>
  <c r="C18" i="12" l="1"/>
  <c r="I18" i="12" l="1"/>
  <c r="M45" i="59" s="1"/>
  <c r="H18" i="12" l="1"/>
  <c r="L45" i="59" s="1"/>
  <c r="J18" i="12" l="1"/>
  <c r="F32" i="59" s="1"/>
  <c r="K41" i="59" l="1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P34" i="59" s="1"/>
  <c r="K33" i="59"/>
  <c r="O33" i="59" s="1"/>
  <c r="K32" i="59"/>
  <c r="P33" i="59" l="1"/>
  <c r="P35" i="59"/>
  <c r="P36" i="59"/>
  <c r="P38" i="59"/>
  <c r="P39" i="59"/>
  <c r="P40" i="59"/>
  <c r="P37" i="59"/>
  <c r="P41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2" i="59" l="1"/>
  <c r="P32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27354E9-FF44-4C2D-A5DB-1AEB422AC70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Timestamp="1712911167"&gt;&lt;FQL&gt;&lt;Q&gt;FC0000CN^FMA_EPS(NTMA,-20AY,0,CY,,"PORTAGG","MEANR")&lt;/Q&gt;&lt;R&gt;20&lt;/R&gt;&lt;C&gt;1&lt;/C&gt;&lt;D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xsi:type="xsd:double"&gt;17.4947707050593&lt;/D&gt;&lt;D xsi:type="xsd:double"&gt;21.2762448553944&lt;/D&gt;&lt;D xsi:type="xsd:double"&gt;20.3723993154752&lt;/D&gt;&lt;D xsi:type="xsd:double"&gt;19.111338605582&lt;/D&gt;&lt;/FQL&gt;&lt;FQL&gt;&lt;Q&gt;TLT^FG_PRICE(0,-200D)&lt;/Q&gt;&lt;R&gt;201&lt;/R&gt;&lt;C&gt;1&lt;/C&gt;&lt;D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xsi:type="xsd:double"&gt;103.44&lt;/D&gt;&lt;/FQL&gt;&lt;FQL&gt;&lt;Q&gt;IWM^FG_TOTAL_RETURNC(0,-3AM)&lt;/Q&gt;&lt;R&gt;1&lt;/R&gt;&lt;C&gt;1&lt;/C&gt;&lt;D xsi:type="xsd:double"&gt;4.7780633&lt;/D&gt;&lt;/FQL&gt;&lt;FQL&gt;&lt;Q&gt;SPY^FG_TOTAL_RETURNC(0,-3AM)&lt;/Q&gt;&lt;R&gt;1&lt;/R&gt;&lt;C&gt;1&lt;/C&gt;&lt;D xsi:type="xsd:double"&gt;9.083748&lt;/D&gt;&lt;/FQL&gt;&lt;FQL&gt;&lt;Q&gt;VGK^FG_TOTAL_RETURNC(0,-3AM)&lt;/Q&gt;&lt;R&gt;1&lt;/R&gt;&lt;C&gt;1&lt;/C&gt;&lt;D xsi:type="xsd:double"&gt;4.9459815&lt;/D&gt;&lt;/FQL&gt;&lt;FQL&gt;&lt;Q&gt;EWQ^FG_TOTAL_RETURNC(0,-3AM)&lt;/Q&gt;&lt;R&gt;1&lt;/R&gt;&lt;C&gt;1&lt;/C&gt;&lt;D xsi:type="xsd:double"&gt;5.3524733&lt;/D&gt;&lt;/FQL&gt;&lt;FQL&gt;&lt;Q&gt;EWL^FG_TOTAL_RETURNC(0,-3AM)&lt;/Q&gt;&lt;R&gt;1&lt;/R&gt;&lt;C&gt;1&lt;/C&gt;&lt;D xsi:type="xsd:double"&gt;-2.8727174&lt;/D&gt;&lt;/FQL&gt;&lt;FQL&gt;&lt;Q&gt;EWA^FG_TOTAL_RETURNC(0,-3AM)&lt;/Q&gt;&lt;R&gt;1&lt;/R&gt;&lt;C&gt;1&lt;/C&gt;&lt;D xsi:type="xsd:double"&gt;2.9163122&lt;/D&gt;&lt;/FQL&gt;&lt;FQL&gt;&lt;Q&gt;EMXC^FMA_PCT_ABOVE_MAVG(200,0,,,,"PORTAGG")&lt;/Q&gt;&lt;R&gt;1&lt;/R&gt;&lt;C&gt;1&lt;/C&gt;&lt;D xsi:type="xsd:double"&gt;66.8161434977578&lt;/D&gt;&lt;/FQL&gt;&lt;FQL&gt;&lt;Q&gt;VGK^PERCENT_CHANGE(FMA_EPS(+1,0,,,,"PORTAGG","MEAN"),FMA_EPS(+1,-3AM,,,,"PORTAGG","MEAN"))&lt;/Q&gt;&lt;R&gt;1&lt;/R&gt;&lt;C&gt;1&lt;/C&gt;&lt;D xsi:type="xsd:double"&gt;-8.71991333419369&lt;/D&gt;&lt;/FQL&gt;&lt;FQL&gt;&lt;Q&gt;SPY^PERCENT_CHANGE(FMA_EPS(+1,0,,,,"PORTAGG","MEAN"),FMA_EPS(+1,-1AM,,,,"PORTAGG","MEAN"))&lt;/Q&gt;&lt;R&gt;1&lt;/R&gt;&lt;C&gt;1&lt;/C&gt;&lt;D xsi:type="xsd:double"&gt;-0.325097488744788&lt;/D&gt;&lt;/FQL&gt;&lt;FQL&gt;&lt;Q&gt;EWG^FMA_PCT_ABOVE_MAVG(200,0,,,,"PORTAGG")&lt;/Q&gt;&lt;R&gt;1&lt;/R&gt;&lt;C&gt;1&lt;/C&gt;&lt;D xsi:type="xsd:double"&gt;77.1929824561403&lt;/D&gt;&lt;/FQL&gt;&lt;FQL&gt;&lt;Q&gt;QQQ^SIZE(FG_CONSTITUENTS)&lt;/Q&gt;&lt;R&gt;1&lt;/R&gt;&lt;C&gt;1&lt;/C&gt;&lt;D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xsi:type="xsd:double"&gt;551&lt;/D&gt;&lt;/FQL&gt;&lt;FQL&gt;&lt;Q&gt;EWN^FMA_COS_UP("EPS","1M",+1,0,,,"PORTAGG","MEANR")&lt;/Q&gt;&lt;R&gt;1&lt;/R&gt;&lt;C&gt;1&lt;/C&gt;&lt;D xsi:type="xsd:double"&gt;17&lt;/D&gt;&lt;/FQL&gt;&lt;FQL&gt;&lt;Q&gt;EWJ^SIZE(FG_CONSTITUENTS)&lt;/Q&gt;&lt;R&gt;1&lt;/R&gt;&lt;C&gt;1&lt;/C&gt;&lt;D xsi:type="xsd:long"&gt;219&lt;/D&gt;&lt;/FQL&gt;&lt;FQL&gt;&lt;Q&gt;EWD^FG_COMPANY_NAME&lt;/Q&gt;&lt;R&gt;1&lt;/R&gt;&lt;C&gt;1&lt;/C&gt;&lt;D xsi:type="xsd:string"&gt;iShares MSCI Sweden ETF&lt;/D&gt;&lt;/FQL&gt;&lt;FQL&gt;&lt;Q&gt;FXI^P_PRICE(0)/P_PRICE_HIGH_PR(0,,,USD,,,"PRICE","INTRA","52W")&lt;/Q&gt;&lt;R&gt;1&lt;/R&gt;&lt;C&gt;1&lt;/C&gt;&lt;D xsi:type="xsd:double"&gt;0.80877537&lt;/D&gt;&lt;/FQL&gt;&lt;FQL&gt;&lt;Q&gt;TLT^P_PRICE(0)/P_PRICE_HIGH_PR(0,,,USD,,,"PRICE","INTRA","52W")&lt;/Q&gt;&lt;R&gt;1&lt;/R&gt;&lt;C&gt;1&lt;/C&gt;&lt;D xsi:type="xsd:double"&gt;0.8362976&lt;/D&gt;&lt;/FQL&gt;&lt;FQL&gt;&lt;Q&gt;UUP^P_PRICE(0)/P_PRICE_HIGH_PR(0,,,USD,,,"PRICE","INTRA","52W")&lt;/Q&gt;&lt;R&gt;1&lt;/R&gt;&lt;C&gt;1&lt;/C&gt;&lt;D xsi:type="xsd:double"&gt;0.9484502&lt;/D&gt;&lt;/FQL&gt;&lt;FQL&gt;&lt;Q&gt;TRYCN10Y-FDS^FG_YIELD(0,,,,"YTM")&lt;/Q&gt;&lt;R&gt;1&lt;/R&gt;&lt;C&gt;1&lt;/C&gt;&lt;D xsi:type="xsd:double"&gt;2.3047&lt;/D&gt;&lt;/FQL&gt;&lt;FQL&gt;&lt;Q&gt;URTH^FMA_DIV_YLD(NTMA,NOW,NOW,M,"PORTAGG","MEANR")&lt;/Q&gt;&lt;R&gt;1&lt;/R&gt;&lt;C&gt;1&lt;/C&gt;&lt;D xsi:type="xsd:double"&gt;1.91683673392695&lt;/D&gt;&lt;/FQL&gt;&lt;FQL&gt;&lt;Q&gt;SPY^FMA_DIV_YLD(NTMA,NOW,NOW,M,"PORTAGG","MEANR")&lt;/Q&gt;&lt;R&gt;1&lt;/R&gt;&lt;C&gt;1&lt;/C&gt;&lt;D xsi:type="xsd:double"&gt;1.42735403440696&lt;/D&gt;&lt;/FQL&gt;&lt;FQL&gt;&lt;Q&gt;FC0000IN^FMA_EPS(NTMA,-20AY,0,CY,,"PORTAGG","MEANR")&lt;/Q&gt;&lt;R&gt;20&lt;/R&gt;&lt;C&gt;1&lt;/C&gt;&lt;D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xsi:type="xsd:double"&gt;33.7058784911957&lt;/D&gt;&lt;D xsi:type="xsd:double"&gt;47.02001632811&lt;/D&gt;&lt;D xsi:type="xsd:double"&gt;46.0469770059164&lt;/D&gt;&lt;D xsi:type="xsd:double"&gt;54.6862434174125&lt;/D&gt;&lt;/FQL&gt;&lt;FQL&gt;&lt;Q&gt;USO^FG_PRICE(0,-200D)&lt;/Q&gt;&lt;R&gt;201&lt;/R&gt;&lt;C&gt;1&lt;/C&gt;&lt;D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xsi:type="xsd:double"&gt;62.73&lt;/D&gt;&lt;/FQL&gt;&lt;FQL&gt;&lt;Q&gt;QQQ^P_PRICE(0)/P_PRICE_LOW_PR(0,,,USD,,,"PRICE","INTRA","52W")-1&lt;/Q&gt;&lt;R&gt;1&lt;/R&gt;&lt;C&gt;1&lt;/C&gt;&lt;D xsi:type="xsd:double"&gt;0.4371873&lt;/D&gt;&lt;/FQL&gt;&lt;FQL&gt;&lt;Q&gt;EWJ^P_PRICE(0)/P_PRICE_LOW_PR(0,,,USD,,,"PRICE","INTRA","52W")-1&lt;/Q&gt;&lt;R&gt;1&lt;/R&gt;&lt;C&gt;1&lt;/C&gt;&lt;D xsi:type="xsd:double"&gt;0.22360134&lt;/D&gt;&lt;/FQL&gt;&lt;FQL&gt;&lt;Q&gt;EWI^P_PRICE(0)/P_PRICE_LOW_PR(0,,,USD,,,"PRICE","INTRA","52W")-1&lt;/Q&gt;&lt;R&gt;1&lt;/R&gt;&lt;C&gt;1&lt;/C&gt;&lt;D xsi:type="xsd:double"&gt;0.2572807&lt;/D&gt;&lt;/FQL&gt;&lt;FQL&gt;&lt;Q&gt;SPY^P_PRICE(0)/P_PRICE_LOW_PR(0,,,USD,,,"PRICE","INTRA","52W")-1&lt;/Q&gt;&lt;R&gt;1&lt;/R&gt;&lt;C&gt;1&lt;/C&gt;&lt;D xsi:type="xsd:double"&gt;0.28300393&lt;/D&gt;&lt;/FQL&gt;&lt;FQL&gt;&lt;Q&gt;ENZL^P_PRICE(0)/P_PRICE_LOW_PR(0,,,USD,,,"PRICE","INTRA","52W")-1&lt;/Q&gt;&lt;R&gt;1&lt;/R&gt;&lt;C&gt;1&lt;/C&gt;&lt;D xsi:type="xsd:double"&gt;0.105286&lt;/D&gt;&lt;/FQL&gt;&lt;FQL&gt;&lt;Q&gt;INDA^PERCENT_CHANGE(FMA_EPS(+1,0,,,,"PORTAGG","MEAN"),FMA_EPS(+1,-3AM,,,,"PORTAGG","MEAN"))&lt;/Q&gt;&lt;R&gt;1&lt;/R&gt;&lt;C&gt;1&lt;/C&gt;&lt;D xsi:type="xsd:double"&gt;-0.283140109622012&lt;/D&gt;&lt;/FQL&gt;&lt;FQL&gt;&lt;Q&gt;VGK^PERCENT_CHANGE(FMA_EPS(+1,0,,,,"PORTAGG","MEAN"),FMA_EPS(+1,-1AM,,,,"PORTAGG","MEAN"))&lt;/Q&gt;&lt;R&gt;1&lt;/R&gt;&lt;C&gt;1&lt;/C&gt;&lt;D xsi:type="xsd:double"&gt;-4.99956575890268&lt;/D&gt;&lt;/FQL&gt;&lt;FQL&gt;&lt;Q&gt;SPY^FMA_PCT_ABOVE_MAVG(200,0,,,,"PORTAGG")&lt;/Q&gt;&lt;R&gt;1&lt;/R&gt;&lt;C&gt;1&lt;/C&gt;&lt;D xsi:type="xsd:double"&gt;79.4411177644711&lt;/D&gt;&lt;/FQL&gt;&lt;FQL&gt;&lt;Q&gt;EWC^PERCENT_CHANGE(FMA_EPS(+1,0,,,,"PORTAGG","MEAN"),FMA_EPS(+1,-3AM,,,,"PORTAGG","MEAN"))&lt;/Q&gt;&lt;R&gt;1&lt;/R&gt;&lt;C&gt;1&lt;/C&gt;&lt;D xsi:type="xsd:double"&gt;-4.51069415269957&lt;/D&gt;&lt;/FQL&gt;&lt;FQL&gt;&lt;Q&gt;QQQ^FMA_COS_DOWN("EPS","1M",+1,0,,,"PORTAGG","MEANR")&lt;/Q&gt;&lt;R&gt;1&lt;/R&gt;&lt;C&gt;1&lt;/C&gt;&lt;D xsi:type="xsd:double"&gt;32&lt;/D&gt;&lt;/FQL&gt;&lt;FQL&gt;&lt;Q&gt;URTH^FMA_COS_UP("EPS","1M",+1,0,,,"PORTAGG","MEANR")&lt;/Q&gt;&lt;R&gt;1&lt;/R&gt;&lt;C&gt;1&lt;/C&gt;&lt;D xsi:type="xsd:double"&gt;556&lt;/D&gt;&lt;/FQL&gt;&lt;FQL&gt;&lt;Q&gt;EWQ^SIZE(FG_CONSTITUENTS)&lt;/Q&gt;&lt;R&gt;1&lt;/R&gt;&lt;C&gt;1&lt;/C&gt;&lt;D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xsi:type="xsd:double"&gt;88&lt;/D&gt;&lt;/FQL&gt;&lt;FQL&gt;&lt;Q&gt;FXI^FG_TOTAL_RETURNC(0,-6AM)&lt;/Q&gt;&lt;R&gt;1&lt;/R&gt;&lt;C&gt;1&lt;/C&gt;&lt;D xsi:type="xsd:double"&gt;-6.6117706&lt;/D&gt;&lt;/FQL&gt;&lt;FQL&gt;&lt;Q&gt;TLT^FG_TOTAL_RETURNC(0,-6AM)&lt;/Q&gt;&lt;R&gt;1&lt;/R&gt;&lt;C&gt;1&lt;/C&gt;&lt;D xsi:type="xsd:double"&gt;3.4860015&lt;/D&gt;&lt;/FQL&gt;&lt;FQL&gt;&lt;Q&gt;UUP^FG_TOTAL_RETURNC(0,-6AM)&lt;/Q&gt;&lt;R&gt;1&lt;/R&gt;&lt;C&gt;1&lt;/C&gt;&lt;D xsi:type="xsd:double"&gt;2.6183844&lt;/D&gt;&lt;/FQL&gt;&lt;FQL&gt;&lt;Q&gt;URTH^FG_PE_NTM(0,,,90,0)&lt;/Q&gt;&lt;R&gt;1&lt;/R&gt;&lt;C&gt;1&lt;/C&gt;&lt;D xsi:type="xsd:double"&gt;18.3930541396291&lt;/D&gt;&lt;/FQL&gt;&lt;FQL&gt;&lt;Q&gt;SPY^FG_PE_NTM(0,,,90,0)&lt;/Q&gt;&lt;R&gt;1&lt;/R&gt;&lt;C&gt;1&lt;/C&gt;&lt;D xsi:type="xsd:double"&gt;20.6841655478305&lt;/D&gt;&lt;/FQL&gt;&lt;FQL&gt;&lt;Q&gt;EWJ^P_PRICE(0)/P_PRICE_HIGH_PR(0,,,USD,,,"PRICE","INTRA","52W")&lt;/Q&gt;&lt;R&gt;1&lt;/R&gt;&lt;C&gt;1&lt;/C&gt;&lt;D xsi:type="xsd:double"&gt;0.9712065&lt;/D&gt;&lt;/FQL&gt;&lt;FQL&gt;&lt;Q&gt;URTH^FG_PE(0)&lt;/Q&gt;&lt;R&gt;1&lt;/R&gt;&lt;C&gt;1&lt;/C&gt;&lt;D xsi:type="xsd:double"&gt;20.5004163379129&lt;/D&gt;&lt;/FQL&gt;&lt;FQL&gt;&lt;Q&gt;EWN^PERCENT_CHANGE(FMA_EPS(+1,0,,,,"PORTAGG","MEAN"),FMA_EPS(+1,-3AM,,,,"PORTAGG","MEAN"))&lt;/Q&gt;&lt;R&gt;1&lt;/R&gt;&lt;C&gt;1&lt;/C&gt;&lt;D xsi:type="xsd:double"&gt;-0.828032863949818&lt;/D&gt;&lt;/FQL&gt;&lt;FQL&gt;&lt;Q&gt;EWN^FG_COMPANY_NAME&lt;/Q&gt;&lt;R&gt;1&lt;/R&gt;&lt;C&gt;1&lt;/C&gt;&lt;D xsi:type="xsd:string"&gt;iShares MSCI Netherlands ETF&lt;/D&gt;&lt;/FQL&gt;&lt;FQL&gt;&lt;Q&gt;EWI^P_PRICE(0)/P_PRICE_HIGH_PR(0,,,USD,,,"PRICE","INTRA","52W")&lt;/Q&gt;&lt;R&gt;1&lt;/R&gt;&lt;C&gt;1&lt;/C&gt;&lt;D xsi:type="xsd:double"&gt;0.9610116&lt;/D&gt;&lt;/FQL&gt;&lt;FQL&gt;&lt;Q&gt;ENZL^P_PRICE(0)/P_PRICE_HIGH_PR(0,,,USD,,,"PRICE","INTRA","52W")&lt;/Q&gt;&lt;R&gt;1&lt;/R&gt;&lt;C&gt;1&lt;/C&gt;&lt;D xsi:type="xsd:double"&gt;0.88401556&lt;/D&gt;&lt;/FQL&gt;&lt;FQL&gt;&lt;Q&gt;VGK^FMA_PCT_ABOVE_MAVG(200,0,,,,"PORTAGG")&lt;/Q&gt;&lt;R&gt;1&lt;/R&gt;&lt;C&gt;1&lt;/C&gt;&lt;D xsi:type="xsd:double"&gt;58.4313725490196&lt;/D&gt;&lt;/FQL&gt;&lt;FQL&gt;&lt;Q&gt;EWJ^FMA_COS_UP("EPS","1M",+1,0,,,"PORTAGG","MEANR")&lt;/Q&gt;&lt;R&gt;1&lt;/R&gt;&lt;C&gt;1&lt;/C&gt;&lt;D xsi:type="xsd:double"&gt;97&lt;/D&gt;&lt;/FQL&gt;&lt;FQL&gt;&lt;Q&gt;FXI^FG_TOTAL_RETURNC(0,-3AM)&lt;/Q&gt;&lt;R&gt;1&lt;/R&gt;&lt;C&gt;1&lt;/C&gt;&lt;D xsi:type="xsd:double"&gt;8.190977&lt;/D&gt;&lt;/FQL&gt;&lt;FQL&gt;&lt;Q&gt;SPY^FG_TOTAL_RETURNC(0,-6AM)&lt;/Q&gt;&lt;R&gt;1&lt;/R&gt;&lt;C&gt;1&lt;/C&gt;&lt;D xsi:type="xsd:double"&gt;19.575262&lt;/D&gt;&lt;/FQL&gt;&lt;FQL&gt;&lt;Q&gt;EWU^FMA_COS_UP("EPS","1M",+1,0,,,"PORTAGG","MEANR")&lt;/Q&gt;&lt;R&gt;1&lt;/R&gt;&lt;C&gt;1&lt;/C&gt;&lt;D xsi:type="xsd:double"&gt;33&lt;/D&gt;&lt;/FQL&gt;&lt;FQL&gt;&lt;Q&gt;QQQ^P_PRICE(0)/P_PRICE_HIGH_PR(0,,,USD,,,"PRICE","INTRA","52W")&lt;/Q&gt;&lt;R&gt;1&lt;/R&gt;&lt;C&gt;1&lt;/C&gt;&lt;D xsi:type="xsd:double"&gt;0.9911648&lt;/D&gt;&lt;/FQL&gt;&lt;FQL&gt;&lt;Q&gt;QQQ^FMA_PCT_ABOVE_MAVG(200,0,,,,"PORTAGG")&lt;/Q&gt;&lt;R&gt;1&lt;/R&gt;&lt;C&gt;1&lt;/C&gt;&lt;D xsi:type="xsd:double"&gt;68.6274509803922&lt;/D&gt;&lt;/FQL&gt;&lt;FQL&gt;&lt;Q&gt;IWM^FMA_COS_UP("EPS","1M",+1,0,,,"PORTAGG","MEANR")&lt;/Q&gt;&lt;R&gt;1&lt;/R&gt;&lt;C&gt;1&lt;/C&gt;&lt;D xsi:type="xsd:double"&gt;441&lt;/D&gt;&lt;/FQL&gt;&lt;FQL&gt;&lt;Q&gt;INDA^PERCENT_CHANGE(FMA_EPS(+1,0,,,,"PORTAGG","MEAN"),FMA_EPS(+1,-1AM,,,,"PORTAGG","MEAN"))&lt;/Q&gt;&lt;R&gt;1&lt;/R&gt;&lt;C&gt;1&lt;/C&gt;&lt;D xsi:type="xsd:double"&gt;-0.856784481598456&lt;/D&gt;&lt;/FQL&gt;&lt;FQL&gt;&lt;Q&gt;EWC^PERCENT_CHANGE(FMA_EPS(+1,0,,,,"PORTAGG","MEAN"),FMA_EPS(+1,-1AM,,,,"PORTAGG","MEAN"))&lt;/Q&gt;&lt;R&gt;1&lt;/R&gt;&lt;C&gt;1&lt;/C&gt;&lt;D xsi:type="xsd:double"&gt;-0.599504310790107&lt;/D&gt;&lt;/FQL&gt;&lt;FQL&gt;&lt;Q&gt;VWO^SIZE(FG_CONSTITUENTS)&lt;/Q&gt;&lt;R&gt;1&lt;/R&gt;&lt;C&gt;1&lt;/C&gt;&lt;D xsi:type="xsd:long"&gt;4715&lt;/D&gt;&lt;/FQL&gt;&lt;FQL&gt;&lt;Q&gt;EWJ^FG_PE_NTM(0,,,90,0)&lt;/Q&gt;&lt;R&gt;1&lt;/R&gt;&lt;C&gt;1&lt;/C&gt;&lt;D xsi:type="xsd:double"&gt;15.5870373517673&lt;/D&gt;&lt;/FQL&gt;&lt;FQL&gt;&lt;Q&gt;BTC00-USA^P_FUT_TOTAL_RETURN(0,-1AM,,'')&lt;/Q&gt;&lt;R&gt;1&lt;/R&gt;&lt;C&gt;1&lt;/C&gt;&lt;D xsi:type="xsd:double"&gt;-2.87839753099729&lt;/D&gt;&lt;/FQL&gt;&lt;FQL&gt;&lt;Q&gt;TRYIN10Y-FDS^FG_YIELD(0,,,,"YTM")&lt;/Q&gt;&lt;R&gt;1&lt;/R&gt;&lt;C&gt;1&lt;/C&gt;&lt;D xsi:type="xsd:double"&gt;7.1125&lt;/D&gt;&lt;/FQL&gt;&lt;FQL&gt;&lt;Q&gt;SPY^P_PRICE(0)/P_PRICE_HIGH_PR(0,,,USD,,,"PRICE","INTRA","52W")&lt;/Q&gt;&lt;R&gt;1&lt;/R&gt;&lt;C&gt;1&lt;/C&gt;&lt;D xsi:type="xsd:double"&gt;0.9874002&lt;/D&gt;&lt;/FQL&gt;&lt;FQL&gt;&lt;Q&gt;EWQ^FG_COMPANY_NAME&lt;/Q&gt;&lt;R&gt;1&lt;/R&gt;&lt;C&gt;1&lt;/C&gt;&lt;D xsi:type="xsd:string"&gt;iShares MSCI France ETF&lt;/D&gt;&lt;/FQL&gt;&lt;FQL&gt;&lt;Q&gt;TRYUS10Y-FDS^FG_YIELD(0,,,,"YTM")&lt;/Q&gt;&lt;R&gt;1&lt;/R&gt;&lt;C&gt;1&lt;/C&gt;&lt;D xsi:type="xsd:double"&gt;4.5712&lt;/D&gt;&lt;/FQL&gt;&lt;FQL&gt;&lt;Q&gt;ENZL^SIZE(FG_CONSTITUENTS)&lt;/Q&gt;&lt;R&gt;1&lt;/R&gt;&lt;C&gt;1&lt;/C&gt;&lt;D xsi:type="xsd:long"&gt;14&lt;/D&gt;&lt;/FQL&gt;&lt;FQL&gt;&lt;Q&gt;ENZL^FMA_COS_DOWN("EPS","1M",+1,0,,,"PORTAGG","MEANR")&lt;/Q&gt;&lt;R&gt;1&lt;/R&gt;&lt;C&gt;1&lt;/C&gt;&lt;D xsi:type="xsd:double"&gt;3&lt;/D&gt;&lt;/FQL&gt;&lt;FQL&gt;&lt;Q&gt;QQQ^PERCENT_CHANGE(FMA_EPS(+1,0,,,,"PORTAGG","MEAN"),FMA_EPS(+1,-3AM,,,,"PORTAGG","MEAN"))&lt;/Q&gt;&lt;R&gt;1&lt;/R&gt;&lt;C&gt;1&lt;/C&gt;&lt;D xsi:type="xsd:double"&gt;0.147287241886962&lt;/D&gt;&lt;/FQL&gt;&lt;FQL&gt;&lt;Q&gt;QQQ^FMA_COS_UP("EPS","1M",+1,0,,,"PORTAGG","MEANR")&lt;/Q&gt;&lt;R&gt;1&lt;/R&gt;&lt;C&gt;1&lt;/C&gt;&lt;D xsi:type="xsd:double"&gt;33&lt;/D&gt;&lt;/FQL&gt;&lt;FQL&gt;&lt;Q&gt;EWQ^FMA_COS_DOWN("EPS","1M",+1,0,,,"PORTAGG","MEANR")&lt;/Q&gt;&lt;R&gt;1&lt;/R&gt;&lt;C&gt;1&lt;/C&gt;&lt;D xsi:type="xsd:double"&gt;40&lt;/D&gt;&lt;/FQL&gt;&lt;FQL&gt;&lt;Q&gt;TLT^FG_TOTAL_RETURNC(0,-3AM)&lt;/Q&gt;&lt;R&gt;1&lt;/R&gt;&lt;C&gt;1&lt;/C&gt;&lt;D xsi:type="xsd:double"&gt;-6.2349796&lt;/D&gt;&lt;/FQL&gt;&lt;FQL&gt;&lt;Q&gt;UUP^FG_TOTAL_RETURNC(0,-3AM)&lt;/Q&gt;&lt;R&gt;1&lt;/R&gt;&lt;C&gt;1&lt;/C&gt;&lt;D xsi:type="xsd:double"&gt;4.3398976&lt;/D&gt;&lt;/FQL&gt;&lt;FQL&gt;&lt;Q&gt;SPY^FG_PE(0)&lt;/Q&gt;&lt;R&gt;1&lt;/R&gt;&lt;C&gt;1&lt;/C&gt;&lt;D xsi:type="xsd:double"&gt;24.9561935736211&lt;/D&gt;&lt;/FQL&gt;&lt;FQL&gt;&lt;Q&gt;ENZL^FMA_PCT_ABOVE_MAVG(200,0,,,,"PORTAGG")&lt;/Q&gt;&lt;R&gt;1&lt;/R&gt;&lt;C&gt;1&lt;/C&gt;&lt;D xsi:type="xsd:double"&gt;42.8571428571429&lt;/D&gt;&lt;/FQL&gt;&lt;FQL&gt;&lt;Q&gt;VWO^PERCENT_CHANGE(FMA_EPS(+1,0,,,,"PORTAGG","MEAN"),FMA_EPS(+1,-3AM,,,,"PORTAGG","MEAN"))&lt;/Q&gt;&lt;R&gt;1&lt;/R&gt;&lt;C&gt;1&lt;/C&gt;&lt;D xsi:type="xsd:double"&gt;-16.6687869576306&lt;/D&gt;&lt;/FQL&gt;&lt;FQL&gt;&lt;Q&gt;IWM^FMA_COS_DOWN("EPS","1M",+1,0,,,"PORTAGG","MEANR")&lt;/Q&gt;&lt;R&gt;1&lt;/R&gt;&lt;C&gt;1&lt;/C&gt;&lt;D xsi:type="xsd:double"&gt;522&lt;/D&gt;&lt;/FQL&gt;&lt;FQL&gt;&lt;Q&gt;BTC00-USA^P_FUT_TOTAL_RETURN(0,-3AM,,'')&lt;/Q&gt;&lt;R&gt;1&lt;/R&gt;&lt;C&gt;1&lt;/C&gt;&lt;D xsi:type="xsd:double"&gt;49.2692545520832&lt;/D&gt;&lt;/FQL&gt;&lt;FQL&gt;&lt;Q&gt;URTH^FMA_EPS(NTMA,-20AY,0,CY,,"PORTAGG","MEANR")&lt;/Q&gt;&lt;R&gt;20&lt;/R&gt;&lt;C&gt;1&lt;/C&gt;&lt;D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xsi:type="xsd:double"&gt;5.85719111694183&lt;/D&gt;&lt;D xsi:type="xsd:double"&gt;5.43703724566327&lt;/D&gt;&lt;D xsi:type="xsd:double"&gt;7.02075740819911&lt;/D&gt;&lt;D xsi:type="xsd:double"&gt;7.30506318524457&lt;/D&gt;&lt;D xsi:type="xsd:double"&gt;7.69554584606493&lt;/D&gt;&lt;/FQL&gt;&lt;FQL&gt;&lt;Q&gt;DBA^FG_PRICE(0,-200D)&lt;/Q&gt;&lt;R&gt;201&lt;/R&gt;&lt;C&gt;1&lt;/C&gt;&lt;D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xsi:type="xsd:double"&gt;21.51&lt;/D&gt;&lt;/FQL&gt;&lt;FQL&gt;&lt;Q&gt;IWM^SIZE(FG_CONSTITUENTS)&lt;/Q&gt;&lt;R&gt;1&lt;/R&gt;&lt;C&gt;1&lt;/C&gt;&lt;D xsi:type="xsd:long"&gt;1937&lt;/D&gt;&lt;/FQL&gt;&lt;FQL&gt;&lt;Q&gt;EWA^P_PRICE(0)/P_PRICE_HIGH_PR(0,,,USD,,,"PRICE","INTRA"</t>
        </r>
      </text>
    </comment>
    <comment ref="A2" authorId="0" shapeId="0" xr:uid="{3B8EB2B3-C93D-47E8-9A60-FC09D6B970E8}">
      <text>
        <r>
          <rPr>
            <b/>
            <sz val="9"/>
            <color indexed="81"/>
            <rFont val="Tahoma"/>
            <charset val="1"/>
          </rPr>
          <t>,"52W")&lt;/Q&gt;&lt;R&gt;1&lt;/R&gt;&lt;C&gt;1&lt;/C&gt;&lt;D xsi:type="xsd:double"&gt;0.97244406&lt;/D&gt;&lt;/FQL&gt;&lt;FQL&gt;&lt;Q&gt;ENZL^FMA_COS_UP("EPS","1M",+1,0,,,"PORTAGG","MEANR")&lt;/Q&gt;&lt;R&gt;1&lt;/R&gt;&lt;C&gt;1&lt;/C&gt;&lt;D xsi:type="xsd:double"&gt;3&lt;/D&gt;&lt;/FQL&gt;&lt;FQL&gt;&lt;Q&gt;FXI^FMA_DIV_YLD(NTMA,NOW,NOW,M,"PORTAGG","MEANR")&lt;/Q&gt;&lt;R&gt;1&lt;/R&gt;&lt;C&gt;1&lt;/C&gt;&lt;D xsi:type="xsd:double"&gt;3.85361971027571&lt;/D&gt;&lt;/FQL&gt;&lt;FQL&gt;&lt;Q&gt;QQQ^FG_COMPANY_NAME&lt;/Q&gt;&lt;R&gt;1&lt;/R&gt;&lt;C&gt;1&lt;/C&gt;&lt;D xsi:type="xsd:string"&gt;Invesco QQQ Trust Series I&lt;/D&gt;&lt;/FQL&gt;&lt;FQL&gt;&lt;Q&gt;EWN^FMA_COS_DOWN("EPS","1M",+1,0,,,"PORTAGG","MEANR")&lt;/Q&gt;&lt;R&gt;1&lt;/R&gt;&lt;C&gt;1&lt;/C&gt;&lt;D xsi:type="xsd:double"&gt;22&lt;/D&gt;&lt;/FQL&gt;&lt;FQL&gt;&lt;Q&gt;VWO^FMA_EPS(NTMA,-20AY,0,CY,,"PORTAGG","MEANR")&lt;/Q&gt;&lt;R&gt;20&lt;/R&gt;&lt;C&gt;1&lt;/C&gt;&lt;D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xsi:type="xsd:double"&gt;3.40412658150369&lt;/D&gt;&lt;D xsi:type="xsd:double"&gt;3.30534875749903&lt;/D&gt;&lt;D xsi:type="xsd:double"&gt;3.92098153723623&lt;/D&gt;&lt;D xsi:type="xsd:double"&gt;3.36631272662685&lt;/D&gt;&lt;D xsi:type="xsd:double"&gt;3.38554381729437&lt;/D&gt;&lt;/FQL&gt;&lt;FQL&gt;&lt;Q&gt;QQQ^FG_PRICE(0,-200D)&lt;/Q&gt;&lt;R&gt;201&lt;/R&gt;&lt;C&gt;1&lt;/C&gt;&lt;D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xsi:type="xsd:double"&gt;357.68&lt;/D&gt;&lt;/FQL&gt;&lt;FQL&gt;&lt;Q&gt;QQQ^FG_TOTAL_RETURNC(0,-6AM)&lt;/Q&gt;&lt;R&gt;1&lt;/R&gt;&lt;C&gt;1&lt;/C&gt;&lt;D xsi:type="xsd:double"&gt;20.433605&lt;/D&gt;&lt;/FQL&gt;&lt;FQL&gt;&lt;Q&gt;EWJ^FG_TOTAL_RETURNC(0,-6AM)&lt;/Q&gt;&lt;R&gt;1&lt;/R&gt;&lt;C&gt;1&lt;/C&gt;&lt;D xsi:type="xsd:double"&gt;17.940353&lt;/D&gt;&lt;/FQL&gt;&lt;FQL&gt;&lt;Q&gt;EWI^FG_TOTAL_RETURNC(0,-6AM)&lt;/Q&gt;&lt;R&gt;1&lt;/R&gt;&lt;C&gt;1&lt;/C&gt;&lt;D xsi:type="xsd:double"&gt;20.365692&lt;/D&gt;&lt;/FQL&gt;&lt;FQL&gt;&lt;Q&gt;ENZL^FG_TOTAL_RETURNC(0,-6AM)&lt;/Q&gt;&lt;R&gt;1&lt;/R&gt;&lt;C&gt;1&lt;/C&gt;&lt;D xsi:type="xsd:double"&gt;2.7835965&lt;/D&gt;&lt;/FQL&gt;&lt;FQL&gt;&lt;Q&gt;INDA^FMA_PCT_ABOVE_MAVG(200,0,,,,"PORTAGG")&lt;/Q&gt;&lt;R&gt;1&lt;/R&gt;&lt;C&gt;1&lt;/C&gt;&lt;D xsi:type="xsd:double"&gt;83.8235294117647&lt;/D&gt;&lt;/FQL&gt;&lt;FQL&gt;&lt;Q&gt;EWI^PERCENT_CHANGE(FMA_EPS(+1,0,,,,"PORTAGG","MEAN"),FMA_EPS(+1,-3AM,,,,"PORTAGG","MEAN"))&lt;/Q&gt;&lt;R&gt;1&lt;/R&gt;&lt;C&gt;1&lt;/C&gt;&lt;D xsi:type="xsd:double"&gt;0.627739201699844&lt;/D&gt;&lt;/FQL&gt;&lt;FQL&gt;&lt;Q&gt;QQQ^PERCENT_CHANGE(FMA_EPS(+1,0,,,,"PORTAGG","MEAN"),FMA_EPS(+1,-1AM,,,,"PORTAGG","MEAN"))&lt;/Q&gt;&lt;R&gt;1&lt;/R&gt;&lt;C&gt;1&lt;/C&gt;&lt;D xsi:type="xsd:double"&gt;-0.184278646972279&lt;/D&gt;&lt;/FQL&gt;&lt;FQL&gt;&lt;Q&gt;EWC^FMA_PCT_ABOVE_MAVG(200,0,,,,"PORTAGG")&lt;/Q&gt;&lt;R&gt;1&lt;/R&gt;&lt;C&gt;1&lt;/C&gt;&lt;D xsi:type="xsd:double"&gt;71.5909090909091&lt;/D&gt;&lt;/FQL&gt;&lt;FQL&gt;&lt;Q&gt;EMXC^SIZE(FG_CONSTITUENTS)&lt;/Q&gt;&lt;R&gt;1&lt;/R&gt;&lt;C&gt;1&lt;/C&gt;&lt;D xsi:type="xsd:long"&gt;696&lt;/D&gt;&lt;/FQL&gt;&lt;FQL&gt;&lt;Q&gt;VWO^FMA_COS_DOWN("EPS","1M",+1,0,,,"PORTAGG","MEANR")&lt;/Q&gt;&lt;R&gt;1&lt;/R&gt;&lt;C&gt;1&lt;/C&gt;&lt;D xsi:type="xsd:double"&gt;1042&lt;/D&gt;&lt;/FQL&gt;&lt;FQL&gt;&lt;Q&gt;EWQ^FMA_COS_UP("EPS","1M",+1,0,,,"PORTAGG","MEANR")&lt;/Q&gt;&lt;R&gt;1&lt;/R&gt;&lt;C&gt;1&lt;/C&gt;&lt;D xsi:type="xsd:double"&gt;15&lt;/D&gt;&lt;/FQL&gt;&lt;FQL&gt;&lt;Q&gt;EWG^SIZE(FG_CONSTITUENTS)&lt;/Q&gt;&lt;R&gt;1&lt;/R&gt;&lt;C&gt;1&lt;/C&gt;&lt;D xsi:type="xsd:long"&gt;57&lt;/D&gt;&lt;/FQL&gt;&lt;FQL&gt;&lt;Q&gt;SPY^FG_COMPANY_NAME&lt;/Q&gt;&lt;R&gt;1&lt;/R&gt;&lt;C&gt;1&lt;/C&gt;&lt;D xsi:type="xsd:string"&gt;SPDR S&amp;amp;P 500 ETF Trust&lt;/D&gt;&lt;/FQL&gt;&lt;FQL&gt;&lt;Q&gt;FXI^FG_TOTAL_RETURNC(0,-1AM)&lt;/Q&gt;&lt;R&gt;1&lt;/R&gt;&lt;C&gt;1&lt;/C&gt;&lt;D xsi:type="xsd:double"&gt;2.7454257&lt;/D&gt;&lt;/FQL&gt;&lt;FQL&gt;&lt;Q&gt;TLT^FG_TOTAL_RETURNC(0,-1AM)&lt;/Q&gt;&lt;R&gt;1&lt;/R&gt;&lt;C&gt;1&lt;/C&gt;&lt;D xsi:type="xsd:double"&gt;-5.8181705&lt;/D&gt;&lt;/FQL&gt;&lt;FQL&gt;&lt;Q&gt;UUP^FG_TOTAL_RETURNC(0,-1AM)&lt;/Q&gt;&lt;R&gt;1&lt;/R&gt;&lt;C&gt;1&lt;/C&gt;&lt;D xsi:type="xsd:double"&gt;2.8766632&lt;/D&gt;&lt;/FQL&gt;&lt;FQL&gt;&lt;Q&gt;VWO^FG_FCF_YIELD_NTM(0)&lt;/Q&gt;&lt;R&gt;1&lt;/R&gt;&lt;C&gt;1&lt;/C&gt;&lt;D xsi:type="xsd:double"&gt;4.90641837424225&lt;/D&gt;&lt;/FQL&gt;&lt;FQL&gt;&lt;Q&gt;FXI^FG_COMPANY_NAME&lt;/Q&gt;&lt;R&gt;1&lt;/R&gt;&lt;C&gt;1&lt;/C&gt;&lt;D xsi:type="xsd:string"&gt;iShares China Large-Cap ETF&lt;/D&gt;&lt;/FQL&gt;&lt;FQL&gt;&lt;Q&gt;QQQ^FG_TOTAL_RETURNC(0,-3AM)&lt;/Q&gt;&lt;R&gt;1&lt;/R&gt;&lt;C&gt;1&lt;/C&gt;&lt;D xsi:type="xsd:double"&gt;8.941925&lt;/D&gt;&lt;/FQL&gt;&lt;FQL&gt;&lt;Q&gt;EWI^FG_TOTAL_RETURNC(0,-3AM)&lt;/Q&gt;&lt;R&gt;1&lt;/R&gt;&lt;C&gt;1&lt;/C&gt;&lt;D xsi:type="xsd:double"&gt;8.120918&lt;/D&gt;&lt;/FQL&gt;&lt;FQL&gt;&lt;Q&gt;EWJ^FG_TOTAL_RETURNC(0,-3AM)&lt;/Q&gt;&lt;R&gt;1&lt;/R&gt;&lt;C&gt;1&lt;/C&gt;&lt;D xsi:type="xsd:double"&gt;6.367779&lt;/D&gt;&lt;/FQL&gt;&lt;FQL&gt;&lt;Q&gt;ENZL^FG_TOTAL_RETURNC(0,-3AM)&lt;/Q&gt;&lt;R&gt;1&lt;/R&gt;&lt;C&gt;1&lt;/C&gt;&lt;D xsi:type="xsd:double"&gt;-5.20485&lt;/D&gt;&lt;/FQL&gt;&lt;FQL&gt;&lt;Q&gt;SPY^PERCENT_CHANGE(FMA_EPS(+1,0,,,,"PORTAGG","MEAN"),FMA_EPS(+1,-3AM,,,,"PORTAGG","MEAN"))&lt;/Q&gt;&lt;R&gt;1&lt;/R&gt;&lt;C&gt;1&lt;/C&gt;&lt;D xsi:type="xsd:double"&gt;0.0936639645252715&lt;/D&gt;&lt;/FQL&gt;&lt;FQL&gt;&lt;Q&gt;EWI^PERCENT_CHANGE(FMA_EPS(+1,0,,,,"PORTAGG","MEAN"),FMA_EPS(+1,-1AM,,,,"PORTAGG","MEAN"))&lt;/Q&gt;&lt;R&gt;1&lt;/R&gt;&lt;C&gt;1&lt;/C&gt;&lt;D xsi:type="xsd:double"&gt;-0.954523017914648&lt;/D&gt;&lt;/FQL&gt;&lt;FQL&gt;&lt;Q&gt;EWA^PERCENT_CHANGE(FMA_EPS(+1,0,,,,"PORTAGG","MEAN"),FMA_EPS(+1,-3AM,,,,"PORTAGG","MEAN"))&lt;/Q&gt;&lt;R&gt;1&lt;/R&gt;&lt;C&gt;1&lt;/C&gt;&lt;D xsi:type="xsd:double"&gt;0.419455780801446&lt;/D&gt;&lt;/FQL&gt;&lt;FQL&gt;&lt;Q&gt;VWO^FMA_COS_UP("EPS","1M",+1,0,,,"PORTAGG","MEANR")&lt;/Q&gt;&lt;R&gt;1&lt;/R&gt;&lt;C&gt;1&lt;/C&gt;&lt;D xsi:type="xsd:double"&gt;716&lt;/D&gt;&lt;/FQL&gt;&lt;FQL&gt;&lt;Q&gt;USO^P_PRICE(0)/P_PRICE_HIGH_PR(0,,,USD,,,"PRICE","INTRA","52W")&lt;/Q&gt;&lt;R&gt;1&lt;/R&gt;&lt;C&gt;1&lt;/C&gt;&lt;D xsi:type="xsd:double"&gt;0.97910917&lt;/D&gt;&lt;/FQL&gt;&lt;FQL&gt;&lt;Q&gt;GLD^P_PRICE(0)/P_PRICE_HIGH_PR(0,,,USD,,,"PRICE","INTRA","52W")&lt;/Q&gt;&lt;R&gt;1&lt;/R&gt;&lt;C&gt;1&lt;/C&gt;&lt;D xsi:type="xsd:double"&gt;0.9998181&lt;/D&gt;&lt;/FQL&gt;&lt;FQL&gt;&lt;Q&gt;VWO^FMA_DIV_YLD(NTMA,NOW,NOW,M,"PORTAGG","MEANR")&lt;/Q&gt;&lt;R&gt;1&lt;/R&gt;&lt;C&gt;1&lt;/C&gt;&lt;D xsi:type="xsd:double"&gt;3.06860088787676&lt;/D&gt;&lt;/FQL&gt;&lt;FQL&gt;&lt;Q&gt;VGK^SIZE(FG_CONSTITUENTS)&lt;/Q&gt;&lt;R&gt;1&lt;/R&gt;&lt;C&gt;1&lt;/C&gt;&lt;D xsi:type="xsd:long"&gt;1296&lt;/D&gt;&lt;/FQL&gt;&lt;FQL&gt;&lt;Q&gt;EWG^FMA_COS_UP("EPS","1M",+1,0,,,"PORTAGG","MEANR")&lt;/Q&gt;&lt;R&gt;1&lt;/R&gt;&lt;C&gt;1&lt;/C&gt;&lt;D xsi:type="xsd:double"&gt;26&lt;/D&gt;&lt;/FQL&gt;&lt;FQL&gt;&lt;Q&gt;EWU^FG_COMPANY_NAME&lt;/Q&gt;&lt;R&gt;1&lt;/R&gt;&lt;C&gt;1&lt;/C&gt;&lt;D xsi:type="xsd:string"&gt;iShares MSCI United Kingdom ETF&lt;/D&gt;&lt;/FQL&gt;&lt;FQL&gt;&lt;Q&gt;USO^FG_TOTAL_RETURNC(0,-6AM)&lt;/Q&gt;&lt;R&gt;1&lt;/R&gt;&lt;C&gt;1&lt;/C&gt;&lt;D xsi:type="xsd:double"&gt;7.770586&lt;/D&gt;&lt;/FQL&gt;&lt;FQL&gt;&lt;Q&gt;BTC00-USA^FG_PRICE(0,-200D)&lt;/Q&gt;&lt;R&gt;201&lt;/R&gt;&lt;C&gt;1&lt;/C&gt;&lt;D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xsi:type="xsd:double"&gt;71296.17&lt;/D&gt;&lt;D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xsi:type="xsd:double"&gt;29180&lt;/D&gt;&lt;D xsi:type="xsd:double"&gt;29105&lt;/D&gt;&lt;D xsi:type="xsd:double"&gt;29885&lt;/D&gt;&lt;D xsi:type="xsd:double"&gt;29765&lt;/D&gt;&lt;D xsi:type="xsd:double"&gt;30105&lt;/D&gt;&lt;D xsi:type="xsd:double"&gt;29785&lt;/D&gt;&lt;D xsi:type="xsd:double"&gt;29990&lt;/D&gt;&lt;D xsi:type="xsd:double"&gt;30235&lt;/D&gt;&lt;D xsi:type="xsd:double"&gt;31925&lt;/D&gt;&lt;D xsi:type="xsd:double"&gt;30395&lt;/D&gt;&lt;D xsi:type="xsd:double"&gt;30755&lt;/D&gt;&lt;D xsi:type="xsd:double"&gt;31055&lt;/D&gt;&lt;D xsi:type="xsd:double"&gt;30370&lt;/D&gt;&lt;D xsi:type="xsd:double"&gt;30510&lt;/D&gt;&lt;D xsi:type="xsd:double"&gt;30675&lt;/D&gt;&lt;D xsi:type="xsd:double"&gt;31700&lt;/D&gt;&lt;D xsi:type="xsd:double"&gt;30128.51&lt;/D&gt;&lt;D xsi:type="xsd:double"&gt;30550&lt;/D&gt;&lt;D xsi:type="xsd:double"&gt;30110&lt;/D&gt;&lt;D xsi:type="xsd:double"&gt;30705&lt;/D&gt;&lt;D xsi:type="xsd:double"&gt;30315&lt;/D&gt;&lt;/FQL&gt;&lt;FQL&gt;&lt;Q&gt;EWC^FMA_COS_UP("EPS","1M",+1,0,,,"PORTAGG","MEANR")&lt;/Q&gt;&lt;R&gt;1&lt;/R&gt;&lt;C&gt;1&lt;/C&gt;&lt;D xsi:type="xsd:double"&gt;27&lt;/D&gt;&lt;/FQL&gt;&lt;FQL&gt;&lt;Q&gt;EWJ^FMA_PCT_ABOVE_MAVG(200,0,,,,"PORTAGG")&lt;/Q&gt;&lt;R&gt;1&lt;/R&gt;&lt;C&gt;1&lt;/C&gt;&lt;D xsi:type="xsd:double"&gt;70.3196347031963&lt;/D&gt;&lt;/FQL&gt;&lt;FQL&gt;&lt;Q&gt;EWC^FG_COMPANY_NAME&lt;/Q&gt;&lt;R&gt;1&lt;/R&gt;&lt;C&gt;1&lt;/C&gt;&lt;D xsi:type="xsd:string"&gt;iShares MSCI Canada ETF&lt;/D&gt;&lt;/FQL&gt;&lt;FQL&gt;&lt;Q&gt;VGK^P_PRICE(0)/P_PRICE_LOW_PR(0,,,USD,,,"PRICE","INTRA","52W")-1&lt;/Q&gt;&lt;R&gt;1&lt;/R&gt;&lt;C&gt;1&lt;/C&gt;&lt;D xsi:type="xsd:double"&gt;0.2025063&lt;/D&gt;&lt;/FQL&gt;&lt;FQL&gt;&lt;Q&gt;FC0000JP^FMA_EPS(NTMA,-20AY,0,CY,,"PORTAGG","MEANR")&lt;/Q&gt;&lt;R&gt;20&lt;/R&gt;&lt;C&gt;1&lt;/C&gt;&lt;D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xsi:type="xsd:double"&gt;10.61367707819&lt;/D&gt;&lt;D xsi:type="xsd:double"&gt;9.49697335604595&lt;/D&gt;&lt;D xsi:type="xsd:double"&gt;12.0143398068979&lt;/D&gt;&lt;D xsi:type="xsd:double"&gt;11.6136485458509&lt;/D&gt;&lt;D xsi:type="xsd:double"&gt;11.9993232246431&lt;/D&gt;&lt;/FQL&gt;&lt;FQL&gt;&lt;Q&gt;UUP^FG_PRICE(0,-200D)&lt;/Q&gt;&lt;R&gt;201&lt;/R&gt;&lt;C&gt;1&lt;/C&gt;&lt;D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xsi:type="xsd:double"&gt;28.32&lt;/D&gt;&lt;/FQL&gt;&lt;FQL&gt;&lt;Q&gt;EMXC^FMA_COS_DOWN("EPS","1M",+1,0,,,"PORTAGG","MEANR")&lt;/Q&gt;&lt;R&gt;1&lt;/R&gt;&lt;C&gt;1&lt;/C&gt;&lt;D xsi:type="xsd:double"&gt;284&lt;/D&gt;&lt;/FQL&gt;&lt;FQL&gt;&lt;Q&gt;SPY^SIZE(FG_CONSTITUENTS)&lt;/Q&gt;&lt;R&gt;1&lt;/R&gt;&lt;C&gt;1&lt;/C&gt;&lt;D xsi:type="xsd:long"&gt;504&lt;/D&gt;&lt;/FQL&gt;&lt;FQL&gt;&lt;Q&gt;EWG^FMA_COS_DOWN("EPS","1M",+1,0,,,"PORTAGG","MEANR")&lt;/Q&gt;&lt;R&gt;1&lt;/R&gt;&lt;C&gt;1&lt;/C&gt;&lt;D xsi:type="xsd:double"&gt;26&lt;/D&gt;&lt;/FQL&gt;&lt;FQL&gt;&lt;Q&gt;TRYJP10Y-FDS^FG_YIELD(0,,,,"YTM")&lt;/Q&gt;&lt;R&gt;1&lt;/R&gt;&lt;C&gt;1&lt;/C&gt;&lt;D xsi:type="xsd:double"&gt;0.8561&lt;/D&gt;&lt;/FQL&gt;&lt;FQL&gt;&lt;Q&gt;INDA^FG_COMPANY_NAME&lt;/Q&gt;&lt;R&gt;1&lt;/R&gt;&lt;C&gt;1&lt;/C&gt;&lt;D xsi:type="xsd:string"&gt;iShares MSCI India ETF&lt;/D&gt;&lt;/FQL&gt;&lt;FQL&gt;&lt;Q&gt;GLD^FG_TOTAL_RETURNC(0,-6AM)&lt;/Q&gt;&lt;R&gt;1&lt;/R&gt;&lt;C&gt;1&lt;/C&gt;&lt;D xsi:type="xsd:double"&gt;26.474487&lt;/D&gt;&lt;/FQL&gt;&lt;FQL&gt;&lt;Q&gt;VWO^FG_PE_NTM(0,,,90,0)&lt;/Q&gt;&lt;R&gt;1&lt;/R&gt;&lt;C&gt;1&lt;/C&gt;&lt;D xsi:type="xsd:double"&gt;14.2110017321838&lt;/D&gt;&lt;/FQL&gt;&lt;FQL&gt;&lt;Q&gt;EWJ^FG_COMPANY_NAME&lt;/Q&gt;&lt;R&gt;1&lt;/R&gt;&lt;C&gt;1&lt;/C&gt;&lt;D xsi:type="xsd:string"&gt;iShares MSCI Japan ETF&lt;/D&gt;&lt;/FQL&gt;&lt;FQL&gt;&lt;Q&gt;EWJ^FG_TOTAL_RETURNC(0,-1AM)&lt;/Q&gt;&lt;R&gt;1&lt;/R&gt;&lt;C&gt;1&lt;/C&gt;&lt;D xsi:type="xsd:double"&gt;0.56034327&lt;/D&gt;&lt;/FQL&gt;&lt;FQL&gt;&lt;Q&gt;URTH^FG_TOTAL_RETURNC(0,-3AM)&lt;/Q&gt;&lt;R&gt;1&lt;/R&gt;&lt;C&gt;1&lt;/C&gt;&lt;D xsi:type="xsd:double"&gt;7.830143&lt;/D&gt;&lt;/FQL&gt;&lt;FQL&gt;&lt;Q&gt;EWG^FG_TOTAL_RETURNC(0,-3AM)&lt;/Q&gt;&lt;R&gt;1&lt;/R&gt;&lt;C&gt;1&lt;/C&gt;&lt;D xsi:type="xsd:double"&gt;5.686879&lt;/D&gt;&lt;/FQL&gt;&lt;FQL&gt;&lt;Q&gt;EWC^P_PRICE(0)/P_PRICE_LOW_PR(0,,,USD,,,"PRICE","INTRA","52W")-1&lt;/Q&gt;&lt;R&gt;1&lt;/R&gt;&lt;C&gt;1&lt;/C&gt;&lt;D xsi:type="xsd:double"&gt;0.20216489&lt;/D&gt;&lt;/FQL&gt;&lt;FQL&gt;&lt;Q&gt;EWL^PERCENT_CHANGE(FMA_EPS(+1,0,,,,"PORTAGG","MEAN"),FMA_EPS(+1,-1AM,,,,"PORTAGG","MEAN"))&lt;/Q&gt;&lt;R&gt;1&lt;/R&gt;&lt;C&gt;1&lt;/C&gt;&lt;D xsi:type="xsd:double"&gt;-2.37438240619764&lt;/D&gt;&lt;/FQL&gt;&lt;FQL&gt;&lt;Q&gt;EWQ^FMA_PCT_ABOVE_MAVG(200,0,,,,"PORTAGG")&lt;/Q&gt;&lt;R&gt;1&lt;/R&gt;&lt;C&gt;1&lt;/C&gt;&lt;D xsi:type="xsd:double"&gt;71.4285714285714&lt;/D&gt;&lt;/FQL&gt;&lt;FQL&gt;&lt;Q&gt;URTH^FG_COMPANY_NAME&lt;/Q&gt;&lt;R&gt;1&lt;/R&gt;&lt;C&gt;1&lt;/C&gt;&lt;D xsi:type="xsd:string"&gt;iShares MSCI World ETF&lt;/D&gt;&lt;/FQL&gt;&lt;FQL&gt;&lt;Q&gt;USO^FG_TOTAL_RETURNC(0,-1AM)&lt;/Q&gt;&lt;R&gt;1&lt;/R&gt;&lt;C&gt;1&lt;/C&gt;&lt;D xsi:type="xsd:double"&gt;10.771524&lt;/D&gt;&lt;/FQL&gt;&lt;FQL&gt;&lt;Q&gt;FXI^FG_FCF_YIELD_NTM(0)&lt;/Q&gt;&lt;R&gt;1&lt;/R&gt;&lt;C&gt;1&lt;/C&gt;&lt;D xsi:type="xsd:double"&gt;7.36601863546027&lt;/D&gt;&lt;/FQL&gt;&lt;FQL&gt;&lt;Q&gt;EMXC^FG_TOTAL_RETURNC(0,-6AM)&lt;/Q&gt;&lt;R&gt;1&lt;/R&gt;&lt;C&gt;1&lt;/C&gt;&lt;D xsi:type="xsd:double"&gt;16.753054&lt;/D&gt;&lt;/FQL&gt;&lt;FQL&gt;&lt;Q&gt;FXI^FG_PE_NTM(0,,,90,0)&lt;/Q&gt;&lt;R&gt;1&lt;/R&gt;&lt;C&gt;1&lt;/C&gt;&lt;D xsi:type="xsd:double"&gt;7.32003804838538&lt;/D&gt;&lt;/FQL&gt;&lt;FQL&gt;&lt;Q&gt;EWJ^PERCENT_CHANGE(FMA_EPS(+1,0,,,,"PORTAGG","MEAN"),FMA_EPS(+1,-1AM,,,,"PORTAGG","MEAN"))&lt;/Q&gt;&lt;R&gt;1&lt;/R&gt;&lt;C&gt;1&lt;/C&gt;&lt;D xsi:type="xsd:double"&gt;-0.947198750452977&lt;/D&gt;&lt;/FQL&gt;&lt;FQL&gt;&lt;Q&gt;VGK^P_PRICE(0)/P_PRICE_HIGH_PR(0,,,USD,,,"PRICE","INTRA","52W")&lt;/Q&gt;&lt;R&gt;1&lt;/R&gt;&lt;C&gt;1&lt;/C&gt;&lt;D xsi:type="xsd:double"&gt;0.9768368&lt;/D&gt;&lt;/FQL&gt;&lt;FQL&gt;&lt;Q&gt;VWO^FG_TOTAL_RETURNC(0,-3AM)&lt;/Q&gt;&lt;R&gt;1&lt;/R&gt;&lt;C&gt;1&lt;/C&gt;&lt;D xsi:type="xsd:double"&gt;5.567515&lt;/D&gt;&lt;/FQL&gt;&lt;FQL&gt;&lt;Q&gt;QQQ^FG_PE(0)&lt;/Q&gt;&lt;R&gt;1&lt;/R&gt;&lt;C&gt;1&lt;/C&gt;&lt;D xsi:type="xsd:double"&gt;31.5676782696973&lt;/D&gt;&lt;/FQL&gt;&lt;FQL&gt;&lt;Q&gt;EWI^FG_COMPANY_NAME&lt;/Q&gt;&lt;R&gt;1&lt;/R&gt;&lt;C&gt;1&lt;/C&gt;&lt;D xsi:type="xsd:string"&gt;iShares MSCI Italy ETF&lt;/D&gt;&lt;/FQL&gt;&lt;FQL&gt;&lt;Q&gt;QQQ^FMA_EPS(NTMA,-20AY,0,CY,,"PORTAGG","MEANR")&lt;/Q&gt;&lt;R&gt;20&lt;/R&gt;&lt;C&gt;1&lt;/C&gt;&lt;D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xsi:type="xsd:double"&gt;16.3242202004236&lt;/D&gt;&lt;/FQL&gt;&lt;FQL&gt;&lt;Q&gt;GLD^FG_PRICE(0,-200D)&lt;/Q&gt;&lt;R&gt;201&lt;/R&gt;&lt;C&gt;1&lt;/C&gt;&lt;D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</t>
        </r>
      </text>
    </comment>
    <comment ref="A3" authorId="0" shapeId="0" xr:uid="{2DF3C322-69D1-4B4A-80B6-F1202661CE43}">
      <text>
        <r>
          <rPr>
            <b/>
            <sz val="9"/>
            <color indexed="81"/>
            <rFont val="Tahoma"/>
            <charset val="1"/>
          </rPr>
          <t>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xsi:type="xsd:double"&gt;178.51&lt;/D&gt;&lt;/FQL&gt;&lt;FQL&gt;&lt;Q&gt;EMXC^P_PRICE(0)/P_PRICE_LOW_PR(0,,,USD,,,"PRICE","INTRA","52W")-1&lt;/Q&gt;&lt;R&gt;1&lt;/R&gt;&lt;C&gt;1&lt;/C&gt;&lt;D xsi:type="xsd:double"&gt;0.21427822&lt;/D&gt;&lt;/FQL&gt;&lt;FQL&gt;&lt;Q&gt;URTH^P_PRICE(0)/P_PRICE_LOW_PR(0,,,USD,,,"PRICE","INTRA","52W")-1&lt;/Q&gt;&lt;R&gt;1&lt;/R&gt;&lt;C&gt;1&lt;/C&gt;&lt;D xsi:type="xsd:double"&gt;0.24864864&lt;/D&gt;&lt;/FQL&gt;&lt;FQL&gt;&lt;Q&gt;EWD^P_PRICE(0)/P_PRICE_LOW_PR(0,,,USD,,,"PRICE","INTRA","52W")-1&lt;/Q&gt;&lt;R&gt;1&lt;/R&gt;&lt;C&gt;1&lt;/C&gt;&lt;D xsi:type="xsd:double"&gt;0.28922927&lt;/D&gt;&lt;/FQL&gt;&lt;FQL&gt;&lt;Q&gt;EWG^P_PRICE(0)/P_PRICE_LOW_PR(0,,,USD,,,"PRICE","INTRA","52W")-1&lt;/Q&gt;&lt;R&gt;1&lt;/R&gt;&lt;C&gt;1&lt;/C&gt;&lt;D xsi:type="xsd:double"&gt;0.24873507&lt;/D&gt;&lt;/FQL&gt;&lt;FQL&gt;&lt;Q&gt;FXI^PERCENT_CHANGE(FMA_EPS(+1,0,,,,"PORTAGG","MEAN"),FMA_EPS(+1,-3AM,,,,"PORTAGG","MEAN"))&lt;/Q&gt;&lt;R&gt;1&lt;/R&gt;&lt;C&gt;1&lt;/C&gt;&lt;D xsi:type="xsd:double"&gt;-1.75480169122212&lt;/D&gt;&lt;/FQL&gt;&lt;FQL&gt;&lt;Q&gt;EWI^FMA_PCT_ABOVE_MAVG(200,0,,,,"PORTAGG")&lt;/Q&gt;&lt;R&gt;1&lt;/R&gt;&lt;C&gt;1&lt;/C&gt;&lt;D xsi:type="xsd:double"&gt;68&lt;/D&gt;&lt;/FQL&gt;&lt;FQL&gt;&lt;Q&gt;EWU^PERCENT_CHANGE(FMA_EPS(+1,0,,,,"PORTAGG","MEAN"),FMA_EPS(+1,-3AM,,,,"PORTAGG","MEAN"))&lt;/Q&gt;&lt;R&gt;1&lt;/R&gt;&lt;C&gt;1&lt;/C&gt;&lt;D xsi:type="xsd:double"&gt;-2.57322950582551&lt;/D&gt;&lt;/FQL&gt;&lt;FQL&gt;&lt;Q&gt;EWA^PERCENT_CHANGE(FMA_EPS(+1,0,,,,"PORTAGG","MEAN"),FMA_EPS(+1,-1AM,,,,"PORTAGG","MEAN"))&lt;/Q&gt;&lt;R&gt;1&lt;/R&gt;&lt;C&gt;1&lt;/C&gt;&lt;D xsi:type="xsd:double"&gt;0.2245738994731&lt;/D&gt;&lt;/FQL&gt;&lt;FQL&gt;&lt;Q&gt;EMXC^FMA_COS_UP("EPS","1M",+1,0,,,"PORTAGG","MEANR")&lt;/Q&gt;&lt;R&gt;1&lt;/R&gt;&lt;C&gt;1&lt;/C&gt;&lt;D xsi:type="xsd:double"&gt;236&lt;/D&gt;&lt;/FQL&gt;&lt;FQL&gt;&lt;Q&gt;SPY^FMA_COS_DOWN("EPS","1M",+1,0,,,"PORTAGG","MEANR")&lt;/Q&gt;&lt;R&gt;1&lt;/R&gt;&lt;C&gt;1&lt;/C&gt;&lt;D xsi:type="xsd:double"&gt;169&lt;/D&gt;&lt;/FQL&gt;&lt;FQL&gt;&lt;Q&gt;IWM^PERCENT_CHANGE(FMA_EPS(+1,0,,,,"PORTAGG","MEAN"),FMA_EPS(+1,-3AM,,,,"PORTAGG","MEAN"))&lt;/Q&gt;&lt;R&gt;1&lt;/R&gt;&lt;C&gt;1&lt;/C&gt;&lt;D xsi:type="xsd:double"&gt;-6.78864577996849&lt;/D&gt;&lt;/FQL&gt;&lt;FQL&gt;&lt;Q&gt;EWG^FG_COMPANY_NAME&lt;/Q&gt;&lt;R&gt;1&lt;/R&gt;&lt;C&gt;1&lt;/C&gt;&lt;D xsi:type="xsd:string"&gt;iShares MSCI Germany ETF&lt;/D&gt;&lt;/FQL&gt;&lt;FQL&gt;&lt;Q&gt;IWM^PERCENT_CHANGE(FMA_EPS(+1,0,,,,"PORTAGG","MEAN"),FMA_EPS(+1,-1AM,,,,"PORTAGG","MEAN"))&lt;/Q&gt;&lt;R&gt;1&lt;/R&gt;&lt;C&gt;1&lt;/C&gt;&lt;D xsi:type="xsd:double"&gt;-2.6060503216369&lt;/D&gt;&lt;/FQL&gt;&lt;FQL&gt;&lt;Q&gt;EWD^FMA_PCT_ABOVE_MAVG(200,0,,,,"PORTAGG")&lt;/Q&gt;&lt;R&gt;1&lt;/R&gt;&lt;C&gt;1&lt;/C&gt;&lt;D xsi:type="xsd:double"&gt;93.0232558139535&lt;/D&gt;&lt;/FQL&gt;&lt;FQL&gt;&lt;Q&gt;EMXC^P_PRICE(0)/P_PRICE_HIGH_PR(0,,,USD,,,"PRICE","INTRA","52W")&lt;/Q&gt;&lt;R&gt;1&lt;/R&gt;&lt;C&gt;1&lt;/C&gt;&lt;D xsi:type="xsd:double"&gt;0.98723406&lt;/D&gt;&lt;/FQL&gt;&lt;FQL&gt;&lt;Q&gt;FXI^P_PRICE(0)/P_PRICE_LOW_PR(0,,,USD,,,"PRICE","INTRA","52W")-1&lt;/Q&gt;&lt;R&gt;1&lt;/R&gt;&lt;C&gt;1&lt;/C&gt;&lt;D xsi:type="xsd:double"&gt;0.18408442&lt;/D&gt;&lt;/FQL&gt;&lt;FQL&gt;&lt;Q&gt;VWO^P_PRICE(0)/P_PRICE_HIGH_PR(0,,,USD,,,"PRICE","INTRA","52W")&lt;/Q&gt;&lt;R&gt;1&lt;/R&gt;&lt;C&gt;1&lt;/C&gt;&lt;D xsi:type="xsd:double"&gt;0.9842227&lt;/D&gt;&lt;/FQL&gt;&lt;FQL&gt;&lt;Q&gt;EWL^FMA_COS_DOWN("EPS","1M",+1,0,,,"PORTAGG","MEANR")&lt;/Q&gt;&lt;R&gt;1&lt;/R&gt;&lt;C&gt;1&lt;/C&gt;&lt;D xsi:type="xsd:double"&gt;18&lt;/D&gt;&lt;/FQL&gt;&lt;FQL&gt;&lt;Q&gt;EMXC^PERCENT_CHANGE(FMA_EPS(+1,0,,,,"PORTAGG","MEAN"),FMA_EPS(+1,-1AM,,,,"PORTAGG","MEAN"))&lt;/Q&gt;&lt;R&gt;1&lt;/R&gt;&lt;C&gt;1&lt;/C&gt;&lt;D xsi:type="xsd:double"&gt;0.258288607506521&lt;/D&gt;&lt;/FQL&gt;&lt;FQL&gt;&lt;Q&gt;URTH^SIZE(FG_CONSTITUENTS)&lt;/Q&gt;&lt;R&gt;1&lt;/R&gt;&lt;C&gt;1&lt;/C&gt;&lt;D xsi:type="xsd:long"&gt;1469&lt;/D&gt;&lt;/FQL&gt;&lt;FQL&gt;&lt;Q&gt;SPY^FMA_EPS(NTMA,-20AY,0,CY,,"PORTAGG","MEANR")&lt;/Q&gt;&lt;R&gt;20&lt;/R&gt;&lt;C&gt;1&lt;/C&gt;&lt;D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xsi:type="xsd:double"&gt;17.7008563117798&lt;/D&gt;&lt;D xsi:type="xsd:double"&gt;16.6397892851078&lt;/D&gt;&lt;D xsi:type="xsd:double"&gt;22.2491594462169&lt;/D&gt;&lt;D xsi:type="xsd:double"&gt;22.9378272462545&lt;/D&gt;&lt;D xsi:type="xsd:double"&gt;24.3153750284337&lt;/D&gt;&lt;/FQL&gt;&lt;FQL&gt;&lt;Q&gt;SPY^FG_PRICE(0,-200D)&lt;/Q&gt;&lt;R&gt;201&lt;/R&gt;&lt;C&gt;1&lt;/C&gt;&lt;D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xsi:type="xsd:double"&gt;431.44&lt;/D&gt;&lt;/FQL&gt;&lt;FQL&gt;&lt;Q&gt;URTH^P_PRICE(0)/P_PRICE_HIGH_PR(0,,,USD,,,"PRICE","INTRA","52W")&lt;/Q&gt;&lt;R&gt;1&lt;/R&gt;&lt;C&gt;1&lt;/C&gt;&lt;D xsi:type="xsd:double"&gt;0.98643154&lt;/D&gt;&lt;/FQL&gt;&lt;FQL&gt;&lt;Q&gt;EWD^P_PRICE(0)/P_PRICE_HIGH_PR(0,,,USD,,,"PRICE","INTRA","52W")&lt;/Q&gt;&lt;R&gt;1&lt;/R&gt;&lt;C&gt;1&lt;/C&gt;&lt;D xsi:type="xsd:double"&gt;0.9518768&lt;/D&gt;&lt;/FQL&gt;&lt;FQL&gt;&lt;Q&gt;EWG^P_PRICE(0)/P_PRICE_HIGH_PR(0,,,USD,,,"PRICE","INTRA","52W")&lt;/Q&gt;&lt;R&gt;1&lt;/R&gt;&lt;C&gt;1&lt;/C&gt;&lt;D xsi:type="xsd:double"&gt;0.9649672&lt;/D&gt;&lt;/FQL&gt;&lt;FQL&gt;&lt;Q&gt;FXI^PERCENT_CHANGE(FMA_EPS(+1,0,,,,"PORTAGG","MEAN"),FMA_EPS(+1,-1AM,,,,"PORTAGG","MEAN"))&lt;/Q&gt;&lt;R&gt;1&lt;/R&gt;&lt;C&gt;1&lt;/C&gt;&lt;D xsi:type="xsd:double"&gt;-1.59514281102572&lt;/D&gt;&lt;/FQL&gt;&lt;FQL&gt;&lt;Q&gt;EWD^PERCENT_CHANGE(FMA_EPS(+1,0,,,,"PORTAGG","MEAN"),FMA_EPS(+1,-3AM,,,,"PORTAGG","MEAN"))&lt;/Q&gt;&lt;R&gt;1&lt;/R&gt;&lt;C&gt;1&lt;/C&gt;&lt;D xsi:type="xsd:double"&gt;-2.16001717903764&lt;/D&gt;&lt;/FQL&gt;&lt;FQL&gt;&lt;Q&gt;EWU^PERCENT_CHANGE(FMA_EPS(+1,0,,,,"PORTAGG","MEAN"),FMA_EPS(+1,-1AM,,,,"PORTAGG","MEAN"))&lt;/Q&gt;&lt;R&gt;1&lt;/R&gt;&lt;C&gt;1&lt;/C&gt;&lt;D xsi:type="xsd:double"&gt;-0.344785726730581&lt;/D&gt;&lt;/FQL&gt;&lt;FQL&gt;&lt;Q&gt;EWA^FMA_PCT_ABOVE_MAVG(200,0,,,,"PORTAGG")&lt;/Q&gt;&lt;R&gt;1&lt;/R&gt;&lt;C&gt;1&lt;/C&gt;&lt;D xsi:type="xsd:double"&gt;79.6610169491525&lt;/D&gt;&lt;/FQL&gt;&lt;FQL&gt;&lt;Q&gt;INDA^SIZE(FG_CONSTITUENTS)&lt;/Q&gt;&lt;R&gt;1&lt;/R&gt;&lt;C&gt;1&lt;/C&gt;&lt;D xsi:type="xsd:long"&gt;137&lt;/D&gt;&lt;/FQL&gt;&lt;FQL&gt;&lt;Q&gt;EWC^SIZE(FG_CONSTITUENTS)&lt;/Q&gt;&lt;R&gt;1&lt;/R&gt;&lt;C&gt;1&lt;/C&gt;&lt;D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ETF&lt;/D&gt;&lt;/FQL&gt;&lt;FQL&gt;&lt;Q&gt;USO^FG_TOTAL_RETURNC(0,-3AM)&lt;/Q&gt;&lt;R&gt;1&lt;/R&gt;&lt;C&gt;1&lt;/C&gt;&lt;D xsi:type="xsd:double"&gt;20.546936&lt;/D&gt;&lt;/FQL&gt;&lt;FQL&gt;&lt;Q&gt;VWO^FG_PRICE(0,-200D)&lt;/Q&gt;&lt;R&gt;201&lt;/R&gt;&lt;C&gt;1&lt;/C&gt;&lt;D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xsi:type="xsd:double"&gt;40.28&lt;/D&gt;&lt;/FQL&gt;&lt;FQL&gt;&lt;Q&gt;URTH^FG_TOTAL_RETURNC(0,-6AM)&lt;/Q&gt;&lt;R&gt;1&lt;/R&gt;&lt;C&gt;1&lt;/C&gt;&lt;D xsi:type="xsd:double"&gt;18.06276&lt;/D&gt;&lt;/FQL&gt;&lt;FQL&gt;&lt;Q&gt;EWD^FG_TOTAL_RETURNC(0,-6AM)&lt;/Q&gt;&lt;R&gt;1&lt;/R&gt;&lt;C&gt;1&lt;/C&gt;&lt;D xsi:type="xsd:double"&gt;20.109356&lt;/D&gt;&lt;/FQL&gt;&lt;FQL&gt;&lt;Q&gt;EWG^FG_TOTAL_RETURNC(0,-6AM)&lt;/Q&gt;&lt;R&gt;1&lt;/R&gt;&lt;C&gt;1&lt;/C&gt;&lt;D xsi:type="xsd:double"&gt;16.729523&lt;/D&gt;&lt;/FQL&gt;&lt;FQL&gt;&lt;Q&gt;FXI^FMA_PCT_ABOVE_MAVG(200,0,,,,"PORTAGG")&lt;/Q&gt;&lt;R&gt;1&lt;/R&gt;&lt;C&gt;1&lt;/C&gt;&lt;D xsi:type="xsd:double"&gt;50.9803921568627&lt;/D&gt;&lt;/FQL&gt;&lt;FQL&gt;&lt;Q&gt;EWD^PERCENT_CHANGE(FMA_EPS(+1,0,,,,"PORTAGG","MEAN"),FMA_EPS(+1,-1AM,,,,"PORTAGG","MEAN"))&lt;/Q&gt;&lt;R&gt;1&lt;/R&gt;&lt;C&gt;1&lt;/C&gt;&lt;D xsi:type="xsd:double"&gt;-0.168242374134381&lt;/D&gt;&lt;/FQL&gt;&lt;FQL&gt;&lt;Q&gt;EWU^FMA_PCT_ABOVE_MAVG(200,0,,,,"PORTAGG")&lt;/Q&gt;&lt;R&gt;1&lt;/R&gt;&lt;C&gt;1&lt;/C&gt;&lt;D xsi:type="xsd:double"&gt;59.5238095238095&lt;/D&gt;&lt;/FQL&gt;&lt;FQL&gt;&lt;Q&gt;ENZL^PERCENT_CHANGE(FMA_EPS(+1,0,,,,"PORTAGG","MEAN"),FMA_EPS(+1,-3AM,,,,"PORTAGG","MEAN"))&lt;/Q&gt;&lt;R&gt;1&lt;/R&gt;&lt;C&gt;1&lt;/C&gt;&lt;D xsi:type="xsd:double"&gt;-15.3610499928545&lt;/D&gt;&lt;/FQL&gt;&lt;FQL&gt;&lt;Q&gt;INDA^FMA_COS_DOWN("EPS","1M",+1,0,,,"PORTAGG","MEANR")&lt;/Q&gt;&lt;R&gt;1&lt;/R&gt;&lt;C&gt;1&lt;/C&gt;&lt;D xsi:type="xsd:double"&gt;63&lt;/D&gt;&lt;/FQL&gt;&lt;FQL&gt;&lt;Q&gt;VGK^FMA_COS_UP("EPS","1M",+1,0,,,"PORTAGG","MEANR")&lt;/Q&gt;&lt;R&gt;1&lt;/R&gt;&lt;C&gt;1&lt;/C&gt;&lt;D xsi:type="xsd:double"&gt;473&lt;/D&gt;&lt;/FQL&gt;&lt;FQL&gt;&lt;Q&gt;EWC^FMA_COS_DOWN("EPS","1M",+1,0,,,"PORTAGG","MEANR")&lt;/Q&gt;&lt;R&gt;1&lt;/R&gt;&lt;C&gt;1&lt;/C&gt;&lt;D xsi:type="xsd:double"&gt;27&lt;/D&gt;&lt;/FQL&gt;&lt;FQL&gt;&lt;Q&gt;GLD^FG_TOTAL_RETURNC(0,-1AM)&lt;/Q&gt;&lt;R&gt;1&lt;/R&gt;&lt;C&gt;1&lt;/C&gt;&lt;D xsi:type="xsd:double"&gt;8.811879&lt;/D&gt;&lt;/FQL&gt;&lt;FQL&gt;&lt;Q&gt;EWJ^FG_FCF_YIELD_NTM(0)&lt;/Q&gt;&lt;R&gt;1&lt;/R&gt;&lt;C&gt;1&lt;/C&gt;&lt;D xsi:type="xsd:double"&gt;4.0649598732757&lt;/D&gt;&lt;/FQL&gt;&lt;FQL&gt;&lt;Q&gt;EMXC^FG_TOTAL_RETURNC(0,-3AM)&lt;/Q&gt;&lt;R&gt;1&lt;/R&gt;&lt;C&gt;1&lt;/C&gt;&lt;D xsi:type="xsd:double"&gt;6.9321513&lt;/D&gt;&lt;/FQL&gt;&lt;FQL&gt;&lt;Q&gt;EWD^FG_TOTAL_RETURNC(0,-3AM)&lt;/Q&gt;&lt;R&gt;1&lt;/R&gt;&lt;C&gt;1&lt;/C&gt;&lt;D xsi:type="xsd:double"&gt;4.8224688&lt;/D&gt;&lt;/FQL&gt;&lt;FQL&gt;&lt;Q&gt;ENZL^PERCENT_CHANGE(FMA_EPS(+1,0,,,,"PORTAGG","MEAN"),FMA_EPS(+1,-1AM,,,,"PORTAGG","MEAN"))&lt;/Q&gt;&lt;R&gt;1&lt;/R&gt;&lt;C&gt;1&lt;/C&gt;&lt;D xsi:type="xsd:double"&gt;-2.88087003896869&lt;/D&gt;&lt;/FQL&gt;&lt;FQL&gt;&lt;Q&gt;INDA^FMA_COS_UP("EPS","1M",+1,0,,,"PORTAGG","MEANR")&lt;/Q&gt;&lt;R&gt;1&lt;/R&gt;&lt;C&gt;1&lt;/C&gt;&lt;D xsi:type="xsd:double"&gt;47&lt;/D&gt;&lt;/FQL&gt;&lt;FQL&gt;&lt;Q&gt;EWI^SIZE(FG_CONSTITUENTS)&lt;/Q&gt;&lt;R&gt;1&lt;/R&gt;&lt;C&gt;1&lt;/C&gt;&lt;D xsi:type="xsd:long"&gt;26&lt;/D&gt;&lt;/FQL&gt;&lt;FQL&gt;&lt;Q&gt;DBA^P_PRICE(0)/P_PRICE_HIGH_PR(0,,,USD,,,"PRICE","INTRA","52W")&lt;/Q&gt;&lt;R&gt;1&lt;/R&gt;&lt;C&gt;1&lt;/C&gt;&lt;D xsi:type="xsd:double"&gt;0.9932992&lt;/D&gt;&lt;/FQL&gt;&lt;FQL&gt;&lt;Q&gt;EWI^FMA_COS_DOWN("EPS","1M",+1,0,,,"PORTAGG","MEANR")&lt;/Q&gt;&lt;R&gt;1&lt;/R&gt;&lt;C&gt;1&lt;/C&gt;&lt;D xsi:type="xsd:double"&gt;10&lt;/D&gt;&lt;/FQL&gt;&lt;FQL&gt;&lt;Q&gt;DBA^FG_TOTAL_RETURNC(0,-6AM)&lt;/Q&gt;&lt;R&gt;1&lt;/R&gt;&lt;C&gt;1&lt;/C&gt;&lt;D xsi:type="xsd:double"&gt;23.080074&lt;/D&gt;&lt;/FQL&gt;&lt;FQL&gt;&lt;Q&gt;VGK^FMA_COS_DOWN("EPS","1M",+1,0,,,"PORTAGG","MEANR")&lt;/Q&gt;&lt;R&gt;1&lt;/R&gt;&lt;C&gt;1&lt;/C&gt;&lt;D xsi:type="xsd:double"&gt;452&lt;/D&gt;&lt;/FQL&gt;&lt;FQL&gt;&lt;Q&gt;SPY^FMA_COS_UP("EPS","1M",+1,0,,,"PORTAGG","MEANR")&lt;/Q&gt;&lt;R&gt;1&lt;/R&gt;&lt;C&gt;1&lt;/C&gt;&lt;D xsi:type="xsd:double"&gt;182&lt;/D&gt;&lt;/FQL&gt;&lt;FQL&gt;&lt;Q&gt;GLD^FG_TOTAL_RETURNC(0,-3AM)&lt;/Q&gt;&lt;R&gt;1&lt;/R&gt;&lt;C&gt;1&lt;/C&gt;&lt;D xsi:type="xsd:double"&gt;16.9958&lt;/D&gt;&lt;/FQL&gt;&lt;FQL&gt;&lt;Q&gt;VWO^FG_PE(0)&lt;/Q&gt;&lt;R&gt;1&lt;/R&gt;&lt;C&gt;1&lt;/C&gt;&lt;D xsi:type="xsd:double"&gt;13.8554143646629&lt;/D&gt;&lt;/FQL&gt;&lt;FQL&gt;&lt;Q&gt;VWO^FG_COMPANY_NAME&lt;/Q&gt;&lt;R&gt;1&lt;/R&gt;&lt;C&gt;1&lt;/C&gt;&lt;D xsi:type="xsd:string"&gt;Vanguard FTSE Emerging Markets ETF&lt;/D&gt;&lt;/FQL&gt;&lt;FQL&gt;&lt;Q&gt;SPY^JULIAN(FMA_EPS(NTMA,-20AY,0,CY,,"PORTAGG","MEANR").DATES)&lt;/Q&gt;&lt;R&gt;20&lt;/R&gt;&lt;C&gt;1&lt;/C&gt;&lt;D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xsi:type="xsd:long"&gt;45289&lt;/D&gt;&lt;/FQL&gt;&lt;FQL&gt;&lt;Q&gt;EWJ^PERCENT_CHANGE(FMA_EPS(+1,0,,,,"PORTAGG","MEAN"),FMA_EPS(+1,-3AM,,,,"PORTAGG","MEAN"))&lt;/Q&gt;&lt;R&gt;1&lt;/R&gt;&lt;C&gt;1&lt;/C&gt;&lt;D xsi:type="xsd:double"&gt;-1.08767646282891&lt;/D&gt;&lt;/FQL&gt;&lt;FQL&gt;&lt;Q&gt;EWL^PERCENT_CHANGE(FMA_EPS(+1,0,,,,"PORTAGG","MEAN"),FMA_EPS(+1,-3AM,,,,"PORTAGG","MEAN"))&lt;/Q&gt;&lt;R&gt;1&lt;/R&gt;&lt;C&gt;1&lt;/C&gt;&lt;D xsi:type="xsd:double"&gt;-7.28561374276059&lt;/D&gt;&lt;/FQL&gt;&lt;FQL&gt;&lt;Q&gt;EWU^P_PRICE(0)/P_PRICE_LOW_PR(0,,,USD,,,"PRICE","INTRA","52W")-1&lt;/Q&gt;&lt;R&gt;1&lt;/R&gt;&lt;C&gt;1&lt;/C&gt;&lt;D xsi:type="xsd:double"&gt;0.13105512&lt;/D&gt;&lt;/FQL&gt;&lt;FQL&gt;&lt;Q&gt;VWO^JULIAN(P_PRICE(0,-200D).DATES)&lt;/Q&gt;&lt;R&gt;201&lt;/R&gt;&lt;C&gt;1&lt;/C&gt;&lt;D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</t>
        </r>
      </text>
    </comment>
    <comment ref="A4" authorId="0" shapeId="0" xr:uid="{E94F36A2-89CB-461A-940A-F0A6D45A0F85}">
      <text>
        <r>
          <rPr>
            <b/>
            <sz val="9"/>
            <color indexed="81"/>
            <rFont val="Tahoma"/>
            <charset val="1"/>
          </rPr>
          <t>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xsi:type="xsd:long"&gt;45103&lt;/D&gt;&lt;/FQL&gt;&lt;FQL&gt;&lt;Q&gt;VWO^P_PRICE(0)/P_PRICE_LOW_PR(0,,,USD,,,"PRICE","INTRA","52W")-1&lt;/Q&gt;&lt;R&gt;1&lt;/R&gt;&lt;C&gt;1&lt;/C&gt;&lt;D xsi:type="xsd:double"&gt;0.13255894&lt;/D&gt;&lt;/FQL&gt;&lt;FQL&gt;&lt;Q&gt;EWD^FMA_COS_UP("EPS","1M",+1,0,,,"PORTAGG","MEANR")&lt;/Q&gt;&lt;R&gt;1&lt;/R&gt;&lt;C&gt;1&lt;/C&gt;&lt;D xsi:type="xsd:double"&gt;16&lt;/D&gt;&lt;/FQL&gt;&lt;FQL&gt;&lt;Q&gt;INDA^P_PRICE(0)/P_PRICE_LOW_PR(0,,,USD,,,"PRICE","INTRA","52W")-1&lt;/Q&gt;&lt;R&gt;1&lt;/R&gt;&lt;C&gt;1&lt;/C&gt;&lt;D xsi:type="xsd:double"&gt;0.3203026&lt;/D&gt;&lt;/FQL&gt;&lt;FQL&gt;&lt;Q&gt;QQQ^FMA_DIV_YLD(NTMA,NOW,NOW,M,"PORTAGG","MEANR")&lt;/Q&gt;&lt;R&gt;1&lt;/R&gt;&lt;C&gt;1&lt;/C&gt;&lt;D xsi:type="xsd:double"&gt;0.882975847453205&lt;/D&gt;&lt;/FQL&gt;&lt;FQL&gt;&lt;Q&gt;INDA^FG_PE_NTM(0,,,90,0)&lt;/Q&gt;&lt;R&gt;1&lt;/R&gt;&lt;C&gt;1&lt;/C&gt;&lt;D xsi:type="xsd:double"&gt;22.7310577304994&lt;/D&gt;&lt;/FQL&gt;&lt;FQL&gt;&lt;Q&gt;EWJ^FMA_DIV_YLD(NTMA,NOW,NOW,M,"PORTAGG","MEANR")&lt;/Q&gt;&lt;R&gt;1&lt;/R&gt;&lt;C&gt;1&lt;/C&gt;&lt;D xsi:type="xsd:double"&gt;2.15743515502353&lt;/D&gt;&lt;/FQL&gt;&lt;FQL&gt;&lt;Q&gt;EWN^P_PRICE(0)/P_PRICE_LOW_PR(0,,,USD,,,"PRICE","INTRA","52W")-1&lt;/Q&gt;&lt;R&gt;1&lt;/R&gt;&lt;C&gt;1&lt;/C&gt;&lt;D xsi:type="xsd:double"&gt;0.3642876&lt;/D&gt;&lt;/FQL&gt;&lt;FQL&gt;&lt;Q&gt;URTH^FG_FCF_YIELD_NTM(0)&lt;/Q&gt;&lt;R&gt;1&lt;/R&gt;&lt;C&gt;1&lt;/C&gt;&lt;D xsi:type="xsd:double"&gt;4.36492615461595&lt;/D&gt;&lt;/FQL&gt;&lt;FQL&gt;&lt;Q&gt;EWQ^P_PRICE(0)/P_PRICE_LOW_PR(0,,,USD,,,"PRICE","INTRA","52W")-1&lt;/Q&gt;&lt;R&gt;1&lt;/R&gt;&lt;C&gt;1&lt;/C&gt;&lt;D xsi:type="xsd:double"&gt;0.19875216&lt;/D&gt;&lt;/FQL&gt;&lt;FQL&gt;&lt;Q&gt;FXI^FG_PRICE(0,-200D)&lt;/Q&gt;&lt;R&gt;201&lt;/R&gt;&lt;C&gt;1&lt;/C&gt;&lt;D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xsi:type="xsd:double"&gt;27.01&lt;/D&gt;&lt;/FQL&gt;&lt;FQL&gt;&lt;Q&gt;EWA^SIZE(FG_CONSTITUENTS)&lt;/Q&gt;&lt;R&gt;1&lt;/R&gt;&lt;C&gt;1&lt;/C&gt;&lt;D xsi:type="xsd:long"&gt;59&lt;/D&gt;&lt;/FQL&gt;&lt;FQL&gt;&lt;Q&gt;EWA^P_PRICE(0)/P_PRICE_LOW_PR(0,,,USD,,,"PRICE","INTRA","52W")-1&lt;/Q&gt;&lt;R&gt;1&lt;/R&gt;&lt;C&gt;1&lt;/C&gt;&lt;D xsi:type="xsd:double"&gt;0.19012713&lt;/D&gt;&lt;/FQL&gt;&lt;FQL&gt;&lt;Q&gt;EWD^FMA_COS_DOWN("EPS","1M",+1,0,,,"PORTAGG","MEANR")&lt;/Q&gt;&lt;R&gt;1&lt;/R&gt;&lt;C&gt;1&lt;/C&gt;&lt;D xsi:type="xsd:double"&gt;11&lt;/D&gt;&lt;/FQL&gt;&lt;FQL&gt;&lt;Q&gt;IWM^P_PRICE(0)/P_PRICE_LOW_PR(0,,,USD,,,"PRICE","INTRA","52W")-1&lt;/Q&gt;&lt;R&gt;1&lt;/R&gt;&lt;C&gt;1&lt;/C&gt;&lt;D xsi:type="xsd:double"&gt;0.25125253&lt;/D&gt;&lt;/FQL&gt;&lt;FQL&gt;&lt;Q&gt;BTC00-USA^P_FUT_TOTAL_RETURN(0,-6AM,,'')&lt;/Q&gt;&lt;R&gt;1&lt;/R&gt;&lt;C&gt;1&lt;/C&gt;&lt;D xsi:type="xsd:double"&gt;149.850228082662&lt;/D&gt;&lt;/FQL&gt;&lt;FQL&gt;&lt;Q&gt;EWG^PERCENT_CHANGE(FMA_EPS(+1,0,,,,"PORTAGG","MEAN"),FMA_EPS(+1,-1AM,,,,"PORTAGG","MEAN"))&lt;/Q&gt;&lt;R&gt;1&lt;/R&gt;&lt;C&gt;1&lt;/C&gt;&lt;D xsi:type="xsd:double"&gt;-0.775641207553587&lt;/D&gt;&lt;/FQL&gt;&lt;FQL&gt;&lt;Q&gt;IWM^FG_PRICE(0,-200D)&lt;/Q&gt;&lt;R&gt;201&lt;/R&gt;&lt;C&gt;1&lt;/C&gt;&lt;D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xsi:type="xsd:double"&gt;180.75&lt;/D&gt;&lt;/FQL&gt;&lt;FQL&gt;&lt;Q&gt;INDA^P_PRICE(0)/P_PRICE_HIGH_PR(0,,,USD,,,"PRICE","INTRA","52W")&lt;/Q&gt;&lt;R&gt;1&lt;/R&gt;&lt;C&gt;1&lt;/C&gt;&lt;D xsi:type="xsd:double"&gt;0.99809337&lt;/D&gt;&lt;/FQL&gt;&lt;FQL&gt;&lt;Q&gt;EWN^P_PRICE(0)/P_PRICE_HIGH_PR(0,,,USD,,,"PRICE","INTRA","52W")&lt;/Q&gt;&lt;R&gt;1&lt;/R&gt;&lt;C&gt;1&lt;/C&gt;&lt;D xsi:type="xsd:double"&gt;0.98429424&lt;/D&gt;&lt;/FQL&gt;&lt;FQL&gt;&lt;Q&gt;EWU^P_PRICE(0)/P_PRICE_HIGH_PR(0,,,USD,,,"PRICE","INTRA","52W")&lt;/Q&gt;&lt;R&gt;1&lt;/R&gt;&lt;C&gt;1&lt;/C&gt;&lt;D xsi:type="xsd:double"&gt;0.98738045&lt;/D&gt;&lt;/FQL&gt;&lt;FQL&gt;&lt;Q&gt;EWC^P_PRICE(0)/P_PRICE_HIGH_PR(0,,,USD,,,"PRICE","INTRA","52W")&lt;/Q&gt;&lt;R&gt;1&lt;/R&gt;&lt;C&gt;1&lt;/C&gt;&lt;D xsi:type="xsd:double"&gt;0.9777317&lt;/D&gt;&lt;/FQL&gt;&lt;FQL&gt;&lt;Q&gt;IWM^FMA_PCT_ABOVE_MAVG(200,0,,,,"PORTAGG")&lt;/Q&gt;&lt;R&gt;1&lt;/R&gt;&lt;C&gt;1&lt;/C&gt;&lt;D xsi:type="xsd:double"&gt;49.0625&lt;/D&gt;&lt;/FQL&gt;&lt;FQL&gt;&lt;Q&gt;URTH^PERCENT_CHANGE(FMA_EPS(+1,0,,,,"PORTAGG","MEAN"),FMA_EPS(+1,-3AM,,,,"PORTAGG","MEAN"))&lt;/Q&gt;&lt;R&gt;1&lt;/R&gt;&lt;C&gt;1&lt;/C&gt;&lt;D xsi:type="xsd:double"&gt;-0.937781972032755&lt;/D&gt;&lt;/FQL&gt;&lt;FQL&gt;&lt;Q&gt;EWN^PERCENT_CHANGE(FMA_EPS(+1,0,,,,"PORTAGG","MEAN"),FMA_EPS(+1,-1AM,,,,"PORTAGG","MEAN"))&lt;/Q&gt;&lt;R&gt;1&lt;/R&gt;&lt;C&gt;1&lt;/C&gt;&lt;D xsi:type="xsd:double"&gt;-0.0158664821344338&lt;/D&gt;&lt;/FQL&gt;&lt;FQL&gt;&lt;Q&gt;EWL^FMA_PCT_ABOVE_MAVG(200,0,,,,"PORTAGG")&lt;/Q&gt;&lt;R&gt;1&lt;/R&gt;&lt;C&gt;1&lt;/C&gt;&lt;D xsi:type="xsd:double"&gt;60&lt;/D&gt;&lt;/FQL&gt;&lt;FQL&gt;&lt;Q&gt;FXI^SIZE(FG_CONSTITUENTS)&lt;/Q&gt;&lt;R&gt;1&lt;/R&gt;&lt;C&gt;1&lt;/C&gt;&lt;D xsi:type="xsd:long"&gt;51&lt;/D&gt;&lt;/FQL&gt;&lt;FQL&gt;&lt;Q&gt;EWI^FMA_COS_UP("EPS","1M",+1,0,,,"PORTAGG","MEANR")&lt;/Q&gt;&lt;R&gt;1&lt;/R&gt;&lt;C&gt;1&lt;/C&gt;&lt;D xsi:type="xsd:double"&gt;12&lt;/D&gt;&lt;/FQL&gt;&lt;FQL&gt;&lt;Q&gt;EWU^SIZE(FG_CONSTITUENTS)&lt;/Q&gt;&lt;R&gt;1&lt;/R&gt;&lt;C&gt;1&lt;/C&gt;&lt;D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xsi:type="xsd:double"&gt;21&lt;/D&gt;&lt;/FQL&gt;&lt;FQL&gt;&lt;Q&gt;EWA^FG_COMPANY_NAME&lt;/Q&gt;&lt;R&gt;1&lt;/R&gt;&lt;C&gt;1&lt;/C&gt;&lt;D xsi:type="xsd:string"&gt;iShares MSCI Australia ETF&lt;/D&gt;&lt;/FQL&gt;&lt;FQL&gt;&lt;Q&gt;DBA^FG_TOTAL_RETURNC(0,-3AM)&lt;/Q&gt;&lt;R&gt;1&lt;/R&gt;&lt;C&gt;1&lt;/C&gt;&lt;D xsi:type="xsd:double"&gt;21.621632&lt;/D&gt;&lt;/FQL&gt;&lt;FQL&gt;&lt;Q&gt;FXI^FG_PE(0)&lt;/Q&gt;&lt;R&gt;1&lt;/R&gt;&lt;C&gt;1&lt;/C&gt;&lt;D xsi:type="xsd:double"&gt;9.47946138111583&lt;/D&gt;&lt;/FQL&gt;&lt;FQL&gt;&lt;Q&gt;EWJ^FG_PE(0)&lt;/Q&gt;&lt;R&gt;1&lt;/R&gt;&lt;C&gt;1&lt;/C&gt;&lt;D xsi:type="xsd:double"&gt;15.9665756189273&lt;/D&gt;&lt;/FQL&gt;&lt;FQL&gt;&lt;Q&gt;SPY^FG_TOTAL_RETURNC(0,-1AM)&lt;/Q&gt;&lt;R&gt;1&lt;/R&gt;&lt;C&gt;1&lt;/C&gt;&lt;D xsi:type="xsd:double"&gt;1.6312957&lt;/D&gt;&lt;/FQL&gt;&lt;FQL&gt;&lt;Q&gt;EWC^FG_TOTAL_RETURNC(0,-3AM)&lt;/Q&gt;&lt;R&gt;1&lt;/R&gt;&lt;C&gt;1&lt;/C&gt;&lt;D xsi:type="xsd:double"&gt;4.136789&lt;/D&gt;&lt;/FQL&gt;&lt;FQL&gt;&lt;Q&gt;FXI^FMA_COS_UP("EPS","1M",+1,0,,,"PORTAGG","MEANR")&lt;/Q&gt;&lt;R&gt;1&lt;/R&gt;&lt;C&gt;1&lt;/C&gt;&lt;D xsi:type="xsd:double"&gt;12&lt;/D&gt;&lt;/FQL&gt;&lt;FQL&gt;&lt;Q&gt;BTC00-USA^FG_PRICE(0)/MAX(FG_PRICE(0,-1AY,D))&lt;/Q&gt;&lt;R&gt;1&lt;/R&gt;&lt;C&gt;1&lt;/C&gt;&lt;D xsi:type="xsd:double"&gt;0.957856997902997&lt;/D&gt;&lt;/FQL&gt;&lt;FQL&gt;&lt;Q&gt;INDA^FMA_DIV_YLD(NTMA,NOW,NOW,M,"PORTAGG","MEANR")&lt;/Q&gt;&lt;R&gt;1&lt;/R&gt;&lt;C&gt;1&lt;/C&gt;&lt;D xsi:type="xsd:double"&gt;1.34412815279926&lt;/D&gt;&lt;/FQL&gt;&lt;FQL&gt;&lt;Q&gt;INDA^FG_PRICE(0,-200D)&lt;/Q&gt;&lt;R&gt;201&lt;/R&gt;&lt;C&gt;1&lt;/C&gt;&lt;D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xsi:type="xsd:double"&gt;42.77&lt;/D&gt;&lt;/FQL&gt;&lt;FQL&gt;&lt;Q&gt;INDA^FG_TOTAL_RETURNC(0,-6AM)&lt;/Q&gt;&lt;R&gt;1&lt;/R&gt;&lt;C&gt;1&lt;/C&gt;&lt;D xsi:type="xsd:double"&gt;17.16652&lt;/D&gt;&lt;/FQL&gt;&lt;FQL&gt;&lt;Q&gt;VWO^FG_TOTAL_RETURNC(0,-6AM)&lt;/Q&gt;&lt;R&gt;1&lt;/R&gt;&lt;C&gt;1&lt;/C&gt;&lt;D xsi:type="xsd:double"&gt;9.527183&lt;/D&gt;&lt;/FQL&gt;&lt;FQL&gt;&lt;Q&gt;EWN^FG_TOTAL_RETURNC(0,-6AM)&lt;/Q&gt;&lt;R&gt;1&lt;/R&gt;&lt;C&gt;1&lt;/C&gt;&lt;D xsi:type="xsd:double"&gt;29.098166&lt;/D&gt;&lt;/FQL&gt;&lt;FQL&gt;&lt;Q&gt;EWU^FG_TOTAL_RETURNC(0,-6AM)&lt;/Q&gt;&lt;R&gt;1&lt;/R&gt;&lt;C&gt;1&lt;/C&gt;&lt;D xsi:type="xsd:double"&gt;8.407855&lt;/D&gt;&lt;/FQL&gt;&lt;FQL&gt;&lt;Q&gt;EWC^FG_TOTAL_RETURNC(0,-6AM)&lt;/Q&gt;&lt;R&gt;1&lt;/R&gt;&lt;C&gt;1&lt;/C&gt;&lt;D xsi:type="xsd:double"&gt;13.709116&lt;/D&gt;&lt;/FQL&gt;&lt;FQL&gt;&lt;Q&gt;URTH^PERCENT_CHANGE(FMA_EPS(+1,0,,,,"PORTAGG","MEAN"),FMA_EPS(+1,-1AM,,,,"PORTAGG","MEAN"))&lt;/Q&gt;&lt;R&gt;1&lt;/R&gt;&lt;C&gt;1&lt;/C&gt;&lt;D xsi:type="xsd:double"&gt;-0.260757208529545&lt;/D&gt;&lt;/FQL&gt;&lt;FQL&gt;&lt;Q&gt;EWN^FMA_PCT_ABOVE_MAVG(200,0,,,,"PORTAGG")&lt;/Q&gt;&lt;R&gt;1&lt;/R&gt;&lt;C&gt;1&lt;/C&gt;&lt;D xsi:type="xsd:double"&gt;66.6666666666667&lt;/D&gt;&lt;/FQL&gt;&lt;FQL&gt;&lt;Q&gt;FXI^FMA_COS_DOWN("EPS","1M",+1,0,,,"PORTAGG","MEANR")&lt;/Q&gt;&lt;R&gt;1&lt;/R&gt;&lt;C&gt;1&lt;/C&gt;&lt;D xsi:type="xsd:double"&gt;35&lt;/D&gt;&lt;/FQL&gt;&lt;FQL&gt;&lt;Q&gt;EWD^SIZE(FG_CONSTITUENTS)&lt;/Q&gt;&lt;R&gt;1&lt;/R&gt;&lt;C&gt;1&lt;/C&gt;&lt;D xsi:type="xsd:long"&gt;44&lt;/D&gt;&lt;/FQL&gt;&lt;FQL&gt;&lt;Q&gt;EWU^FMA_COS_DOWN("EPS","1M",+1,0,,,"PORTAGG","MEANR")&lt;/Q&gt;&lt;R&gt;1&lt;/R&gt;&lt;C&gt;1&lt;/C&gt;&lt;D xsi:type="xsd:double"&gt;43&lt;/D&gt;&lt;/FQL&gt;&lt;FQL&gt;&lt;Q&gt;EWA^FMA_COS_UP("EPS","1M",+1,0,,,"PORTAGG","MEANR")&lt;/Q&gt;&lt;R&gt;1&lt;/R&gt;&lt;C&gt;1&lt;/C&gt;&lt;D xsi:type="xsd:double"&gt;21&lt;/D&gt;&lt;/FQL&gt;&lt;FQL&gt;&lt;Q&gt;ENZL^FG_COMPANY_NAME&lt;/Q&gt;&lt;R&gt;1&lt;/R&gt;&lt;C&gt;1&lt;/C&gt;&lt;D xsi:type="xsd:string"&gt;iShares MSCI New Zealand ETF&lt;/D&gt;&lt;/FQL&gt;&lt;FQL&gt;&lt;Q&gt;EMXC^FG_TOTAL_RETURNC(0,-1AM)&lt;/Q&gt;&lt;R&gt;1&lt;/R&gt;&lt;C&gt;1&lt;/C&gt;&lt;D xsi:type="xsd:double"&gt;1.3985991&lt;/D&gt;&lt;/FQL&gt;&lt;FQL&gt;&lt;Q&gt;DBA^FG_TOTAL_RETURNC(0,-1AM)&lt;/Q&gt;&lt;R&gt;1&lt;/R&gt;&lt;C&gt;1&lt;/C&gt;&lt;D xsi:type="xsd:double"&gt;10.8179455&lt;/D&gt;&lt;/FQL&gt;&lt;FQL&gt;&lt;Q&gt;INDA^FG_FCF_YIELD_NTM(0)&lt;/Q&gt;&lt;R&gt;1&lt;/R&gt;&lt;C&gt;1&lt;/C&gt;&lt;D xsi:type="xsd:double"&gt;2.87083228733421&lt;/D&gt;&lt;/FQL&gt;&lt;FQL&gt;&lt;Q&gt;QQQ^FG_FCF_YIELD_NTM(0)&lt;/Q&gt;&lt;R&gt;1&lt;/R&gt;&lt;C&gt;1&lt;/C&gt;&lt;D xsi:type="xsd:double"&gt;3.71088582524757&lt;/D&gt;&lt;/FQL&gt;&lt;FQL&gt;&lt;Q&gt;URTH^FG_PRICE(0,-200D)&lt;/Q&gt;&lt;R&gt;201&lt;/R&gt;&lt;C&gt;1&lt;/C&gt;&lt;D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</t>
        </r>
      </text>
    </comment>
    <comment ref="A5" authorId="0" shapeId="0" xr:uid="{99F0D987-0C89-44AD-ABC6-A3ED3E369A84}">
      <text>
        <r>
          <rPr>
            <b/>
            <sz val="9"/>
            <color indexed="81"/>
            <rFont val="Tahoma"/>
            <charset val="1"/>
          </rPr>
          <t>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xsi:type="xsd:double"&gt;121.54&lt;/D&gt;&lt;/FQL&gt;&lt;FQL&gt;&lt;Q&gt;INDA^FG_TOTAL_RETURNC(0,-3AM)&lt;/Q&gt;&lt;R&gt;1&lt;/R&gt;&lt;C&gt;1&lt;/C&gt;&lt;D xsi:type="xsd:double"&gt;6.4240694&lt;/D&gt;&lt;/FQL&gt;&lt;FQL&gt;&lt;Q&gt;EWN^FG_TOTAL_RETURNC(0,-3AM)&lt;/Q&gt;&lt;R&gt;1&lt;/R&gt;&lt;C&gt;1&lt;/C&gt;&lt;D xsi:type="xsd:double"&gt;13.581097&lt;/D&gt;&lt;/FQL&gt;&lt;FQL&gt;&lt;Q&gt;EWU^FG_TOTAL_RETURNC(0,-3AM)&lt;/Q&gt;&lt;R&gt;1&lt;/R&gt;&lt;C&gt;1&lt;/C&gt;&lt;D xsi:type="xsd:double"&gt;4.41041&lt;/D&gt;&lt;/FQL&gt;&lt;FQL&gt;&lt;Q&gt;EWG^PERCENT_CHANGE(FMA_EPS(+1,0,,,,"PORTAGG","MEAN"),FMA_EPS(+1,-3AM,,,,"PORTAGG","MEAN"))&lt;/Q&gt;&lt;R&gt;1&lt;/R&gt;&lt;C&gt;1&lt;/C&gt;&lt;D xsi:type="xsd:double"&gt;-5.50294788434813&lt;/D&gt;&lt;/FQL&gt;&lt;FQL&gt;&lt;Q&gt;EWN^SIZE(FG_CONSTITUENTS)&lt;/Q&gt;&lt;R&gt;1&lt;/R&gt;&lt;C&gt;1&lt;/C&gt;&lt;D xsi:type="xsd:long"&gt;54&lt;/D&gt;&lt;/FQL&gt;&lt;FQL&gt;&lt;Q&gt;VWO^FG_TOTAL_RETURNC(0,-1AM)&lt;/Q&gt;&lt;R&gt;1&lt;/R&gt;&lt;C&gt;1&lt;/C&gt;&lt;D xsi:type="xsd:double"&gt;1.4073491&lt;/D&gt;&lt;/FQL&gt;&lt;FQL&gt;&lt;Q&gt;EWL^P_PRICE(0)/P_PRICE_LOW_PR(0,,,USD,,,"PRICE","INTRA","52W")-1&lt;/Q&gt;&lt;R&gt;1&lt;/R&gt;&lt;C&gt;1&lt;/C&gt;&lt;D xsi:type="xsd:double"&gt;0.11480141&lt;/D&gt;&lt;/FQL&gt;&lt;FQL&gt;&lt;Q&gt;URTH^FMA_PCT_ABOVE_MAVG(200,0,,,,"PORTAGG")&lt;/Q&gt;&lt;R&gt;1&lt;/R&gt;&lt;C&gt;1&lt;/C&gt;&lt;D xsi:type="xsd:double"&gt;72.1311475409836&lt;/D&gt;&lt;/FQL&gt;&lt;FQL&gt;&lt;Q&gt;EWQ^PERCENT_CHANGE(FMA_EPS(+1,0,,,,"PORTAGG","MEAN"),FMA_EPS(+1,-1AM,,,,"PORTAGG","MEAN"))&lt;/Q&gt;&lt;R&gt;1&lt;/R&gt;&lt;C&gt;1&lt;/C&gt;&lt;D xsi:type="xsd:double"&gt;-1.51076521853484&lt;/D&gt;&lt;/FQL&gt;&lt;FQL&gt;&lt;Q&gt;VWO^FMA_PCT_ABOVE_MAVG(200,0,,,,"PORTAGG")&lt;/Q&gt;&lt;R&gt;1&lt;/R&gt;&lt;C&gt;1&lt;/C&gt;&lt;D xsi:type="xsd:double"&gt;40.492804186655&lt;/D&gt;&lt;/FQL&gt;&lt;FQL&gt;&lt;Q&gt;VGK^FG_TOTAL_RETURNC(0,-1AM)&lt;/Q&gt;&lt;R&gt;1&lt;/R&gt;&lt;C&gt;1&lt;/C&gt;&lt;D xsi:type="xsd:double"&gt;-0.40727854&lt;/D&gt;&lt;/FQL&gt;&lt;FQL&gt;&lt;Q&gt;EWQ^PERCENT_CHANGE(FMA_EPS(+1,0,,,,"PORTAGG","MEAN"),FMA_EPS(+1,-3AM,,,,"PORTAGG","MEAN"))&lt;/Q&gt;&lt;R&gt;1&lt;/R&gt;&lt;C&gt;1&lt;/C&gt;&lt;D xsi:type="xsd:double"&gt;-5.20062620746165&lt;/D&gt;&lt;/FQL&gt;&lt;FQL&gt;&lt;Q&gt;EWL^SIZE(FG_CONSTITUENTS)&lt;/Q&gt;&lt;R&gt;1&lt;/R&gt;&lt;C&gt;1&lt;/C&gt;&lt;D xsi:type="xsd:long"&gt;46&lt;/D&gt;&lt;/FQL&gt;&lt;FQL&gt;&lt;Q&gt;VWO^PERCENT_CHANGE(FMA_EPS(+1,0,,,,"PORTAGG","MEAN"),FMA_EPS(+1,-1AM,,,,"PORTAGG","MEAN"))&lt;/Q&gt;&lt;R&gt;1&lt;/R&gt;&lt;C&gt;1&lt;/C&gt;&lt;D xsi:type="xsd:double"&gt;-13.3546419634439&lt;/D&gt;&lt;/FQL&gt;&lt;FQL&gt;&lt;Q&gt;INDA^FG_PE(0)&lt;/Q&gt;&lt;R&gt;1&lt;/R&gt;&lt;C&gt;1&lt;/C&gt;&lt;D xsi:type="xsd:double"&gt;24.7297866792839&lt;/D&gt;&lt;/FQL&gt;&lt;FQL&gt;&lt;Q&gt;EWL^FG_TOTAL_RETURNC(0,-6AM)&lt;/Q&gt;&lt;R&gt;1&lt;/R&gt;&lt;C&gt;1&lt;/C&gt;&lt;D xsi:type="xsd:double"&gt;3.786683&lt;/D&gt;&lt;/FQL&gt;&lt;FQL&gt;&lt;Q&gt;VGK^FG_TOTAL_RETURNC(0,-6AM)&lt;/Q&gt;&lt;R&gt;1&lt;/R&gt;&lt;C&gt;1&lt;/C&gt;&lt;D xsi:type="xsd:double"&gt;14.065636&lt;/D&gt;&lt;/FQL&gt;&lt;FQL&gt;&lt;Q&gt;QQQ^FG_PE_NTM(0,,,90,0)&lt;/Q&gt;&lt;R&gt;1&lt;/R&gt;&lt;C&gt;1&lt;/C&gt;&lt;D xsi:type="xsd:double"&gt;25.7118384170649&lt;/D&gt;&lt;/FQL&gt;&lt;FQL&gt;&lt;Q&gt;QQQ^FG_TOTAL_RETURNC(0,-1AM)&lt;/Q&gt;&lt;R&gt;1&lt;/R&gt;&lt;C&gt;1&lt;/C&gt;&lt;D xsi:type="xsd:double"&gt;1.9579291&lt;/D&gt;&lt;/FQL&gt;&lt;FQL&gt;&lt;Q&gt;SPY^FG_FCF_YIELD_NTM(0)&lt;/Q&gt;&lt;R&gt;1&lt;/R&gt;&lt;C&gt;1&lt;/C&gt;&lt;D xsi:type="xsd:double"&gt;4.14070875129409&lt;/D&gt;&lt;/FQL&gt;&lt;FQL&gt;&lt;Q&gt;EWJ^FG_PRICE(0,-200D)&lt;/Q&gt;&lt;R&gt;201&lt;/R&gt;&lt;C&gt;1&lt;/C&gt;&lt;D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xsi:type="xsd:double"&gt;60.91&lt;/D&gt;&lt;/FQL&gt;&lt;FQL&gt;&lt;Q&gt;EWQ^P_PRICE(0)/P_PRICE_HIGH_PR(0,,,USD,,,"PRICE","INTRA","52W")&lt;/Q&gt;&lt;R&gt;1&lt;/R&gt;&lt;C&gt;1&lt;/C&gt;&lt;D xsi:type="xsd:double"&gt;0.96358204&lt;/D&gt;&lt;/FQL&gt;&lt;FQL&gt;&lt;Q&gt;EWL^P_PRICE(0)/P_PRICE_HIGH_PR(0,,,USD,,,"PRICE","INTRA","52W")&lt;/Q&gt;&lt;R&gt;1&lt;/R&gt;&lt;C&gt;1&lt;/C&gt;&lt;D xsi:type="xsd:double"&gt;0.94656175&lt;/D&gt;&lt;/FQL&gt;&lt;FQL&gt;&lt;Q&gt;EMXC^PERCENT_CHANGE(FMA_EPS(+1,0,,,,"PORTAGG","MEAN"),FMA_EPS(+1,-3AM,,,,"PORTAGG","MEAN"))&lt;/Q&gt;&lt;R&gt;1&lt;/R&gt;&lt;C&gt;1&lt;/C&gt;&lt;D xsi:type="xsd:double"&gt;-1.63094879380986&lt;/D&gt;&lt;/FQL&gt;&lt;FQL&gt;&lt;Q&gt;EWA^FG_TOTAL_RETURNC(0,-6AM)&lt;/Q&gt;&lt;R&gt;1&lt;/R&gt;&lt;C&gt;1&lt;/C&gt;&lt;D xsi:type="xsd:double"&gt;14.365828&lt;/D&gt;&lt;/FQL&gt;&lt;FQL&gt;&lt;Q&gt;EMXC^FG_PRICE(0,-200D)&lt;/Q&gt;&lt;R&gt;201&lt;/R&gt;&lt;C&gt;1&lt;/C&gt;&lt;D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xsi:type="xsd:double"&gt;51.77&lt;/D&gt;&lt;/FQL&gt;&lt;FQL&gt;&lt;Q&gt;IWM^P_PRICE(0)/P_PRICE_HIGH_PR(0,,,USD,,,"PRICE","INTRA","52W")&lt;/Q&gt;&lt;R&gt;1&lt;/R&gt;&lt;C&gt;1&lt;/C&gt;&lt;D xsi:type="xsd:double"&gt;0.954761&lt;/D&gt;&lt;/FQL&gt;&lt;FQL&gt;&lt;Q&gt;VGK^FG_PRICE(0,-200D)&lt;/Q&gt;&lt;R&gt;201&lt;/R&gt;&lt;C&gt;1&lt;/C&gt;&lt;D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xsi:type="xsd:double"&gt;60.28&lt;/D&gt;&lt;/FQL&gt;&lt;FQL&gt;&lt;Q&gt;IWM^FG_TOTAL_RETURNC(0,-6AM)&lt;/Q&gt;&lt;R&gt;1&lt;/R&gt;&lt;C&gt;1&lt;/C&gt;&lt;D xsi:type="xsd:double"&gt;15.874184&lt;/D&gt;&lt;/FQL&gt;&lt;FQL&gt;&lt;Q&gt;EWQ^FG_TOTAL_RETURNC(0,-6AM)&lt;/Q&gt;&lt;R&gt;1&lt;/R&gt;&lt;C&gt;1&lt;/C&gt;&lt;D xsi:type="xsd:double"&gt;13.602233&lt;/D&gt;&lt;/FQL&gt;&lt;FQL&gt;&lt;Q&gt;EWL^FMA_COS_UP("EPS","1M",+1,0,,,"PORTAGG","MEANR")&lt;/Q&gt;&lt;R&gt;1&lt;/R&gt;&lt;C&gt;1&lt;/C&gt;&lt;D xsi:type="xsd:double"&gt;23&lt;/D&gt;&lt;/FQL&gt;&lt;/Schema&gt;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<sst xmlns="http://schemas.openxmlformats.org/spreadsheetml/2006/main" count="271" uniqueCount="118">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</sst>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9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9"/>
  <sheetViews>
    <sheetView tabSelected="1" topLeftCell="A25" zoomScale="93" zoomScaleNormal="93" workbookViewId="0">
      <selection activeCell="O53" sqref="O53"/>
    </sheetView>
  </sheetViews>
  <sheetFormatPr defaultRowHeight="14.5" x14ac:dyDescent="0.35"/>
  <cols>
    <col min="4" max="4" width="18.81640625" customWidth="1"/>
    <col min="5" max="5" width="21.26953125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0" x14ac:dyDescent="0.35">
      <c r="E1" s="27" t="s">
        <v>96</v>
      </c>
    </row>
    <row r="2" spans="5:10" ht="15" thickBot="1" x14ac:dyDescent="0.4"/>
    <row r="3" spans="5:10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0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0" x14ac:dyDescent="0.35">
      <c r="E5" s="20" t="s">
        <v>62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0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0" x14ac:dyDescent="0.35">
      <c r="E7" s="20" t="s">
        <v>61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0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0" ht="15" thickBot="1" x14ac:dyDescent="0.4">
      <c r="E9" s="35" t="s">
        <v>117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0" ht="15" thickBot="1" x14ac:dyDescent="0.4"/>
    <row r="11" spans="5:10" x14ac:dyDescent="0.35">
      <c r="E11" s="27" t="s">
        <v>98</v>
      </c>
    </row>
    <row r="12" spans="5:10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4">
      <c r="E13" s="68">
        <v>0.33</v>
      </c>
      <c r="F13" s="68">
        <v>0.33</v>
      </c>
      <c r="G13" s="68">
        <v>0.33</v>
      </c>
    </row>
    <row r="14" spans="5:10" x14ac:dyDescent="0.35">
      <c r="E14" s="23"/>
      <c r="F14" s="7"/>
      <c r="G14" s="7"/>
      <c r="H14" s="63" t="s">
        <v>73</v>
      </c>
      <c r="I14" s="63" t="s">
        <v>76</v>
      </c>
      <c r="J14" s="64" t="s">
        <v>74</v>
      </c>
    </row>
    <row r="15" spans="5:10" x14ac:dyDescent="0.35">
      <c r="E15" s="20" t="s">
        <v>4</v>
      </c>
      <c r="F15">
        <f>'Asset class'!S3</f>
        <v>9</v>
      </c>
      <c r="G15">
        <f t="shared" ref="G15:G23" si="0">F15</f>
        <v>9</v>
      </c>
      <c r="H15" t="str">
        <f>IF(HLOOKUP($E15,'Factset Price Data'!$C$208:$R$215,6,FALSE)&gt;=1,"INVESTED","CASH")</f>
        <v>INVESTED</v>
      </c>
      <c r="I15" t="str">
        <f>IF(HLOOKUP($E15,'Factset Price Data'!$C$208:$R$215,7,FALSE)&gt;=1,"INVESTED","CASH")</f>
        <v>INVESTED</v>
      </c>
      <c r="J15" s="36" t="str">
        <f>IF(HLOOKUP($E15,'Factset Price Data'!$C$208:$R$215,8,FALSE)&gt;=1,"INVESTED","CASH")</f>
        <v>INVESTED</v>
      </c>
    </row>
    <row r="16" spans="5:10" x14ac:dyDescent="0.35">
      <c r="E16" s="20" t="s">
        <v>1</v>
      </c>
      <c r="F16">
        <f>'Asset class'!S4</f>
        <v>5</v>
      </c>
      <c r="G16">
        <f t="shared" si="0"/>
        <v>5</v>
      </c>
      <c r="H16" t="str">
        <f>IF(HLOOKUP($E16,'Factset Price Data'!$C$208:$R$215,6,FALSE)&gt;=1,"INVESTED","CASH")</f>
        <v>INVESTED</v>
      </c>
      <c r="I16" t="str">
        <f>IF(HLOOKUP($E16,'Factset Price Data'!$C$208:$R$215,7,FALSE)&gt;=1,"INVESTED","CASH")</f>
        <v>INVESTED</v>
      </c>
      <c r="J16" s="36" t="str">
        <f>IF(HLOOKUP($E16,'Factset Price Data'!$C$208:$R$215,8,FALSE)&gt;=1,"INVESTED","CASH")</f>
        <v>INVESTED</v>
      </c>
    </row>
    <row r="17" spans="5:16" x14ac:dyDescent="0.35">
      <c r="E17" s="20" t="s">
        <v>59</v>
      </c>
      <c r="F17">
        <f>'Asset class'!S5</f>
        <v>2</v>
      </c>
      <c r="G17">
        <f t="shared" si="0"/>
        <v>2</v>
      </c>
      <c r="H17" t="str">
        <f>IF(HLOOKUP($E17,'Factset Price Data'!$C$208:$R$215,6,FALSE)&gt;=1,"INVESTED","CASH")</f>
        <v>INVESTED</v>
      </c>
      <c r="I17" t="str">
        <f>IF(HLOOKUP($E17,'Factset Price Data'!$C$208:$R$215,7,FALSE)&gt;=1,"INVESTED","CASH")</f>
        <v>INVESTED</v>
      </c>
      <c r="J17" s="36" t="str">
        <f>IF(HLOOKUP($E17,'Factset Price Data'!$C$208:$R$215,8,FALSE)&gt;=1,"INVESTED","CASH")</f>
        <v>INVESTED</v>
      </c>
    </row>
    <row r="18" spans="5:16" x14ac:dyDescent="0.35">
      <c r="E18" s="20" t="s">
        <v>60</v>
      </c>
      <c r="F18">
        <f>'Asset class'!S6</f>
        <v>12</v>
      </c>
      <c r="G18">
        <f t="shared" si="0"/>
        <v>12</v>
      </c>
      <c r="H18" t="str">
        <f>IF(HLOOKUP($E18,'Factset Price Data'!$C$208:$R$215,6,FALSE)&gt;=1,"INVESTED","CASH")</f>
        <v>INVESTED</v>
      </c>
      <c r="I18" t="str">
        <f>IF(HLOOKUP($E18,'Factset Price Data'!$C$208:$R$215,7,FALSE)&gt;=1,"INVESTED","CASH")</f>
        <v>INVESTED</v>
      </c>
      <c r="J18" s="36" t="str">
        <f>IF(HLOOKUP($E18,'Factset Price Data'!$C$208:$R$215,8,FALSE)&gt;=1,"INVESTED","CASH")</f>
        <v>CASH</v>
      </c>
    </row>
    <row r="19" spans="5:16" x14ac:dyDescent="0.35">
      <c r="E19" s="20" t="s">
        <v>15</v>
      </c>
      <c r="F19">
        <f>'Asset class'!S7</f>
        <v>4</v>
      </c>
      <c r="G19">
        <f t="shared" si="0"/>
        <v>4</v>
      </c>
      <c r="H19" t="str">
        <f>IF(HLOOKUP($E19,'Factset Price Data'!$C$208:$R$215,6,FALSE)&gt;=1,"INVESTED","CASH")</f>
        <v>INVESTED</v>
      </c>
      <c r="I19" t="str">
        <f>IF(HLOOKUP($E19,'Factset Price Data'!$C$208:$R$215,7,FALSE)&gt;=1,"INVESTED","CASH")</f>
        <v>INVESTED</v>
      </c>
      <c r="J19" s="36" t="str">
        <f>IF(HLOOKUP($E19,'Factset Price Data'!$C$208:$R$215,8,FALSE)&gt;=1,"INVESTED","CASH")</f>
        <v>INVESTED</v>
      </c>
    </row>
    <row r="20" spans="5:16" x14ac:dyDescent="0.35">
      <c r="E20" s="20" t="s">
        <v>61</v>
      </c>
      <c r="F20">
        <f>'Asset class'!S8</f>
        <v>2</v>
      </c>
      <c r="G20">
        <f t="shared" si="0"/>
        <v>2</v>
      </c>
      <c r="H20" t="str">
        <f>IF(HLOOKUP($E20,'Factset Price Data'!$C$208:$R$215,6,FALSE)&gt;=1,"INVESTED","CASH")</f>
        <v>INVESTED</v>
      </c>
      <c r="I20" t="str">
        <f>IF(HLOOKUP($E20,'Factset Price Data'!$C$208:$R$215,7,FALSE)&gt;=1,"INVESTED","CASH")</f>
        <v>INVESTED</v>
      </c>
      <c r="J20" s="36" t="str">
        <f>IF(HLOOKUP($E20,'Factset Price Data'!$C$208:$R$215,8,FALSE)&gt;=1,"INVESTED","CASH")</f>
        <v>INVESTED</v>
      </c>
    </row>
    <row r="21" spans="5:16" x14ac:dyDescent="0.35">
      <c r="E21" s="20" t="s">
        <v>70</v>
      </c>
      <c r="F21">
        <f>'Asset class'!S9</f>
        <v>7</v>
      </c>
      <c r="G21">
        <f t="shared" si="0"/>
        <v>7</v>
      </c>
      <c r="H21" t="str">
        <f>IF(HLOOKUP($E21,'Factset Price Data'!$C$208:$R$215,6,FALSE)&gt;=1,"INVESTED","CASH")</f>
        <v>INVESTED</v>
      </c>
      <c r="I21" t="str">
        <f>IF(HLOOKUP($E21,'Factset Price Data'!$C$208:$R$215,7,FALSE)&gt;=1,"INVESTED","CASH")</f>
        <v>INVESTED</v>
      </c>
      <c r="J21" s="36" t="str">
        <f>IF(HLOOKUP($E21,'Factset Price Data'!$C$208:$R$215,8,FALSE)&gt;=1,"INVESTED","CASH")</f>
        <v>INVESTED</v>
      </c>
    </row>
    <row r="22" spans="5:16" x14ac:dyDescent="0.35">
      <c r="E22" s="20" t="s">
        <v>62</v>
      </c>
      <c r="F22">
        <f>'Asset class'!S10</f>
        <v>13</v>
      </c>
      <c r="G22">
        <f t="shared" si="0"/>
        <v>13</v>
      </c>
      <c r="H22" t="str">
        <f>IF(HLOOKUP($E22,'Factset Price Data'!$C$208:$R$215,6,FALSE)&gt;=1,"INVESTED","CASH")</f>
        <v>CASH</v>
      </c>
      <c r="I22" t="str">
        <f>IF(HLOOKUP($E22,'Factset Price Data'!$C$208:$R$215,7,FALSE)&gt;=1,"INVESTED","CASH")</f>
        <v>CASH</v>
      </c>
      <c r="J22" s="36" t="str">
        <f>IF(HLOOKUP($E22,'Factset Price Data'!$C$208:$R$215,8,FALSE)&gt;=1,"INVESTED","CASH")</f>
        <v>CASH</v>
      </c>
    </row>
    <row r="23" spans="5:16" x14ac:dyDescent="0.35">
      <c r="E23" s="20" t="s">
        <v>42</v>
      </c>
      <c r="F23">
        <f>'Asset class'!S11</f>
        <v>10</v>
      </c>
      <c r="G23">
        <f t="shared" si="0"/>
        <v>10</v>
      </c>
      <c r="H23" t="str">
        <f>IF(HLOOKUP($E23,'Factset Price Data'!$C$208:$R$215,6,FALSE)&gt;=1,"INVESTED","CASH")</f>
        <v>CASH</v>
      </c>
      <c r="I23" t="str">
        <f>IF(HLOOKUP($E23,'Factset Price Data'!$C$208:$R$215,7,FALSE)&gt;=1,"INVESTED","CASH")</f>
        <v>INVESTED</v>
      </c>
      <c r="J23" s="36" t="str">
        <f>IF(HLOOKUP($E23,'Factset Price Data'!$C$208:$R$215,8,FALSE)&gt;=1,"INVESTED","CASH")</f>
        <v>INVESTED</v>
      </c>
    </row>
    <row r="24" spans="5:16" x14ac:dyDescent="0.35">
      <c r="E24" s="20" t="s">
        <v>71</v>
      </c>
      <c r="F24">
        <f>'Asset class'!S12</f>
        <v>7</v>
      </c>
      <c r="G24">
        <f t="shared" ref="G24:G27" si="1">F24</f>
        <v>7</v>
      </c>
      <c r="H24" t="str">
        <f>IF(HLOOKUP($E24,'Factset Price Data'!$C$208:$R$215,6,FALSE)&gt;=1,"INVESTED","CASH")</f>
        <v>INVESTED</v>
      </c>
      <c r="I24" t="str">
        <f>IF(HLOOKUP($E24,'Factset Price Data'!$C$208:$R$215,7,FALSE)&gt;=1,"INVESTED","CASH")</f>
        <v>INVESTED</v>
      </c>
      <c r="J24" s="36" t="str">
        <f>IF(HLOOKUP($E24,'Factset Price Data'!$C$208:$R$215,8,FALSE)&gt;=1,"INVESTED","CASH")</f>
        <v>INVESTED</v>
      </c>
    </row>
    <row r="25" spans="5:16" x14ac:dyDescent="0.35">
      <c r="E25" s="20" t="s">
        <v>12</v>
      </c>
      <c r="F25">
        <f>'Asset class'!S13</f>
        <v>8</v>
      </c>
      <c r="G25">
        <f t="shared" si="1"/>
        <v>8</v>
      </c>
      <c r="H25" t="str">
        <f>IF(HLOOKUP($E25,'Factset Price Data'!$C$208:$R$215,6,FALSE)&gt;=1,"INVESTED","CASH")</f>
        <v>CASH</v>
      </c>
      <c r="I25" t="str">
        <f>IF(HLOOKUP($E25,'Factset Price Data'!$C$208:$R$215,7,FALSE)&gt;=1,"INVESTED","CASH")</f>
        <v>INVESTED</v>
      </c>
      <c r="J25" s="36" t="str">
        <f>IF(HLOOKUP($E25,'Factset Price Data'!$C$208:$R$215,8,FALSE)&gt;=1,"INVESTED","CASH")</f>
        <v>INVESTED</v>
      </c>
    </row>
    <row r="26" spans="5:16" ht="15" thickBot="1" x14ac:dyDescent="0.4">
      <c r="E26" s="9" t="s">
        <v>65</v>
      </c>
      <c r="F26" s="10">
        <f>'Asset class'!S14</f>
        <v>11</v>
      </c>
      <c r="G26" s="10">
        <f t="shared" si="1"/>
        <v>11</v>
      </c>
      <c r="H26" s="10" t="str">
        <f>IF(HLOOKUP($E26,'Factset Price Data'!$C$208:$R$215,6,FALSE)&gt;=1,"INVESTED","CASH")</f>
        <v>INVESTED</v>
      </c>
      <c r="I26" s="10" t="str">
        <f>IF(HLOOKUP($E26,'Factset Price Data'!$C$208:$R$215,7,FALSE)&gt;=1,"INVESTED","CASH")</f>
        <v>INVESTED</v>
      </c>
      <c r="J26" s="37" t="str">
        <f>IF(HLOOKUP($E26,'Factset Price Data'!$C$208:$R$215,8,FALSE)&gt;=1,"INVESTED","CASH")</f>
        <v>CASH</v>
      </c>
    </row>
    <row r="27" spans="5:16" ht="15" thickBot="1" x14ac:dyDescent="0.4">
      <c r="E27" s="9" t="s">
        <v>117</v>
      </c>
      <c r="F27" s="10">
        <f>'Asset class'!S15</f>
        <v>3</v>
      </c>
      <c r="G27" s="10">
        <f t="shared" si="1"/>
        <v>3</v>
      </c>
      <c r="H27" s="10" t="str">
        <f>IF(HLOOKUP($E27,'Factset Price Data'!$C$208:$R$215,6,FALSE)&gt;=1,"INVESTED","CASH")</f>
        <v>INVESTED</v>
      </c>
      <c r="I27" s="10" t="str">
        <f>IF(HLOOKUP($E27,'Factset Price Data'!$C$208:$R$215,7,FALSE)&gt;=1,"INVESTED","CASH")</f>
        <v>INVESTED</v>
      </c>
      <c r="J27" s="37" t="str">
        <f>IF(HLOOKUP($E27,'Factset Price Data'!$C$208:$R$215,8,FALSE)&gt;=1,"INVESTED","CASH")</f>
        <v>INVESTED</v>
      </c>
    </row>
    <row r="28" spans="5:16" ht="15" thickBot="1" x14ac:dyDescent="0.4"/>
    <row r="29" spans="5:16" ht="15" thickBot="1" x14ac:dyDescent="0.4">
      <c r="E29" s="27" t="s">
        <v>97</v>
      </c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5:16" ht="29" x14ac:dyDescent="0.35">
      <c r="E30" s="42"/>
      <c r="F30" s="43" t="s">
        <v>25</v>
      </c>
      <c r="G30" s="43" t="s">
        <v>20</v>
      </c>
      <c r="H30" s="44" t="s">
        <v>68</v>
      </c>
      <c r="I30" s="43" t="s">
        <v>2</v>
      </c>
      <c r="J30" s="43" t="s">
        <v>3</v>
      </c>
      <c r="K30" s="43" t="s">
        <v>25</v>
      </c>
      <c r="L30" s="43" t="s">
        <v>20</v>
      </c>
      <c r="M30" s="44" t="s">
        <v>66</v>
      </c>
      <c r="N30" s="43" t="s">
        <v>2</v>
      </c>
      <c r="O30" s="46" t="s">
        <v>36</v>
      </c>
      <c r="P30" s="45" t="s">
        <v>95</v>
      </c>
    </row>
    <row r="31" spans="5:16" x14ac:dyDescent="0.35"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47"/>
      <c r="P31" s="30"/>
    </row>
    <row r="32" spans="5:16" x14ac:dyDescent="0.35">
      <c r="E32" s="30" t="str">
        <f>'Momnetum ranking'!B18</f>
        <v>Europe</v>
      </c>
      <c r="F32" s="48">
        <f>'Momnetum ranking'!J18</f>
        <v>1.620370370370372E-2</v>
      </c>
      <c r="G32" s="49">
        <f>'Momnetum ranking'!K18</f>
        <v>0.584313725490196</v>
      </c>
      <c r="H32" s="48">
        <f>'Momnetum ranking'!Q18</f>
        <v>0.97683679999999995</v>
      </c>
      <c r="I32" s="50">
        <f>'Momnetum ranking'!O18</f>
        <v>4.9459815000000003</v>
      </c>
      <c r="J32" s="30"/>
      <c r="K32" s="30">
        <f>_xlfn.RANK.EQ(F32,$F$32:$F$41)</f>
        <v>3</v>
      </c>
      <c r="L32" s="30">
        <f>_xlfn.RANK.EQ(G32,$G$32:$G$41)</f>
        <v>7</v>
      </c>
      <c r="M32" s="30">
        <f>_xlfn.RANK.EQ(H32,$H$32:$H$41)</f>
        <v>7</v>
      </c>
      <c r="N32" s="30">
        <f>_xlfn.RANK.EQ(I32,$I$32:$I$41)</f>
        <v>9</v>
      </c>
      <c r="O32" s="47">
        <f>MEDIAN(K32:N32)</f>
        <v>7</v>
      </c>
      <c r="P32" s="51">
        <f>O32-$O$34</f>
        <v>2.5</v>
      </c>
    </row>
    <row r="33" spans="5:16" x14ac:dyDescent="0.35">
      <c r="E33" s="30" t="str">
        <f>'Momnetum ranking'!B19</f>
        <v>EM</v>
      </c>
      <c r="F33" s="48">
        <f>'Momnetum ranking'!J19</f>
        <v>-6.9141039236479324E-2</v>
      </c>
      <c r="G33" s="49">
        <f>'Momnetum ranking'!K19</f>
        <v>0.40492804186655001</v>
      </c>
      <c r="H33" s="48">
        <f>'Momnetum ranking'!Q19</f>
        <v>0.98422270000000001</v>
      </c>
      <c r="I33" s="50">
        <f>'Momnetum ranking'!O19</f>
        <v>5.5675150000000002</v>
      </c>
      <c r="J33" s="30"/>
      <c r="K33" s="30">
        <f t="shared" ref="K33:K41" si="2">_xlfn.RANK.EQ(F33,$F$32:$F$41)</f>
        <v>8</v>
      </c>
      <c r="L33" s="30">
        <f t="shared" ref="L33:L41" si="3">_xlfn.RANK.EQ(G33,$G$32:$G$41)</f>
        <v>10</v>
      </c>
      <c r="M33" s="30">
        <f t="shared" ref="M33:M41" si="4">_xlfn.RANK.EQ(H33,$H$32:$H$41)</f>
        <v>6</v>
      </c>
      <c r="N33" s="30">
        <f t="shared" ref="N33:N41" si="5">_xlfn.RANK.EQ(I33,$I$32:$I$41)</f>
        <v>8</v>
      </c>
      <c r="O33" s="47">
        <f t="shared" ref="O33:O41" si="6">MEDIAN(K33:N33)</f>
        <v>8</v>
      </c>
      <c r="P33" s="51">
        <f t="shared" ref="P33:P41" si="7">O33-$O$34</f>
        <v>3.5</v>
      </c>
    </row>
    <row r="34" spans="5:16" x14ac:dyDescent="0.35">
      <c r="E34" s="30" t="str">
        <f>'Momnetum ranking'!B20</f>
        <v>World</v>
      </c>
      <c r="F34" s="48">
        <f>'Momnetum ranking'!J20</f>
        <v>3.4036759700476482E-3</v>
      </c>
      <c r="G34" s="49">
        <f>'Momnetum ranking'!K20</f>
        <v>0.72131147540983609</v>
      </c>
      <c r="H34" s="48">
        <f>'Momnetum ranking'!Q20</f>
        <v>0.98643154</v>
      </c>
      <c r="I34" s="50">
        <f>'Momnetum ranking'!O20</f>
        <v>7.8301429999999996</v>
      </c>
      <c r="J34" s="30"/>
      <c r="K34" s="30">
        <f t="shared" si="2"/>
        <v>5</v>
      </c>
      <c r="L34" s="30">
        <f t="shared" si="3"/>
        <v>3</v>
      </c>
      <c r="M34" s="30">
        <f t="shared" si="4"/>
        <v>5</v>
      </c>
      <c r="N34" s="30">
        <f t="shared" si="5"/>
        <v>4</v>
      </c>
      <c r="O34" s="47">
        <f t="shared" si="6"/>
        <v>4.5</v>
      </c>
      <c r="P34" s="51">
        <f t="shared" si="7"/>
        <v>0</v>
      </c>
    </row>
    <row r="35" spans="5:16" x14ac:dyDescent="0.35">
      <c r="E35" s="30" t="str">
        <f>'Momnetum ranking'!B21</f>
        <v>Japan</v>
      </c>
      <c r="F35" s="48">
        <f>'Momnetum ranking'!J21</f>
        <v>4.1095890410958902E-2</v>
      </c>
      <c r="G35" s="49">
        <f>'Momnetum ranking'!K21</f>
        <v>0.70319634703196299</v>
      </c>
      <c r="H35" s="48">
        <f>'Momnetum ranking'!Q21</f>
        <v>0.97120649999999997</v>
      </c>
      <c r="I35" s="50">
        <f>'Momnetum ranking'!O21</f>
        <v>6.3677789999999996</v>
      </c>
      <c r="J35" s="30"/>
      <c r="K35" s="30">
        <f t="shared" si="2"/>
        <v>1</v>
      </c>
      <c r="L35" s="30">
        <f t="shared" si="3"/>
        <v>4</v>
      </c>
      <c r="M35" s="30">
        <f t="shared" si="4"/>
        <v>8</v>
      </c>
      <c r="N35" s="30">
        <f t="shared" si="5"/>
        <v>7</v>
      </c>
      <c r="O35" s="47">
        <f t="shared" si="6"/>
        <v>5.5</v>
      </c>
      <c r="P35" s="51">
        <f t="shared" si="7"/>
        <v>1</v>
      </c>
    </row>
    <row r="36" spans="5:16" x14ac:dyDescent="0.35">
      <c r="E36" s="30" t="str">
        <f>'Momnetum ranking'!B22</f>
        <v>US</v>
      </c>
      <c r="F36" s="48">
        <f>'Momnetum ranking'!J22</f>
        <v>2.5793650793650813E-2</v>
      </c>
      <c r="G36" s="49">
        <f>'Momnetum ranking'!K22</f>
        <v>0.79441117764471103</v>
      </c>
      <c r="H36" s="48">
        <f>'Momnetum ranking'!Q22</f>
        <v>0.98740019999999995</v>
      </c>
      <c r="I36" s="50">
        <f>'Momnetum ranking'!O22</f>
        <v>9.0837479999999999</v>
      </c>
      <c r="J36" s="30"/>
      <c r="K36" s="30">
        <f t="shared" si="2"/>
        <v>2</v>
      </c>
      <c r="L36" s="30">
        <f t="shared" si="3"/>
        <v>2</v>
      </c>
      <c r="M36" s="30">
        <f t="shared" si="4"/>
        <v>3</v>
      </c>
      <c r="N36" s="30">
        <f t="shared" si="5"/>
        <v>1</v>
      </c>
      <c r="O36" s="47">
        <f t="shared" si="6"/>
        <v>2</v>
      </c>
      <c r="P36" s="51">
        <f t="shared" si="7"/>
        <v>-2.5</v>
      </c>
    </row>
    <row r="37" spans="5:16" x14ac:dyDescent="0.35">
      <c r="E37" s="30" t="s">
        <v>9</v>
      </c>
      <c r="F37" s="48">
        <f>'Momnetum ranking'!J23</f>
        <v>-0.11678832116788318</v>
      </c>
      <c r="G37" s="49">
        <f>'Momnetum ranking'!K23</f>
        <v>0.83823529411764697</v>
      </c>
      <c r="H37" s="48">
        <f>'Momnetum ranking'!Q23</f>
        <v>0.99809336999999998</v>
      </c>
      <c r="I37" s="50">
        <f>'Momnetum ranking'!O23</f>
        <v>6.4240693999999996</v>
      </c>
      <c r="J37" s="30"/>
      <c r="K37" s="30">
        <f t="shared" si="2"/>
        <v>9</v>
      </c>
      <c r="L37" s="30">
        <f t="shared" si="3"/>
        <v>1</v>
      </c>
      <c r="M37" s="30">
        <f t="shared" si="4"/>
        <v>1</v>
      </c>
      <c r="N37" s="30">
        <f t="shared" si="5"/>
        <v>6</v>
      </c>
      <c r="O37" s="47">
        <f t="shared" si="6"/>
        <v>3.5</v>
      </c>
      <c r="P37" s="51">
        <f t="shared" si="7"/>
        <v>-1</v>
      </c>
    </row>
    <row r="38" spans="5:16" x14ac:dyDescent="0.35">
      <c r="E38" s="30" t="s">
        <v>71</v>
      </c>
      <c r="F38" s="48">
        <f>'Momnetum ranking'!J24</f>
        <v>-6.8965517241379337E-2</v>
      </c>
      <c r="G38" s="49">
        <f>'Momnetum ranking'!K24</f>
        <v>0.66816143497757807</v>
      </c>
      <c r="H38" s="48">
        <f>'Momnetum ranking'!Q24</f>
        <v>0.98723406000000002</v>
      </c>
      <c r="I38" s="50">
        <f>'Momnetum ranking'!O24</f>
        <v>6.9321513000000001</v>
      </c>
      <c r="J38" s="30"/>
      <c r="K38" s="30">
        <f t="shared" si="2"/>
        <v>7</v>
      </c>
      <c r="L38" s="30">
        <f t="shared" si="3"/>
        <v>6</v>
      </c>
      <c r="M38" s="30">
        <f t="shared" si="4"/>
        <v>4</v>
      </c>
      <c r="N38" s="30">
        <f t="shared" si="5"/>
        <v>5</v>
      </c>
      <c r="O38" s="47">
        <f t="shared" si="6"/>
        <v>5.5</v>
      </c>
      <c r="P38" s="51">
        <f t="shared" si="7"/>
        <v>1</v>
      </c>
    </row>
    <row r="39" spans="5:16" x14ac:dyDescent="0.35">
      <c r="E39" s="30" t="s">
        <v>15</v>
      </c>
      <c r="F39" s="48">
        <f>'Momnetum ranking'!J25</f>
        <v>9.8039215686274717E-3</v>
      </c>
      <c r="G39" s="49">
        <f>'Momnetum ranking'!K25</f>
        <v>0.68627450980392202</v>
      </c>
      <c r="H39" s="48">
        <f>'Momnetum ranking'!Q25</f>
        <v>0.99116479999999996</v>
      </c>
      <c r="I39" s="50">
        <f>'Momnetum ranking'!O25</f>
        <v>8.9419249999999995</v>
      </c>
      <c r="J39" s="30"/>
      <c r="K39" s="30">
        <f t="shared" si="2"/>
        <v>4</v>
      </c>
      <c r="L39" s="30">
        <f t="shared" si="3"/>
        <v>5</v>
      </c>
      <c r="M39" s="30">
        <f t="shared" si="4"/>
        <v>2</v>
      </c>
      <c r="N39" s="30">
        <f t="shared" si="5"/>
        <v>2</v>
      </c>
      <c r="O39" s="47">
        <f t="shared" si="6"/>
        <v>3</v>
      </c>
      <c r="P39" s="51">
        <f t="shared" si="7"/>
        <v>-1.5</v>
      </c>
    </row>
    <row r="40" spans="5:16" x14ac:dyDescent="0.35">
      <c r="E40" s="30" t="s">
        <v>79</v>
      </c>
      <c r="F40" s="48">
        <f>'Momnetum ranking'!J26</f>
        <v>-4.1817243159525008E-2</v>
      </c>
      <c r="G40" s="49">
        <f>'Momnetum ranking'!K26</f>
        <v>0.49062499999999998</v>
      </c>
      <c r="H40" s="48">
        <f>'Momnetum ranking'!Q26</f>
        <v>0.95476099999999997</v>
      </c>
      <c r="I40" s="50">
        <f>'Momnetum ranking'!O26</f>
        <v>4.7780633000000003</v>
      </c>
      <c r="J40" s="30"/>
      <c r="K40" s="30">
        <f t="shared" si="2"/>
        <v>6</v>
      </c>
      <c r="L40" s="30">
        <f t="shared" si="3"/>
        <v>9</v>
      </c>
      <c r="M40" s="30">
        <f t="shared" si="4"/>
        <v>9</v>
      </c>
      <c r="N40" s="30">
        <f t="shared" si="5"/>
        <v>10</v>
      </c>
      <c r="O40" s="47">
        <f t="shared" si="6"/>
        <v>9</v>
      </c>
      <c r="P40" s="51">
        <f t="shared" si="7"/>
        <v>4.5</v>
      </c>
    </row>
    <row r="41" spans="5:16" x14ac:dyDescent="0.35">
      <c r="E41" s="30" t="s">
        <v>65</v>
      </c>
      <c r="F41" s="48">
        <f>'Momnetum ranking'!J27</f>
        <v>-0.45098039215686275</v>
      </c>
      <c r="G41" s="49">
        <f>'Momnetum ranking'!K27</f>
        <v>0.50980392156862697</v>
      </c>
      <c r="H41" s="48">
        <f>'Momnetum ranking'!Q27</f>
        <v>0.80877536999999999</v>
      </c>
      <c r="I41" s="50">
        <f>'Momnetum ranking'!O27</f>
        <v>8.1909770000000002</v>
      </c>
      <c r="J41" s="30"/>
      <c r="K41" s="30">
        <f t="shared" si="2"/>
        <v>10</v>
      </c>
      <c r="L41" s="30">
        <f t="shared" si="3"/>
        <v>8</v>
      </c>
      <c r="M41" s="30">
        <f t="shared" si="4"/>
        <v>10</v>
      </c>
      <c r="N41" s="30">
        <f t="shared" si="5"/>
        <v>3</v>
      </c>
      <c r="O41" s="47">
        <f t="shared" si="6"/>
        <v>9</v>
      </c>
      <c r="P41" s="51">
        <f t="shared" si="7"/>
        <v>4.5</v>
      </c>
    </row>
    <row r="42" spans="5:16" x14ac:dyDescent="0.35">
      <c r="F42" s="6"/>
      <c r="G42" s="5"/>
      <c r="H42" s="6"/>
      <c r="I42" s="3"/>
      <c r="O42" s="65"/>
      <c r="P42" s="66"/>
    </row>
    <row r="43" spans="5:16" ht="15" thickBot="1" x14ac:dyDescent="0.4">
      <c r="E43" s="34" t="s">
        <v>99</v>
      </c>
      <c r="K43" s="34" t="s">
        <v>100</v>
      </c>
    </row>
    <row r="44" spans="5:16" ht="15" thickBot="1" x14ac:dyDescent="0.4">
      <c r="E44" s="31" t="s">
        <v>87</v>
      </c>
      <c r="F44" s="39"/>
      <c r="G44" s="32" t="s">
        <v>75</v>
      </c>
      <c r="H44" s="32" t="s">
        <v>76</v>
      </c>
      <c r="I44" s="33" t="s">
        <v>74</v>
      </c>
      <c r="K44" s="35"/>
      <c r="L44" s="32" t="s">
        <v>63</v>
      </c>
      <c r="M44" s="33" t="s">
        <v>64</v>
      </c>
    </row>
    <row r="45" spans="5:16" x14ac:dyDescent="0.35">
      <c r="E45" s="20" t="s">
        <v>42</v>
      </c>
      <c r="F45" s="1" t="s">
        <v>31</v>
      </c>
      <c r="G45" t="str">
        <f>IF(HLOOKUP($E45,'Factset Price Data'!$C$208:$Q$215,6,FALSE)&gt;=1,"INVESTED","CASH")</f>
        <v>CASH</v>
      </c>
      <c r="H45" t="str">
        <f>IF(HLOOKUP($E45,'Factset Price Data'!$C$208:$Q$215,7,FALSE)&gt;=1,"INVESTED","CASH")</f>
        <v>INVESTED</v>
      </c>
      <c r="I45" s="36" t="str">
        <f>IF(HLOOKUP($E45,'Factset Price Data'!$C$208:$Q$215,8,FALSE)&gt;=1,"INVESTED","CASH")</f>
        <v>INVESTED</v>
      </c>
      <c r="K45" s="20" t="s">
        <v>42</v>
      </c>
      <c r="L45" s="6">
        <f>'Momnetum ranking'!H18</f>
        <v>0.36496913580246915</v>
      </c>
      <c r="M45" s="21">
        <f>'Momnetum ranking'!I18</f>
        <v>0.34876543209876543</v>
      </c>
    </row>
    <row r="46" spans="5:16" x14ac:dyDescent="0.35">
      <c r="E46" s="20" t="s">
        <v>4</v>
      </c>
      <c r="F46" s="1" t="s">
        <v>47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</v>
      </c>
      <c r="L46" s="6">
        <f>'Momnetum ranking'!H19</f>
        <v>0.15185577942735948</v>
      </c>
      <c r="M46" s="21">
        <f>'Momnetum ranking'!I19</f>
        <v>0.2209968186638388</v>
      </c>
    </row>
    <row r="47" spans="5:16" x14ac:dyDescent="0.35">
      <c r="E47" s="20" t="s">
        <v>49</v>
      </c>
      <c r="F47" s="1" t="s">
        <v>50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49</v>
      </c>
      <c r="L47" s="6">
        <f>'Momnetum ranking'!H20</f>
        <v>0.37848876786929886</v>
      </c>
      <c r="M47" s="21">
        <f>'Momnetum ranking'!I20</f>
        <v>0.37508509189925121</v>
      </c>
    </row>
    <row r="48" spans="5:16" x14ac:dyDescent="0.35">
      <c r="E48" s="20" t="s">
        <v>12</v>
      </c>
      <c r="F48" s="1" t="s">
        <v>51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12</v>
      </c>
      <c r="L48" s="6">
        <f>'Momnetum ranking'!H21</f>
        <v>0.44292237442922372</v>
      </c>
      <c r="M48" s="21">
        <f>'Momnetum ranking'!I21</f>
        <v>0.40182648401826482</v>
      </c>
    </row>
    <row r="49" spans="5:15" x14ac:dyDescent="0.35">
      <c r="E49" s="20" t="s">
        <v>1</v>
      </c>
      <c r="F49" s="1" t="s">
        <v>28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</v>
      </c>
      <c r="L49" s="6">
        <f>'Momnetum ranking'!H22</f>
        <v>0.3611111111111111</v>
      </c>
      <c r="M49" s="21">
        <f>'Momnetum ranking'!I22</f>
        <v>0.33531746031746029</v>
      </c>
    </row>
    <row r="50" spans="5:15" x14ac:dyDescent="0.35">
      <c r="E50" s="20" t="s">
        <v>9</v>
      </c>
      <c r="F50" s="1" t="s">
        <v>9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9</v>
      </c>
      <c r="L50" s="6">
        <f>'Momnetum ranking'!H23</f>
        <v>0.34306569343065696</v>
      </c>
      <c r="M50" s="21">
        <f>'Momnetum ranking'!I23</f>
        <v>0.45985401459854014</v>
      </c>
    </row>
    <row r="51" spans="5:15" x14ac:dyDescent="0.35">
      <c r="E51" s="20" t="s">
        <v>71</v>
      </c>
      <c r="F51" s="1" t="s">
        <v>71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71</v>
      </c>
      <c r="L51" s="6">
        <f>'Momnetum ranking'!H24</f>
        <v>0.33908045977011492</v>
      </c>
      <c r="M51" s="21">
        <f>'Momnetum ranking'!I24</f>
        <v>0.40804597701149425</v>
      </c>
    </row>
    <row r="52" spans="5:15" x14ac:dyDescent="0.35">
      <c r="E52" s="20" t="s">
        <v>15</v>
      </c>
      <c r="F52" s="1" t="s">
        <v>15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15</v>
      </c>
      <c r="L52" s="6">
        <f>'Momnetum ranking'!H25</f>
        <v>0.3235294117647059</v>
      </c>
      <c r="M52" s="21">
        <f>'Momnetum ranking'!I25</f>
        <v>0.31372549019607843</v>
      </c>
    </row>
    <row r="53" spans="5:15" ht="15" thickBot="1" x14ac:dyDescent="0.4">
      <c r="E53" s="9" t="s">
        <v>79</v>
      </c>
      <c r="F53" s="38" t="s">
        <v>78</v>
      </c>
      <c r="G53" s="10" t="str">
        <f>IF(HLOOKUP($E53,'Factset Price Data'!$C$208:$Q$215,6,FALSE)&gt;=1,"INVESTED","CASH")</f>
        <v>CASH</v>
      </c>
      <c r="H53" s="10" t="str">
        <f>IF(HLOOKUP($E53,'Factset Price Data'!$C$208:$Q$215,7,FALSE)&gt;=1,"INVESTED","CASH")</f>
        <v>INVESTED</v>
      </c>
      <c r="I53" s="37" t="str">
        <f>IF(HLOOKUP($E53,'Factset Price Data'!$C$208:$Q$215,8,FALSE)&gt;=1,"INVESTED","CASH")</f>
        <v>INVESTED</v>
      </c>
      <c r="K53" s="20" t="s">
        <v>79</v>
      </c>
      <c r="L53" s="6">
        <f>'Momnetum ranking'!H26</f>
        <v>0.22767165720185856</v>
      </c>
      <c r="M53" s="21">
        <f>'Momnetum ranking'!I26</f>
        <v>0.26948890036138357</v>
      </c>
    </row>
    <row r="54" spans="5:15" ht="15" thickBot="1" x14ac:dyDescent="0.4">
      <c r="K54" s="9" t="s">
        <v>65</v>
      </c>
      <c r="L54" s="26">
        <f>'Momnetum ranking'!H27</f>
        <v>0.23529411764705882</v>
      </c>
      <c r="M54" s="22">
        <f>'Momnetum ranking'!I27</f>
        <v>0.68627450980392157</v>
      </c>
    </row>
    <row r="56" spans="5:15" ht="15" thickBot="1" x14ac:dyDescent="0.4">
      <c r="E56" s="34" t="s">
        <v>101</v>
      </c>
    </row>
    <row r="57" spans="5:15" x14ac:dyDescent="0.35">
      <c r="E57" s="23" t="s">
        <v>1</v>
      </c>
      <c r="F57" s="40">
        <f>'Global Value'!M3</f>
        <v>5.5515222945477172E-2</v>
      </c>
      <c r="G57" s="1"/>
      <c r="J57" s="6"/>
    </row>
    <row r="58" spans="5:15" x14ac:dyDescent="0.35">
      <c r="E58" s="20" t="s">
        <v>15</v>
      </c>
      <c r="F58" s="21">
        <f>'Global Value'!M4</f>
        <v>0.1212861810103405</v>
      </c>
      <c r="J58" s="6"/>
    </row>
    <row r="59" spans="5:15" x14ac:dyDescent="0.35">
      <c r="E59" s="20" t="s">
        <v>12</v>
      </c>
      <c r="F59" s="21">
        <f>'Global Value'!M5</f>
        <v>6.4648536386172364E-2</v>
      </c>
      <c r="J59" s="6"/>
    </row>
    <row r="60" spans="5:15" x14ac:dyDescent="0.35">
      <c r="E60" s="20" t="s">
        <v>94</v>
      </c>
      <c r="F60" s="21">
        <f>'Global Value'!M6</f>
        <v>2.0064229099756442E-2</v>
      </c>
      <c r="J60" s="6"/>
    </row>
    <row r="61" spans="5:15" x14ac:dyDescent="0.35">
      <c r="E61" s="20" t="s">
        <v>49</v>
      </c>
      <c r="F61" s="21">
        <f>'Global Value'!M7</f>
        <v>4.2528561171019358E-2</v>
      </c>
      <c r="J61" s="6"/>
      <c r="O61" s="19"/>
    </row>
    <row r="62" spans="5:15" x14ac:dyDescent="0.35">
      <c r="E62" s="20" t="s">
        <v>9</v>
      </c>
      <c r="F62" s="21">
        <f>'Global Value'!M8</f>
        <v>1.7734817344750214E-2</v>
      </c>
      <c r="J62" s="6"/>
    </row>
    <row r="63" spans="5:15" ht="15" thickBot="1" x14ac:dyDescent="0.4">
      <c r="E63" s="9" t="s">
        <v>65</v>
      </c>
      <c r="F63" s="22">
        <f>'Global Value'!M9</f>
        <v>8.7658476230661822E-2</v>
      </c>
      <c r="J63" s="6"/>
    </row>
    <row r="64" spans="5:15" x14ac:dyDescent="0.35">
      <c r="F64" s="6"/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</sheetData>
  <conditionalFormatting sqref="F4:H9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5:I53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7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2:P42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24.9561935736211</v>
      </c>
      <c r="G3" s="4" cm="1">
        <f t="array" ref="G3">_xll.FDS(A3,"FG_PE_NTM(0,,,90,0)")</f>
        <v>20.684165547830499</v>
      </c>
      <c r="H3" cm="1">
        <f t="array" ref="H3">_xll.FDS(A3,"FMA_DIV_YLD(NTMA,NOW,NOW,M,""PORTAGG"",""MEANR"")")</f>
        <v>1.42735403440696</v>
      </c>
      <c r="I3" s="60" cm="1">
        <f t="array" ref="I3">_xll.FDS(A3,"FG_FCF_YIELD_NTM(0)")</f>
        <v>4.1407087512940901</v>
      </c>
      <c r="J3" s="59">
        <f>HLOOKUP(A3,'Index earnings'!$B$1:$H$26,26,FALSE)</f>
        <v>5.9820135432536281E-2</v>
      </c>
      <c r="K3" cm="1">
        <f t="array" ref="K3">_xll.FDS(E3,"FG_YIELD(0,,,,""YTM"")")</f>
        <v>4.5712000000000002</v>
      </c>
      <c r="L3" s="61">
        <f>I3/100+J3</f>
        <v>0.10122722294547717</v>
      </c>
      <c r="M3" s="21">
        <f>L3-K3/100</f>
        <v>5.5515222945477172E-2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31.5676782696973</v>
      </c>
      <c r="G4" s="4" cm="1">
        <f t="array" ref="G4">_xll.FDS(A4,"FG_PE_NTM(0,,,90,0)")</f>
        <v>25.7118384170649</v>
      </c>
      <c r="H4" cm="1">
        <f t="array" ref="H4">_xll.FDS(A4,"FMA_DIV_YLD(NTMA,NOW,NOW,M,""PORTAGG"",""MEANR"")")</f>
        <v>0.88297584745320501</v>
      </c>
      <c r="I4" s="60" cm="1">
        <f t="array" ref="I4">_xll.FDS(A4,"FG_FCF_YIELD_NTM(0)")</f>
        <v>3.71088582524757</v>
      </c>
      <c r="J4" s="59">
        <f>HLOOKUP(A4,'Index earnings'!$B$1:$H$26,26,FALSE)</f>
        <v>0.1298893227578648</v>
      </c>
      <c r="K4" cm="1">
        <f t="array" ref="K4">_xll.FDS(E4,"FG_YIELD(0,,,,""YTM"")")</f>
        <v>4.5712000000000002</v>
      </c>
      <c r="L4" s="61">
        <f t="shared" ref="L4:L8" si="0">I4/100+J4</f>
        <v>0.1669981810103405</v>
      </c>
      <c r="M4" s="21">
        <f t="shared" ref="M4:M9" si="1">L4-K4/100</f>
        <v>0.1212861810103405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15.966575618927299</v>
      </c>
      <c r="G5" s="4" cm="1">
        <f t="array" ref="G5">_xll.FDS(A5,"FG_PE_NTM(0,,,90,0)")</f>
        <v>15.5870373517673</v>
      </c>
      <c r="H5" cm="1">
        <f t="array" ref="H5">_xll.FDS(A5,"FMA_DIV_YLD(NTMA,NOW,NOW,M,""PORTAGG"",""MEANR"")")</f>
        <v>2.15743515502353</v>
      </c>
      <c r="I5" s="60" cm="1">
        <f t="array" ref="I5">_xll.FDS(A5,"FG_FCF_YIELD_NTM(0)")</f>
        <v>4.0649598732756997</v>
      </c>
      <c r="J5" s="59">
        <f>HLOOKUP(A5,'Index earnings'!$B$1:$H$26,26,FALSE)</f>
        <v>3.2559937653415361E-2</v>
      </c>
      <c r="K5" cm="1">
        <f t="array" ref="K5">_xll.FDS(E5,"FG_YIELD(0,,,,""YTM"")")</f>
        <v>0.85609999999999997</v>
      </c>
      <c r="L5" s="61">
        <f t="shared" si="0"/>
        <v>7.3209536386172364E-2</v>
      </c>
      <c r="M5" s="21">
        <f t="shared" si="1"/>
        <v>6.4648536386172364E-2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13.8554143646629</v>
      </c>
      <c r="G6" s="4" cm="1">
        <f t="array" ref="G6">_xll.FDS(A6,"FG_PE_NTM(0,,,90,0)")</f>
        <v>14.211001732183799</v>
      </c>
      <c r="H6" cm="1">
        <f t="array" ref="H6">_xll.FDS(A6,"FMA_DIV_YLD(NTMA,NOW,NOW,M,""PORTAGG"",""MEANR"")")</f>
        <v>3.0686008878767601</v>
      </c>
      <c r="I6" s="60" cm="1">
        <f t="array" ref="I6">_xll.FDS(A6,"FG_FCF_YIELD_NTM(0)")</f>
        <v>4.90641837424225</v>
      </c>
      <c r="J6" s="59">
        <f>HLOOKUP(A6,'Index earnings'!$B$1:$H$26,26,FALSE)</f>
        <v>1.6712045357333949E-2</v>
      </c>
      <c r="K6" cm="1">
        <f t="array" ref="K6">_xll.FDS(E6,"FG_YIELD(0,,,,""YTM"")")</f>
        <v>4.5712000000000002</v>
      </c>
      <c r="L6" s="61">
        <f t="shared" si="0"/>
        <v>6.5776229099756445E-2</v>
      </c>
      <c r="M6" s="21">
        <f t="shared" si="1"/>
        <v>2.0064229099756442E-2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20.500416337912899</v>
      </c>
      <c r="G7" s="4" cm="1">
        <f t="array" ref="G7">_xll.FDS(A7,"FG_PE_NTM(0,,,90,0)")</f>
        <v>18.393054139629101</v>
      </c>
      <c r="H7" cm="1">
        <f t="array" ref="H7">_xll.FDS(A7,"FMA_DIV_YLD(NTMA,NOW,NOW,M,""PORTAGG"",""MEANR"")")</f>
        <v>1.9168367339269501</v>
      </c>
      <c r="I7" s="60" cm="1">
        <f t="array" ref="I7">_xll.FDS(A7,"FG_FCF_YIELD_NTM(0)")</f>
        <v>4.3649261546159499</v>
      </c>
      <c r="J7" s="59">
        <f>HLOOKUP(A7,'Index earnings'!$B$1:$H$26,26,FALSE)</f>
        <v>4.4591299624859859E-2</v>
      </c>
      <c r="K7" cm="1">
        <f t="array" ref="K7">_xll.FDS(E7,"FG_YIELD(0,,,,""YTM"")")</f>
        <v>4.5712000000000002</v>
      </c>
      <c r="L7" s="61">
        <f t="shared" si="0"/>
        <v>8.824056117101936E-2</v>
      </c>
      <c r="M7" s="21">
        <f t="shared" si="1"/>
        <v>4.2528561171019358E-2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24.729786679283901</v>
      </c>
      <c r="G8" s="4" cm="1">
        <f t="array" ref="G8">_xll.FDS(A8,"FG_PE_NTM(0,,,90,0)")</f>
        <v>22.731057730499401</v>
      </c>
      <c r="H8" cm="1">
        <f t="array" ref="H8">_xll.FDS(A8,"FMA_DIV_YLD(NTMA,NOW,NOW,M,""PORTAGG"",""MEANR"")")</f>
        <v>1.3441281527992599</v>
      </c>
      <c r="I8" s="60" cm="1">
        <f t="array" ref="I8">_xll.FDS(A8,"FG_FCF_YIELD_NTM(0)")</f>
        <v>2.8708322873342098</v>
      </c>
      <c r="J8" s="59">
        <f>HLOOKUP(A8,'Index earnings'!$B$1:$H$26,26,FALSE)</f>
        <v>6.0151494471408107E-2</v>
      </c>
      <c r="K8" cm="1">
        <f t="array" ref="K8">_xll.FDS(E8,"FG_YIELD(0,,,,""YTM"")")</f>
        <v>7.1124999999999998</v>
      </c>
      <c r="L8" s="61">
        <f t="shared" si="0"/>
        <v>8.8859817344750208E-2</v>
      </c>
      <c r="M8" s="21">
        <f t="shared" si="1"/>
        <v>1.7734817344750214E-2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9.4794613811158293</v>
      </c>
      <c r="G9" s="53" cm="1">
        <f t="array" ref="G9">_xll.FDS(A9,"FG_PE_NTM(0,,,90,0)")</f>
        <v>7.3200380483853804</v>
      </c>
      <c r="H9" s="10" cm="1">
        <f t="array" ref="H9">_xll.FDS(A9,"FMA_DIV_YLD(NTMA,NOW,NOW,M,""PORTAGG"",""MEANR"")")</f>
        <v>3.8536197102757099</v>
      </c>
      <c r="I9" s="41" cm="1">
        <f t="array" ref="I9">_xll.FDS(A9,"FG_FCF_YIELD_NTM(0)")</f>
        <v>7.3660186354602697</v>
      </c>
      <c r="J9" s="62">
        <f>HLOOKUP(A9,'Index earnings'!$B$1:$H$26,26,FALSE)</f>
        <v>7.2169279127904717E-2</v>
      </c>
      <c r="K9" s="10" cm="1">
        <f t="array" ref="K9">_xll.FDS(E9,"FG_YIELD(0,,,,""YTM"")")</f>
        <v>2.3047</v>
      </c>
      <c r="L9" s="54">
        <f>H9/100+J9</f>
        <v>0.11070547623066182</v>
      </c>
      <c r="M9" s="22">
        <f t="shared" si="1"/>
        <v>8.7658476230661822E-2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5" sqref="A1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1.4073491</v>
      </c>
      <c r="F3" s="3" cm="1">
        <f t="array" ref="F3">_xll.FDS(C3,"FG_TOTAL_RETURNC(0,-3AM)")</f>
        <v>5.5675150000000002</v>
      </c>
      <c r="G3" s="3" cm="1">
        <f t="array" ref="G3">_xll.FDS(C3,"FG_TOTAL_RETURNC(0,-6AM)")</f>
        <v>9.5271830000000008</v>
      </c>
      <c r="H3" s="6" cm="1">
        <f t="array" ref="H3">_xll.FDS(C3,"P_PRICE(0)/P_PRICE_HIGH_PR(0,,,USD,,,""PRICE"",""INTRA"",""52W"")")</f>
        <v>0.98422270000000001</v>
      </c>
      <c r="K3" s="4">
        <f>_xlfn.RANK.EQ(H3,H$3:H$15)</f>
        <v>6</v>
      </c>
      <c r="L3" s="4">
        <f>_xlfn.RANK.EQ(F3,F$3:F$15)</f>
        <v>10</v>
      </c>
      <c r="M3" s="4">
        <f>_xlfn.RANK.EQ(G3,G$3:G$15)</f>
        <v>9</v>
      </c>
      <c r="N3" s="4"/>
      <c r="P3" s="3">
        <f t="shared" ref="P3:P15" si="0">SUMPRODUCT($K$2:$M$2,K3:M3)</f>
        <v>8.25</v>
      </c>
      <c r="Q3">
        <f t="shared" ref="Q3:Q15" si="1">COUNTIF(K3:N3,"&gt;70")</f>
        <v>0</v>
      </c>
      <c r="S3" s="3">
        <f>14-_xlfn.RANK.EQ(P3,$P$3:$P$15)</f>
        <v>9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1.6312956999999999</v>
      </c>
      <c r="F4" s="3" cm="1">
        <f t="array" ref="F4">_xll.FDS(C4,"FG_TOTAL_RETURNC(0,-3AM)")</f>
        <v>9.0837479999999999</v>
      </c>
      <c r="G4" s="3" cm="1">
        <f t="array" ref="G4">_xll.FDS(C4,"FG_TOTAL_RETURNC(0,-6AM)")</f>
        <v>19.575261999999999</v>
      </c>
      <c r="H4" s="6" cm="1">
        <f t="array" ref="H4">_xll.FDS(C4,"P_PRICE(0)/P_PRICE_HIGH_PR(0,,,USD,,,""PRICE"",""INTRA"",""52W"")")</f>
        <v>0.98740019999999995</v>
      </c>
      <c r="I4" s="29"/>
      <c r="K4" s="4">
        <f t="shared" ref="K4:K15" si="3">_xlfn.RANK.EQ(H4,H$3:H$15)</f>
        <v>4</v>
      </c>
      <c r="L4" s="4">
        <f t="shared" ref="L4:L15" si="4">_xlfn.RANK.EQ(F4,F$3:F$15)</f>
        <v>5</v>
      </c>
      <c r="M4" s="4">
        <f t="shared" ref="M4:M15" si="5">_xlfn.RANK.EQ(G4,G$3:G$15)</f>
        <v>5</v>
      </c>
      <c r="N4" s="4"/>
      <c r="P4" s="3">
        <f t="shared" si="0"/>
        <v>4.62</v>
      </c>
      <c r="Q4">
        <f t="shared" si="1"/>
        <v>0</v>
      </c>
      <c r="S4" s="3">
        <f t="shared" ref="S4:S15" si="6">14-_xlfn.RANK.EQ(P4,$P$3:$P$15)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8.8118789999999994</v>
      </c>
      <c r="F5" s="3" cm="1">
        <f t="array" ref="F5">_xll.FDS(C5,"FG_TOTAL_RETURNC(0,-3AM)")</f>
        <v>16.995799999999999</v>
      </c>
      <c r="G5" s="3" cm="1">
        <f t="array" ref="G5">_xll.FDS(C5,"FG_TOTAL_RETURNC(0,-6AM)")</f>
        <v>26.474487</v>
      </c>
      <c r="H5" s="6" cm="1">
        <f t="array" ref="H5">_xll.FDS(C5,"P_PRICE(0)/P_PRICE_HIGH_PR(0,,,USD,,,""PRICE"",""INTRA"",""52W"")")</f>
        <v>0.99981810000000004</v>
      </c>
      <c r="I5" s="29"/>
      <c r="K5" s="4">
        <f t="shared" si="3"/>
        <v>1</v>
      </c>
      <c r="L5" s="4">
        <f t="shared" si="4"/>
        <v>4</v>
      </c>
      <c r="M5" s="4">
        <f t="shared" si="5"/>
        <v>2</v>
      </c>
      <c r="N5" s="4"/>
      <c r="P5" s="3">
        <f t="shared" si="0"/>
        <v>2.31</v>
      </c>
      <c r="Q5">
        <f t="shared" si="1"/>
        <v>0</v>
      </c>
      <c r="S5" s="3">
        <f t="shared" si="6"/>
        <v>2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2.8766631999999999</v>
      </c>
      <c r="F6" s="3" cm="1">
        <f t="array" ref="F6">_xll.FDS(C6,"FG_TOTAL_RETURNC(0,-3AM)")</f>
        <v>4.3398975999999996</v>
      </c>
      <c r="G6" s="3" cm="1">
        <f t="array" ref="G6">_xll.FDS(C6,"FG_TOTAL_RETURNC(0,-6AM)")</f>
        <v>2.6183844000000001</v>
      </c>
      <c r="H6" s="6" cm="1">
        <f t="array" ref="H6">_xll.FDS(C6,"P_PRICE(0)/P_PRICE_HIGH_PR(0,,,USD,,,""PRICE"",""INTRA"",""52W"")")</f>
        <v>0.94845020000000002</v>
      </c>
      <c r="I6" s="29"/>
      <c r="K6" s="4">
        <f t="shared" si="3"/>
        <v>11</v>
      </c>
      <c r="L6" s="4">
        <f t="shared" si="4"/>
        <v>12</v>
      </c>
      <c r="M6" s="4">
        <f t="shared" si="5"/>
        <v>12</v>
      </c>
      <c r="N6" s="4"/>
      <c r="P6" s="3">
        <f t="shared" si="0"/>
        <v>11.55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1.9579291000000001</v>
      </c>
      <c r="F7" s="3" cm="1">
        <f t="array" ref="F7">_xll.FDS(C7,"FG_TOTAL_RETURNC(0,-3AM)")</f>
        <v>8.9419249999999995</v>
      </c>
      <c r="G7" s="3" cm="1">
        <f t="array" ref="G7">_xll.FDS(C7,"FG_TOTAL_RETURNC(0,-6AM)")</f>
        <v>20.433605</v>
      </c>
      <c r="H7" s="6" cm="1">
        <f t="array" ref="H7">_xll.FDS(C7,"P_PRICE(0)/P_PRICE_HIGH_PR(0,,,USD,,,""PRICE"",""INTRA"",""52W"")")</f>
        <v>0.99116479999999996</v>
      </c>
      <c r="I7" s="1"/>
      <c r="K7" s="4">
        <f t="shared" si="3"/>
        <v>3</v>
      </c>
      <c r="L7" s="4">
        <f t="shared" si="4"/>
        <v>6</v>
      </c>
      <c r="M7" s="4">
        <f t="shared" si="5"/>
        <v>4</v>
      </c>
      <c r="N7" s="4"/>
      <c r="P7" s="3">
        <f t="shared" si="0"/>
        <v>4.29</v>
      </c>
      <c r="Q7">
        <f t="shared" si="1"/>
        <v>0</v>
      </c>
      <c r="S7" s="3">
        <f t="shared" si="6"/>
        <v>4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10.8179455</v>
      </c>
      <c r="F8" s="3" cm="1">
        <f t="array" ref="F8">_xll.FDS(C8,"FG_TOTAL_RETURNC(0,-3AM)")</f>
        <v>21.621632000000002</v>
      </c>
      <c r="G8" s="3" cm="1">
        <f t="array" ref="G8">_xll.FDS(C8,"FG_TOTAL_RETURNC(0,-6AM)")</f>
        <v>23.080074</v>
      </c>
      <c r="H8" s="6" cm="1">
        <f t="array" ref="H8">_xll.FDS(C8,"P_PRICE(0)/P_PRICE_HIGH_PR(0,,,USD,,,""PRICE"",""INTRA"",""52W"")")</f>
        <v>0.99329920000000005</v>
      </c>
      <c r="I8" s="1"/>
      <c r="K8" s="4">
        <f t="shared" si="3"/>
        <v>2</v>
      </c>
      <c r="L8" s="4">
        <f t="shared" si="4"/>
        <v>2</v>
      </c>
      <c r="M8" s="4">
        <f t="shared" si="5"/>
        <v>3</v>
      </c>
      <c r="N8" s="4"/>
      <c r="P8" s="3">
        <f t="shared" si="0"/>
        <v>2.31</v>
      </c>
      <c r="Q8">
        <f t="shared" si="1"/>
        <v>0</v>
      </c>
      <c r="S8" s="3">
        <f t="shared" si="6"/>
        <v>2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10.771523999999999</v>
      </c>
      <c r="F9" s="3" cm="1">
        <f t="array" ref="F9">_xll.FDS(C9,"FG_TOTAL_RETURNC(0,-3AM)")</f>
        <v>20.546935999999999</v>
      </c>
      <c r="G9" s="3" cm="1">
        <f t="array" ref="G9">_xll.FDS(C9,"FG_TOTAL_RETURNC(0,-6AM)")</f>
        <v>7.7705859999999998</v>
      </c>
      <c r="H9" s="6" cm="1">
        <f t="array" ref="H9">_xll.FDS(C9,"P_PRICE(0)/P_PRICE_HIGH_PR(0,,,USD,,,""PRICE"",""INTRA"",""52W"")")</f>
        <v>0.97910916999999997</v>
      </c>
      <c r="I9" s="1"/>
      <c r="K9" s="4">
        <f t="shared" si="3"/>
        <v>7</v>
      </c>
      <c r="L9" s="4">
        <f t="shared" si="4"/>
        <v>3</v>
      </c>
      <c r="M9" s="4">
        <f t="shared" si="5"/>
        <v>10</v>
      </c>
      <c r="N9" s="4"/>
      <c r="P9" s="3">
        <f t="shared" si="0"/>
        <v>6.6</v>
      </c>
      <c r="Q9">
        <f t="shared" si="1"/>
        <v>0</v>
      </c>
      <c r="S9" s="3">
        <f t="shared" si="6"/>
        <v>7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-5.8181704999999999</v>
      </c>
      <c r="F10" s="3" cm="1">
        <f t="array" ref="F10">_xll.FDS(C10,"FG_TOTAL_RETURNC(0,-3AM)")</f>
        <v>-6.2349796</v>
      </c>
      <c r="G10" s="3" cm="1">
        <f t="array" ref="G10">_xll.FDS(C10,"FG_TOTAL_RETURNC(0,-6AM)")</f>
        <v>3.4860015</v>
      </c>
      <c r="H10" s="6" cm="1">
        <f t="array" ref="H10">_xll.FDS(C10,"P_PRICE(0)/P_PRICE_HIGH_PR(0,,,USD,,,""PRICE"",""INTRA"",""52W"")")</f>
        <v>0.83629759999999997</v>
      </c>
      <c r="K10" s="4">
        <f t="shared" si="3"/>
        <v>12</v>
      </c>
      <c r="L10" s="4">
        <f t="shared" si="4"/>
        <v>13</v>
      </c>
      <c r="M10" s="4">
        <f t="shared" si="5"/>
        <v>11</v>
      </c>
      <c r="N10" s="4"/>
      <c r="P10" s="3">
        <f t="shared" si="0"/>
        <v>11.88</v>
      </c>
      <c r="Q10">
        <f t="shared" si="1"/>
        <v>0</v>
      </c>
      <c r="S10" s="3">
        <f t="shared" si="6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-0.40727854000000002</v>
      </c>
      <c r="F11" s="3" cm="1">
        <f t="array" ref="F11">_xll.FDS(C11,"FG_TOTAL_RETURNC(0,-3AM)")</f>
        <v>4.9459815000000003</v>
      </c>
      <c r="G11" s="3" cm="1">
        <f t="array" ref="G11">_xll.FDS(C11,"FG_TOTAL_RETURNC(0,-6AM)")</f>
        <v>14.065636</v>
      </c>
      <c r="H11" s="6" cm="1">
        <f t="array" ref="H11">_xll.FDS(C11,"P_PRICE(0)/P_PRICE_HIGH_PR(0,,,USD,,,""PRICE"",""INTRA"",""52W"")")</f>
        <v>0.97683679999999995</v>
      </c>
      <c r="K11" s="4">
        <f t="shared" si="3"/>
        <v>8</v>
      </c>
      <c r="L11" s="4">
        <f t="shared" si="4"/>
        <v>11</v>
      </c>
      <c r="M11" s="4">
        <f t="shared" si="5"/>
        <v>8</v>
      </c>
      <c r="P11" s="3">
        <f t="shared" si="0"/>
        <v>8.91</v>
      </c>
      <c r="Q11">
        <f t="shared" si="1"/>
        <v>0</v>
      </c>
      <c r="S11" s="3">
        <f t="shared" si="6"/>
        <v>10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1.3985991</v>
      </c>
      <c r="F12" s="3" cm="1">
        <f t="array" ref="F12">_xll.FDS(C12,"FG_TOTAL_RETURNC(0,-3AM)")</f>
        <v>6.9321513000000001</v>
      </c>
      <c r="G12" s="3" cm="1">
        <f t="array" ref="G12">_xll.FDS(C12,"FG_TOTAL_RETURNC(0,-6AM)")</f>
        <v>16.753053999999999</v>
      </c>
      <c r="H12" s="6" cm="1">
        <f t="array" ref="H12">_xll.FDS(C12,"P_PRICE(0)/P_PRICE_HIGH_PR(0,,,USD,,,""PRICE"",""INTRA"",""52W"")")</f>
        <v>0.98723406000000002</v>
      </c>
      <c r="K12" s="4">
        <f t="shared" si="3"/>
        <v>5</v>
      </c>
      <c r="L12" s="4">
        <f t="shared" si="4"/>
        <v>8</v>
      </c>
      <c r="M12" s="4">
        <f t="shared" si="5"/>
        <v>7</v>
      </c>
      <c r="P12" s="3">
        <f t="shared" si="0"/>
        <v>6.6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0.56034326999999995</v>
      </c>
      <c r="F13" s="3" cm="1">
        <f t="array" ref="F13">_xll.FDS(C13,"FG_TOTAL_RETURNC(0,-3AM)")</f>
        <v>6.3677789999999996</v>
      </c>
      <c r="G13" s="3" cm="1">
        <f t="array" ref="G13">_xll.FDS(C13,"FG_TOTAL_RETURNC(0,-6AM)")</f>
        <v>17.940353000000002</v>
      </c>
      <c r="H13" s="6" cm="1">
        <f t="array" ref="H13">_xll.FDS(C13,"P_PRICE(0)/P_PRICE_HIGH_PR(0,,,USD,,,""PRICE"",""INTRA"",""52W"")")</f>
        <v>0.97120649999999997</v>
      </c>
      <c r="K13" s="4">
        <f t="shared" si="3"/>
        <v>9</v>
      </c>
      <c r="L13" s="4">
        <f t="shared" si="4"/>
        <v>9</v>
      </c>
      <c r="M13" s="4">
        <f t="shared" si="5"/>
        <v>6</v>
      </c>
      <c r="P13" s="3">
        <f t="shared" si="0"/>
        <v>7.92</v>
      </c>
      <c r="Q13">
        <f t="shared" si="1"/>
        <v>0</v>
      </c>
      <c r="S13" s="3">
        <f t="shared" si="6"/>
        <v>8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2.7454257000000002</v>
      </c>
      <c r="F14" s="3" cm="1">
        <f t="array" ref="F14">_xll.FDS(C14,"FG_TOTAL_RETURNC(0,-3AM)")</f>
        <v>8.1909770000000002</v>
      </c>
      <c r="G14" s="3" cm="1">
        <f t="array" ref="G14">_xll.FDS(C14,"FG_TOTAL_RETURNC(0,-6AM)")</f>
        <v>-6.6117705999999998</v>
      </c>
      <c r="H14" s="6" cm="1">
        <f t="array" ref="H14">_xll.FDS(C14,"P_PRICE(0)/P_PRICE_HIGH_PR(0,,,USD,,,""PRICE"",""INTRA"",""52W"")")</f>
        <v>0.80877536999999999</v>
      </c>
      <c r="K14" s="4">
        <f t="shared" si="3"/>
        <v>13</v>
      </c>
      <c r="L14" s="4">
        <f t="shared" si="4"/>
        <v>7</v>
      </c>
      <c r="M14" s="4">
        <f t="shared" si="5"/>
        <v>13</v>
      </c>
      <c r="P14" s="3">
        <f t="shared" si="0"/>
        <v>10.89</v>
      </c>
      <c r="Q14">
        <f t="shared" si="1"/>
        <v>0</v>
      </c>
      <c r="S14" s="3">
        <f t="shared" si="6"/>
        <v>11</v>
      </c>
    </row>
    <row r="15" spans="1:19" x14ac:dyDescent="0.35">
      <c r="A15" t="s">
        <v>117</v>
      </c>
      <c r="C15" t="str">
        <f t="shared" ref="C15" si="7">A15</f>
        <v>BTC00-USA</v>
      </c>
      <c r="E15" s="3" cm="1">
        <f t="array" ref="E15">_xll.FDS($A15,"P_FUT_TOTAL_RETURN(0,-1AM,,'')")</f>
        <v>-2.8783975309972898</v>
      </c>
      <c r="F15" s="3" cm="1">
        <f t="array" ref="F15">_xll.FDS($A15,"P_FUT_TOTAL_RETURN(0,-3AM,,'')")</f>
        <v>49.269254552083197</v>
      </c>
      <c r="G15" s="3" cm="1">
        <f t="array" ref="G15">_xll.FDS($A15,"P_FUT_TOTAL_RETURN(0,-6AM,,'')")</f>
        <v>149.850228082662</v>
      </c>
      <c r="H15" s="6" cm="1">
        <f t="array" ref="H15">_xll.FDS(A15,"FG_PRICE(0)/MAX(FG_PRICE(0,-1AY,D))")</f>
        <v>0.95785699790299705</v>
      </c>
      <c r="K15" s="4">
        <f t="shared" si="3"/>
        <v>10</v>
      </c>
      <c r="L15" s="4">
        <f t="shared" si="4"/>
        <v>1</v>
      </c>
      <c r="M15" s="4">
        <f t="shared" si="5"/>
        <v>1</v>
      </c>
      <c r="P15" s="3">
        <f t="shared" si="0"/>
        <v>3.9600000000000004</v>
      </c>
      <c r="Q15">
        <f t="shared" si="1"/>
        <v>0</v>
      </c>
      <c r="S15" s="3">
        <f t="shared" si="6"/>
        <v>3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28" sqref="A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3</v>
      </c>
      <c r="G3" cm="1">
        <f t="array" ref="G3">_xll.FDS(A3,"SIZE(FG_CONSTITUENTS)")</f>
        <v>14</v>
      </c>
      <c r="H3" s="6">
        <f t="shared" ref="H3:H11" si="0">E3/$G3</f>
        <v>0.21428571428571427</v>
      </c>
      <c r="I3" s="6">
        <f t="shared" ref="I3:I11" si="1">F3/$G3</f>
        <v>0.21428571428571427</v>
      </c>
      <c r="J3" s="6">
        <f t="shared" ref="J3:J11" si="2">H3-I3</f>
        <v>0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-2.8808700389686899</v>
      </c>
      <c r="M3" s="14" cm="1">
        <f t="array" ref="M3">_xll.FDSB(A3,"PERCENT_CHANGE(FMA_EPS(+1,0,,,,""PORTAGG"",""MEAN""),FMA_EPS(+1,-3AM,,,,""PORTAGG"",""MEAN""))")</f>
        <v>-15.3610499928545</v>
      </c>
      <c r="O3" s="3" cm="1">
        <f t="array" ref="O3">_xll.FDS(C3,"FG_TOTAL_RETURNC(0,-3AM)")</f>
        <v>-5.2048500000000004</v>
      </c>
      <c r="P3" s="3" cm="1">
        <f t="array" ref="P3">_xll.FDS(C3,"FG_TOTAL_RETURNC(0,-6AM)")</f>
        <v>2.7835964999999998</v>
      </c>
      <c r="Q3" s="6" cm="1">
        <f t="array" ref="Q3">_xll.FDS(C3,"P_PRICE(0)/P_PRICE_HIGH_PR(0,,,USD,,,""PRICE"",""INTRA"",""52W"")")</f>
        <v>0.88401556000000003</v>
      </c>
      <c r="R3" s="6" cm="1">
        <f t="array" ref="R3">_xll.FDS(C3,"P_PRICE(0)/P_PRICE_low_PR(0,,,USD,,,""PRICE"",""INTRA"",""52W"")-1")</f>
        <v>0.105286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28.499999999999996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59</v>
      </c>
      <c r="H4" s="6">
        <f t="shared" si="0"/>
        <v>0.3559322033898305</v>
      </c>
      <c r="I4" s="6">
        <f t="shared" si="1"/>
        <v>0.3559322033898305</v>
      </c>
      <c r="J4" s="6">
        <f t="shared" si="2"/>
        <v>0</v>
      </c>
      <c r="K4" s="5" cm="1">
        <f t="array" ref="K4">_xll.FDS(A4,"FMA_PCT_ABOVE_MAVG(200,0,,,,""PORTAGG"")")/100</f>
        <v>0.79661016949152497</v>
      </c>
      <c r="L4" s="14" cm="1">
        <f t="array" ref="L4">_xll.FDSB(A4,"PERCENT_CHANGE(FMA_EPS(+1,0,,,,""PORTAGG"",""MEAN""),FMA_EPS(+1,-1AM,,,,""PORTAGG"",""MEAN""))")</f>
        <v>0.2245738994731</v>
      </c>
      <c r="M4" s="14" cm="1">
        <f t="array" ref="M4">_xll.FDSB(A4,"PERCENT_CHANGE(FMA_EPS(+1,0,,,,""PORTAGG"",""MEAN""),FMA_EPS(+1,-3AM,,,,""PORTAGG"",""MEAN""))")</f>
        <v>0.41945578080144602</v>
      </c>
      <c r="O4" s="3" cm="1">
        <f t="array" ref="O4">_xll.FDS(C4,"FG_TOTAL_RETURNC(0,-3AM)")</f>
        <v>2.9163122000000001</v>
      </c>
      <c r="P4" s="3" cm="1">
        <f t="array" ref="P4">_xll.FDS(C4,"FG_TOTAL_RETURNC(0,-6AM)")</f>
        <v>14.365828</v>
      </c>
      <c r="Q4" s="6" cm="1">
        <f t="array" ref="Q4">_xll.FDS(C4,"P_PRICE(0)/P_PRICE_HIGH_PR(0,,,USD,,,""PRICE"",""INTRA"",""52W"")")</f>
        <v>0.97244406000000005</v>
      </c>
      <c r="R4" s="6" cm="1">
        <f t="array" ref="R4">_xll.FDS(C4,"P_PRICE(0)/P_PRICE_low_PR(0,,,USD,,,""PRICE"",""INTRA"",""52W"")-1")</f>
        <v>0.19012713000000001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85.7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28.499999999999996</v>
      </c>
      <c r="AC4" s="4">
        <f t="shared" ref="AC4:AC15" si="6">_xlfn.PERCENTRANK.EXC($L$3:$L$15,L4)*100</f>
        <v>92.800000000000011</v>
      </c>
      <c r="AD4" s="4">
        <f t="shared" ref="AD4:AD15" si="7">_xlfn.PERCENTRANK.EXC($M$3:$M$15,M4)*100</f>
        <v>85.7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27</v>
      </c>
      <c r="F5" cm="1">
        <f t="array" ref="F5">_xll.FDS(C5,"FMA_COS_DOWN(""EPS"",""1M"",+1,0,,,""PORTAGG"",""MEANR"")")</f>
        <v>27</v>
      </c>
      <c r="G5" cm="1">
        <f t="array" ref="G5">_xll.FDS(A5,"SIZE(FG_CONSTITUENTS)")</f>
        <v>88</v>
      </c>
      <c r="H5" s="6">
        <f t="shared" si="0"/>
        <v>0.30681818181818182</v>
      </c>
      <c r="I5" s="6">
        <f t="shared" si="1"/>
        <v>0.30681818181818182</v>
      </c>
      <c r="J5" s="6">
        <f t="shared" si="2"/>
        <v>0</v>
      </c>
      <c r="K5" s="5" cm="1">
        <f t="array" ref="K5">_xll.FDS(A5,"FMA_PCT_ABOVE_MAVG(200,0,,,,""PORTAGG"")")/100</f>
        <v>0.71590909090909094</v>
      </c>
      <c r="L5" s="14" cm="1">
        <f t="array" ref="L5">_xll.FDSB(A5,"PERCENT_CHANGE(FMA_EPS(+1,0,,,,""PORTAGG"",""MEAN""),FMA_EPS(+1,-1AM,,,,""PORTAGG"",""MEAN""))")</f>
        <v>-0.59950431079010702</v>
      </c>
      <c r="M5" s="14" cm="1">
        <f t="array" ref="M5">_xll.FDSB(A5,"PERCENT_CHANGE(FMA_EPS(+1,0,,,,""PORTAGG"",""MEAN""),FMA_EPS(+1,-3AM,,,,""PORTAGG"",""MEAN""))")</f>
        <v>-4.5106941526995703</v>
      </c>
      <c r="O5" s="3" cm="1">
        <f t="array" ref="O5">_xll.FDS(C5,"FG_TOTAL_RETURNC(0,-3AM)")</f>
        <v>4.1367890000000003</v>
      </c>
      <c r="P5" s="3" cm="1">
        <f t="array" ref="P5">_xll.FDS(C5,"FG_TOTAL_RETURNC(0,-6AM)")</f>
        <v>13.709116</v>
      </c>
      <c r="Q5" s="6" cm="1">
        <f t="array" ref="Q5">_xll.FDS(C5,"P_PRICE(0)/P_PRICE_HIGH_PR(0,,,USD,,,""PRICE"",""INTRA"",""52W"")")</f>
        <v>0.97773169999999998</v>
      </c>
      <c r="R5" s="6" cm="1">
        <f t="array" ref="R5">_xll.FDS(C5,"P_PRICE(0)/P_PRICE_low_PR(0,,,USD,,,""PRICE"",""INTRA"",""52W"")-1")</f>
        <v>0.20216489000000001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21.4</v>
      </c>
      <c r="AB5" s="4" cm="1">
        <f t="array" ref="AB5">_xlfn.PERCENTRANK.EXC(_xlfn._xlws.FILTER($J$3:$J$15, ISNUMBER($J$3:$J$15)),J5)*100</f>
        <v>28.499999999999996</v>
      </c>
      <c r="AC5" s="4">
        <f t="shared" si="6"/>
        <v>50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26</v>
      </c>
      <c r="G6" cm="1">
        <f t="array" ref="G6">_xll.FDS(A6,"SIZE(FG_CONSTITUENTS)")</f>
        <v>57</v>
      </c>
      <c r="H6" s="6">
        <f t="shared" si="0"/>
        <v>0.45614035087719296</v>
      </c>
      <c r="I6" s="6">
        <f t="shared" si="1"/>
        <v>0.45614035087719296</v>
      </c>
      <c r="J6" s="6">
        <f t="shared" si="2"/>
        <v>0</v>
      </c>
      <c r="K6" s="5" cm="1">
        <f t="array" ref="K6">_xll.FDS(A6,"FMA_PCT_ABOVE_MAVG(200,0,,,,""PORTAGG"")")/100</f>
        <v>0.77192982456140302</v>
      </c>
      <c r="L6" s="14" cm="1">
        <f t="array" ref="L6">_xll.FDSB(A6,"PERCENT_CHANGE(FMA_EPS(+1,0,,,,""PORTAGG"",""MEAN""),FMA_EPS(+1,-1AM,,,,""PORTAGG"",""MEAN""))")</f>
        <v>-0.77564120755358701</v>
      </c>
      <c r="M6" s="14" cm="1">
        <f t="array" ref="M6">_xll.FDSB(A6,"PERCENT_CHANGE(FMA_EPS(+1,0,,,,""PORTAGG"",""MEAN""),FMA_EPS(+1,-3AM,,,,""PORTAGG"",""MEAN""))")</f>
        <v>-5.5029478843481296</v>
      </c>
      <c r="O6" s="3" cm="1">
        <f t="array" ref="O6">_xll.FDS(C6,"FG_TOTAL_RETURNC(0,-3AM)")</f>
        <v>5.6868790000000002</v>
      </c>
      <c r="P6" s="3" cm="1">
        <f t="array" ref="P6">_xll.FDS(C6,"FG_TOTAL_RETURNC(0,-6AM)")</f>
        <v>16.729523</v>
      </c>
      <c r="Q6" s="6" cm="1">
        <f t="array" ref="Q6">_xll.FDS(C6,"P_PRICE(0)/P_PRICE_HIGH_PR(0,,,USD,,,""PRICE"",""INTRA"",""52W"")")</f>
        <v>0.96496720000000002</v>
      </c>
      <c r="R6" s="6" cm="1">
        <f t="array" ref="R6">_xll.FDS(C6,"P_PRICE(0)/P_PRICE_low_PR(0,,,USD,,,""PRICE"",""INTRA"",""52W"")-1")</f>
        <v>0.24873507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28.499999999999996</v>
      </c>
      <c r="AC6" s="4">
        <f t="shared" si="6"/>
        <v>42.8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219</v>
      </c>
      <c r="H7" s="6">
        <f t="shared" si="0"/>
        <v>0.44292237442922372</v>
      </c>
      <c r="I7" s="6">
        <f t="shared" si="1"/>
        <v>0.40182648401826482</v>
      </c>
      <c r="J7" s="6">
        <f t="shared" si="2"/>
        <v>4.1095890410958902E-2</v>
      </c>
      <c r="K7" s="5" cm="1">
        <f t="array" ref="K7">_xll.FDS(A7,"FMA_PCT_ABOVE_MAVG(200,0,,,,""PORTAGG"")")/100</f>
        <v>0.70319634703196299</v>
      </c>
      <c r="L7" s="14" cm="1">
        <f t="array" ref="L7">_xll.FDSB(A7,"PERCENT_CHANGE(FMA_EPS(+1,0,,,,""PORTAGG"",""MEAN""),FMA_EPS(+1,-1AM,,,,""PORTAGG"",""MEAN""))")</f>
        <v>-0.94719875045297697</v>
      </c>
      <c r="M7" s="14" cm="1">
        <f t="array" ref="M7">_xll.FDSB(A7,"PERCENT_CHANGE(FMA_EPS(+1,0,,,,""PORTAGG"",""MEAN""),FMA_EPS(+1,-3AM,,,,""PORTAGG"",""MEAN""))")</f>
        <v>-1.08767646282891</v>
      </c>
      <c r="O7" s="3" cm="1">
        <f t="array" ref="O7">_xll.FDS(C7,"FG_TOTAL_RETURNC(0,-3AM)")</f>
        <v>6.3677789999999996</v>
      </c>
      <c r="P7" s="3" cm="1">
        <f t="array" ref="P7">_xll.FDS(C7,"FG_TOTAL_RETURNC(0,-6AM)")</f>
        <v>17.940353000000002</v>
      </c>
      <c r="Q7" s="6" cm="1">
        <f t="array" ref="Q7">_xll.FDS(C7,"P_PRICE(0)/P_PRICE_HIGH_PR(0,,,USD,,,""PRICE"",""INTRA"",""52W"")")</f>
        <v>0.97120649999999997</v>
      </c>
      <c r="R7" s="6" cm="1">
        <f t="array" ref="R7">_xll.FDS(C7,"P_PRICE(0)/P_PRICE_low_PR(0,,,USD,,,""PRICE"",""INTRA"",""52W"")-1")</f>
        <v>0.22360134000000001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57.099999999999994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71.399999999999991</v>
      </c>
      <c r="AC7" s="4">
        <f t="shared" si="6"/>
        <v>35.699999999999996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23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6">
        <f t="shared" si="0"/>
        <v>0.5</v>
      </c>
      <c r="I8" s="6">
        <f t="shared" si="1"/>
        <v>0.39130434782608697</v>
      </c>
      <c r="J8" s="6">
        <f t="shared" si="2"/>
        <v>0.10869565217391303</v>
      </c>
      <c r="K8" s="5" cm="1">
        <f t="array" ref="K8">_xll.FDS(A8,"FMA_PCT_ABOVE_MAVG(200,0,,,,""PORTAGG"")")/100</f>
        <v>0.6</v>
      </c>
      <c r="L8" s="14" cm="1">
        <f t="array" ref="L8">_xll.FDSB(A8,"PERCENT_CHANGE(FMA_EPS(+1,0,,,,""PORTAGG"",""MEAN""),FMA_EPS(+1,-1AM,,,,""PORTAGG"",""MEAN""))")</f>
        <v>-2.3743824061976402</v>
      </c>
      <c r="M8" s="14" cm="1">
        <f t="array" ref="M8">_xll.FDSB(A8,"PERCENT_CHANGE(FMA_EPS(+1,0,,,,""PORTAGG"",""MEAN""),FMA_EPS(+1,-3AM,,,,""PORTAGG"",""MEAN""))")</f>
        <v>-7.2856137427605896</v>
      </c>
      <c r="O8" s="3" cm="1">
        <f t="array" ref="O8">_xll.FDS(C8,"FG_TOTAL_RETURNC(0,-3AM)")</f>
        <v>-2.8727174</v>
      </c>
      <c r="P8" s="3" cm="1">
        <f t="array" ref="P8">_xll.FDS(C8,"FG_TOTAL_RETURNC(0,-6AM)")</f>
        <v>3.786683</v>
      </c>
      <c r="Q8" s="6" cm="1">
        <f t="array" ref="Q8">_xll.FDS(C8,"P_PRICE(0)/P_PRICE_HIGH_PR(0,,,USD,,,""PRICE"",""INTRA"",""52W"")")</f>
        <v>0.94656174999999998</v>
      </c>
      <c r="R8" s="6" cm="1">
        <f t="array" ref="R8">_xll.FDS(C8,"P_PRICE(0)/P_PRICE_low_PR(0,,,USD,,,""PRICE"",""INTRA"",""52W"")-1")</f>
        <v>0.11480141000000001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92.800000000000011</v>
      </c>
      <c r="AB8" s="4" cm="1">
        <f t="array" ref="AB8">_xlfn.PERCENTRANK.EXC(_xlfn._xlws.FILTER($J$3:$J$15, ISNUMBER($J$3:$J$15)),J8)*100</f>
        <v>85.7</v>
      </c>
      <c r="AC8" s="4">
        <f t="shared" si="6"/>
        <v>14.2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43</v>
      </c>
      <c r="G9" cm="1">
        <f t="array" ref="G9">_xll.FDS(A9,"SIZE(FG_CONSTITUENTS)")</f>
        <v>85</v>
      </c>
      <c r="H9" s="6">
        <f t="shared" si="0"/>
        <v>0.38823529411764707</v>
      </c>
      <c r="I9" s="6">
        <f t="shared" si="1"/>
        <v>0.50588235294117645</v>
      </c>
      <c r="J9" s="6">
        <f t="shared" si="2"/>
        <v>-0.11764705882352938</v>
      </c>
      <c r="K9" s="5" cm="1">
        <f t="array" ref="K9">_xll.FDS(A9,"FMA_PCT_ABOVE_MAVG(200,0,,,,""PORTAGG"")")/100</f>
        <v>0.59523809523809501</v>
      </c>
      <c r="L9" s="14" cm="1">
        <f t="array" ref="L9">_xll.FDSB(A9,"PERCENT_CHANGE(FMA_EPS(+1,0,,,,""PORTAGG"",""MEAN""),FMA_EPS(+1,-1AM,,,,""PORTAGG"",""MEAN""))")</f>
        <v>-0.344785726730581</v>
      </c>
      <c r="M9" s="14" cm="1">
        <f t="array" ref="M9">_xll.FDSB(A9,"PERCENT_CHANGE(FMA_EPS(+1,0,,,,""PORTAGG"",""MEAN""),FMA_EPS(+1,-3AM,,,,""PORTAGG"",""MEAN""))")</f>
        <v>-2.5732295058255099</v>
      </c>
      <c r="O9" s="3" cm="1">
        <f t="array" ref="O9">_xll.FDS(C9,"FG_TOTAL_RETURNC(0,-3AM)")</f>
        <v>4.4104099999999997</v>
      </c>
      <c r="P9" s="3" cm="1">
        <f t="array" ref="P9">_xll.FDS(C9,"FG_TOTAL_RETURNC(0,-6AM)")</f>
        <v>8.4078549999999996</v>
      </c>
      <c r="Q9" s="6" cm="1">
        <f t="array" ref="Q9">_xll.FDS(C9,"P_PRICE(0)/P_PRICE_HIGH_PR(0,,,USD,,,""PRICE"",""INTRA"",""52W"")")</f>
        <v>0.98738044999999997</v>
      </c>
      <c r="R9" s="6" cm="1">
        <f t="array" ref="R9">_xll.FDS(C9,"P_PRICE(0)/P_PRICE_low_PR(0,,,USD,,,""PRICE"",""INTRA"",""52W"")-1")</f>
        <v>0.13105512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35.699999999999996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14.2</v>
      </c>
      <c r="AC9" s="4">
        <f t="shared" si="6"/>
        <v>57.099999999999994</v>
      </c>
      <c r="AD9" s="4">
        <f t="shared" si="7"/>
        <v>42.8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32</v>
      </c>
      <c r="G10" cm="1">
        <f t="array" ref="G10">_xll.FDS(A10,"SIZE(FG_CONSTITUENTS)")</f>
        <v>102</v>
      </c>
      <c r="H10" s="6">
        <f t="shared" si="0"/>
        <v>0.3235294117647059</v>
      </c>
      <c r="I10" s="6">
        <f t="shared" si="1"/>
        <v>0.31372549019607843</v>
      </c>
      <c r="J10" s="6">
        <f t="shared" si="2"/>
        <v>9.8039215686274717E-3</v>
      </c>
      <c r="K10" s="5" cm="1">
        <f t="array" ref="K10">_xll.FDS(A10,"FMA_PCT_ABOVE_MAVG(200,0,,,,""PORTAGG"")")/100</f>
        <v>0.68627450980392202</v>
      </c>
      <c r="L10" s="14" cm="1">
        <f t="array" ref="L10">_xll.FDSB(A10,"PERCENT_CHANGE(FMA_EPS(+1,0,,,,""PORTAGG"",""MEAN""),FMA_EPS(+1,-1AM,,,,""PORTAGG"",""MEAN""))")</f>
        <v>-0.184278646972279</v>
      </c>
      <c r="M10" s="14" cm="1">
        <f t="array" ref="M10">_xll.FDSB(A10,"PERCENT_CHANGE(FMA_EPS(+1,0,,,,""PORTAGG"",""MEAN""),FMA_EPS(+1,-3AM,,,,""PORTAGG"",""MEAN""))")</f>
        <v>0.14728724188696199</v>
      </c>
      <c r="O10" s="3" cm="1">
        <f t="array" ref="O10">_xll.FDS(C10,"FG_TOTAL_RETURNC(0,-3AM)")</f>
        <v>8.9419249999999995</v>
      </c>
      <c r="P10" s="3" cm="1">
        <f t="array" ref="P10">_xll.FDS(C10,"FG_TOTAL_RETURNC(0,-6AM)")</f>
        <v>20.433605</v>
      </c>
      <c r="Q10" s="6" cm="1">
        <f t="array" ref="Q10">_xll.FDS(C10,"P_PRICE(0)/P_PRICE_HIGH_PR(0,,,USD,,,""PRICE"",""INTRA"",""52W"")")</f>
        <v>0.99116479999999996</v>
      </c>
      <c r="R10" s="6" cm="1">
        <f t="array" ref="R10">_xll.FDS(C10,"P_PRICE(0)/P_PRICE_low_PR(0,,,USD,,,""PRICE"",""INTRA"",""52W"")-1")</f>
        <v>0.4371873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92.800000000000011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85.7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35.699999999999996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71.399999999999991</v>
      </c>
      <c r="AD10" s="4">
        <f t="shared" si="7"/>
        <v>78.5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182</v>
      </c>
      <c r="F11" cm="1">
        <f t="array" ref="F11">_xll.FDS(C11,"FMA_COS_DOWN(""EPS"",""1M"",+1,0,,,""PORTAGG"",""MEANR"")")</f>
        <v>169</v>
      </c>
      <c r="G11" cm="1">
        <f t="array" ref="G11">_xll.FDS(A11,"SIZE(FG_CONSTITUENTS)")</f>
        <v>504</v>
      </c>
      <c r="H11" s="6">
        <f t="shared" si="0"/>
        <v>0.3611111111111111</v>
      </c>
      <c r="I11" s="6">
        <f t="shared" si="1"/>
        <v>0.33531746031746029</v>
      </c>
      <c r="J11" s="6">
        <f t="shared" si="2"/>
        <v>2.5793650793650813E-2</v>
      </c>
      <c r="K11" s="5" cm="1">
        <f t="array" ref="K11">_xll.FDS(A11,"FMA_PCT_ABOVE_MAVG(200,0,,,,""PORTAGG"")")/100</f>
        <v>0.79441117764471103</v>
      </c>
      <c r="L11" s="14" cm="1">
        <f t="array" ref="L11">_xll.FDSB(A11,"PERCENT_CHANGE(FMA_EPS(+1,0,,,,""PORTAGG"",""MEAN""),FMA_EPS(+1,-1AM,,,,""PORTAGG"",""MEAN""))")</f>
        <v>-0.325097488744788</v>
      </c>
      <c r="M11" s="14" cm="1">
        <f t="array" ref="M11">_xll.FDSB(A11,"PERCENT_CHANGE(FMA_EPS(+1,0,,,,""PORTAGG"",""MEAN""),FMA_EPS(+1,-3AM,,,,""PORTAGG"",""MEAN""))")</f>
        <v>9.3663964525271495E-2</v>
      </c>
      <c r="O11" s="3" cm="1">
        <f t="array" ref="O11">_xll.FDS(C11,"FG_TOTAL_RETURNC(0,-3AM)")</f>
        <v>9.0837479999999999</v>
      </c>
      <c r="P11" s="3" cm="1">
        <f t="array" ref="P11">_xll.FDS(C11,"FG_TOTAL_RETURNC(0,-6AM)")</f>
        <v>19.575261999999999</v>
      </c>
      <c r="Q11" s="6" cm="1">
        <f t="array" ref="Q11">_xll.FDS(C11,"P_PRICE(0)/P_PRICE_HIGH_PR(0,,,USD,,,""PRICE"",""INTRA"",""52W"")")</f>
        <v>0.98740019999999995</v>
      </c>
      <c r="R11" s="6" cm="1">
        <f t="array" ref="R11">_xll.FDS(C11,"P_PRICE(0)/P_PRICE_low_PR(0,,,USD,,,""PRICE"",""INTRA"",""52W"")-1")</f>
        <v>0.28300393000000001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6"/>
        <v>64.2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40</v>
      </c>
      <c r="G12" cm="1">
        <f t="array" ref="G12">_xll.FDS(A12,"SIZE(FG_CONSTITUENTS)")</f>
        <v>63</v>
      </c>
      <c r="H12" s="6">
        <f t="shared" ref="H12:H15" si="9">E12/$G12</f>
        <v>0.23809523809523808</v>
      </c>
      <c r="I12" s="6">
        <f t="shared" ref="I12:I15" si="10">F12/$G12</f>
        <v>0.63492063492063489</v>
      </c>
      <c r="J12" s="6">
        <f t="shared" ref="J12:J15" si="11">H12-I12</f>
        <v>-0.3968253968253968</v>
      </c>
      <c r="K12" s="5" cm="1">
        <f t="array" ref="K12">_xll.FDS(A12,"FMA_PCT_ABOVE_MAVG(200,0,,,,""PORTAGG"")")/100</f>
        <v>0.71428571428571397</v>
      </c>
      <c r="L12" s="14" cm="1">
        <f t="array" ref="L12">_xll.FDSB(A12,"PERCENT_CHANGE(FMA_EPS(+1,0,,,,""PORTAGG"",""MEAN""),FMA_EPS(+1,-1AM,,,,""PORTAGG"",""MEAN""))")</f>
        <v>-1.5107652185348399</v>
      </c>
      <c r="M12" s="14" cm="1">
        <f t="array" ref="M12">_xll.FDSB(A12,"PERCENT_CHANGE(FMA_EPS(+1,0,,,,""PORTAGG"",""MEAN""),FMA_EPS(+1,-3AM,,,,""PORTAGG"",""MEAN""))")</f>
        <v>-5.2006262074616503</v>
      </c>
      <c r="O12" s="3" cm="1">
        <f t="array" ref="O12">_xll.FDS(C12,"FG_TOTAL_RETURNC(0,-3AM)")</f>
        <v>5.3524732999999998</v>
      </c>
      <c r="P12" s="3" cm="1">
        <f t="array" ref="P12">_xll.FDS(C12,"FG_TOTAL_RETURNC(0,-6AM)")</f>
        <v>13.602233</v>
      </c>
      <c r="Q12" s="6" cm="1">
        <f t="array" ref="Q12">_xll.FDS(C12,"P_PRICE(0)/P_PRICE_HIGH_PR(0,,,USD,,,""PRICE"",""INTRA"",""52W"")")</f>
        <v>0.96358204000000003</v>
      </c>
      <c r="R12" s="6" cm="1">
        <f t="array" ref="R12">_xll.FDS(C12,"P_PRICE(0)/P_PRICE_low_PR(0,,,USD,,,""PRICE"",""INTRA"",""52W"")-1")</f>
        <v>0.19875216000000001</v>
      </c>
      <c r="T12" s="4" cm="1">
        <f t="array" ref="T12">_xlfn.PERCENTRANK.EXC(_xlfn._xlws.FILTER($R$3:$R$15, ISNUMBER($R$3:$R$15)),R12)*100</f>
        <v>35.699999999999996</v>
      </c>
      <c r="U12" s="4">
        <f t="shared" ref="U12:U15" si="12">100-T12</f>
        <v>64.300000000000011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57.099999999999994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6"/>
        <v>21.4</v>
      </c>
      <c r="AD12" s="4">
        <f t="shared" si="7"/>
        <v>28.499999999999996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54</v>
      </c>
      <c r="H13" s="6">
        <f t="shared" si="9"/>
        <v>0.31481481481481483</v>
      </c>
      <c r="I13" s="6">
        <f t="shared" si="10"/>
        <v>0.40740740740740738</v>
      </c>
      <c r="J13" s="6">
        <f t="shared" si="11"/>
        <v>-9.259259259259256E-2</v>
      </c>
      <c r="K13" s="5" cm="1">
        <f t="array" ref="K13">_xll.FDS(A13,"FMA_PCT_ABOVE_MAVG(200,0,,,,""PORTAGG"")")/100</f>
        <v>0.66666666666666696</v>
      </c>
      <c r="L13" s="14" cm="1">
        <f t="array" ref="L13">_xll.FDSB(A13,"PERCENT_CHANGE(FMA_EPS(+1,0,,,,""PORTAGG"",""MEAN""),FMA_EPS(+1,-1AM,,,,""PORTAGG"",""MEAN""))")</f>
        <v>-1.5866482134433799E-2</v>
      </c>
      <c r="M13" s="14" cm="1">
        <f t="array" ref="M13">_xll.FDSB(A13,"PERCENT_CHANGE(FMA_EPS(+1,0,,,,""PORTAGG"",""MEAN""),FMA_EPS(+1,-3AM,,,,""PORTAGG"",""MEAN""))")</f>
        <v>-0.82803286394981801</v>
      </c>
      <c r="O13" s="3" cm="1">
        <f t="array" ref="O13">_xll.FDS(C13,"FG_TOTAL_RETURNC(0,-3AM)")</f>
        <v>13.581097</v>
      </c>
      <c r="P13" s="3" cm="1">
        <f t="array" ref="P13">_xll.FDS(C13,"FG_TOTAL_RETURNC(0,-6AM)")</f>
        <v>29.098165999999999</v>
      </c>
      <c r="Q13" s="6" cm="1">
        <f t="array" ref="Q13">_xll.FDS(C13,"P_PRICE(0)/P_PRICE_HIGH_PR(0,,,USD,,,""PRICE"",""INTRA"",""52W"")")</f>
        <v>0.98429423999999999</v>
      </c>
      <c r="R13" s="6" cm="1">
        <f t="array" ref="R13">_xll.FDS(C13,"P_PRICE(0)/P_PRICE_low_PR(0,,,USD,,,""PRICE"",""INTRA"",""52W"")-1")</f>
        <v>0.36428759999999999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21.4</v>
      </c>
      <c r="AC13" s="4">
        <f t="shared" si="6"/>
        <v>85.7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44</v>
      </c>
      <c r="H14" s="6">
        <f t="shared" si="9"/>
        <v>0.36363636363636365</v>
      </c>
      <c r="I14" s="6">
        <f t="shared" si="10"/>
        <v>0.25</v>
      </c>
      <c r="J14" s="6">
        <f t="shared" si="11"/>
        <v>0.11363636363636365</v>
      </c>
      <c r="K14" s="5" cm="1">
        <f t="array" ref="K14">_xll.FDS(A14,"FMA_PCT_ABOVE_MAVG(200,0,,,,""PORTAGG"")")/100</f>
        <v>0.93023255813953498</v>
      </c>
      <c r="L14" s="14" cm="1">
        <f t="array" ref="L14">_xll.FDSB(A14,"PERCENT_CHANGE(FMA_EPS(+1,0,,,,""PORTAGG"",""MEAN""),FMA_EPS(+1,-1AM,,,,""PORTAGG"",""MEAN""))")</f>
        <v>-0.16824237413438101</v>
      </c>
      <c r="M14" s="14" cm="1">
        <f t="array" ref="M14">_xll.FDSB(A14,"PERCENT_CHANGE(FMA_EPS(+1,0,,,,""PORTAGG"",""MEAN""),FMA_EPS(+1,-3AM,,,,""PORTAGG"",""MEAN""))")</f>
        <v>-2.1600171790376401</v>
      </c>
      <c r="O14" s="3" cm="1">
        <f t="array" ref="O14">_xll.FDS(C14,"FG_TOTAL_RETURNC(0,-3AM)")</f>
        <v>4.8224688000000002</v>
      </c>
      <c r="P14" s="3" cm="1">
        <f t="array" ref="P14">_xll.FDS(C14,"FG_TOTAL_RETURNC(0,-6AM)")</f>
        <v>20.109355999999998</v>
      </c>
      <c r="Q14" s="6" cm="1">
        <f t="array" ref="Q14">_xll.FDS(C14,"P_PRICE(0)/P_PRICE_HIGH_PR(0,,,USD,,,""PRICE"",""INTRA"",""52W"")")</f>
        <v>0.95187679999999997</v>
      </c>
      <c r="R14" s="6" cm="1">
        <f t="array" ref="R14">_xll.FDS(C14,"P_PRICE(0)/P_PRICE_low_PR(0,,,USD,,,""PRICE"",""INTRA"",""52W"")-1")</f>
        <v>0.28922926999999998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71.399999999999991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57.099999999999994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78.5</v>
      </c>
      <c r="AD14" s="4">
        <f t="shared" si="7"/>
        <v>50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3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0.38461538461538464</v>
      </c>
      <c r="J15" s="6">
        <f t="shared" si="11"/>
        <v>7.6923076923076927E-2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-0.954523017914648</v>
      </c>
      <c r="M15" s="14" cm="1">
        <f t="array" ref="M15">_xll.FDSB(A15,"PERCENT_CHANGE(FMA_EPS(+1,0,,,,""PORTAGG"",""MEAN""),FMA_EPS(+1,-3AM,,,,""PORTAGG"",""MEAN""))")</f>
        <v>0.62773920169984398</v>
      </c>
      <c r="O15" s="3" cm="1">
        <f t="array" ref="O15">_xll.FDS(C15,"FG_TOTAL_RETURNC(0,-3AM)")</f>
        <v>8.1209179999999996</v>
      </c>
      <c r="P15" s="3" cm="1">
        <f t="array" ref="P15">_xll.FDS(C15,"FG_TOTAL_RETURNC(0,-6AM)")</f>
        <v>20.365691999999999</v>
      </c>
      <c r="Q15" s="6" cm="1">
        <f t="array" ref="Q15">_xll.FDS(C15,"P_PRICE(0)/P_PRICE_HIGH_PR(0,,,USD,,,""PRICE"",""INTRA"",""52W"")")</f>
        <v>0.96101159999999997</v>
      </c>
      <c r="R15" s="6" cm="1">
        <f t="array" ref="R15">_xll.FDS(C15,"P_PRICE(0)/P_PRICE_low_PR(0,,,USD,,,""PRICE"",""INTRA"",""52W"")-1")</f>
        <v>0.25728069999999997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71.399999999999991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78.5</v>
      </c>
      <c r="AC15" s="4">
        <f t="shared" si="6"/>
        <v>28.499999999999996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473</v>
      </c>
      <c r="F18" cm="1">
        <f t="array" ref="F18">_xll.FDS(C18,"FMA_COS_DOWN(""EPS"",""1M"",+1,0,,,""PORTAGG"",""MEANR"")")</f>
        <v>452</v>
      </c>
      <c r="G18" cm="1">
        <f t="array" ref="G18">_xll.FDS(A18,"SIZE(FG_CONSTITUENTS)")</f>
        <v>1296</v>
      </c>
      <c r="H18" s="6">
        <f>E18/$G18</f>
        <v>0.36496913580246915</v>
      </c>
      <c r="I18" s="6">
        <f>F18/$G18</f>
        <v>0.34876543209876543</v>
      </c>
      <c r="J18" s="6">
        <f t="shared" ref="J18" si="15">H18-I18</f>
        <v>1.620370370370372E-2</v>
      </c>
      <c r="K18" s="5" cm="1">
        <f t="array" ref="K18">_xll.FDS(A18,"FMA_PCT_ABOVE_MAVG(200,0,,,,""PORTAGG"")")/100</f>
        <v>0.584313725490196</v>
      </c>
      <c r="L18" s="14" cm="1">
        <f t="array" ref="L18">_xll.FDSB(A18,"PERCENT_CHANGE(FMA_EPS(+1,0,,,,""PORTAGG"",""MEAN""),FMA_EPS(+1,-1AM,,,,""PORTAGG"",""MEAN""))")</f>
        <v>-4.9995657589026798</v>
      </c>
      <c r="M18" s="14" cm="1">
        <f t="array" ref="M18">_xll.FDSB(A18,"PERCENT_CHANGE(FMA_EPS(+1,0,,,,""PORTAGG"",""MEAN""),FMA_EPS(+1,-3AM,,,,""PORTAGG"",""MEAN""))")</f>
        <v>-8.7199133341936896</v>
      </c>
      <c r="O18" s="3" cm="1">
        <f t="array" ref="O18">_xll.FDS(C18,"FG_TOTAL_RETURNC(0,-3AM)")</f>
        <v>4.9459815000000003</v>
      </c>
      <c r="P18" s="3" cm="1">
        <f t="array" ref="P18">_xll.FDS(C18,"FG_TOTAL_RETURNC(0,-6AM)")</f>
        <v>14.065636</v>
      </c>
      <c r="Q18" s="6" cm="1">
        <f t="array" ref="Q18">_xll.FDS(C18,"P_PRICE(0)/P_PRICE_HIGH_PR(0,,,USD,,,""PRICE"",""INTRA"",""52W"")")</f>
        <v>0.97683679999999995</v>
      </c>
      <c r="R18" s="6" cm="1">
        <f t="array" ref="R18">_xll.FDS(C18,"P_PRICE(0)/P_PRICE_low_PR(0,,,USD,,,""PRICE"",""INTRA"",""52W"")-1")</f>
        <v>0.2025063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716</v>
      </c>
      <c r="F19" cm="1">
        <f t="array" ref="F19">_xll.FDS(C19,"FMA_COS_DOWN(""EPS"",""1M"",+1,0,,,""PORTAGG"",""MEANR"")")</f>
        <v>1042</v>
      </c>
      <c r="G19" cm="1">
        <f t="array" ref="G19">_xll.FDS(A19,"SIZE(FG_CONSTITUENTS)")</f>
        <v>4715</v>
      </c>
      <c r="H19" s="6">
        <f>E19/$G19</f>
        <v>0.15185577942735948</v>
      </c>
      <c r="I19" s="6">
        <f>F19/$G19</f>
        <v>0.2209968186638388</v>
      </c>
      <c r="J19" s="6">
        <f t="shared" ref="J19" si="16">H19-I19</f>
        <v>-6.9141039236479324E-2</v>
      </c>
      <c r="K19" s="5" cm="1">
        <f t="array" ref="K19">_xll.FDS(A19,"FMA_PCT_ABOVE_MAVG(200,0,,,,""PORTAGG"")")/100</f>
        <v>0.40492804186655001</v>
      </c>
      <c r="L19" s="14" cm="1">
        <f t="array" ref="L19">_xll.FDSB(A19,"PERCENT_CHANGE(FMA_EPS(+1,0,,,,""PORTAGG"",""MEAN""),FMA_EPS(+1,-1AM,,,,""PORTAGG"",""MEAN""))")</f>
        <v>-13.3546419634439</v>
      </c>
      <c r="M19" s="14" cm="1">
        <f t="array" ref="M19">_xll.FDSB(A19,"PERCENT_CHANGE(FMA_EPS(+1,0,,,,""PORTAGG"",""MEAN""),FMA_EPS(+1,-3AM,,,,""PORTAGG"",""MEAN""))")</f>
        <v>-16.668786957630601</v>
      </c>
      <c r="O19" s="3" cm="1">
        <f t="array" ref="O19">_xll.FDS(C19,"FG_TOTAL_RETURNC(0,-3AM)")</f>
        <v>5.5675150000000002</v>
      </c>
      <c r="P19" s="3" cm="1">
        <f t="array" ref="P19">_xll.FDS(C19,"FG_TOTAL_RETURNC(0,-6AM)")</f>
        <v>9.5271830000000008</v>
      </c>
      <c r="Q19" s="6" cm="1">
        <f t="array" ref="Q19">_xll.FDS(C19,"P_PRICE(0)/P_PRICE_HIGH_PR(0,,,USD,,,""PRICE"",""INTRA"",""52W"")")</f>
        <v>0.98422270000000001</v>
      </c>
      <c r="R19" s="6" cm="1">
        <f t="array" ref="R19">_xll.FDS(C19,"P_PRICE(0)/P_PRICE_low_PR(0,,,USD,,,""PRICE"",""INTRA"",""52W"")-1")</f>
        <v>0.13255893999999999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556</v>
      </c>
      <c r="F20" cm="1">
        <f t="array" ref="F20">_xll.FDS(C20,"FMA_COS_DOWN(""EPS"",""1M"",+1,0,,,""PORTAGG"",""MEANR"")")</f>
        <v>551</v>
      </c>
      <c r="G20" cm="1">
        <f t="array" ref="G20">_xll.FDS(A20,"SIZE(FG_CONSTITUENTS)")</f>
        <v>1469</v>
      </c>
      <c r="H20" s="6">
        <f t="shared" ref="H20" si="18">E20/$G20</f>
        <v>0.37848876786929886</v>
      </c>
      <c r="I20" s="6">
        <f t="shared" ref="I20" si="19">F20/$G20</f>
        <v>0.37508509189925121</v>
      </c>
      <c r="J20" s="6">
        <f t="shared" ref="J20" si="20">H20-I20</f>
        <v>3.4036759700476482E-3</v>
      </c>
      <c r="K20" s="5" cm="1">
        <f t="array" ref="K20">_xll.FDS(A20,"FMA_PCT_ABOVE_MAVG(200,0,,,,""PORTAGG"")")/100</f>
        <v>0.72131147540983609</v>
      </c>
      <c r="L20" s="14" cm="1">
        <f t="array" ref="L20">_xll.FDSB(A20,"PERCENT_CHANGE(FMA_EPS(+1,0,,,,""PORTAGG"",""MEAN""),FMA_EPS(+1,-1AM,,,,""PORTAGG"",""MEAN""))")</f>
        <v>-0.26075720852954498</v>
      </c>
      <c r="M20" s="14" cm="1">
        <f t="array" ref="M20">_xll.FDSB(A20,"PERCENT_CHANGE(FMA_EPS(+1,0,,,,""PORTAGG"",""MEAN""),FMA_EPS(+1,-3AM,,,,""PORTAGG"",""MEAN""))")</f>
        <v>-0.93778197203275504</v>
      </c>
      <c r="O20" s="3" cm="1">
        <f t="array" ref="O20">_xll.FDS(C20,"FG_TOTAL_RETURNC(0,-3AM)")</f>
        <v>7.8301429999999996</v>
      </c>
      <c r="P20" s="3" cm="1">
        <f t="array" ref="P20">_xll.FDS(C20,"FG_TOTAL_RETURNC(0,-6AM)")</f>
        <v>18.062760000000001</v>
      </c>
      <c r="Q20" s="6" cm="1">
        <f t="array" ref="Q20">_xll.FDS(C20,"P_PRICE(0)/P_PRICE_HIGH_PR(0,,,USD,,,""PRICE"",""INTRA"",""52W"")")</f>
        <v>0.98643154</v>
      </c>
      <c r="R20" s="6" cm="1">
        <f t="array" ref="R20">_xll.FDS(C20,"P_PRICE(0)/P_PRICE_low_PR(0,,,USD,,,""PRICE"",""INTRA"",""52W"")-1")</f>
        <v>0.24864864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219</v>
      </c>
      <c r="H21" s="6">
        <f t="shared" ref="H21:H22" si="22">E21/$G21</f>
        <v>0.44292237442922372</v>
      </c>
      <c r="I21" s="6">
        <f t="shared" ref="I21:I22" si="23">F21/$G21</f>
        <v>0.40182648401826482</v>
      </c>
      <c r="J21" s="6">
        <f t="shared" ref="J21:J22" si="24">H21-I21</f>
        <v>4.1095890410958902E-2</v>
      </c>
      <c r="K21" s="5" cm="1">
        <f t="array" ref="K21">_xll.FDS(A21,"FMA_PCT_ABOVE_MAVG(200,0,,,,""PORTAGG"")")/100</f>
        <v>0.70319634703196299</v>
      </c>
      <c r="L21" s="14" cm="1">
        <f t="array" ref="L21">_xll.FDSB(A21,"PERCENT_CHANGE(FMA_EPS(+1,0,,,,""PORTAGG"",""MEAN""),FMA_EPS(+1,-1AM,,,,""PORTAGG"",""MEAN""))")</f>
        <v>-0.94719875045297697</v>
      </c>
      <c r="M21" s="14" cm="1">
        <f t="array" ref="M21">_xll.FDSB(A21,"PERCENT_CHANGE(FMA_EPS(+1,0,,,,""PORTAGG"",""MEAN""),FMA_EPS(+1,-3AM,,,,""PORTAGG"",""MEAN""))")</f>
        <v>-1.08767646282891</v>
      </c>
      <c r="O21" s="3" cm="1">
        <f t="array" ref="O21">_xll.FDS(C21,"FG_TOTAL_RETURNC(0,-3AM)")</f>
        <v>6.3677789999999996</v>
      </c>
      <c r="P21" s="3" cm="1">
        <f t="array" ref="P21">_xll.FDS(C21,"FG_TOTAL_RETURNC(0,-6AM)")</f>
        <v>17.940353000000002</v>
      </c>
      <c r="Q21" s="6" cm="1">
        <f t="array" ref="Q21">_xll.FDS(C21,"P_PRICE(0)/P_PRICE_HIGH_PR(0,,,USD,,,""PRICE"",""INTRA"",""52W"")")</f>
        <v>0.97120649999999997</v>
      </c>
      <c r="R21" s="6" cm="1">
        <f t="array" ref="R21">_xll.FDS(C21,"P_PRICE(0)/P_PRICE_low_PR(0,,,USD,,,""PRICE"",""INTRA"",""52W"")-1")</f>
        <v>0.22360134000000001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182</v>
      </c>
      <c r="F22" cm="1">
        <f t="array" ref="F22">_xll.FDS(C22,"FMA_COS_DOWN(""EPS"",""1M"",+1,0,,,""PORTAGG"",""MEANR"")")</f>
        <v>169</v>
      </c>
      <c r="G22" cm="1">
        <f t="array" ref="G22">_xll.FDS(A22,"SIZE(FG_CONSTITUENTS)")</f>
        <v>504</v>
      </c>
      <c r="H22" s="6">
        <f t="shared" si="22"/>
        <v>0.3611111111111111</v>
      </c>
      <c r="I22" s="6">
        <f t="shared" si="23"/>
        <v>0.33531746031746029</v>
      </c>
      <c r="J22" s="6">
        <f t="shared" si="24"/>
        <v>2.5793650793650813E-2</v>
      </c>
      <c r="K22" s="5" cm="1">
        <f t="array" ref="K22">_xll.FDS(A22,"FMA_PCT_ABOVE_MAVG(200,0,,,,""PORTAGG"")")/100</f>
        <v>0.79441117764471103</v>
      </c>
      <c r="L22" s="14" cm="1">
        <f t="array" ref="L22">_xll.FDSB(A22,"PERCENT_CHANGE(FMA_EPS(+1,0,,,,""PORTAGG"",""MEAN""),FMA_EPS(+1,-1AM,,,,""PORTAGG"",""MEAN""))")</f>
        <v>-0.325097488744788</v>
      </c>
      <c r="M22" s="14" cm="1">
        <f t="array" ref="M22">_xll.FDSB(A22,"PERCENT_CHANGE(FMA_EPS(+1,0,,,,""PORTAGG"",""MEAN""),FMA_EPS(+1,-3AM,,,,""PORTAGG"",""MEAN""))")</f>
        <v>9.3663964525271495E-2</v>
      </c>
      <c r="O22" s="3" cm="1">
        <f t="array" ref="O22">_xll.FDS(C22,"FG_TOTAL_RETURNC(0,-3AM)")</f>
        <v>9.0837479999999999</v>
      </c>
      <c r="P22" s="3" cm="1">
        <f t="array" ref="P22">_xll.FDS(C22,"FG_TOTAL_RETURNC(0,-6AM)")</f>
        <v>19.575261999999999</v>
      </c>
      <c r="Q22" s="6" cm="1">
        <f t="array" ref="Q22">_xll.FDS(C22,"P_PRICE(0)/P_PRICE_HIGH_PR(0,,,USD,,,""PRICE"",""INTRA"",""52W"")")</f>
        <v>0.98740019999999995</v>
      </c>
      <c r="R22" s="6" cm="1">
        <f t="array" ref="R22">_xll.FDS(C22,"P_PRICE(0)/P_PRICE_low_PR(0,,,USD,,,""PRICE"",""INTRA"",""52W"")-1")</f>
        <v>0.28300393000000001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47</v>
      </c>
      <c r="F23" cm="1">
        <f t="array" ref="F23">_xll.FDS(C23,"FMA_COS_DOWN(""EPS"",""1M"",+1,0,,,""PORTAGG"",""MEANR"")")</f>
        <v>63</v>
      </c>
      <c r="G23" cm="1">
        <f t="array" ref="G23">_xll.FDS(A23,"SIZE(FG_CONSTITUENTS)")</f>
        <v>137</v>
      </c>
      <c r="H23" s="6">
        <f t="shared" ref="H23" si="26">E23/$G23</f>
        <v>0.34306569343065696</v>
      </c>
      <c r="I23" s="6">
        <f t="shared" ref="I23" si="27">F23/$G23</f>
        <v>0.45985401459854014</v>
      </c>
      <c r="J23" s="6">
        <f t="shared" ref="J23" si="28">H23-I23</f>
        <v>-0.11678832116788318</v>
      </c>
      <c r="K23" s="5" cm="1">
        <f t="array" ref="K23">_xll.FDS(A23,"FMA_PCT_ABOVE_MAVG(200,0,,,,""PORTAGG"")")/100</f>
        <v>0.83823529411764697</v>
      </c>
      <c r="L23" s="14" cm="1">
        <f t="array" ref="L23">_xll.FDSB(A23,"PERCENT_CHANGE(FMA_EPS(+1,0,,,,""PORTAGG"",""MEAN""),FMA_EPS(+1,-1AM,,,,""PORTAGG"",""MEAN""))")</f>
        <v>-0.85678448159845599</v>
      </c>
      <c r="M23" s="14" cm="1">
        <f t="array" ref="M23">_xll.FDSB(A23,"PERCENT_CHANGE(FMA_EPS(+1,0,,,,""PORTAGG"",""MEAN""),FMA_EPS(+1,-3AM,,,,""PORTAGG"",""MEAN""))")</f>
        <v>-0.28314010962201203</v>
      </c>
      <c r="O23" s="3" cm="1">
        <f t="array" ref="O23">_xll.FDS(C23,"FG_TOTAL_RETURNC(0,-3AM)")</f>
        <v>6.4240693999999996</v>
      </c>
      <c r="P23" s="3" cm="1">
        <f t="array" ref="P23">_xll.FDS(C23,"FG_TOTAL_RETURNC(0,-6AM)")</f>
        <v>17.166519999999998</v>
      </c>
      <c r="Q23" s="6" cm="1">
        <f t="array" ref="Q23">_xll.FDS(C23,"P_PRICE(0)/P_PRICE_HIGH_PR(0,,,USD,,,""PRICE"",""INTRA"",""52W"")")</f>
        <v>0.99809336999999998</v>
      </c>
      <c r="R23" s="6" cm="1">
        <f t="array" ref="R23">_xll.FDS(C23,"P_PRICE(0)/P_PRICE_low_PR(0,,,USD,,,""PRICE"",""INTRA"",""52W"")-1")</f>
        <v>0.32030259999999999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236</v>
      </c>
      <c r="F24" cm="1">
        <f t="array" ref="F24">_xll.FDS(C24,"FMA_COS_DOWN(""EPS"",""1M"",+1,0,,,""PORTAGG"",""MEANR"")")</f>
        <v>284</v>
      </c>
      <c r="G24" cm="1">
        <f t="array" ref="G24">_xll.FDS(A24,"SIZE(FG_CONSTITUENTS)")</f>
        <v>696</v>
      </c>
      <c r="H24" s="6">
        <f t="shared" ref="H24" si="29">E24/$G24</f>
        <v>0.33908045977011492</v>
      </c>
      <c r="I24" s="6">
        <f t="shared" ref="I24" si="30">F24/$G24</f>
        <v>0.40804597701149425</v>
      </c>
      <c r="J24" s="6">
        <f t="shared" ref="J24" si="31">H24-I24</f>
        <v>-6.8965517241379337E-2</v>
      </c>
      <c r="K24" s="5" cm="1">
        <f t="array" ref="K24">_xll.FDS(A24,"FMA_PCT_ABOVE_MAVG(200,0,,,,""PORTAGG"")")/100</f>
        <v>0.66816143497757807</v>
      </c>
      <c r="L24" s="14" cm="1">
        <f t="array" ref="L24">_xll.FDSB(A24,"PERCENT_CHANGE(FMA_EPS(+1,0,,,,""PORTAGG"",""MEAN""),FMA_EPS(+1,-1AM,,,,""PORTAGG"",""MEAN""))")</f>
        <v>0.258288607506521</v>
      </c>
      <c r="M24" s="14" cm="1">
        <f t="array" ref="M24">_xll.FDSB(A24,"PERCENT_CHANGE(FMA_EPS(+1,0,,,,""PORTAGG"",""MEAN""),FMA_EPS(+1,-3AM,,,,""PORTAGG"",""MEAN""))")</f>
        <v>-1.6309487938098599</v>
      </c>
      <c r="O24" s="3" cm="1">
        <f t="array" ref="O24">_xll.FDS(C24,"FG_TOTAL_RETURNC(0,-3AM)")</f>
        <v>6.9321513000000001</v>
      </c>
      <c r="P24" s="3" cm="1">
        <f t="array" ref="P24">_xll.FDS(C24,"FG_TOTAL_RETURNC(0,-6AM)")</f>
        <v>16.753053999999999</v>
      </c>
      <c r="Q24" s="6" cm="1">
        <f t="array" ref="Q24">_xll.FDS(C24,"P_PRICE(0)/P_PRICE_HIGH_PR(0,,,USD,,,""PRICE"",""INTRA"",""52W"")")</f>
        <v>0.98723406000000002</v>
      </c>
      <c r="R24" s="6" cm="1">
        <f t="array" ref="R24">_xll.FDS(C24,"P_PRICE(0)/P_PRICE_low_PR(0,,,USD,,,""PRICE"",""INTRA"",""52W"")-1")</f>
        <v>0.21427821999999999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33</v>
      </c>
      <c r="F25" cm="1">
        <f t="array" ref="F25">_xll.FDS(C25,"FMA_COS_DOWN(""EPS"",""1M"",+1,0,,,""PORTAGG"",""MEANR"")")</f>
        <v>32</v>
      </c>
      <c r="G25" cm="1">
        <f t="array" ref="G25">_xll.FDS(A25,"SIZE(FG_CONSTITUENTS)")</f>
        <v>102</v>
      </c>
      <c r="H25" s="6">
        <f t="shared" ref="H25:H27" si="32">E25/$G25</f>
        <v>0.3235294117647059</v>
      </c>
      <c r="I25" s="6">
        <f t="shared" ref="I25:I27" si="33">F25/$G25</f>
        <v>0.31372549019607843</v>
      </c>
      <c r="J25" s="6">
        <f t="shared" ref="J25:J27" si="34">H25-I25</f>
        <v>9.8039215686274717E-3</v>
      </c>
      <c r="K25" s="5" cm="1">
        <f t="array" ref="K25">_xll.FDS(A25,"FMA_PCT_ABOVE_MAVG(200,0,,,,""PORTAGG"")")/100</f>
        <v>0.68627450980392202</v>
      </c>
      <c r="L25" s="14" cm="1">
        <f t="array" ref="L25">_xll.FDSB(A25,"PERCENT_CHANGE(FMA_EPS(+1,0,,,,""PORTAGG"",""MEAN""),FMA_EPS(+1,-1AM,,,,""PORTAGG"",""MEAN""))")</f>
        <v>-0.184278646972279</v>
      </c>
      <c r="M25" s="14" cm="1">
        <f t="array" ref="M25">_xll.FDSB(A25,"PERCENT_CHANGE(FMA_EPS(+1,0,,,,""PORTAGG"",""MEAN""),FMA_EPS(+1,-3AM,,,,""PORTAGG"",""MEAN""))")</f>
        <v>0.14728724188696199</v>
      </c>
      <c r="O25" s="3" cm="1">
        <f t="array" ref="O25">_xll.FDS(C25,"FG_TOTAL_RETURNC(0,-3AM)")</f>
        <v>8.9419249999999995</v>
      </c>
      <c r="P25" s="3" cm="1">
        <f t="array" ref="P25">_xll.FDS(C25,"FG_TOTAL_RETURNC(0,-6AM)")</f>
        <v>20.433605</v>
      </c>
      <c r="Q25" s="6" cm="1">
        <f t="array" ref="Q25">_xll.FDS(C25,"P_PRICE(0)/P_PRICE_HIGH_PR(0,,,USD,,,""PRICE"",""INTRA"",""52W"")")</f>
        <v>0.99116479999999996</v>
      </c>
      <c r="R25" s="6" cm="1">
        <f t="array" ref="R25">_xll.FDS(C25,"P_PRICE(0)/P_PRICE_low_PR(0,,,USD,,,""PRICE"",""INTRA"",""52W"")-1")</f>
        <v>0.4371873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441</v>
      </c>
      <c r="F26" cm="1">
        <f t="array" ref="F26">_xll.FDS(C26,"FMA_COS_DOWN(""EPS"",""1M"",+1,0,,,""PORTAGG"",""MEANR"")")</f>
        <v>522</v>
      </c>
      <c r="G26" cm="1">
        <f t="array" ref="G26">_xll.FDS(A26,"SIZE(FG_CONSTITUENTS)")</f>
        <v>1937</v>
      </c>
      <c r="H26" s="6">
        <f t="shared" si="32"/>
        <v>0.22767165720185856</v>
      </c>
      <c r="I26" s="6">
        <f t="shared" si="33"/>
        <v>0.26948890036138357</v>
      </c>
      <c r="J26" s="6">
        <f t="shared" si="34"/>
        <v>-4.1817243159525008E-2</v>
      </c>
      <c r="K26" s="5" cm="1">
        <f t="array" ref="K26">_xll.FDS(A26,"FMA_PCT_ABOVE_MAVG(200,0,,,,""PORTAGG"")")/100</f>
        <v>0.49062499999999998</v>
      </c>
      <c r="L26" s="14" cm="1">
        <f t="array" ref="L26">_xll.FDSB(A26,"PERCENT_CHANGE(FMA_EPS(+1,0,,,,""PORTAGG"",""MEAN""),FMA_EPS(+1,-1AM,,,,""PORTAGG"",""MEAN""))")</f>
        <v>-2.6060503216369</v>
      </c>
      <c r="M26" s="14" cm="1">
        <f t="array" ref="M26">_xll.FDSB(A26,"PERCENT_CHANGE(FMA_EPS(+1,0,,,,""PORTAGG"",""MEAN""),FMA_EPS(+1,-3AM,,,,""PORTAGG"",""MEAN""))")</f>
        <v>-6.7886457799684896</v>
      </c>
      <c r="O26" s="3" cm="1">
        <f t="array" ref="O26">_xll.FDS(C26,"FG_TOTAL_RETURNC(0,-3AM)")</f>
        <v>4.7780633000000003</v>
      </c>
      <c r="P26" s="3" cm="1">
        <f t="array" ref="P26">_xll.FDS(C26,"FG_TOTAL_RETURNC(0,-6AM)")</f>
        <v>15.874184</v>
      </c>
      <c r="Q26" s="6" cm="1">
        <f t="array" ref="Q26">_xll.FDS(C26,"P_PRICE(0)/P_PRICE_HIGH_PR(0,,,USD,,,""PRICE"",""INTRA"",""52W"")")</f>
        <v>0.95476099999999997</v>
      </c>
      <c r="R26" s="6" cm="1">
        <f t="array" ref="R26">_xll.FDS(C26,"P_PRICE(0)/P_PRICE_low_PR(0,,,USD,,,""PRICE"",""INTRA"",""52W"")-1")</f>
        <v>0.25125252999999997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12</v>
      </c>
      <c r="F27" cm="1">
        <f t="array" ref="F27">_xll.FDS(C27,"FMA_COS_DOWN(""EPS"",""1M"",+1,0,,,""PORTAGG"",""MEANR"")")</f>
        <v>35</v>
      </c>
      <c r="G27" cm="1">
        <f t="array" ref="G27">_xll.FDS(A27,"SIZE(FG_CONSTITUENTS)")</f>
        <v>51</v>
      </c>
      <c r="H27" s="6">
        <f t="shared" si="32"/>
        <v>0.23529411764705882</v>
      </c>
      <c r="I27" s="6">
        <f t="shared" si="33"/>
        <v>0.68627450980392157</v>
      </c>
      <c r="J27" s="6">
        <f t="shared" si="34"/>
        <v>-0.45098039215686275</v>
      </c>
      <c r="K27" s="5" cm="1">
        <f t="array" ref="K27">_xll.FDS(A27,"FMA_PCT_ABOVE_MAVG(200,0,,,,""PORTAGG"")")/100</f>
        <v>0.50980392156862697</v>
      </c>
      <c r="L27" s="14" cm="1">
        <f t="array" ref="L27">_xll.FDSB(A27,"PERCENT_CHANGE(FMA_EPS(+1,0,,,,""PORTAGG"",""MEAN""),FMA_EPS(+1,-1AM,,,,""PORTAGG"",""MEAN""))")</f>
        <v>-1.59514281102572</v>
      </c>
      <c r="M27" s="14" cm="1">
        <f t="array" ref="M27">_xll.FDSB(A27,"PERCENT_CHANGE(FMA_EPS(+1,0,,,,""PORTAGG"",""MEAN""),FMA_EPS(+1,-3AM,,,,""PORTAGG"",""MEAN""))")</f>
        <v>-1.75480169122212</v>
      </c>
      <c r="O27" s="3" cm="1">
        <f t="array" ref="O27">_xll.FDS(C27,"FG_TOTAL_RETURNC(0,-3AM)")</f>
        <v>8.1909770000000002</v>
      </c>
      <c r="P27" s="3" cm="1">
        <f t="array" ref="P27">_xll.FDS(C27,"FG_TOTAL_RETURNC(0,-6AM)")</f>
        <v>-6.6117705999999998</v>
      </c>
      <c r="Q27" s="6" cm="1">
        <f t="array" ref="Q27">_xll.FDS(C27,"P_PRICE(0)/P_PRICE_HIGH_PR(0,,,USD,,,""PRICE"",""INTRA"",""52W"")")</f>
        <v>0.80877536999999999</v>
      </c>
      <c r="R27" s="6" cm="1">
        <f t="array" ref="R27">_xll.FDS(C27,"P_PRICE(0)/P_PRICE_low_PR(0,,,USD,,,""PRICE"",""INTRA"",""52W"")-1")</f>
        <v>0.18408442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R215"/>
  <sheetViews>
    <sheetView topLeftCell="B183" workbookViewId="0">
      <selection activeCell="R208" sqref="R20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8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</row>
    <row r="6" spans="2:18" x14ac:dyDescent="0.35">
      <c r="B6" s="2" cm="1">
        <f t="array" ref="B6:B206">_xll.FDS(C5,"JULIAN(P_PRICE(0,-200D).dates)")</f>
        <v>45393</v>
      </c>
      <c r="C6" cm="1">
        <f t="array" ref="C6:C206">_xll.FDS(C5,"FG_PRICE(0,-200D)")</f>
        <v>42.42</v>
      </c>
      <c r="D6" cm="1">
        <f t="array" ref="D6:D206">_xll.FDS(D5,"FG_PRICE(0,-200D)")</f>
        <v>518</v>
      </c>
      <c r="E6" cm="1">
        <f t="array" ref="E6:E206">_xll.FDS(E5,"FG_PRICE(0,-200D)")</f>
        <v>219.8</v>
      </c>
      <c r="F6" cm="1">
        <f t="array" ref="F6:F206">_xll.FDS(F5,"FG_PRICE(0,-200D)")</f>
        <v>28.61</v>
      </c>
      <c r="G6" cm="1">
        <f t="array" ref="G6:G206">_xll.FDS(G5,"FG_PRICE(0,-200D)")</f>
        <v>445.37</v>
      </c>
      <c r="H6" cm="1">
        <f t="array" ref="H6:H206">_xll.FDS(H5,"FG_PRICE(0,-200D)")</f>
        <v>25.2</v>
      </c>
      <c r="I6" cm="1">
        <f t="array" ref="I6:I206">_xll.FDS(I5,"FG_PRICE(0,-200D)")</f>
        <v>81.55</v>
      </c>
      <c r="J6" cm="1">
        <f t="array" ref="J6:J206">_xll.FDS(J5,"FG_PRICE(0,-200D)")</f>
        <v>89.81</v>
      </c>
      <c r="K6" cm="1">
        <f t="array" ref="K6:K206">_xll.FDS(K5,"FG_PRICE(0,-200D)")</f>
        <v>66.209999999999994</v>
      </c>
      <c r="L6" cm="1">
        <f t="array" ref="L6:L206">_xll.FDS(L5,"FG_PRICE(0,-200D)")</f>
        <v>58</v>
      </c>
      <c r="M6" cm="1">
        <f t="array" ref="M6:M206">_xll.FDS(M5,"FG_PRICE(0,-200D)")</f>
        <v>69.989999999999995</v>
      </c>
      <c r="N6" cm="1">
        <f t="array" ref="N6:N206">_xll.FDS(N5,"FG_PRICE(0,-200D)")</f>
        <v>143.22</v>
      </c>
      <c r="O6" cm="1">
        <f t="array" ref="O6:O206">_xll.FDS(O5,"FG_PRICE(0,-200D)")</f>
        <v>52.35</v>
      </c>
      <c r="P6" cm="1">
        <f t="array" ref="P6:P206">_xll.FDS(P5,"FG_PRICE(0,-200D)")</f>
        <v>202.29</v>
      </c>
      <c r="Q6" cm="1">
        <f t="array" ref="Q6:Q206">_xll.FDS(Q5,"FG_PRICE(0,-200D)")</f>
        <v>24.7</v>
      </c>
      <c r="R6" cm="1">
        <f t="array" ref="R6:R206">_xll.FDS(R5,"FG_PRICE(0,-200D)")</f>
        <v>70800</v>
      </c>
    </row>
    <row r="7" spans="2:18" x14ac:dyDescent="0.35">
      <c r="B7" s="2">
        <v>45392</v>
      </c>
      <c r="C7">
        <v>42.28</v>
      </c>
      <c r="D7">
        <v>514.12</v>
      </c>
      <c r="E7">
        <v>215.61</v>
      </c>
      <c r="F7">
        <v>28.59</v>
      </c>
      <c r="G7">
        <v>438.37</v>
      </c>
      <c r="H7">
        <v>25.26</v>
      </c>
      <c r="I7">
        <v>82.09</v>
      </c>
      <c r="J7">
        <v>90.22</v>
      </c>
      <c r="K7">
        <v>66.17</v>
      </c>
      <c r="L7">
        <v>57.59</v>
      </c>
      <c r="M7">
        <v>69.38</v>
      </c>
      <c r="N7">
        <v>142.24</v>
      </c>
      <c r="O7">
        <v>52.22</v>
      </c>
      <c r="P7">
        <v>200.93</v>
      </c>
      <c r="Q7">
        <v>24.47</v>
      </c>
      <c r="R7">
        <v>70410</v>
      </c>
    </row>
    <row r="8" spans="2:18" x14ac:dyDescent="0.35">
      <c r="B8" s="2">
        <v>45391</v>
      </c>
      <c r="C8">
        <v>42.75</v>
      </c>
      <c r="D8">
        <v>519.32000000000005</v>
      </c>
      <c r="E8">
        <v>217.67</v>
      </c>
      <c r="F8">
        <v>28.29</v>
      </c>
      <c r="G8">
        <v>442.23</v>
      </c>
      <c r="H8">
        <v>25.04</v>
      </c>
      <c r="I8">
        <v>81.150000000000006</v>
      </c>
      <c r="J8">
        <v>92.23</v>
      </c>
      <c r="K8">
        <v>66.959999999999994</v>
      </c>
      <c r="L8">
        <v>58.58</v>
      </c>
      <c r="M8">
        <v>70.48</v>
      </c>
      <c r="N8">
        <v>143.83000000000001</v>
      </c>
      <c r="O8">
        <v>52.42</v>
      </c>
      <c r="P8">
        <v>206.38</v>
      </c>
      <c r="Q8">
        <v>24.59</v>
      </c>
      <c r="R8">
        <v>69355</v>
      </c>
    </row>
    <row r="9" spans="2:18" x14ac:dyDescent="0.35">
      <c r="B9" s="2">
        <v>45390</v>
      </c>
      <c r="C9">
        <v>42.38</v>
      </c>
      <c r="D9">
        <v>518.72</v>
      </c>
      <c r="E9">
        <v>216.48</v>
      </c>
      <c r="F9">
        <v>28.3</v>
      </c>
      <c r="G9">
        <v>440.6</v>
      </c>
      <c r="H9">
        <v>24.88</v>
      </c>
      <c r="I9">
        <v>82.2</v>
      </c>
      <c r="J9">
        <v>91.38</v>
      </c>
      <c r="K9">
        <v>67.099999999999994</v>
      </c>
      <c r="L9">
        <v>58.24</v>
      </c>
      <c r="M9">
        <v>70.22</v>
      </c>
      <c r="N9">
        <v>143.72</v>
      </c>
      <c r="O9">
        <v>52.38</v>
      </c>
      <c r="P9">
        <v>205.57</v>
      </c>
      <c r="Q9">
        <v>24.36</v>
      </c>
      <c r="R9">
        <v>72110</v>
      </c>
    </row>
    <row r="10" spans="2:18" x14ac:dyDescent="0.35">
      <c r="B10" s="2">
        <v>45387</v>
      </c>
      <c r="C10">
        <v>42.12</v>
      </c>
      <c r="D10">
        <v>518.42999999999995</v>
      </c>
      <c r="E10">
        <v>215.14</v>
      </c>
      <c r="F10">
        <v>28.34</v>
      </c>
      <c r="G10">
        <v>440.47</v>
      </c>
      <c r="H10">
        <v>25.08</v>
      </c>
      <c r="I10">
        <v>82.4</v>
      </c>
      <c r="J10">
        <v>91.39</v>
      </c>
      <c r="K10">
        <v>66.760000000000005</v>
      </c>
      <c r="L10">
        <v>57.84</v>
      </c>
      <c r="M10">
        <v>69.87</v>
      </c>
      <c r="N10">
        <v>143.56</v>
      </c>
      <c r="O10">
        <v>52.02</v>
      </c>
      <c r="P10">
        <v>204.45</v>
      </c>
      <c r="Q10">
        <v>24.19</v>
      </c>
      <c r="R10">
        <v>67755</v>
      </c>
    </row>
    <row r="11" spans="2:18" x14ac:dyDescent="0.35">
      <c r="B11" s="2">
        <v>45386</v>
      </c>
      <c r="C11">
        <v>41.99</v>
      </c>
      <c r="D11">
        <v>513.07000000000005</v>
      </c>
      <c r="E11">
        <v>211.52</v>
      </c>
      <c r="F11">
        <v>28.31</v>
      </c>
      <c r="G11">
        <v>435.34</v>
      </c>
      <c r="H11">
        <v>24.8</v>
      </c>
      <c r="I11">
        <v>82.27</v>
      </c>
      <c r="J11">
        <v>92.68</v>
      </c>
      <c r="K11">
        <v>66.59</v>
      </c>
      <c r="L11">
        <v>57.58</v>
      </c>
      <c r="M11">
        <v>69.67</v>
      </c>
      <c r="N11">
        <v>142.30000000000001</v>
      </c>
      <c r="O11">
        <v>51.57</v>
      </c>
      <c r="P11">
        <v>203.77</v>
      </c>
      <c r="Q11">
        <v>24.32</v>
      </c>
      <c r="R11">
        <v>68840</v>
      </c>
    </row>
    <row r="12" spans="2:18" x14ac:dyDescent="0.35">
      <c r="B12" s="2">
        <v>45385</v>
      </c>
      <c r="C12">
        <v>42.14</v>
      </c>
      <c r="D12">
        <v>519.41</v>
      </c>
      <c r="E12">
        <v>212.74</v>
      </c>
      <c r="F12">
        <v>28.31</v>
      </c>
      <c r="G12">
        <v>442.1</v>
      </c>
      <c r="H12">
        <v>24.7</v>
      </c>
      <c r="I12">
        <v>81.25</v>
      </c>
      <c r="J12">
        <v>92.02</v>
      </c>
      <c r="K12">
        <v>67.11</v>
      </c>
      <c r="L12">
        <v>57.76</v>
      </c>
      <c r="M12">
        <v>70.400000000000006</v>
      </c>
      <c r="N12">
        <v>143.93</v>
      </c>
      <c r="O12">
        <v>51.68</v>
      </c>
      <c r="P12">
        <v>205.83</v>
      </c>
      <c r="Q12">
        <v>24.45</v>
      </c>
      <c r="R12">
        <v>66305</v>
      </c>
    </row>
    <row r="13" spans="2:18" x14ac:dyDescent="0.35">
      <c r="B13" s="2">
        <v>45384</v>
      </c>
      <c r="C13">
        <v>42.08</v>
      </c>
      <c r="D13">
        <v>518.84</v>
      </c>
      <c r="E13">
        <v>210.89</v>
      </c>
      <c r="F13">
        <v>28.44</v>
      </c>
      <c r="G13">
        <v>441.11</v>
      </c>
      <c r="H13">
        <v>24.76</v>
      </c>
      <c r="I13">
        <v>80.790000000000006</v>
      </c>
      <c r="J13">
        <v>92.04</v>
      </c>
      <c r="K13">
        <v>66.64</v>
      </c>
      <c r="L13">
        <v>57.64</v>
      </c>
      <c r="M13">
        <v>69.92</v>
      </c>
      <c r="N13">
        <v>143.5</v>
      </c>
      <c r="O13">
        <v>51.57</v>
      </c>
      <c r="P13">
        <v>204.49</v>
      </c>
      <c r="Q13">
        <v>24.6</v>
      </c>
      <c r="R13">
        <v>66550</v>
      </c>
    </row>
    <row r="14" spans="2:18" x14ac:dyDescent="0.35">
      <c r="B14" s="2">
        <v>45383</v>
      </c>
      <c r="C14">
        <v>41.94</v>
      </c>
      <c r="D14">
        <v>522.16</v>
      </c>
      <c r="E14">
        <v>207.82</v>
      </c>
      <c r="F14">
        <v>28.48</v>
      </c>
      <c r="G14">
        <v>444.95</v>
      </c>
      <c r="H14">
        <v>25.07</v>
      </c>
      <c r="I14">
        <v>79.67</v>
      </c>
      <c r="J14">
        <v>92.55</v>
      </c>
      <c r="K14">
        <v>67.22</v>
      </c>
      <c r="L14">
        <v>57.42</v>
      </c>
      <c r="M14">
        <v>70.28</v>
      </c>
      <c r="N14">
        <v>144.5</v>
      </c>
      <c r="O14">
        <v>51.49</v>
      </c>
      <c r="P14">
        <v>208.32</v>
      </c>
      <c r="Q14">
        <v>24.4</v>
      </c>
      <c r="R14">
        <v>70380</v>
      </c>
    </row>
    <row r="15" spans="2:18" x14ac:dyDescent="0.35">
      <c r="B15" s="2">
        <v>45379</v>
      </c>
      <c r="C15">
        <v>41.77</v>
      </c>
      <c r="D15">
        <v>523.07000000000005</v>
      </c>
      <c r="E15">
        <v>205.72</v>
      </c>
      <c r="F15">
        <v>28.37</v>
      </c>
      <c r="G15">
        <v>444.01</v>
      </c>
      <c r="H15">
        <v>24.76</v>
      </c>
      <c r="I15">
        <v>78.73</v>
      </c>
      <c r="J15">
        <v>94.62</v>
      </c>
      <c r="K15">
        <v>67.34</v>
      </c>
      <c r="L15">
        <v>57.57</v>
      </c>
      <c r="M15">
        <v>71.349999999999994</v>
      </c>
      <c r="N15">
        <v>144.91</v>
      </c>
      <c r="O15">
        <v>51.59</v>
      </c>
      <c r="P15">
        <v>210.3</v>
      </c>
      <c r="Q15">
        <v>24.07</v>
      </c>
      <c r="R15">
        <v>71296.17</v>
      </c>
    </row>
    <row r="16" spans="2:18" x14ac:dyDescent="0.35">
      <c r="B16" s="2">
        <v>45378</v>
      </c>
      <c r="C16">
        <v>41.63</v>
      </c>
      <c r="D16">
        <v>523.16999999999996</v>
      </c>
      <c r="E16">
        <v>203.1</v>
      </c>
      <c r="F16">
        <v>28.29</v>
      </c>
      <c r="G16">
        <v>444.83</v>
      </c>
      <c r="H16">
        <v>24.67</v>
      </c>
      <c r="I16">
        <v>77.510000000000005</v>
      </c>
      <c r="J16">
        <v>94.7</v>
      </c>
      <c r="K16">
        <v>67.459999999999994</v>
      </c>
      <c r="L16">
        <v>57.45</v>
      </c>
      <c r="M16">
        <v>71.61</v>
      </c>
      <c r="N16">
        <v>144.91</v>
      </c>
      <c r="O16">
        <v>51.09</v>
      </c>
      <c r="P16">
        <v>209.64</v>
      </c>
      <c r="Q16">
        <v>23.81</v>
      </c>
      <c r="R16">
        <v>68635</v>
      </c>
    </row>
    <row r="17" spans="2:18" x14ac:dyDescent="0.35">
      <c r="B17" s="2">
        <v>45377</v>
      </c>
      <c r="C17">
        <v>41.52</v>
      </c>
      <c r="D17">
        <v>518.80999999999995</v>
      </c>
      <c r="E17">
        <v>201.64</v>
      </c>
      <c r="F17">
        <v>28.27</v>
      </c>
      <c r="G17">
        <v>443.32</v>
      </c>
      <c r="H17">
        <v>24.52</v>
      </c>
      <c r="I17">
        <v>77.290000000000006</v>
      </c>
      <c r="J17">
        <v>93.77</v>
      </c>
      <c r="K17">
        <v>67.05</v>
      </c>
      <c r="L17">
        <v>57.23</v>
      </c>
      <c r="M17">
        <v>71.3</v>
      </c>
      <c r="N17">
        <v>143.81</v>
      </c>
      <c r="O17">
        <v>50.76</v>
      </c>
      <c r="P17">
        <v>205.17</v>
      </c>
      <c r="Q17">
        <v>23.84</v>
      </c>
      <c r="R17">
        <v>69440</v>
      </c>
    </row>
    <row r="18" spans="2:18" x14ac:dyDescent="0.35">
      <c r="B18" s="2">
        <v>45376</v>
      </c>
      <c r="C18">
        <v>41.61</v>
      </c>
      <c r="D18">
        <v>519.77</v>
      </c>
      <c r="E18">
        <v>200.99</v>
      </c>
      <c r="F18">
        <v>28.25</v>
      </c>
      <c r="G18">
        <v>444.76</v>
      </c>
      <c r="H18">
        <v>24.64</v>
      </c>
      <c r="I18">
        <v>77.760000000000005</v>
      </c>
      <c r="J18">
        <v>93.51</v>
      </c>
      <c r="K18">
        <v>66.95</v>
      </c>
      <c r="L18">
        <v>57.37</v>
      </c>
      <c r="M18">
        <v>70.989999999999995</v>
      </c>
      <c r="N18">
        <v>144</v>
      </c>
      <c r="O18">
        <v>50.54</v>
      </c>
      <c r="P18">
        <v>205.54</v>
      </c>
      <c r="Q18">
        <v>23.71</v>
      </c>
      <c r="R18">
        <v>71130</v>
      </c>
    </row>
    <row r="19" spans="2:18" x14ac:dyDescent="0.35">
      <c r="B19" s="2">
        <v>45373</v>
      </c>
      <c r="C19">
        <v>41.61</v>
      </c>
      <c r="D19">
        <v>521.21</v>
      </c>
      <c r="E19">
        <v>200.35</v>
      </c>
      <c r="F19">
        <v>28.32</v>
      </c>
      <c r="G19">
        <v>446.38</v>
      </c>
      <c r="H19">
        <v>24.08</v>
      </c>
      <c r="I19">
        <v>76.680000000000007</v>
      </c>
      <c r="J19">
        <v>93.98</v>
      </c>
      <c r="K19">
        <v>66.88</v>
      </c>
      <c r="L19">
        <v>57.23</v>
      </c>
      <c r="M19">
        <v>71.819999999999993</v>
      </c>
      <c r="N19">
        <v>144.4</v>
      </c>
      <c r="O19">
        <v>50.49</v>
      </c>
      <c r="P19">
        <v>205.07</v>
      </c>
      <c r="Q19">
        <v>23.68</v>
      </c>
      <c r="R19">
        <v>63975</v>
      </c>
    </row>
    <row r="20" spans="2:18" x14ac:dyDescent="0.35">
      <c r="B20" s="2">
        <v>45372</v>
      </c>
      <c r="C20">
        <v>41.88</v>
      </c>
      <c r="D20">
        <v>522.20000000000005</v>
      </c>
      <c r="E20">
        <v>201.97</v>
      </c>
      <c r="F20">
        <v>28.17</v>
      </c>
      <c r="G20">
        <v>445.87</v>
      </c>
      <c r="H20">
        <v>23.92</v>
      </c>
      <c r="I20">
        <v>76.819999999999993</v>
      </c>
      <c r="J20">
        <v>93.09</v>
      </c>
      <c r="K20">
        <v>67.040000000000006</v>
      </c>
      <c r="L20">
        <v>57.47</v>
      </c>
      <c r="M20">
        <v>71.83</v>
      </c>
      <c r="N20">
        <v>144.66999999999999</v>
      </c>
      <c r="O20">
        <v>50.53</v>
      </c>
      <c r="P20">
        <v>207.94</v>
      </c>
      <c r="Q20">
        <v>24.02</v>
      </c>
      <c r="R20">
        <v>65415</v>
      </c>
    </row>
    <row r="21" spans="2:18" x14ac:dyDescent="0.35">
      <c r="B21" s="2">
        <v>45371</v>
      </c>
      <c r="C21">
        <v>41.85</v>
      </c>
      <c r="D21">
        <v>520.48</v>
      </c>
      <c r="E21">
        <v>202.18</v>
      </c>
      <c r="F21">
        <v>27.98</v>
      </c>
      <c r="G21">
        <v>443.77</v>
      </c>
      <c r="H21">
        <v>23.79</v>
      </c>
      <c r="I21">
        <v>77.25</v>
      </c>
      <c r="J21">
        <v>92.89</v>
      </c>
      <c r="K21">
        <v>67.209999999999994</v>
      </c>
      <c r="L21">
        <v>57.24</v>
      </c>
      <c r="M21">
        <v>71.47</v>
      </c>
      <c r="N21">
        <v>144.21</v>
      </c>
      <c r="O21">
        <v>50.42</v>
      </c>
      <c r="P21">
        <v>206.1</v>
      </c>
      <c r="Q21">
        <v>24.13</v>
      </c>
      <c r="R21">
        <v>65990</v>
      </c>
    </row>
    <row r="22" spans="2:18" x14ac:dyDescent="0.35">
      <c r="B22" s="2">
        <v>45370</v>
      </c>
      <c r="C22">
        <v>41.52</v>
      </c>
      <c r="D22">
        <v>515.71</v>
      </c>
      <c r="E22">
        <v>199.8</v>
      </c>
      <c r="F22">
        <v>28.11</v>
      </c>
      <c r="G22">
        <v>438.57</v>
      </c>
      <c r="H22">
        <v>23.55</v>
      </c>
      <c r="I22">
        <v>78.430000000000007</v>
      </c>
      <c r="J22">
        <v>92.92</v>
      </c>
      <c r="K22">
        <v>66.41</v>
      </c>
      <c r="L22">
        <v>56.6</v>
      </c>
      <c r="M22">
        <v>70.92</v>
      </c>
      <c r="N22">
        <v>142.87</v>
      </c>
      <c r="O22">
        <v>50.14</v>
      </c>
      <c r="P22">
        <v>202.1</v>
      </c>
      <c r="Q22">
        <v>23.91</v>
      </c>
      <c r="R22">
        <v>64595</v>
      </c>
    </row>
    <row r="23" spans="2:18" x14ac:dyDescent="0.35">
      <c r="B23" s="2">
        <v>45369</v>
      </c>
      <c r="C23">
        <v>41.69</v>
      </c>
      <c r="D23">
        <v>512.86</v>
      </c>
      <c r="E23">
        <v>200.03</v>
      </c>
      <c r="F23">
        <v>28.04</v>
      </c>
      <c r="G23">
        <v>437.48</v>
      </c>
      <c r="H23">
        <v>23.72</v>
      </c>
      <c r="I23">
        <v>77.98</v>
      </c>
      <c r="J23">
        <v>92.66</v>
      </c>
      <c r="K23">
        <v>66.3</v>
      </c>
      <c r="L23">
        <v>56.81</v>
      </c>
      <c r="M23">
        <v>70.650000000000006</v>
      </c>
      <c r="N23">
        <v>142.16999999999999</v>
      </c>
      <c r="O23">
        <v>50.7</v>
      </c>
      <c r="P23">
        <v>201.25</v>
      </c>
      <c r="Q23">
        <v>24.03</v>
      </c>
      <c r="R23">
        <v>67180</v>
      </c>
    </row>
    <row r="24" spans="2:18" x14ac:dyDescent="0.35">
      <c r="B24" s="2">
        <v>45366</v>
      </c>
      <c r="C24">
        <v>41.6</v>
      </c>
      <c r="D24">
        <v>509.83</v>
      </c>
      <c r="E24">
        <v>199.71</v>
      </c>
      <c r="F24">
        <v>27.98</v>
      </c>
      <c r="G24">
        <v>433.92</v>
      </c>
      <c r="H24">
        <v>23.59</v>
      </c>
      <c r="I24">
        <v>76.33</v>
      </c>
      <c r="J24">
        <v>92.94</v>
      </c>
      <c r="K24">
        <v>66.69</v>
      </c>
      <c r="L24">
        <v>56.76</v>
      </c>
      <c r="M24">
        <v>69.569999999999993</v>
      </c>
      <c r="N24">
        <v>141.74</v>
      </c>
      <c r="O24">
        <v>50.52</v>
      </c>
      <c r="P24">
        <v>202.41</v>
      </c>
      <c r="Q24">
        <v>23.99</v>
      </c>
      <c r="R24">
        <v>69165</v>
      </c>
    </row>
    <row r="25" spans="2:18" x14ac:dyDescent="0.35">
      <c r="B25" s="2">
        <v>45365</v>
      </c>
      <c r="C25">
        <v>41.76</v>
      </c>
      <c r="D25">
        <v>514.95000000000005</v>
      </c>
      <c r="E25">
        <v>200.35</v>
      </c>
      <c r="F25">
        <v>27.95</v>
      </c>
      <c r="G25">
        <v>439.14</v>
      </c>
      <c r="H25">
        <v>23.09</v>
      </c>
      <c r="I25">
        <v>76.3</v>
      </c>
      <c r="J25">
        <v>92.97</v>
      </c>
      <c r="K25">
        <v>67.12</v>
      </c>
      <c r="L25">
        <v>57.23</v>
      </c>
      <c r="M25">
        <v>69.06</v>
      </c>
      <c r="N25">
        <v>142.4</v>
      </c>
      <c r="O25">
        <v>50.71</v>
      </c>
      <c r="P25">
        <v>202.03</v>
      </c>
      <c r="Q25">
        <v>24.14</v>
      </c>
      <c r="R25">
        <v>69600</v>
      </c>
    </row>
    <row r="26" spans="2:18" x14ac:dyDescent="0.35">
      <c r="B26" s="2">
        <v>45364</v>
      </c>
      <c r="C26">
        <v>41.99</v>
      </c>
      <c r="D26">
        <v>515.97</v>
      </c>
      <c r="E26">
        <v>201.19</v>
      </c>
      <c r="F26">
        <v>27.8</v>
      </c>
      <c r="G26">
        <v>440.25</v>
      </c>
      <c r="H26">
        <v>22.96</v>
      </c>
      <c r="I26">
        <v>75.09</v>
      </c>
      <c r="J26">
        <v>94.42</v>
      </c>
      <c r="K26">
        <v>67.62</v>
      </c>
      <c r="L26">
        <v>57.29</v>
      </c>
      <c r="M26">
        <v>69.37</v>
      </c>
      <c r="N26">
        <v>143.03</v>
      </c>
      <c r="O26">
        <v>50.43</v>
      </c>
      <c r="P26">
        <v>205.71</v>
      </c>
      <c r="Q26">
        <v>24.64</v>
      </c>
      <c r="R26">
        <v>73915</v>
      </c>
    </row>
    <row r="27" spans="2:18" x14ac:dyDescent="0.35">
      <c r="B27" s="2">
        <v>45363</v>
      </c>
      <c r="C27">
        <v>42.23</v>
      </c>
      <c r="D27">
        <v>516.78</v>
      </c>
      <c r="E27">
        <v>199.79</v>
      </c>
      <c r="F27">
        <v>27.83</v>
      </c>
      <c r="G27">
        <v>443.66</v>
      </c>
      <c r="H27">
        <v>23</v>
      </c>
      <c r="I27">
        <v>73.349999999999994</v>
      </c>
      <c r="J27">
        <v>94.88</v>
      </c>
      <c r="K27">
        <v>67.5</v>
      </c>
      <c r="L27">
        <v>57.65</v>
      </c>
      <c r="M27">
        <v>69.98</v>
      </c>
      <c r="N27">
        <v>143.16</v>
      </c>
      <c r="O27">
        <v>51.69</v>
      </c>
      <c r="P27">
        <v>204.91</v>
      </c>
      <c r="Q27">
        <v>24.56</v>
      </c>
      <c r="R27">
        <v>71800</v>
      </c>
    </row>
    <row r="28" spans="2:18" x14ac:dyDescent="0.35">
      <c r="B28" s="2">
        <v>45362</v>
      </c>
      <c r="C28">
        <v>41.87</v>
      </c>
      <c r="D28">
        <v>511.28</v>
      </c>
      <c r="E28">
        <v>202</v>
      </c>
      <c r="F28">
        <v>27.81</v>
      </c>
      <c r="G28">
        <v>437.39</v>
      </c>
      <c r="H28">
        <v>22.74</v>
      </c>
      <c r="I28">
        <v>73.62</v>
      </c>
      <c r="J28">
        <v>95.68</v>
      </c>
      <c r="K28">
        <v>66.849999999999994</v>
      </c>
      <c r="L28">
        <v>57.2</v>
      </c>
      <c r="M28">
        <v>69.599999999999994</v>
      </c>
      <c r="N28">
        <v>141.66999999999999</v>
      </c>
      <c r="O28">
        <v>51.9</v>
      </c>
      <c r="P28">
        <v>205.19</v>
      </c>
      <c r="Q28">
        <v>24.04</v>
      </c>
      <c r="R28">
        <v>72660</v>
      </c>
    </row>
    <row r="29" spans="2:18" x14ac:dyDescent="0.35">
      <c r="B29" s="2">
        <v>45359</v>
      </c>
      <c r="C29">
        <v>41.76</v>
      </c>
      <c r="D29">
        <v>511.72</v>
      </c>
      <c r="E29">
        <v>201.63</v>
      </c>
      <c r="F29">
        <v>27.78</v>
      </c>
      <c r="G29">
        <v>439.02</v>
      </c>
      <c r="H29">
        <v>22.43</v>
      </c>
      <c r="I29">
        <v>73.36</v>
      </c>
      <c r="J29">
        <v>95.73</v>
      </c>
      <c r="K29">
        <v>66.84</v>
      </c>
      <c r="L29">
        <v>57.39</v>
      </c>
      <c r="M29">
        <v>71.180000000000007</v>
      </c>
      <c r="N29">
        <v>142.08000000000001</v>
      </c>
      <c r="O29">
        <v>52.28</v>
      </c>
      <c r="P29">
        <v>206.83</v>
      </c>
      <c r="Q29">
        <v>23.47</v>
      </c>
      <c r="R29">
        <v>69805</v>
      </c>
    </row>
    <row r="30" spans="2:18" x14ac:dyDescent="0.35">
      <c r="B30" s="2">
        <v>45358</v>
      </c>
      <c r="C30">
        <v>41.83</v>
      </c>
      <c r="D30">
        <v>514.80999999999995</v>
      </c>
      <c r="E30">
        <v>199.94</v>
      </c>
      <c r="F30">
        <v>27.77</v>
      </c>
      <c r="G30">
        <v>445.45</v>
      </c>
      <c r="H30">
        <v>22.45</v>
      </c>
      <c r="I30">
        <v>74.23</v>
      </c>
      <c r="J30">
        <v>95.9</v>
      </c>
      <c r="K30">
        <v>67.14</v>
      </c>
      <c r="L30">
        <v>57.57</v>
      </c>
      <c r="M30">
        <v>71.34</v>
      </c>
      <c r="N30">
        <v>142.84</v>
      </c>
      <c r="O30">
        <v>52.29</v>
      </c>
      <c r="P30">
        <v>206.96</v>
      </c>
      <c r="Q30">
        <v>23.33</v>
      </c>
      <c r="R30">
        <v>68365</v>
      </c>
    </row>
    <row r="31" spans="2:18" x14ac:dyDescent="0.35">
      <c r="B31" s="2">
        <v>45357</v>
      </c>
      <c r="C31">
        <v>41.63</v>
      </c>
      <c r="D31">
        <v>509.75</v>
      </c>
      <c r="E31">
        <v>198.81</v>
      </c>
      <c r="F31">
        <v>27.91</v>
      </c>
      <c r="G31">
        <v>438.79</v>
      </c>
      <c r="H31">
        <v>22.35</v>
      </c>
      <c r="I31">
        <v>74.34</v>
      </c>
      <c r="J31">
        <v>95.99</v>
      </c>
      <c r="K31">
        <v>66.11</v>
      </c>
      <c r="L31">
        <v>56.98</v>
      </c>
      <c r="M31">
        <v>71.37</v>
      </c>
      <c r="N31">
        <v>141.32</v>
      </c>
      <c r="O31">
        <v>52.11</v>
      </c>
      <c r="P31">
        <v>205.25</v>
      </c>
      <c r="Q31">
        <v>23.53</v>
      </c>
      <c r="R31">
        <v>67760</v>
      </c>
    </row>
    <row r="32" spans="2:18" x14ac:dyDescent="0.35">
      <c r="B32" s="2">
        <v>45356</v>
      </c>
      <c r="C32">
        <v>41.12</v>
      </c>
      <c r="D32">
        <v>507.18</v>
      </c>
      <c r="E32">
        <v>197.19</v>
      </c>
      <c r="F32">
        <v>28.01</v>
      </c>
      <c r="G32">
        <v>436.05</v>
      </c>
      <c r="H32">
        <v>22.19</v>
      </c>
      <c r="I32">
        <v>73.45</v>
      </c>
      <c r="J32">
        <v>95.43</v>
      </c>
      <c r="K32">
        <v>65.41</v>
      </c>
      <c r="L32">
        <v>56.17</v>
      </c>
      <c r="M32">
        <v>70.3</v>
      </c>
      <c r="N32">
        <v>140.27000000000001</v>
      </c>
      <c r="O32">
        <v>51.72</v>
      </c>
      <c r="P32">
        <v>203.73</v>
      </c>
      <c r="Q32">
        <v>23.03</v>
      </c>
      <c r="R32">
        <v>62425</v>
      </c>
    </row>
    <row r="33" spans="2:18" x14ac:dyDescent="0.35">
      <c r="B33" s="2">
        <v>45355</v>
      </c>
      <c r="C33">
        <v>41.4</v>
      </c>
      <c r="D33">
        <v>512.29999999999995</v>
      </c>
      <c r="E33">
        <v>196.01</v>
      </c>
      <c r="F33">
        <v>28.04</v>
      </c>
      <c r="G33">
        <v>444.02</v>
      </c>
      <c r="H33">
        <v>22.45</v>
      </c>
      <c r="I33">
        <v>74.010000000000005</v>
      </c>
      <c r="J33">
        <v>94.09</v>
      </c>
      <c r="K33">
        <v>65.680000000000007</v>
      </c>
      <c r="L33">
        <v>56.64</v>
      </c>
      <c r="M33">
        <v>69.92</v>
      </c>
      <c r="N33">
        <v>141.37</v>
      </c>
      <c r="O33">
        <v>51.91</v>
      </c>
      <c r="P33">
        <v>205.7</v>
      </c>
      <c r="Q33">
        <v>23.39</v>
      </c>
      <c r="R33">
        <v>68480</v>
      </c>
    </row>
    <row r="34" spans="2:18" x14ac:dyDescent="0.35">
      <c r="B34" s="2">
        <v>45352</v>
      </c>
      <c r="C34">
        <v>41.57</v>
      </c>
      <c r="D34">
        <v>512.85</v>
      </c>
      <c r="E34">
        <v>192.89</v>
      </c>
      <c r="F34">
        <v>28.04</v>
      </c>
      <c r="G34">
        <v>445.61</v>
      </c>
      <c r="H34">
        <v>22.2</v>
      </c>
      <c r="I34">
        <v>74.959999999999994</v>
      </c>
      <c r="J34">
        <v>94.47</v>
      </c>
      <c r="K34">
        <v>65.77</v>
      </c>
      <c r="L34">
        <v>56.48</v>
      </c>
      <c r="M34">
        <v>70.33</v>
      </c>
      <c r="N34">
        <v>141.54</v>
      </c>
      <c r="O34">
        <v>51.92</v>
      </c>
      <c r="P34">
        <v>205.89</v>
      </c>
      <c r="Q34">
        <v>23.92</v>
      </c>
      <c r="R34">
        <v>63825</v>
      </c>
    </row>
    <row r="35" spans="2:18" x14ac:dyDescent="0.35">
      <c r="B35" s="2">
        <v>45351</v>
      </c>
      <c r="C35">
        <v>41.02</v>
      </c>
      <c r="D35">
        <v>508.08</v>
      </c>
      <c r="E35">
        <v>189.31</v>
      </c>
      <c r="F35">
        <v>28.09</v>
      </c>
      <c r="G35">
        <v>439</v>
      </c>
      <c r="H35">
        <v>22.18</v>
      </c>
      <c r="I35">
        <v>73.36</v>
      </c>
      <c r="J35">
        <v>94.18</v>
      </c>
      <c r="K35">
        <v>65.22</v>
      </c>
      <c r="L35">
        <v>55.84</v>
      </c>
      <c r="M35">
        <v>69.12</v>
      </c>
      <c r="N35">
        <v>140.28</v>
      </c>
      <c r="O35">
        <v>51.16</v>
      </c>
      <c r="P35">
        <v>203.73</v>
      </c>
      <c r="Q35">
        <v>23.42</v>
      </c>
      <c r="R35">
        <v>62760</v>
      </c>
    </row>
    <row r="36" spans="2:18" x14ac:dyDescent="0.35">
      <c r="B36" s="2">
        <v>45350</v>
      </c>
      <c r="C36">
        <v>40.93</v>
      </c>
      <c r="D36">
        <v>506.26</v>
      </c>
      <c r="E36">
        <v>188.34</v>
      </c>
      <c r="F36">
        <v>28.03</v>
      </c>
      <c r="G36">
        <v>435.27</v>
      </c>
      <c r="H36">
        <v>22.17</v>
      </c>
      <c r="I36">
        <v>73.62</v>
      </c>
      <c r="J36">
        <v>93.52</v>
      </c>
      <c r="K36">
        <v>65.19</v>
      </c>
      <c r="L36">
        <v>55.76</v>
      </c>
      <c r="M36">
        <v>68.67</v>
      </c>
      <c r="N36">
        <v>139.71</v>
      </c>
      <c r="O36">
        <v>51.06</v>
      </c>
      <c r="P36">
        <v>202.32</v>
      </c>
      <c r="Q36">
        <v>23.46</v>
      </c>
      <c r="R36">
        <v>60870</v>
      </c>
    </row>
    <row r="37" spans="2:18" x14ac:dyDescent="0.35">
      <c r="B37" s="2">
        <v>45349</v>
      </c>
      <c r="C37">
        <v>41.57</v>
      </c>
      <c r="D37">
        <v>506.93</v>
      </c>
      <c r="E37">
        <v>188</v>
      </c>
      <c r="F37">
        <v>28.01</v>
      </c>
      <c r="G37">
        <v>437.6</v>
      </c>
      <c r="H37">
        <v>22.44</v>
      </c>
      <c r="I37">
        <v>73.849999999999994</v>
      </c>
      <c r="J37">
        <v>92.93</v>
      </c>
      <c r="K37">
        <v>65.52</v>
      </c>
      <c r="L37">
        <v>56.17</v>
      </c>
      <c r="M37">
        <v>69.180000000000007</v>
      </c>
      <c r="N37">
        <v>140.15</v>
      </c>
      <c r="O37">
        <v>51.625</v>
      </c>
      <c r="P37">
        <v>204</v>
      </c>
      <c r="Q37">
        <v>24.32</v>
      </c>
      <c r="R37">
        <v>57620</v>
      </c>
    </row>
    <row r="38" spans="2:18" x14ac:dyDescent="0.35">
      <c r="B38" s="2">
        <v>45348</v>
      </c>
      <c r="C38">
        <v>41.44</v>
      </c>
      <c r="D38">
        <v>505.99</v>
      </c>
      <c r="E38">
        <v>188.2</v>
      </c>
      <c r="F38">
        <v>27.99</v>
      </c>
      <c r="G38">
        <v>436.55</v>
      </c>
      <c r="H38">
        <v>22.38</v>
      </c>
      <c r="I38">
        <v>72.790000000000006</v>
      </c>
      <c r="J38">
        <v>93.59</v>
      </c>
      <c r="K38">
        <v>65.41</v>
      </c>
      <c r="L38">
        <v>56.23</v>
      </c>
      <c r="M38">
        <v>69</v>
      </c>
      <c r="N38">
        <v>139.79</v>
      </c>
      <c r="O38">
        <v>51.56</v>
      </c>
      <c r="P38">
        <v>201.15</v>
      </c>
      <c r="Q38">
        <v>23.91</v>
      </c>
      <c r="R38">
        <v>55290</v>
      </c>
    </row>
    <row r="39" spans="2:18" x14ac:dyDescent="0.35">
      <c r="B39" s="2">
        <v>45345</v>
      </c>
      <c r="C39">
        <v>41.58</v>
      </c>
      <c r="D39">
        <v>507.85</v>
      </c>
      <c r="E39">
        <v>188.62</v>
      </c>
      <c r="F39">
        <v>28.04</v>
      </c>
      <c r="G39">
        <v>436.78</v>
      </c>
      <c r="H39">
        <v>22.16</v>
      </c>
      <c r="I39">
        <v>71.92</v>
      </c>
      <c r="J39">
        <v>93.87</v>
      </c>
      <c r="K39">
        <v>65.48</v>
      </c>
      <c r="L39">
        <v>56.43</v>
      </c>
      <c r="M39">
        <v>69.010000000000005</v>
      </c>
      <c r="N39">
        <v>140.33000000000001</v>
      </c>
      <c r="O39">
        <v>51.8</v>
      </c>
      <c r="P39">
        <v>199.89</v>
      </c>
      <c r="Q39">
        <v>24.12</v>
      </c>
      <c r="R39">
        <v>51750</v>
      </c>
    </row>
    <row r="40" spans="2:18" x14ac:dyDescent="0.35">
      <c r="B40" s="2">
        <v>45344</v>
      </c>
      <c r="C40">
        <v>41.57</v>
      </c>
      <c r="D40">
        <v>507.5</v>
      </c>
      <c r="E40">
        <v>187.56</v>
      </c>
      <c r="F40">
        <v>28.02</v>
      </c>
      <c r="G40">
        <v>438.07</v>
      </c>
      <c r="H40">
        <v>22.09</v>
      </c>
      <c r="I40">
        <v>73.599999999999994</v>
      </c>
      <c r="J40">
        <v>92.63</v>
      </c>
      <c r="K40">
        <v>65.400000000000006</v>
      </c>
      <c r="L40">
        <v>56.56</v>
      </c>
      <c r="M40">
        <v>68.900000000000006</v>
      </c>
      <c r="N40">
        <v>140.18</v>
      </c>
      <c r="O40">
        <v>51.73</v>
      </c>
      <c r="P40">
        <v>199.44</v>
      </c>
      <c r="Q40">
        <v>23.95</v>
      </c>
      <c r="R40">
        <v>52040</v>
      </c>
    </row>
    <row r="41" spans="2:18" x14ac:dyDescent="0.35">
      <c r="B41" s="2">
        <v>45343</v>
      </c>
      <c r="C41">
        <v>41.21</v>
      </c>
      <c r="D41">
        <v>497.21</v>
      </c>
      <c r="E41">
        <v>187.48</v>
      </c>
      <c r="F41">
        <v>28.02</v>
      </c>
      <c r="G41">
        <v>425.61</v>
      </c>
      <c r="H41">
        <v>22.15</v>
      </c>
      <c r="I41">
        <v>73.2</v>
      </c>
      <c r="J41">
        <v>92.18</v>
      </c>
      <c r="K41">
        <v>64.75</v>
      </c>
      <c r="L41">
        <v>56.09</v>
      </c>
      <c r="M41">
        <v>67.790000000000006</v>
      </c>
      <c r="N41">
        <v>137.69999999999999</v>
      </c>
      <c r="O41">
        <v>51.18</v>
      </c>
      <c r="P41">
        <v>197.94</v>
      </c>
      <c r="Q41">
        <v>23.59</v>
      </c>
      <c r="R41">
        <v>50955</v>
      </c>
    </row>
    <row r="42" spans="2:18" x14ac:dyDescent="0.35">
      <c r="B42" s="2">
        <v>45342</v>
      </c>
      <c r="C42">
        <v>41.17</v>
      </c>
      <c r="D42">
        <v>496.76</v>
      </c>
      <c r="E42">
        <v>187.47</v>
      </c>
      <c r="F42">
        <v>28.05</v>
      </c>
      <c r="G42">
        <v>427.32</v>
      </c>
      <c r="H42">
        <v>22</v>
      </c>
      <c r="I42">
        <v>72.42</v>
      </c>
      <c r="J42">
        <v>92.84</v>
      </c>
      <c r="K42">
        <v>64.67</v>
      </c>
      <c r="L42">
        <v>56.31</v>
      </c>
      <c r="M42">
        <v>67.930000000000007</v>
      </c>
      <c r="N42">
        <v>137.61000000000001</v>
      </c>
      <c r="O42">
        <v>51.56</v>
      </c>
      <c r="P42">
        <v>198.88</v>
      </c>
      <c r="Q42">
        <v>22.92</v>
      </c>
      <c r="R42">
        <v>52090</v>
      </c>
    </row>
    <row r="43" spans="2:18" x14ac:dyDescent="0.35">
      <c r="B43" s="2">
        <v>45338</v>
      </c>
      <c r="C43">
        <v>41.09</v>
      </c>
      <c r="D43">
        <v>499.51</v>
      </c>
      <c r="E43">
        <v>186.34</v>
      </c>
      <c r="F43">
        <v>28.09</v>
      </c>
      <c r="G43">
        <v>430.57</v>
      </c>
      <c r="H43">
        <v>21.69</v>
      </c>
      <c r="I43">
        <v>73.41</v>
      </c>
      <c r="J43">
        <v>92.76</v>
      </c>
      <c r="K43">
        <v>64.34</v>
      </c>
      <c r="L43">
        <v>56.01</v>
      </c>
      <c r="M43">
        <v>67.63</v>
      </c>
      <c r="N43">
        <v>138.04</v>
      </c>
      <c r="O43">
        <v>51.2</v>
      </c>
      <c r="P43">
        <v>201.66</v>
      </c>
      <c r="Q43">
        <v>23.07</v>
      </c>
      <c r="R43">
        <v>52025</v>
      </c>
    </row>
    <row r="44" spans="2:18" x14ac:dyDescent="0.35">
      <c r="B44" s="2">
        <v>45337</v>
      </c>
      <c r="C44">
        <v>40.89</v>
      </c>
      <c r="D44">
        <v>502.01</v>
      </c>
      <c r="E44">
        <v>185.66</v>
      </c>
      <c r="F44">
        <v>28.08</v>
      </c>
      <c r="G44">
        <v>434.51</v>
      </c>
      <c r="H44">
        <v>21.8</v>
      </c>
      <c r="I44">
        <v>72.84</v>
      </c>
      <c r="J44">
        <v>93.3</v>
      </c>
      <c r="K44">
        <v>64.239999999999995</v>
      </c>
      <c r="L44">
        <v>56.01</v>
      </c>
      <c r="M44">
        <v>67.64</v>
      </c>
      <c r="N44">
        <v>138.55000000000001</v>
      </c>
      <c r="O44">
        <v>51.08</v>
      </c>
      <c r="P44">
        <v>204.44</v>
      </c>
      <c r="Q44">
        <v>22.76</v>
      </c>
      <c r="R44">
        <v>51955</v>
      </c>
    </row>
    <row r="45" spans="2:18" x14ac:dyDescent="0.35">
      <c r="B45" s="2">
        <v>45336</v>
      </c>
      <c r="C45">
        <v>40.64</v>
      </c>
      <c r="D45">
        <v>498.57</v>
      </c>
      <c r="E45">
        <v>184.42</v>
      </c>
      <c r="F45">
        <v>28.19</v>
      </c>
      <c r="G45">
        <v>433.22</v>
      </c>
      <c r="H45">
        <v>21.89</v>
      </c>
      <c r="I45">
        <v>71.55</v>
      </c>
      <c r="J45">
        <v>92.82</v>
      </c>
      <c r="K45">
        <v>63.54</v>
      </c>
      <c r="L45">
        <v>55.79</v>
      </c>
      <c r="M45">
        <v>67</v>
      </c>
      <c r="N45">
        <v>137.38</v>
      </c>
      <c r="O45">
        <v>50.81</v>
      </c>
      <c r="P45">
        <v>199.13</v>
      </c>
      <c r="Q45">
        <v>22.67</v>
      </c>
      <c r="R45">
        <v>51990</v>
      </c>
    </row>
    <row r="46" spans="2:18" x14ac:dyDescent="0.35">
      <c r="B46" s="2">
        <v>45335</v>
      </c>
      <c r="C46">
        <v>40.06</v>
      </c>
      <c r="D46">
        <v>494.08</v>
      </c>
      <c r="E46">
        <v>184.53</v>
      </c>
      <c r="F46">
        <v>28.24</v>
      </c>
      <c r="G46">
        <v>428.55</v>
      </c>
      <c r="H46">
        <v>21.99</v>
      </c>
      <c r="I46">
        <v>72.650000000000006</v>
      </c>
      <c r="J46">
        <v>92.35</v>
      </c>
      <c r="K46">
        <v>62.66</v>
      </c>
      <c r="L46">
        <v>54.93</v>
      </c>
      <c r="M46">
        <v>66.739999999999995</v>
      </c>
      <c r="N46">
        <v>135.93</v>
      </c>
      <c r="O46">
        <v>49.97</v>
      </c>
      <c r="P46">
        <v>194.61</v>
      </c>
      <c r="Q46">
        <v>22.2</v>
      </c>
      <c r="R46">
        <v>49640</v>
      </c>
    </row>
    <row r="47" spans="2:18" x14ac:dyDescent="0.35">
      <c r="B47" s="2">
        <v>45334</v>
      </c>
      <c r="C47">
        <v>40.81</v>
      </c>
      <c r="D47">
        <v>500.98</v>
      </c>
      <c r="E47">
        <v>187.11</v>
      </c>
      <c r="F47">
        <v>28.02</v>
      </c>
      <c r="G47">
        <v>435.34</v>
      </c>
      <c r="H47">
        <v>22.05</v>
      </c>
      <c r="I47">
        <v>72.11</v>
      </c>
      <c r="J47">
        <v>93.96</v>
      </c>
      <c r="K47">
        <v>63.9</v>
      </c>
      <c r="L47">
        <v>55.98</v>
      </c>
      <c r="M47">
        <v>66.97</v>
      </c>
      <c r="N47">
        <v>138</v>
      </c>
      <c r="O47">
        <v>50.28</v>
      </c>
      <c r="P47">
        <v>202.96</v>
      </c>
      <c r="Q47">
        <v>22.72</v>
      </c>
      <c r="R47">
        <v>50465</v>
      </c>
    </row>
    <row r="48" spans="2:18" x14ac:dyDescent="0.35">
      <c r="B48" s="2">
        <v>45331</v>
      </c>
      <c r="C48">
        <v>40.630000000000003</v>
      </c>
      <c r="D48">
        <v>501.2</v>
      </c>
      <c r="E48">
        <v>187.6</v>
      </c>
      <c r="F48">
        <v>27.99</v>
      </c>
      <c r="G48">
        <v>437.05</v>
      </c>
      <c r="H48">
        <v>22.14</v>
      </c>
      <c r="I48">
        <v>71.67</v>
      </c>
      <c r="J48">
        <v>93.85</v>
      </c>
      <c r="K48">
        <v>63.85</v>
      </c>
      <c r="L48">
        <v>55.79</v>
      </c>
      <c r="M48">
        <v>66.63</v>
      </c>
      <c r="N48">
        <v>137.9</v>
      </c>
      <c r="O48">
        <v>50.72</v>
      </c>
      <c r="P48">
        <v>199.34</v>
      </c>
      <c r="Q48">
        <v>22.36</v>
      </c>
      <c r="R48">
        <v>47770</v>
      </c>
    </row>
    <row r="49" spans="2:18" x14ac:dyDescent="0.35">
      <c r="B49" s="2">
        <v>45330</v>
      </c>
      <c r="C49">
        <v>40.47</v>
      </c>
      <c r="D49">
        <v>498.32</v>
      </c>
      <c r="E49">
        <v>188.33</v>
      </c>
      <c r="F49">
        <v>28.01</v>
      </c>
      <c r="G49">
        <v>432.79</v>
      </c>
      <c r="H49">
        <v>22.06</v>
      </c>
      <c r="I49">
        <v>71.52</v>
      </c>
      <c r="J49">
        <v>94.04</v>
      </c>
      <c r="K49">
        <v>63.63</v>
      </c>
      <c r="L49">
        <v>55.52</v>
      </c>
      <c r="M49">
        <v>66.39</v>
      </c>
      <c r="N49">
        <v>137.22999999999999</v>
      </c>
      <c r="O49">
        <v>50.5</v>
      </c>
      <c r="P49">
        <v>196.15</v>
      </c>
      <c r="Q49">
        <v>22.1</v>
      </c>
      <c r="R49">
        <v>45750</v>
      </c>
    </row>
    <row r="50" spans="2:18" x14ac:dyDescent="0.35">
      <c r="B50" s="2">
        <v>45329</v>
      </c>
      <c r="C50">
        <v>40.68</v>
      </c>
      <c r="D50">
        <v>498.1</v>
      </c>
      <c r="E50">
        <v>188.5</v>
      </c>
      <c r="F50">
        <v>27.98</v>
      </c>
      <c r="G50">
        <v>431.99</v>
      </c>
      <c r="H50">
        <v>21.85</v>
      </c>
      <c r="I50">
        <v>69.42</v>
      </c>
      <c r="J50">
        <v>94.59</v>
      </c>
      <c r="K50">
        <v>63.63</v>
      </c>
      <c r="L50">
        <v>55.68</v>
      </c>
      <c r="M50">
        <v>66.56</v>
      </c>
      <c r="N50">
        <v>137.15</v>
      </c>
      <c r="O50">
        <v>50.89</v>
      </c>
      <c r="P50">
        <v>193.22</v>
      </c>
      <c r="Q50">
        <v>22.62</v>
      </c>
      <c r="R50">
        <v>44410</v>
      </c>
    </row>
    <row r="51" spans="2:18" x14ac:dyDescent="0.35">
      <c r="B51" s="2">
        <v>45328</v>
      </c>
      <c r="C51">
        <v>40.71</v>
      </c>
      <c r="D51">
        <v>493.98</v>
      </c>
      <c r="E51">
        <v>188.55</v>
      </c>
      <c r="F51">
        <v>28.01</v>
      </c>
      <c r="G51">
        <v>427.59</v>
      </c>
      <c r="H51">
        <v>21.77</v>
      </c>
      <c r="I51">
        <v>68.81</v>
      </c>
      <c r="J51">
        <v>95.05</v>
      </c>
      <c r="K51">
        <v>63.84</v>
      </c>
      <c r="L51">
        <v>55.36</v>
      </c>
      <c r="M51">
        <v>66.180000000000007</v>
      </c>
      <c r="N51">
        <v>136.37</v>
      </c>
      <c r="O51">
        <v>50.78</v>
      </c>
      <c r="P51">
        <v>193.67</v>
      </c>
      <c r="Q51">
        <v>23.13</v>
      </c>
      <c r="R51">
        <v>43305</v>
      </c>
    </row>
    <row r="52" spans="2:18" x14ac:dyDescent="0.35">
      <c r="B52" s="2">
        <v>45327</v>
      </c>
      <c r="C52">
        <v>39.729999999999997</v>
      </c>
      <c r="D52">
        <v>492.55</v>
      </c>
      <c r="E52">
        <v>187.57</v>
      </c>
      <c r="F52">
        <v>28.09</v>
      </c>
      <c r="G52">
        <v>428.45</v>
      </c>
      <c r="H52">
        <v>21.71</v>
      </c>
      <c r="I52">
        <v>68.180000000000007</v>
      </c>
      <c r="J52">
        <v>94.13</v>
      </c>
      <c r="K52">
        <v>63.33</v>
      </c>
      <c r="L52">
        <v>54.69</v>
      </c>
      <c r="M52">
        <v>66.19</v>
      </c>
      <c r="N52">
        <v>135.84</v>
      </c>
      <c r="O52">
        <v>50.11</v>
      </c>
      <c r="P52">
        <v>191.94</v>
      </c>
      <c r="Q52">
        <v>21.88</v>
      </c>
      <c r="R52">
        <v>42555</v>
      </c>
    </row>
    <row r="53" spans="2:18" x14ac:dyDescent="0.35">
      <c r="B53" s="2">
        <v>45324</v>
      </c>
      <c r="C53">
        <v>39.630000000000003</v>
      </c>
      <c r="D53">
        <v>494.35</v>
      </c>
      <c r="E53">
        <v>188.61</v>
      </c>
      <c r="F53">
        <v>27.94</v>
      </c>
      <c r="G53">
        <v>429.01</v>
      </c>
      <c r="H53">
        <v>21.7</v>
      </c>
      <c r="I53">
        <v>67.510000000000005</v>
      </c>
      <c r="J53">
        <v>96.07</v>
      </c>
      <c r="K53">
        <v>63.7</v>
      </c>
      <c r="L53">
        <v>54.8</v>
      </c>
      <c r="M53">
        <v>66.510000000000005</v>
      </c>
      <c r="N53">
        <v>136.44999999999999</v>
      </c>
      <c r="O53">
        <v>50.375</v>
      </c>
      <c r="P53">
        <v>194.41</v>
      </c>
      <c r="Q53">
        <v>21.41</v>
      </c>
      <c r="R53">
        <v>43185</v>
      </c>
    </row>
    <row r="54" spans="2:18" x14ac:dyDescent="0.35">
      <c r="B54" s="2">
        <v>45323</v>
      </c>
      <c r="C54">
        <v>39.909999999999997</v>
      </c>
      <c r="D54">
        <v>489.2</v>
      </c>
      <c r="E54">
        <v>190.41</v>
      </c>
      <c r="F54">
        <v>27.69</v>
      </c>
      <c r="G54">
        <v>421.88</v>
      </c>
      <c r="H54">
        <v>21.69</v>
      </c>
      <c r="I54">
        <v>69.069999999999993</v>
      </c>
      <c r="J54">
        <v>98.24</v>
      </c>
      <c r="K54">
        <v>64.319999999999993</v>
      </c>
      <c r="L54">
        <v>54.68</v>
      </c>
      <c r="M54">
        <v>66.92</v>
      </c>
      <c r="N54">
        <v>135.75</v>
      </c>
      <c r="O54">
        <v>50.23</v>
      </c>
      <c r="P54">
        <v>195.44</v>
      </c>
      <c r="Q54">
        <v>21.86</v>
      </c>
      <c r="R54">
        <v>43275</v>
      </c>
    </row>
    <row r="55" spans="2:18" x14ac:dyDescent="0.35">
      <c r="B55" s="2">
        <v>45322</v>
      </c>
      <c r="C55">
        <v>39.64</v>
      </c>
      <c r="D55">
        <v>482.88</v>
      </c>
      <c r="E55">
        <v>188.45</v>
      </c>
      <c r="F55">
        <v>27.83</v>
      </c>
      <c r="G55">
        <v>416.97</v>
      </c>
      <c r="H55">
        <v>21.63</v>
      </c>
      <c r="I55">
        <v>70.92</v>
      </c>
      <c r="J55">
        <v>96.66</v>
      </c>
      <c r="K55">
        <v>63.69</v>
      </c>
      <c r="L55">
        <v>54.06</v>
      </c>
      <c r="M55">
        <v>66.209999999999994</v>
      </c>
      <c r="N55">
        <v>134.19999999999999</v>
      </c>
      <c r="O55">
        <v>49.89</v>
      </c>
      <c r="P55">
        <v>192.88</v>
      </c>
      <c r="Q55">
        <v>21.76</v>
      </c>
      <c r="R55">
        <v>42815</v>
      </c>
    </row>
    <row r="56" spans="2:18" x14ac:dyDescent="0.35">
      <c r="B56" s="2">
        <v>45321</v>
      </c>
      <c r="C56">
        <v>39.79</v>
      </c>
      <c r="D56">
        <v>490.89</v>
      </c>
      <c r="E56">
        <v>188.59</v>
      </c>
      <c r="F56">
        <v>27.76</v>
      </c>
      <c r="G56">
        <v>425.3</v>
      </c>
      <c r="H56">
        <v>21.67</v>
      </c>
      <c r="I56">
        <v>72.81</v>
      </c>
      <c r="J56">
        <v>95.72</v>
      </c>
      <c r="K56">
        <v>64.17</v>
      </c>
      <c r="L56">
        <v>54.38</v>
      </c>
      <c r="M56">
        <v>65.930000000000007</v>
      </c>
      <c r="N56">
        <v>135.99</v>
      </c>
      <c r="O56">
        <v>49.52</v>
      </c>
      <c r="P56">
        <v>197.71</v>
      </c>
      <c r="Q56">
        <v>21.93</v>
      </c>
      <c r="R56">
        <v>43890</v>
      </c>
    </row>
    <row r="57" spans="2:18" x14ac:dyDescent="0.35">
      <c r="B57" s="2">
        <v>45320</v>
      </c>
      <c r="C57">
        <v>40.17</v>
      </c>
      <c r="D57">
        <v>491.27</v>
      </c>
      <c r="E57">
        <v>188.33</v>
      </c>
      <c r="F57">
        <v>27.78</v>
      </c>
      <c r="G57">
        <v>428.15</v>
      </c>
      <c r="H57">
        <v>21.35</v>
      </c>
      <c r="I57">
        <v>72.05</v>
      </c>
      <c r="J57">
        <v>94.86</v>
      </c>
      <c r="K57">
        <v>64.14</v>
      </c>
      <c r="L57">
        <v>54.68</v>
      </c>
      <c r="M57">
        <v>66.17</v>
      </c>
      <c r="N57">
        <v>136.11000000000001</v>
      </c>
      <c r="O57">
        <v>49.98</v>
      </c>
      <c r="P57">
        <v>199.41</v>
      </c>
      <c r="Q57">
        <v>22.29</v>
      </c>
      <c r="R57">
        <v>43530</v>
      </c>
    </row>
    <row r="58" spans="2:18" x14ac:dyDescent="0.35">
      <c r="B58" s="2">
        <v>45317</v>
      </c>
      <c r="C58">
        <v>40.159999999999997</v>
      </c>
      <c r="D58">
        <v>487.41</v>
      </c>
      <c r="E58">
        <v>187.01</v>
      </c>
      <c r="F58">
        <v>27.78</v>
      </c>
      <c r="G58">
        <v>423.81</v>
      </c>
      <c r="H58">
        <v>21.45</v>
      </c>
      <c r="I58">
        <v>73.099999999999994</v>
      </c>
      <c r="J58">
        <v>93.78</v>
      </c>
      <c r="K58">
        <v>63.93</v>
      </c>
      <c r="L58">
        <v>54.27</v>
      </c>
      <c r="M58">
        <v>65.39</v>
      </c>
      <c r="N58">
        <v>135.07</v>
      </c>
      <c r="O58">
        <v>49.19</v>
      </c>
      <c r="P58">
        <v>195.98</v>
      </c>
      <c r="Q58">
        <v>22.6</v>
      </c>
      <c r="R58">
        <v>42390</v>
      </c>
    </row>
    <row r="59" spans="2:18" x14ac:dyDescent="0.35">
      <c r="B59" s="2">
        <v>45316</v>
      </c>
      <c r="C59">
        <v>40.15</v>
      </c>
      <c r="D59">
        <v>488.03</v>
      </c>
      <c r="E59">
        <v>187.14</v>
      </c>
      <c r="F59">
        <v>27.78</v>
      </c>
      <c r="G59">
        <v>426.35</v>
      </c>
      <c r="H59">
        <v>21.4</v>
      </c>
      <c r="I59">
        <v>72.23</v>
      </c>
      <c r="J59">
        <v>93.96</v>
      </c>
      <c r="K59">
        <v>63.36</v>
      </c>
      <c r="L59">
        <v>54.06</v>
      </c>
      <c r="M59">
        <v>65.92</v>
      </c>
      <c r="N59">
        <v>134.94999999999999</v>
      </c>
      <c r="O59">
        <v>49.11</v>
      </c>
      <c r="P59">
        <v>195.97</v>
      </c>
      <c r="Q59">
        <v>22.75</v>
      </c>
      <c r="R59">
        <v>39750</v>
      </c>
    </row>
    <row r="60" spans="2:18" x14ac:dyDescent="0.35">
      <c r="B60" s="2">
        <v>45315</v>
      </c>
      <c r="C60">
        <v>40.049999999999997</v>
      </c>
      <c r="D60">
        <v>485.39</v>
      </c>
      <c r="E60">
        <v>186.4</v>
      </c>
      <c r="F60">
        <v>27.7</v>
      </c>
      <c r="G60">
        <v>425.83</v>
      </c>
      <c r="H60">
        <v>21.5</v>
      </c>
      <c r="I60">
        <v>70.540000000000006</v>
      </c>
      <c r="J60">
        <v>93.35</v>
      </c>
      <c r="K60">
        <v>63.07</v>
      </c>
      <c r="L60">
        <v>54.04</v>
      </c>
      <c r="M60">
        <v>66.17</v>
      </c>
      <c r="N60">
        <v>134.41999999999999</v>
      </c>
      <c r="O60">
        <v>49.2</v>
      </c>
      <c r="P60">
        <v>194.36</v>
      </c>
      <c r="Q60">
        <v>22.77</v>
      </c>
      <c r="R60">
        <v>39700</v>
      </c>
    </row>
    <row r="61" spans="2:18" x14ac:dyDescent="0.35">
      <c r="B61" s="2">
        <v>45314</v>
      </c>
      <c r="C61">
        <v>39.54</v>
      </c>
      <c r="D61">
        <v>484.86</v>
      </c>
      <c r="E61">
        <v>187.95</v>
      </c>
      <c r="F61">
        <v>27.78</v>
      </c>
      <c r="G61">
        <v>423.48</v>
      </c>
      <c r="H61">
        <v>21.34</v>
      </c>
      <c r="I61">
        <v>69.66</v>
      </c>
      <c r="J61">
        <v>93.9</v>
      </c>
      <c r="K61">
        <v>62.45</v>
      </c>
      <c r="L61">
        <v>53.74</v>
      </c>
      <c r="M61">
        <v>66.09</v>
      </c>
      <c r="N61">
        <v>134.11000000000001</v>
      </c>
      <c r="O61">
        <v>48.68</v>
      </c>
      <c r="P61">
        <v>195.97</v>
      </c>
      <c r="Q61">
        <v>22.11</v>
      </c>
      <c r="R61">
        <v>39235</v>
      </c>
    </row>
    <row r="62" spans="2:18" x14ac:dyDescent="0.35">
      <c r="B62" s="2">
        <v>45313</v>
      </c>
      <c r="C62">
        <v>39.32</v>
      </c>
      <c r="D62">
        <v>483.45</v>
      </c>
      <c r="E62">
        <v>187.22</v>
      </c>
      <c r="F62">
        <v>27.71</v>
      </c>
      <c r="G62">
        <v>421.73</v>
      </c>
      <c r="H62">
        <v>21.1</v>
      </c>
      <c r="I62">
        <v>69.69</v>
      </c>
      <c r="J62">
        <v>94.65</v>
      </c>
      <c r="K62">
        <v>62.6</v>
      </c>
      <c r="L62">
        <v>53.74</v>
      </c>
      <c r="M62">
        <v>66.680000000000007</v>
      </c>
      <c r="N62">
        <v>133.94</v>
      </c>
      <c r="O62">
        <v>49.77</v>
      </c>
      <c r="P62">
        <v>196.54</v>
      </c>
      <c r="Q62">
        <v>21.14</v>
      </c>
      <c r="R62">
        <v>40180</v>
      </c>
    </row>
    <row r="63" spans="2:18" x14ac:dyDescent="0.35">
      <c r="B63" s="2">
        <v>45310</v>
      </c>
      <c r="C63">
        <v>39.630000000000003</v>
      </c>
      <c r="D63">
        <v>482.43</v>
      </c>
      <c r="E63">
        <v>187.93</v>
      </c>
      <c r="F63">
        <v>27.7</v>
      </c>
      <c r="G63">
        <v>421.18</v>
      </c>
      <c r="H63">
        <v>21.01</v>
      </c>
      <c r="I63">
        <v>68.819999999999993</v>
      </c>
      <c r="J63">
        <v>94.09</v>
      </c>
      <c r="K63">
        <v>62.49</v>
      </c>
      <c r="L63">
        <v>53.95</v>
      </c>
      <c r="M63">
        <v>65.900000000000006</v>
      </c>
      <c r="N63">
        <v>133.63</v>
      </c>
      <c r="O63">
        <v>49.59</v>
      </c>
      <c r="P63">
        <v>192.43</v>
      </c>
      <c r="Q63">
        <v>21.68</v>
      </c>
      <c r="R63">
        <v>41585</v>
      </c>
    </row>
    <row r="64" spans="2:18" x14ac:dyDescent="0.35">
      <c r="B64" s="2">
        <v>45309</v>
      </c>
      <c r="C64">
        <v>39.270000000000003</v>
      </c>
      <c r="D64">
        <v>476.49</v>
      </c>
      <c r="E64">
        <v>187.37</v>
      </c>
      <c r="F64">
        <v>27.74</v>
      </c>
      <c r="G64">
        <v>412.99</v>
      </c>
      <c r="H64">
        <v>20.85</v>
      </c>
      <c r="I64">
        <v>69.06</v>
      </c>
      <c r="J64">
        <v>93.79</v>
      </c>
      <c r="K64">
        <v>62.47</v>
      </c>
      <c r="L64">
        <v>53.29</v>
      </c>
      <c r="M64">
        <v>65.73</v>
      </c>
      <c r="N64">
        <v>132.25</v>
      </c>
      <c r="O64">
        <v>49.08</v>
      </c>
      <c r="P64">
        <v>190.6</v>
      </c>
      <c r="Q64">
        <v>21.53</v>
      </c>
      <c r="R64">
        <v>40880</v>
      </c>
    </row>
    <row r="65" spans="2:18" x14ac:dyDescent="0.35">
      <c r="B65" s="2">
        <v>45308</v>
      </c>
      <c r="C65">
        <v>39.04</v>
      </c>
      <c r="D65">
        <v>472.29</v>
      </c>
      <c r="E65">
        <v>185.84</v>
      </c>
      <c r="F65">
        <v>27.71</v>
      </c>
      <c r="G65">
        <v>407.21</v>
      </c>
      <c r="H65">
        <v>20.61</v>
      </c>
      <c r="I65">
        <v>67.94</v>
      </c>
      <c r="J65">
        <v>94.67</v>
      </c>
      <c r="K65">
        <v>61.92</v>
      </c>
      <c r="L65">
        <v>52.7</v>
      </c>
      <c r="M65">
        <v>65.12</v>
      </c>
      <c r="N65">
        <v>131.15</v>
      </c>
      <c r="O65">
        <v>48.83</v>
      </c>
      <c r="P65">
        <v>189.48</v>
      </c>
      <c r="Q65">
        <v>21.45</v>
      </c>
      <c r="R65">
        <v>42810</v>
      </c>
    </row>
    <row r="66" spans="2:18" x14ac:dyDescent="0.35">
      <c r="B66" s="2">
        <v>45307</v>
      </c>
      <c r="C66">
        <v>39.57</v>
      </c>
      <c r="D66">
        <v>474.93</v>
      </c>
      <c r="E66">
        <v>187.91</v>
      </c>
      <c r="F66">
        <v>27.69</v>
      </c>
      <c r="G66">
        <v>409.52</v>
      </c>
      <c r="H66">
        <v>20.76</v>
      </c>
      <c r="I66">
        <v>67.25</v>
      </c>
      <c r="J66">
        <v>94.82</v>
      </c>
      <c r="K66">
        <v>62.41</v>
      </c>
      <c r="L66">
        <v>53.34</v>
      </c>
      <c r="M66">
        <v>65.94</v>
      </c>
      <c r="N66">
        <v>132.01</v>
      </c>
      <c r="O66">
        <v>49.4</v>
      </c>
      <c r="P66">
        <v>190.84</v>
      </c>
      <c r="Q66">
        <v>22.02</v>
      </c>
      <c r="R66">
        <v>43295</v>
      </c>
    </row>
    <row r="67" spans="2:18" x14ac:dyDescent="0.35">
      <c r="B67" s="2">
        <v>45303</v>
      </c>
      <c r="C67">
        <v>40.409999999999997</v>
      </c>
      <c r="D67">
        <v>476.68</v>
      </c>
      <c r="E67">
        <v>189.71</v>
      </c>
      <c r="F67">
        <v>27.45</v>
      </c>
      <c r="G67">
        <v>409.56</v>
      </c>
      <c r="H67">
        <v>20.61</v>
      </c>
      <c r="I67">
        <v>68.02</v>
      </c>
      <c r="J67">
        <v>96.52</v>
      </c>
      <c r="K67">
        <v>63.62</v>
      </c>
      <c r="L67">
        <v>54.55</v>
      </c>
      <c r="M67">
        <v>66.430000000000007</v>
      </c>
      <c r="N67">
        <v>132.93</v>
      </c>
      <c r="O67">
        <v>49.96</v>
      </c>
      <c r="P67">
        <v>193.23</v>
      </c>
      <c r="Q67">
        <v>22.73</v>
      </c>
      <c r="R67">
        <v>43690</v>
      </c>
    </row>
    <row r="68" spans="2:18" x14ac:dyDescent="0.35">
      <c r="B68" s="2">
        <v>45302</v>
      </c>
      <c r="C68">
        <v>40.22</v>
      </c>
      <c r="D68">
        <v>476.35</v>
      </c>
      <c r="E68">
        <v>187.87</v>
      </c>
      <c r="F68">
        <v>27.42</v>
      </c>
      <c r="G68">
        <v>409.35</v>
      </c>
      <c r="H68">
        <v>20.72</v>
      </c>
      <c r="I68">
        <v>67.650000000000006</v>
      </c>
      <c r="J68">
        <v>96.71</v>
      </c>
      <c r="K68">
        <v>63.44</v>
      </c>
      <c r="L68">
        <v>54.24</v>
      </c>
      <c r="M68">
        <v>65.8</v>
      </c>
      <c r="N68">
        <v>132.82</v>
      </c>
      <c r="O68">
        <v>49.19</v>
      </c>
      <c r="P68">
        <v>193.55</v>
      </c>
      <c r="Q68">
        <v>22.83</v>
      </c>
      <c r="R68">
        <v>46350</v>
      </c>
    </row>
    <row r="69" spans="2:18" x14ac:dyDescent="0.35">
      <c r="B69" s="2">
        <v>45301</v>
      </c>
      <c r="C69">
        <v>40.049999999999997</v>
      </c>
      <c r="D69">
        <v>476.56</v>
      </c>
      <c r="E69">
        <v>187.5</v>
      </c>
      <c r="F69">
        <v>27.4</v>
      </c>
      <c r="G69">
        <v>408.5</v>
      </c>
      <c r="H69">
        <v>20.61</v>
      </c>
      <c r="I69">
        <v>66.56</v>
      </c>
      <c r="J69">
        <v>96.17</v>
      </c>
      <c r="K69">
        <v>63.72</v>
      </c>
      <c r="L69">
        <v>54.12</v>
      </c>
      <c r="M69">
        <v>65.22</v>
      </c>
      <c r="N69">
        <v>132.83000000000001</v>
      </c>
      <c r="O69">
        <v>49.15</v>
      </c>
      <c r="P69">
        <v>195.08</v>
      </c>
      <c r="Q69">
        <v>22.49</v>
      </c>
      <c r="R69">
        <v>46325</v>
      </c>
    </row>
    <row r="70" spans="2:18" x14ac:dyDescent="0.35">
      <c r="B70" s="2">
        <v>45300</v>
      </c>
      <c r="C70">
        <v>40.090000000000003</v>
      </c>
      <c r="D70">
        <v>473.88</v>
      </c>
      <c r="E70">
        <v>187.93</v>
      </c>
      <c r="F70">
        <v>27.45</v>
      </c>
      <c r="G70">
        <v>405.75</v>
      </c>
      <c r="H70">
        <v>20.65</v>
      </c>
      <c r="I70">
        <v>67.39</v>
      </c>
      <c r="J70">
        <v>96.62</v>
      </c>
      <c r="K70">
        <v>63.45</v>
      </c>
      <c r="L70">
        <v>54.23</v>
      </c>
      <c r="M70">
        <v>64.069999999999993</v>
      </c>
      <c r="N70">
        <v>132.06</v>
      </c>
      <c r="O70">
        <v>48.85</v>
      </c>
      <c r="P70">
        <v>194.97</v>
      </c>
      <c r="Q70">
        <v>22.48</v>
      </c>
      <c r="R70">
        <v>47045</v>
      </c>
    </row>
    <row r="71" spans="2:18" x14ac:dyDescent="0.35">
      <c r="B71" s="2">
        <v>45299</v>
      </c>
      <c r="C71">
        <v>40.56</v>
      </c>
      <c r="D71">
        <v>474.6</v>
      </c>
      <c r="E71">
        <v>187.87</v>
      </c>
      <c r="F71">
        <v>27.36</v>
      </c>
      <c r="G71">
        <v>404.95</v>
      </c>
      <c r="H71">
        <v>20.51</v>
      </c>
      <c r="I71">
        <v>66.400000000000006</v>
      </c>
      <c r="J71">
        <v>97.24</v>
      </c>
      <c r="K71">
        <v>64.09</v>
      </c>
      <c r="L71">
        <v>54.99</v>
      </c>
      <c r="M71">
        <v>64.459999999999994</v>
      </c>
      <c r="N71">
        <v>132.59</v>
      </c>
      <c r="O71">
        <v>49.09</v>
      </c>
      <c r="P71">
        <v>196.73</v>
      </c>
      <c r="Q71">
        <v>22.94</v>
      </c>
      <c r="R71">
        <v>47305</v>
      </c>
    </row>
    <row r="72" spans="2:18" x14ac:dyDescent="0.35">
      <c r="B72" s="2">
        <v>45296</v>
      </c>
      <c r="C72">
        <v>40.49</v>
      </c>
      <c r="D72">
        <v>467.92</v>
      </c>
      <c r="E72">
        <v>189.35</v>
      </c>
      <c r="F72">
        <v>27.41</v>
      </c>
      <c r="G72">
        <v>396.75</v>
      </c>
      <c r="H72">
        <v>20.58</v>
      </c>
      <c r="I72">
        <v>69.03</v>
      </c>
      <c r="J72">
        <v>96.29</v>
      </c>
      <c r="K72">
        <v>63.37</v>
      </c>
      <c r="L72">
        <v>54.54</v>
      </c>
      <c r="M72">
        <v>63.53</v>
      </c>
      <c r="N72">
        <v>130.86000000000001</v>
      </c>
      <c r="O72">
        <v>49.09</v>
      </c>
      <c r="P72">
        <v>193.25</v>
      </c>
      <c r="Q72">
        <v>23.23</v>
      </c>
      <c r="R72">
        <v>44385</v>
      </c>
    </row>
    <row r="73" spans="2:18" x14ac:dyDescent="0.35">
      <c r="B73" s="2">
        <v>45295</v>
      </c>
      <c r="C73">
        <v>40.43</v>
      </c>
      <c r="D73">
        <v>467.28</v>
      </c>
      <c r="E73">
        <v>189.32</v>
      </c>
      <c r="F73">
        <v>27.41</v>
      </c>
      <c r="G73">
        <v>396.28</v>
      </c>
      <c r="H73">
        <v>20.72</v>
      </c>
      <c r="I73">
        <v>67.569999999999993</v>
      </c>
      <c r="J73">
        <v>97.22</v>
      </c>
      <c r="K73">
        <v>63.49</v>
      </c>
      <c r="L73">
        <v>54.34</v>
      </c>
      <c r="M73">
        <v>63.06</v>
      </c>
      <c r="N73">
        <v>130.69999999999999</v>
      </c>
      <c r="O73">
        <v>49.01</v>
      </c>
      <c r="P73">
        <v>193.82</v>
      </c>
      <c r="Q73">
        <v>23.36</v>
      </c>
      <c r="R73">
        <v>44630</v>
      </c>
    </row>
    <row r="74" spans="2:18" x14ac:dyDescent="0.35">
      <c r="B74" s="2">
        <v>45294</v>
      </c>
      <c r="C74">
        <v>40.5</v>
      </c>
      <c r="D74">
        <v>468.79</v>
      </c>
      <c r="E74">
        <v>189.13</v>
      </c>
      <c r="F74">
        <v>27.41</v>
      </c>
      <c r="G74">
        <v>398.33</v>
      </c>
      <c r="H74">
        <v>20.59</v>
      </c>
      <c r="I74">
        <v>68.19</v>
      </c>
      <c r="J74">
        <v>98.72</v>
      </c>
      <c r="K74">
        <v>63.13</v>
      </c>
      <c r="L74">
        <v>54.3</v>
      </c>
      <c r="M74">
        <v>63.21</v>
      </c>
      <c r="N74">
        <v>130.85</v>
      </c>
      <c r="O74">
        <v>48.59</v>
      </c>
      <c r="P74">
        <v>194.2</v>
      </c>
      <c r="Q74">
        <v>23.67</v>
      </c>
      <c r="R74">
        <v>43080</v>
      </c>
    </row>
    <row r="75" spans="2:18" x14ac:dyDescent="0.35">
      <c r="B75" s="2">
        <v>45293</v>
      </c>
      <c r="C75">
        <v>40.619999999999997</v>
      </c>
      <c r="D75">
        <v>472.65</v>
      </c>
      <c r="E75">
        <v>190.72</v>
      </c>
      <c r="F75">
        <v>27.32</v>
      </c>
      <c r="G75">
        <v>402.59</v>
      </c>
      <c r="H75">
        <v>20.69</v>
      </c>
      <c r="I75">
        <v>65.77</v>
      </c>
      <c r="J75">
        <v>98.31</v>
      </c>
      <c r="K75">
        <v>63.67</v>
      </c>
      <c r="L75">
        <v>54.92</v>
      </c>
      <c r="M75">
        <v>63.56</v>
      </c>
      <c r="N75">
        <v>131.91</v>
      </c>
      <c r="O75">
        <v>48.67</v>
      </c>
      <c r="P75">
        <v>199.52</v>
      </c>
      <c r="Q75">
        <v>23.24</v>
      </c>
      <c r="R75">
        <v>45330</v>
      </c>
    </row>
    <row r="76" spans="2:18" x14ac:dyDescent="0.35">
      <c r="B76" s="2">
        <v>45289</v>
      </c>
      <c r="C76">
        <v>41.1</v>
      </c>
      <c r="D76">
        <v>475.31</v>
      </c>
      <c r="E76">
        <v>191.17</v>
      </c>
      <c r="F76">
        <v>27.09</v>
      </c>
      <c r="G76">
        <v>409.52</v>
      </c>
      <c r="H76">
        <v>20.74</v>
      </c>
      <c r="I76">
        <v>66.650000000000006</v>
      </c>
      <c r="J76">
        <v>98.88</v>
      </c>
      <c r="K76">
        <v>64.48</v>
      </c>
      <c r="L76">
        <v>55.41</v>
      </c>
      <c r="M76">
        <v>64.14</v>
      </c>
      <c r="N76">
        <v>133.02000000000001</v>
      </c>
      <c r="O76">
        <v>48.81</v>
      </c>
      <c r="P76">
        <v>200.71</v>
      </c>
      <c r="Q76">
        <v>24.03</v>
      </c>
      <c r="R76">
        <v>42485</v>
      </c>
    </row>
    <row r="77" spans="2:18" x14ac:dyDescent="0.35">
      <c r="B77" s="2">
        <v>45288</v>
      </c>
      <c r="C77">
        <v>40.99</v>
      </c>
      <c r="D77">
        <v>476.69</v>
      </c>
      <c r="E77">
        <v>191.47</v>
      </c>
      <c r="F77">
        <v>27.04</v>
      </c>
      <c r="G77">
        <v>411.3</v>
      </c>
      <c r="H77">
        <v>21.05</v>
      </c>
      <c r="I77">
        <v>67.180000000000007</v>
      </c>
      <c r="J77">
        <v>99.78</v>
      </c>
      <c r="K77">
        <v>64.42</v>
      </c>
      <c r="L77">
        <v>55.5</v>
      </c>
      <c r="M77">
        <v>64.040000000000006</v>
      </c>
      <c r="N77">
        <v>133.28</v>
      </c>
      <c r="O77">
        <v>49.02</v>
      </c>
      <c r="P77">
        <v>204.04</v>
      </c>
      <c r="Q77">
        <v>23.88</v>
      </c>
      <c r="R77">
        <v>42515</v>
      </c>
    </row>
    <row r="78" spans="2:18" x14ac:dyDescent="0.35">
      <c r="B78" s="2">
        <v>45287</v>
      </c>
      <c r="C78">
        <v>40.74</v>
      </c>
      <c r="D78">
        <v>476.51</v>
      </c>
      <c r="E78">
        <v>192.59</v>
      </c>
      <c r="F78">
        <v>26.95</v>
      </c>
      <c r="G78">
        <v>411.5</v>
      </c>
      <c r="H78">
        <v>21</v>
      </c>
      <c r="I78">
        <v>68.92</v>
      </c>
      <c r="J78">
        <v>100.51</v>
      </c>
      <c r="K78">
        <v>64.86</v>
      </c>
      <c r="L78">
        <v>55.35</v>
      </c>
      <c r="M78">
        <v>63.66</v>
      </c>
      <c r="N78">
        <v>133.36000000000001</v>
      </c>
      <c r="O78">
        <v>48.84</v>
      </c>
      <c r="P78">
        <v>204.82</v>
      </c>
      <c r="Q78">
        <v>23.25</v>
      </c>
      <c r="R78">
        <v>43565</v>
      </c>
    </row>
    <row r="79" spans="2:18" x14ac:dyDescent="0.35">
      <c r="B79" s="2">
        <v>45286</v>
      </c>
      <c r="C79">
        <v>40.520000000000003</v>
      </c>
      <c r="D79">
        <v>475.65</v>
      </c>
      <c r="E79">
        <v>191.72</v>
      </c>
      <c r="F79">
        <v>27.09</v>
      </c>
      <c r="G79">
        <v>410.88</v>
      </c>
      <c r="H79">
        <v>20.98</v>
      </c>
      <c r="I79">
        <v>70.209999999999994</v>
      </c>
      <c r="J79">
        <v>98.76</v>
      </c>
      <c r="K79">
        <v>64.5</v>
      </c>
      <c r="L79">
        <v>54.93</v>
      </c>
      <c r="M79">
        <v>63.31</v>
      </c>
      <c r="N79">
        <v>132.97999999999999</v>
      </c>
      <c r="O79">
        <v>48.53</v>
      </c>
      <c r="P79">
        <v>204.1</v>
      </c>
      <c r="Q79">
        <v>23.22</v>
      </c>
      <c r="R79">
        <v>42150</v>
      </c>
    </row>
    <row r="80" spans="2:18" x14ac:dyDescent="0.35">
      <c r="B80" s="2">
        <v>45282</v>
      </c>
      <c r="C80">
        <v>40.26</v>
      </c>
      <c r="D80">
        <v>473.65</v>
      </c>
      <c r="E80">
        <v>190.27</v>
      </c>
      <c r="F80">
        <v>27.15</v>
      </c>
      <c r="G80">
        <v>408.38</v>
      </c>
      <c r="H80">
        <v>20.89</v>
      </c>
      <c r="I80">
        <v>68.69</v>
      </c>
      <c r="J80">
        <v>98.474999999999994</v>
      </c>
      <c r="K80">
        <v>64.099999999999994</v>
      </c>
      <c r="L80">
        <v>54.45</v>
      </c>
      <c r="M80">
        <v>63.33</v>
      </c>
      <c r="N80">
        <v>132.43</v>
      </c>
      <c r="O80">
        <v>48.36</v>
      </c>
      <c r="P80">
        <v>201.48</v>
      </c>
      <c r="Q80">
        <v>23.05</v>
      </c>
      <c r="R80">
        <v>43765</v>
      </c>
    </row>
    <row r="81" spans="2:18" x14ac:dyDescent="0.35">
      <c r="B81" s="2">
        <v>45281</v>
      </c>
      <c r="C81">
        <v>40.4</v>
      </c>
      <c r="D81">
        <v>472.7</v>
      </c>
      <c r="E81">
        <v>189.43</v>
      </c>
      <c r="F81">
        <v>27.16</v>
      </c>
      <c r="G81">
        <v>407.77</v>
      </c>
      <c r="H81">
        <v>20.79</v>
      </c>
      <c r="I81">
        <v>69.03</v>
      </c>
      <c r="J81">
        <v>98.93</v>
      </c>
      <c r="K81">
        <v>64.06</v>
      </c>
      <c r="L81">
        <v>54.31</v>
      </c>
      <c r="M81">
        <v>63.13</v>
      </c>
      <c r="N81">
        <v>132.16</v>
      </c>
      <c r="O81">
        <v>48.16</v>
      </c>
      <c r="P81">
        <v>199.62</v>
      </c>
      <c r="Q81">
        <v>23.71</v>
      </c>
      <c r="R81">
        <v>43860</v>
      </c>
    </row>
    <row r="82" spans="2:18" x14ac:dyDescent="0.35">
      <c r="B82" s="2">
        <v>45280</v>
      </c>
      <c r="C82">
        <v>39.630000000000003</v>
      </c>
      <c r="D82">
        <v>468.26</v>
      </c>
      <c r="E82">
        <v>188.1</v>
      </c>
      <c r="F82">
        <v>27.34</v>
      </c>
      <c r="G82">
        <v>403.08</v>
      </c>
      <c r="H82">
        <v>20.82</v>
      </c>
      <c r="I82">
        <v>68.790000000000006</v>
      </c>
      <c r="J82">
        <v>99.56</v>
      </c>
      <c r="K82">
        <v>63.12</v>
      </c>
      <c r="L82">
        <v>53.42</v>
      </c>
      <c r="M82">
        <v>62.05</v>
      </c>
      <c r="N82">
        <v>130.63</v>
      </c>
      <c r="O82">
        <v>47.4</v>
      </c>
      <c r="P82">
        <v>196.28</v>
      </c>
      <c r="Q82">
        <v>22.91</v>
      </c>
      <c r="R82">
        <v>43630</v>
      </c>
    </row>
    <row r="83" spans="2:18" x14ac:dyDescent="0.35">
      <c r="B83" s="2">
        <v>45279</v>
      </c>
      <c r="C83">
        <v>40.479999999999997</v>
      </c>
      <c r="D83">
        <v>474.84</v>
      </c>
      <c r="E83">
        <v>189.13</v>
      </c>
      <c r="F83">
        <v>27.22</v>
      </c>
      <c r="G83">
        <v>409.16</v>
      </c>
      <c r="H83">
        <v>21.07</v>
      </c>
      <c r="I83">
        <v>69.36</v>
      </c>
      <c r="J83">
        <v>98.89</v>
      </c>
      <c r="K83">
        <v>63.87</v>
      </c>
      <c r="L83">
        <v>54.89</v>
      </c>
      <c r="M83">
        <v>63.24</v>
      </c>
      <c r="N83">
        <v>133.47999999999999</v>
      </c>
      <c r="O83">
        <v>48.72</v>
      </c>
      <c r="P83">
        <v>200.93</v>
      </c>
      <c r="Q83">
        <v>24.2</v>
      </c>
      <c r="R83">
        <v>42360</v>
      </c>
    </row>
    <row r="84" spans="2:18" x14ac:dyDescent="0.35">
      <c r="B84" s="2">
        <v>45278</v>
      </c>
      <c r="C84">
        <v>40.200000000000003</v>
      </c>
      <c r="D84">
        <v>471.97</v>
      </c>
      <c r="E84">
        <v>187.85</v>
      </c>
      <c r="F84">
        <v>27.34</v>
      </c>
      <c r="G84">
        <v>407.08</v>
      </c>
      <c r="H84">
        <v>21.02</v>
      </c>
      <c r="I84">
        <v>68.09</v>
      </c>
      <c r="J84">
        <v>98.36</v>
      </c>
      <c r="K84">
        <v>63.21</v>
      </c>
      <c r="L84">
        <v>54.52</v>
      </c>
      <c r="M84">
        <v>63.05</v>
      </c>
      <c r="N84">
        <v>132.56</v>
      </c>
      <c r="O84">
        <v>48.454999999999998</v>
      </c>
      <c r="P84">
        <v>197.11</v>
      </c>
      <c r="Q84">
        <v>23.88</v>
      </c>
      <c r="R84">
        <v>42105</v>
      </c>
    </row>
    <row r="85" spans="2:18" x14ac:dyDescent="0.35">
      <c r="B85" s="2">
        <v>45275</v>
      </c>
      <c r="C85">
        <v>41.07</v>
      </c>
      <c r="D85">
        <v>469.33</v>
      </c>
      <c r="E85">
        <v>187</v>
      </c>
      <c r="F85">
        <v>29.09</v>
      </c>
      <c r="G85">
        <v>405.34</v>
      </c>
      <c r="H85">
        <v>21.96</v>
      </c>
      <c r="I85">
        <v>67.150000000000006</v>
      </c>
      <c r="J85">
        <v>99.15</v>
      </c>
      <c r="K85">
        <v>63.48</v>
      </c>
      <c r="L85">
        <v>54.37</v>
      </c>
      <c r="M85">
        <v>63.17</v>
      </c>
      <c r="N85">
        <v>131.94999999999999</v>
      </c>
      <c r="O85">
        <v>48.3</v>
      </c>
      <c r="P85">
        <v>197.04</v>
      </c>
      <c r="Q85">
        <v>24.13</v>
      </c>
      <c r="R85">
        <v>42440</v>
      </c>
    </row>
    <row r="86" spans="2:18" x14ac:dyDescent="0.35">
      <c r="B86" s="2">
        <v>45274</v>
      </c>
      <c r="C86">
        <v>41.31</v>
      </c>
      <c r="D86">
        <v>472.01</v>
      </c>
      <c r="E86">
        <v>188.73</v>
      </c>
      <c r="F86">
        <v>28.9</v>
      </c>
      <c r="G86">
        <v>403.39</v>
      </c>
      <c r="H86">
        <v>21.9</v>
      </c>
      <c r="I86">
        <v>67.16</v>
      </c>
      <c r="J86">
        <v>99.04</v>
      </c>
      <c r="K86">
        <v>64.19</v>
      </c>
      <c r="L86">
        <v>54.69</v>
      </c>
      <c r="M86">
        <v>63.72</v>
      </c>
      <c r="N86">
        <v>132.36000000000001</v>
      </c>
      <c r="O86">
        <v>48.35</v>
      </c>
      <c r="P86">
        <v>198.71</v>
      </c>
      <c r="Q86">
        <v>24.18</v>
      </c>
      <c r="R86">
        <v>43140</v>
      </c>
    </row>
    <row r="87" spans="2:18" x14ac:dyDescent="0.35">
      <c r="B87" s="2">
        <v>45273</v>
      </c>
      <c r="C87">
        <v>40.770000000000003</v>
      </c>
      <c r="D87">
        <v>470.5</v>
      </c>
      <c r="E87">
        <v>187.63</v>
      </c>
      <c r="F87">
        <v>29.17</v>
      </c>
      <c r="G87">
        <v>403.74</v>
      </c>
      <c r="H87">
        <v>21.72</v>
      </c>
      <c r="I87">
        <v>65.33</v>
      </c>
      <c r="J87">
        <v>96.84</v>
      </c>
      <c r="K87">
        <v>63.46</v>
      </c>
      <c r="L87">
        <v>53.93</v>
      </c>
      <c r="M87">
        <v>64.010000000000005</v>
      </c>
      <c r="N87">
        <v>131.66999999999999</v>
      </c>
      <c r="O87">
        <v>47.96</v>
      </c>
      <c r="P87">
        <v>193.33</v>
      </c>
      <c r="Q87">
        <v>23.87</v>
      </c>
      <c r="R87">
        <v>43210</v>
      </c>
    </row>
    <row r="88" spans="2:18" x14ac:dyDescent="0.35">
      <c r="B88" s="2">
        <v>45272</v>
      </c>
      <c r="C88">
        <v>40.39</v>
      </c>
      <c r="D88">
        <v>464.1</v>
      </c>
      <c r="E88">
        <v>183.49</v>
      </c>
      <c r="F88">
        <v>29.42</v>
      </c>
      <c r="G88">
        <v>398.67</v>
      </c>
      <c r="H88">
        <v>21.85</v>
      </c>
      <c r="I88">
        <v>64.25</v>
      </c>
      <c r="J88">
        <v>94.62</v>
      </c>
      <c r="K88">
        <v>62.58</v>
      </c>
      <c r="L88">
        <v>53.14</v>
      </c>
      <c r="M88">
        <v>63.05</v>
      </c>
      <c r="N88">
        <v>129.75</v>
      </c>
      <c r="O88">
        <v>47.38</v>
      </c>
      <c r="P88">
        <v>187</v>
      </c>
      <c r="Q88">
        <v>23.95</v>
      </c>
      <c r="R88">
        <v>41455</v>
      </c>
    </row>
    <row r="89" spans="2:18" x14ac:dyDescent="0.35">
      <c r="B89" s="2">
        <v>45271</v>
      </c>
      <c r="C89">
        <v>40.39</v>
      </c>
      <c r="D89">
        <v>461.99</v>
      </c>
      <c r="E89">
        <v>183.59</v>
      </c>
      <c r="F89">
        <v>29.5</v>
      </c>
      <c r="G89">
        <v>395.52</v>
      </c>
      <c r="H89">
        <v>21.71</v>
      </c>
      <c r="I89">
        <v>66.8</v>
      </c>
      <c r="J89">
        <v>94.34</v>
      </c>
      <c r="K89">
        <v>62.47</v>
      </c>
      <c r="L89">
        <v>53.21</v>
      </c>
      <c r="M89">
        <v>63.14</v>
      </c>
      <c r="N89">
        <v>129.41</v>
      </c>
      <c r="O89">
        <v>47.56</v>
      </c>
      <c r="P89">
        <v>187.19</v>
      </c>
      <c r="Q89">
        <v>23.79</v>
      </c>
      <c r="R89">
        <v>41035</v>
      </c>
    </row>
    <row r="90" spans="2:18" x14ac:dyDescent="0.35">
      <c r="B90" s="2">
        <v>45268</v>
      </c>
      <c r="C90">
        <v>40.21</v>
      </c>
      <c r="D90">
        <v>460.2</v>
      </c>
      <c r="E90">
        <v>185.64</v>
      </c>
      <c r="F90">
        <v>29.46</v>
      </c>
      <c r="G90">
        <v>392.17</v>
      </c>
      <c r="H90">
        <v>21.82</v>
      </c>
      <c r="I90">
        <v>66.53</v>
      </c>
      <c r="J90">
        <v>94.54</v>
      </c>
      <c r="K90">
        <v>62.38</v>
      </c>
      <c r="L90">
        <v>52.99</v>
      </c>
      <c r="M90">
        <v>62.78</v>
      </c>
      <c r="N90">
        <v>128.91999999999999</v>
      </c>
      <c r="O90">
        <v>47.31</v>
      </c>
      <c r="P90">
        <v>186.8</v>
      </c>
      <c r="Q90">
        <v>23.7</v>
      </c>
      <c r="R90">
        <v>44910</v>
      </c>
    </row>
    <row r="91" spans="2:18" x14ac:dyDescent="0.35">
      <c r="B91" s="2">
        <v>45267</v>
      </c>
      <c r="C91">
        <v>40.409999999999997</v>
      </c>
      <c r="D91">
        <v>458.23</v>
      </c>
      <c r="E91">
        <v>188.15</v>
      </c>
      <c r="F91">
        <v>29.35</v>
      </c>
      <c r="G91">
        <v>390.43</v>
      </c>
      <c r="H91">
        <v>21.68</v>
      </c>
      <c r="I91">
        <v>65.11</v>
      </c>
      <c r="J91">
        <v>95.32</v>
      </c>
      <c r="K91">
        <v>62.04</v>
      </c>
      <c r="L91">
        <v>53.01</v>
      </c>
      <c r="M91">
        <v>63.15</v>
      </c>
      <c r="N91">
        <v>128.46</v>
      </c>
      <c r="O91">
        <v>47.46</v>
      </c>
      <c r="P91">
        <v>185.39</v>
      </c>
      <c r="Q91">
        <v>24.03</v>
      </c>
      <c r="R91">
        <v>43700</v>
      </c>
    </row>
    <row r="92" spans="2:18" x14ac:dyDescent="0.35">
      <c r="B92" s="2">
        <v>45266</v>
      </c>
      <c r="C92">
        <v>40.25</v>
      </c>
      <c r="D92">
        <v>454.76</v>
      </c>
      <c r="E92">
        <v>187.84</v>
      </c>
      <c r="F92">
        <v>29.51</v>
      </c>
      <c r="G92">
        <v>385.05</v>
      </c>
      <c r="H92">
        <v>21.55</v>
      </c>
      <c r="I92">
        <v>64.760000000000005</v>
      </c>
      <c r="J92">
        <v>95.87</v>
      </c>
      <c r="K92">
        <v>61.82</v>
      </c>
      <c r="L92">
        <v>52.72</v>
      </c>
      <c r="M92">
        <v>62.67</v>
      </c>
      <c r="N92">
        <v>127.54</v>
      </c>
      <c r="O92">
        <v>47.34</v>
      </c>
      <c r="P92">
        <v>184.06</v>
      </c>
      <c r="Q92">
        <v>23.95</v>
      </c>
      <c r="R92">
        <v>44215</v>
      </c>
    </row>
    <row r="93" spans="2:18" x14ac:dyDescent="0.35">
      <c r="B93" s="2">
        <v>45265</v>
      </c>
      <c r="C93">
        <v>40.299999999999997</v>
      </c>
      <c r="D93">
        <v>456.6</v>
      </c>
      <c r="E93">
        <v>187.15</v>
      </c>
      <c r="F93">
        <v>29.44</v>
      </c>
      <c r="G93">
        <v>387.29</v>
      </c>
      <c r="H93">
        <v>22.01</v>
      </c>
      <c r="I93">
        <v>67.58</v>
      </c>
      <c r="J93">
        <v>94.61</v>
      </c>
      <c r="K93">
        <v>61.81</v>
      </c>
      <c r="L93">
        <v>52.78</v>
      </c>
      <c r="M93">
        <v>62.02</v>
      </c>
      <c r="N93">
        <v>127.84</v>
      </c>
      <c r="O93">
        <v>47.27</v>
      </c>
      <c r="P93">
        <v>184.39</v>
      </c>
      <c r="Q93">
        <v>23.94</v>
      </c>
      <c r="R93">
        <v>44290</v>
      </c>
    </row>
    <row r="94" spans="2:18" x14ac:dyDescent="0.35">
      <c r="B94" s="2">
        <v>45264</v>
      </c>
      <c r="C94">
        <v>40.44</v>
      </c>
      <c r="D94">
        <v>456.69</v>
      </c>
      <c r="E94">
        <v>187.86</v>
      </c>
      <c r="F94">
        <v>29.33</v>
      </c>
      <c r="G94">
        <v>386.32</v>
      </c>
      <c r="H94">
        <v>21.98</v>
      </c>
      <c r="I94">
        <v>68.47</v>
      </c>
      <c r="J94">
        <v>92.614999999999995</v>
      </c>
      <c r="K94">
        <v>61.87</v>
      </c>
      <c r="L94">
        <v>52.88</v>
      </c>
      <c r="M94">
        <v>62.25</v>
      </c>
      <c r="N94">
        <v>128.04</v>
      </c>
      <c r="O94">
        <v>46.84</v>
      </c>
      <c r="P94">
        <v>186.89</v>
      </c>
      <c r="Q94">
        <v>24.31</v>
      </c>
      <c r="R94">
        <v>42280</v>
      </c>
    </row>
    <row r="95" spans="2:18" x14ac:dyDescent="0.35">
      <c r="B95" s="2">
        <v>45261</v>
      </c>
      <c r="C95">
        <v>40.799999999999997</v>
      </c>
      <c r="D95">
        <v>459.1</v>
      </c>
      <c r="E95">
        <v>192.01</v>
      </c>
      <c r="F95">
        <v>29.2</v>
      </c>
      <c r="G95">
        <v>389.94</v>
      </c>
      <c r="H95">
        <v>22.02</v>
      </c>
      <c r="I95">
        <v>69.239999999999995</v>
      </c>
      <c r="J95">
        <v>92.99</v>
      </c>
      <c r="K95">
        <v>62.21</v>
      </c>
      <c r="L95">
        <v>53.35</v>
      </c>
      <c r="M95">
        <v>63.21</v>
      </c>
      <c r="N95">
        <v>128.76</v>
      </c>
      <c r="O95">
        <v>46.4</v>
      </c>
      <c r="P95">
        <v>184.91</v>
      </c>
      <c r="Q95">
        <v>24.89</v>
      </c>
      <c r="R95">
        <v>39225</v>
      </c>
    </row>
    <row r="96" spans="2:18" x14ac:dyDescent="0.35">
      <c r="B96" s="2">
        <v>45260</v>
      </c>
      <c r="C96">
        <v>40.630000000000003</v>
      </c>
      <c r="D96">
        <v>456.4</v>
      </c>
      <c r="E96">
        <v>188.75</v>
      </c>
      <c r="F96">
        <v>29.29</v>
      </c>
      <c r="G96">
        <v>388.83</v>
      </c>
      <c r="H96">
        <v>22.28</v>
      </c>
      <c r="I96">
        <v>70.14</v>
      </c>
      <c r="J96">
        <v>91.56</v>
      </c>
      <c r="K96">
        <v>61.62</v>
      </c>
      <c r="L96">
        <v>52.88</v>
      </c>
      <c r="M96">
        <v>62.61</v>
      </c>
      <c r="N96">
        <v>127.78</v>
      </c>
      <c r="O96">
        <v>46.02</v>
      </c>
      <c r="P96">
        <v>179.66</v>
      </c>
      <c r="Q96">
        <v>25.16</v>
      </c>
      <c r="R96">
        <v>38190</v>
      </c>
    </row>
    <row r="97" spans="2:18" x14ac:dyDescent="0.35">
      <c r="B97" s="2">
        <v>45259</v>
      </c>
      <c r="C97">
        <v>40.51</v>
      </c>
      <c r="D97">
        <v>454.61</v>
      </c>
      <c r="E97">
        <v>189.54</v>
      </c>
      <c r="F97">
        <v>29.08</v>
      </c>
      <c r="G97">
        <v>389.81</v>
      </c>
      <c r="H97">
        <v>22.08</v>
      </c>
      <c r="I97">
        <v>72.52</v>
      </c>
      <c r="J97">
        <v>92.63</v>
      </c>
      <c r="K97">
        <v>61.76</v>
      </c>
      <c r="L97">
        <v>52.84</v>
      </c>
      <c r="M97">
        <v>62.49</v>
      </c>
      <c r="N97">
        <v>127.43</v>
      </c>
      <c r="O97">
        <v>45.63</v>
      </c>
      <c r="P97">
        <v>178.98</v>
      </c>
      <c r="Q97">
        <v>25.06</v>
      </c>
      <c r="R97">
        <v>38065</v>
      </c>
    </row>
    <row r="98" spans="2:18" x14ac:dyDescent="0.35">
      <c r="B98" s="2">
        <v>45258</v>
      </c>
      <c r="C98">
        <v>40.74</v>
      </c>
      <c r="D98">
        <v>454.93</v>
      </c>
      <c r="E98">
        <v>189.26</v>
      </c>
      <c r="F98">
        <v>29.05</v>
      </c>
      <c r="G98">
        <v>390.19</v>
      </c>
      <c r="H98">
        <v>21.94</v>
      </c>
      <c r="I98">
        <v>71.260000000000005</v>
      </c>
      <c r="J98">
        <v>91.48</v>
      </c>
      <c r="K98">
        <v>61.48</v>
      </c>
      <c r="L98">
        <v>52.91</v>
      </c>
      <c r="M98">
        <v>62.55</v>
      </c>
      <c r="N98">
        <v>127.41</v>
      </c>
      <c r="O98">
        <v>45.49</v>
      </c>
      <c r="P98">
        <v>178.04</v>
      </c>
      <c r="Q98">
        <v>25.71</v>
      </c>
      <c r="R98">
        <v>38885</v>
      </c>
    </row>
    <row r="99" spans="2:18" x14ac:dyDescent="0.35">
      <c r="B99" s="2">
        <v>45257</v>
      </c>
      <c r="C99">
        <v>40.409999999999997</v>
      </c>
      <c r="D99">
        <v>454.48</v>
      </c>
      <c r="E99">
        <v>186.77</v>
      </c>
      <c r="F99">
        <v>29.15</v>
      </c>
      <c r="G99">
        <v>389.17</v>
      </c>
      <c r="H99">
        <v>21.59</v>
      </c>
      <c r="I99">
        <v>69.959999999999994</v>
      </c>
      <c r="J99">
        <v>91.3</v>
      </c>
      <c r="K99">
        <v>61.48</v>
      </c>
      <c r="L99">
        <v>52.33</v>
      </c>
      <c r="M99">
        <v>62.56</v>
      </c>
      <c r="N99">
        <v>127.31</v>
      </c>
      <c r="O99">
        <v>45.09</v>
      </c>
      <c r="P99">
        <v>178.73</v>
      </c>
      <c r="Q99">
        <v>26.02</v>
      </c>
      <c r="R99">
        <v>37210</v>
      </c>
    </row>
    <row r="100" spans="2:18" x14ac:dyDescent="0.35">
      <c r="B100" s="2">
        <v>45254</v>
      </c>
      <c r="C100">
        <v>40.6</v>
      </c>
      <c r="D100">
        <v>455.3</v>
      </c>
      <c r="E100">
        <v>185.52</v>
      </c>
      <c r="F100">
        <v>29.21</v>
      </c>
      <c r="G100">
        <v>389.51</v>
      </c>
      <c r="H100">
        <v>21.74</v>
      </c>
      <c r="I100">
        <v>70.819999999999993</v>
      </c>
      <c r="J100">
        <v>89.8</v>
      </c>
      <c r="K100">
        <v>61.67</v>
      </c>
      <c r="L100">
        <v>52.38</v>
      </c>
      <c r="M100">
        <v>62.61</v>
      </c>
      <c r="N100">
        <v>127.52</v>
      </c>
      <c r="O100">
        <v>45.19</v>
      </c>
      <c r="P100">
        <v>179.33</v>
      </c>
      <c r="Q100">
        <v>26.36</v>
      </c>
      <c r="R100">
        <v>38122.839999999997</v>
      </c>
    </row>
    <row r="101" spans="2:18" x14ac:dyDescent="0.35">
      <c r="B101" s="2">
        <v>45252</v>
      </c>
      <c r="C101">
        <v>40.47</v>
      </c>
      <c r="D101">
        <v>455.02</v>
      </c>
      <c r="E101">
        <v>184.56</v>
      </c>
      <c r="F101">
        <v>29.34</v>
      </c>
      <c r="G101">
        <v>390.06</v>
      </c>
      <c r="H101">
        <v>22.07</v>
      </c>
      <c r="I101">
        <v>71.61</v>
      </c>
      <c r="J101">
        <v>90.87</v>
      </c>
      <c r="K101">
        <v>61.02</v>
      </c>
      <c r="L101">
        <v>52.45</v>
      </c>
      <c r="M101">
        <v>62.49</v>
      </c>
      <c r="N101">
        <v>127.23</v>
      </c>
      <c r="O101">
        <v>45.21</v>
      </c>
      <c r="P101">
        <v>178.13</v>
      </c>
      <c r="Q101">
        <v>26.29</v>
      </c>
      <c r="R101">
        <v>37655</v>
      </c>
    </row>
    <row r="102" spans="2:18" x14ac:dyDescent="0.35">
      <c r="B102" s="2">
        <v>45251</v>
      </c>
      <c r="C102">
        <v>40.58</v>
      </c>
      <c r="D102">
        <v>453.27</v>
      </c>
      <c r="E102">
        <v>185.35</v>
      </c>
      <c r="F102">
        <v>29.24</v>
      </c>
      <c r="G102">
        <v>388.47</v>
      </c>
      <c r="H102">
        <v>22.18</v>
      </c>
      <c r="I102">
        <v>72.53</v>
      </c>
      <c r="J102">
        <v>90.55</v>
      </c>
      <c r="K102">
        <v>60.92</v>
      </c>
      <c r="L102">
        <v>52.57</v>
      </c>
      <c r="M102">
        <v>62.1</v>
      </c>
      <c r="N102">
        <v>126.8</v>
      </c>
      <c r="O102">
        <v>45.06</v>
      </c>
      <c r="P102">
        <v>177.02</v>
      </c>
      <c r="Q102">
        <v>26.16</v>
      </c>
      <c r="R102">
        <v>36920</v>
      </c>
    </row>
    <row r="103" spans="2:18" x14ac:dyDescent="0.35">
      <c r="B103" s="2">
        <v>45250</v>
      </c>
      <c r="C103">
        <v>40.82</v>
      </c>
      <c r="D103">
        <v>454.26</v>
      </c>
      <c r="E103">
        <v>183.37</v>
      </c>
      <c r="F103">
        <v>29.21</v>
      </c>
      <c r="G103">
        <v>390.74</v>
      </c>
      <c r="H103">
        <v>22.14</v>
      </c>
      <c r="I103">
        <v>72.3</v>
      </c>
      <c r="J103">
        <v>90.59</v>
      </c>
      <c r="K103">
        <v>61.18</v>
      </c>
      <c r="L103">
        <v>52.76</v>
      </c>
      <c r="M103">
        <v>62.36</v>
      </c>
      <c r="N103">
        <v>127.07</v>
      </c>
      <c r="O103">
        <v>45.05</v>
      </c>
      <c r="P103">
        <v>179.33</v>
      </c>
      <c r="Q103">
        <v>26.69</v>
      </c>
      <c r="R103">
        <v>37615</v>
      </c>
    </row>
    <row r="104" spans="2:18" x14ac:dyDescent="0.35">
      <c r="B104" s="2">
        <v>45247</v>
      </c>
      <c r="C104">
        <v>40.39</v>
      </c>
      <c r="D104">
        <v>450.79</v>
      </c>
      <c r="E104">
        <v>183.67</v>
      </c>
      <c r="F104">
        <v>29.3</v>
      </c>
      <c r="G104">
        <v>386.04</v>
      </c>
      <c r="H104">
        <v>22.08</v>
      </c>
      <c r="I104">
        <v>70.75</v>
      </c>
      <c r="J104">
        <v>90.04</v>
      </c>
      <c r="K104">
        <v>60.9</v>
      </c>
      <c r="L104">
        <v>52.31</v>
      </c>
      <c r="M104">
        <v>62.35</v>
      </c>
      <c r="N104">
        <v>126.3</v>
      </c>
      <c r="O104">
        <v>45.045000000000002</v>
      </c>
      <c r="P104">
        <v>178.29</v>
      </c>
      <c r="Q104">
        <v>26.12</v>
      </c>
      <c r="R104">
        <v>36565</v>
      </c>
    </row>
    <row r="105" spans="2:18" x14ac:dyDescent="0.35">
      <c r="B105" s="2">
        <v>45246</v>
      </c>
      <c r="C105">
        <v>40.229999999999997</v>
      </c>
      <c r="D105">
        <v>450.23</v>
      </c>
      <c r="E105">
        <v>183.69</v>
      </c>
      <c r="F105">
        <v>29.46</v>
      </c>
      <c r="G105">
        <v>385.95</v>
      </c>
      <c r="H105">
        <v>22.12</v>
      </c>
      <c r="I105">
        <v>68.05</v>
      </c>
      <c r="J105">
        <v>89.62</v>
      </c>
      <c r="K105">
        <v>60.07</v>
      </c>
      <c r="L105">
        <v>52.24</v>
      </c>
      <c r="M105">
        <v>61.39</v>
      </c>
      <c r="N105">
        <v>125.66</v>
      </c>
      <c r="O105">
        <v>44.98</v>
      </c>
      <c r="P105">
        <v>175.88</v>
      </c>
      <c r="Q105">
        <v>26.1</v>
      </c>
      <c r="R105">
        <v>36040</v>
      </c>
    </row>
    <row r="106" spans="2:18" x14ac:dyDescent="0.35">
      <c r="B106" s="2">
        <v>45245</v>
      </c>
      <c r="C106">
        <v>40.65</v>
      </c>
      <c r="D106">
        <v>449.68</v>
      </c>
      <c r="E106">
        <v>181.64</v>
      </c>
      <c r="F106">
        <v>29.44</v>
      </c>
      <c r="G106">
        <v>385.62</v>
      </c>
      <c r="H106">
        <v>22.29</v>
      </c>
      <c r="I106">
        <v>71.34</v>
      </c>
      <c r="J106">
        <v>88.52</v>
      </c>
      <c r="K106">
        <v>60.2</v>
      </c>
      <c r="L106">
        <v>52.18</v>
      </c>
      <c r="M106">
        <v>61.18</v>
      </c>
      <c r="N106">
        <v>125.66</v>
      </c>
      <c r="O106">
        <v>44.94</v>
      </c>
      <c r="P106">
        <v>178.77</v>
      </c>
      <c r="Q106">
        <v>27.21</v>
      </c>
      <c r="R106">
        <v>37820</v>
      </c>
    </row>
    <row r="107" spans="2:18" x14ac:dyDescent="0.35">
      <c r="B107" s="2">
        <v>45244</v>
      </c>
      <c r="C107">
        <v>40.369999999999997</v>
      </c>
      <c r="D107">
        <v>448.73</v>
      </c>
      <c r="E107">
        <v>182.12</v>
      </c>
      <c r="F107">
        <v>29.33</v>
      </c>
      <c r="G107">
        <v>385.33</v>
      </c>
      <c r="H107">
        <v>22.25</v>
      </c>
      <c r="I107">
        <v>72.69</v>
      </c>
      <c r="J107">
        <v>89.78</v>
      </c>
      <c r="K107">
        <v>60.21</v>
      </c>
      <c r="L107">
        <v>51.98</v>
      </c>
      <c r="M107">
        <v>61.64</v>
      </c>
      <c r="N107">
        <v>125.46</v>
      </c>
      <c r="O107">
        <v>45.08</v>
      </c>
      <c r="P107">
        <v>178.46</v>
      </c>
      <c r="Q107">
        <v>26.58</v>
      </c>
      <c r="R107">
        <v>35365</v>
      </c>
    </row>
    <row r="108" spans="2:18" x14ac:dyDescent="0.35">
      <c r="B108" s="2">
        <v>45243</v>
      </c>
      <c r="C108">
        <v>39.450000000000003</v>
      </c>
      <c r="D108">
        <v>440.19</v>
      </c>
      <c r="E108">
        <v>180.51</v>
      </c>
      <c r="F108">
        <v>29.8</v>
      </c>
      <c r="G108">
        <v>377.21</v>
      </c>
      <c r="H108">
        <v>22.36</v>
      </c>
      <c r="I108">
        <v>72.92</v>
      </c>
      <c r="J108">
        <v>87.79</v>
      </c>
      <c r="K108">
        <v>58.48</v>
      </c>
      <c r="L108">
        <v>50.64</v>
      </c>
      <c r="M108">
        <v>60.44</v>
      </c>
      <c r="N108">
        <v>122.88</v>
      </c>
      <c r="O108">
        <v>44.42</v>
      </c>
      <c r="P108">
        <v>169.17</v>
      </c>
      <c r="Q108">
        <v>26.02</v>
      </c>
      <c r="R108">
        <v>36915</v>
      </c>
    </row>
    <row r="109" spans="2:18" x14ac:dyDescent="0.35">
      <c r="B109" s="2">
        <v>45240</v>
      </c>
      <c r="C109">
        <v>39.380000000000003</v>
      </c>
      <c r="D109">
        <v>440.61</v>
      </c>
      <c r="E109">
        <v>179.51</v>
      </c>
      <c r="F109">
        <v>29.84</v>
      </c>
      <c r="G109">
        <v>378.39</v>
      </c>
      <c r="H109">
        <v>22.04</v>
      </c>
      <c r="I109">
        <v>71.790000000000006</v>
      </c>
      <c r="J109">
        <v>87.99</v>
      </c>
      <c r="K109">
        <v>58.33</v>
      </c>
      <c r="L109">
        <v>50.84</v>
      </c>
      <c r="M109">
        <v>60.47</v>
      </c>
      <c r="N109">
        <v>122.84</v>
      </c>
      <c r="O109">
        <v>44.49</v>
      </c>
      <c r="P109">
        <v>169.11</v>
      </c>
      <c r="Q109">
        <v>25.68</v>
      </c>
      <c r="R109">
        <v>37555</v>
      </c>
    </row>
    <row r="110" spans="2:18" x14ac:dyDescent="0.35">
      <c r="B110" s="2">
        <v>45239</v>
      </c>
      <c r="C110">
        <v>39.11</v>
      </c>
      <c r="D110">
        <v>433.84</v>
      </c>
      <c r="E110">
        <v>181.49</v>
      </c>
      <c r="F110">
        <v>29.86</v>
      </c>
      <c r="G110">
        <v>370.07</v>
      </c>
      <c r="H110">
        <v>22.13</v>
      </c>
      <c r="I110">
        <v>70.25</v>
      </c>
      <c r="J110">
        <v>87.5</v>
      </c>
      <c r="K110">
        <v>58.06</v>
      </c>
      <c r="L110">
        <v>50.32</v>
      </c>
      <c r="M110">
        <v>59.89</v>
      </c>
      <c r="N110">
        <v>121.31</v>
      </c>
      <c r="O110">
        <v>44.04</v>
      </c>
      <c r="P110">
        <v>167.24</v>
      </c>
      <c r="Q110">
        <v>25.76</v>
      </c>
      <c r="R110">
        <v>36805</v>
      </c>
    </row>
    <row r="111" spans="2:18" x14ac:dyDescent="0.35">
      <c r="B111" s="2">
        <v>45238</v>
      </c>
      <c r="C111">
        <v>39.46</v>
      </c>
      <c r="D111">
        <v>437.25</v>
      </c>
      <c r="E111">
        <v>180.77</v>
      </c>
      <c r="F111">
        <v>29.73</v>
      </c>
      <c r="G111">
        <v>372.94</v>
      </c>
      <c r="H111">
        <v>22.26</v>
      </c>
      <c r="I111">
        <v>70.19</v>
      </c>
      <c r="J111">
        <v>89.56</v>
      </c>
      <c r="K111">
        <v>58.07</v>
      </c>
      <c r="L111">
        <v>50.69</v>
      </c>
      <c r="M111">
        <v>59.64</v>
      </c>
      <c r="N111">
        <v>122.02</v>
      </c>
      <c r="O111">
        <v>44.33</v>
      </c>
      <c r="P111">
        <v>169.87</v>
      </c>
      <c r="Q111">
        <v>26.12</v>
      </c>
      <c r="R111">
        <v>35895</v>
      </c>
    </row>
    <row r="112" spans="2:18" x14ac:dyDescent="0.35">
      <c r="B112" s="2">
        <v>45237</v>
      </c>
      <c r="C112">
        <v>39.64</v>
      </c>
      <c r="D112">
        <v>436.93</v>
      </c>
      <c r="E112">
        <v>182.59</v>
      </c>
      <c r="F112">
        <v>29.74</v>
      </c>
      <c r="G112">
        <v>372.7</v>
      </c>
      <c r="H112">
        <v>22.16</v>
      </c>
      <c r="I112">
        <v>71.8</v>
      </c>
      <c r="J112">
        <v>88.06</v>
      </c>
      <c r="K112">
        <v>57.79</v>
      </c>
      <c r="L112">
        <v>51.02</v>
      </c>
      <c r="M112">
        <v>60.64</v>
      </c>
      <c r="N112">
        <v>121.99</v>
      </c>
      <c r="O112">
        <v>44.21</v>
      </c>
      <c r="P112">
        <v>171.7</v>
      </c>
      <c r="Q112">
        <v>26.31</v>
      </c>
      <c r="R112">
        <v>36145</v>
      </c>
    </row>
    <row r="113" spans="2:18" x14ac:dyDescent="0.35">
      <c r="B113" s="2">
        <v>45236</v>
      </c>
      <c r="C113">
        <v>39.630000000000003</v>
      </c>
      <c r="D113">
        <v>435.69</v>
      </c>
      <c r="E113">
        <v>183.35</v>
      </c>
      <c r="F113">
        <v>29.64</v>
      </c>
      <c r="G113">
        <v>369.21</v>
      </c>
      <c r="H113">
        <v>22.46</v>
      </c>
      <c r="I113">
        <v>74.91</v>
      </c>
      <c r="J113">
        <v>86.78</v>
      </c>
      <c r="K113">
        <v>58.05</v>
      </c>
      <c r="L113">
        <v>51.16</v>
      </c>
      <c r="M113">
        <v>61.2</v>
      </c>
      <c r="N113">
        <v>121.89</v>
      </c>
      <c r="O113">
        <v>44.19</v>
      </c>
      <c r="P113">
        <v>172.31</v>
      </c>
      <c r="Q113">
        <v>26.43</v>
      </c>
      <c r="R113">
        <v>35320</v>
      </c>
    </row>
    <row r="114" spans="2:18" x14ac:dyDescent="0.35">
      <c r="B114" s="2">
        <v>45233</v>
      </c>
      <c r="C114">
        <v>39.51</v>
      </c>
      <c r="D114">
        <v>434.69</v>
      </c>
      <c r="E114">
        <v>184.79</v>
      </c>
      <c r="F114">
        <v>29.61</v>
      </c>
      <c r="G114">
        <v>367.71</v>
      </c>
      <c r="H114">
        <v>22.4</v>
      </c>
      <c r="I114">
        <v>74.849999999999994</v>
      </c>
      <c r="J114">
        <v>87.63</v>
      </c>
      <c r="K114">
        <v>58.24</v>
      </c>
      <c r="L114">
        <v>50.68</v>
      </c>
      <c r="M114">
        <v>62</v>
      </c>
      <c r="N114">
        <v>121.93</v>
      </c>
      <c r="O114">
        <v>44.15</v>
      </c>
      <c r="P114">
        <v>174.49</v>
      </c>
      <c r="Q114">
        <v>26.35</v>
      </c>
      <c r="R114">
        <v>34805</v>
      </c>
    </row>
    <row r="115" spans="2:18" x14ac:dyDescent="0.35">
      <c r="B115" s="2">
        <v>45232</v>
      </c>
      <c r="C115">
        <v>38.799999999999997</v>
      </c>
      <c r="D115">
        <v>430.76</v>
      </c>
      <c r="E115">
        <v>184.12</v>
      </c>
      <c r="F115">
        <v>29.89</v>
      </c>
      <c r="G115">
        <v>363.44</v>
      </c>
      <c r="H115">
        <v>22.24</v>
      </c>
      <c r="I115">
        <v>76.180000000000007</v>
      </c>
      <c r="J115">
        <v>87.04</v>
      </c>
      <c r="K115">
        <v>57.76</v>
      </c>
      <c r="L115">
        <v>49.89</v>
      </c>
      <c r="M115">
        <v>60.95</v>
      </c>
      <c r="N115">
        <v>120.72</v>
      </c>
      <c r="O115">
        <v>43.83</v>
      </c>
      <c r="P115">
        <v>169.87</v>
      </c>
      <c r="Q115">
        <v>25.75</v>
      </c>
      <c r="R115">
        <v>35300</v>
      </c>
    </row>
    <row r="116" spans="2:18" x14ac:dyDescent="0.35">
      <c r="B116" s="2">
        <v>45231</v>
      </c>
      <c r="C116">
        <v>38.21</v>
      </c>
      <c r="D116">
        <v>422.66</v>
      </c>
      <c r="E116">
        <v>183.51</v>
      </c>
      <c r="F116">
        <v>30.04</v>
      </c>
      <c r="G116">
        <v>356.96</v>
      </c>
      <c r="H116">
        <v>21.98</v>
      </c>
      <c r="I116">
        <v>74.75</v>
      </c>
      <c r="J116">
        <v>85.1</v>
      </c>
      <c r="K116">
        <v>56.52</v>
      </c>
      <c r="L116">
        <v>48.87</v>
      </c>
      <c r="M116">
        <v>59.97</v>
      </c>
      <c r="N116">
        <v>118.32</v>
      </c>
      <c r="O116">
        <v>43.4</v>
      </c>
      <c r="P116">
        <v>165.46</v>
      </c>
      <c r="Q116">
        <v>25.48</v>
      </c>
      <c r="R116">
        <v>34965</v>
      </c>
    </row>
    <row r="117" spans="2:18" x14ac:dyDescent="0.35">
      <c r="B117" s="2">
        <v>45230</v>
      </c>
      <c r="C117">
        <v>37.94</v>
      </c>
      <c r="D117">
        <v>418.2</v>
      </c>
      <c r="E117">
        <v>184.09</v>
      </c>
      <c r="F117">
        <v>30.03</v>
      </c>
      <c r="G117">
        <v>350.87</v>
      </c>
      <c r="H117">
        <v>22.01</v>
      </c>
      <c r="I117">
        <v>75.02</v>
      </c>
      <c r="J117">
        <v>83.58</v>
      </c>
      <c r="K117">
        <v>56.14</v>
      </c>
      <c r="L117">
        <v>48.21</v>
      </c>
      <c r="M117">
        <v>58.96</v>
      </c>
      <c r="N117">
        <v>117.11</v>
      </c>
      <c r="O117">
        <v>43.24</v>
      </c>
      <c r="P117">
        <v>164.52</v>
      </c>
      <c r="Q117">
        <v>25.52</v>
      </c>
      <c r="R117">
        <v>34905</v>
      </c>
    </row>
    <row r="118" spans="2:18" x14ac:dyDescent="0.35">
      <c r="B118" s="2">
        <v>45229</v>
      </c>
      <c r="C118">
        <v>38.119999999999997</v>
      </c>
      <c r="D118">
        <v>415.59</v>
      </c>
      <c r="E118">
        <v>185.1</v>
      </c>
      <c r="F118">
        <v>29.85</v>
      </c>
      <c r="G118">
        <v>349.2</v>
      </c>
      <c r="H118">
        <v>21.9</v>
      </c>
      <c r="I118">
        <v>76.05</v>
      </c>
      <c r="J118">
        <v>83.99</v>
      </c>
      <c r="K118">
        <v>56.04</v>
      </c>
      <c r="L118">
        <v>48.37</v>
      </c>
      <c r="M118">
        <v>58.25</v>
      </c>
      <c r="N118">
        <v>116.43</v>
      </c>
      <c r="O118">
        <v>43.33</v>
      </c>
      <c r="P118">
        <v>163.11000000000001</v>
      </c>
      <c r="Q118">
        <v>25.94</v>
      </c>
      <c r="R118">
        <v>34765</v>
      </c>
    </row>
    <row r="119" spans="2:18" x14ac:dyDescent="0.35">
      <c r="B119" s="2">
        <v>45226</v>
      </c>
      <c r="C119">
        <v>37.78</v>
      </c>
      <c r="D119">
        <v>410.68</v>
      </c>
      <c r="E119">
        <v>186.15</v>
      </c>
      <c r="F119">
        <v>29.97</v>
      </c>
      <c r="G119">
        <v>345.31</v>
      </c>
      <c r="H119">
        <v>22.05</v>
      </c>
      <c r="I119">
        <v>78.36</v>
      </c>
      <c r="J119">
        <v>84.37</v>
      </c>
      <c r="K119">
        <v>55.18</v>
      </c>
      <c r="L119">
        <v>47.86</v>
      </c>
      <c r="M119">
        <v>57.82</v>
      </c>
      <c r="N119">
        <v>115.01</v>
      </c>
      <c r="O119">
        <v>42.96</v>
      </c>
      <c r="P119">
        <v>162.21</v>
      </c>
      <c r="Q119">
        <v>25.67</v>
      </c>
      <c r="R119">
        <v>33955</v>
      </c>
    </row>
    <row r="120" spans="2:18" x14ac:dyDescent="0.35">
      <c r="B120" s="2">
        <v>45225</v>
      </c>
      <c r="C120">
        <v>37.74</v>
      </c>
      <c r="D120">
        <v>412.55</v>
      </c>
      <c r="E120">
        <v>184.01</v>
      </c>
      <c r="F120">
        <v>30.01</v>
      </c>
      <c r="G120">
        <v>343.66</v>
      </c>
      <c r="H120">
        <v>21.85</v>
      </c>
      <c r="I120">
        <v>76.89</v>
      </c>
      <c r="J120">
        <v>84.73</v>
      </c>
      <c r="K120">
        <v>55.57</v>
      </c>
      <c r="L120">
        <v>48.02</v>
      </c>
      <c r="M120">
        <v>57.34</v>
      </c>
      <c r="N120">
        <v>115.58</v>
      </c>
      <c r="O120">
        <v>42.73</v>
      </c>
      <c r="P120">
        <v>164.14</v>
      </c>
      <c r="Q120">
        <v>25.58</v>
      </c>
      <c r="R120">
        <v>34065</v>
      </c>
    </row>
    <row r="121" spans="2:18" x14ac:dyDescent="0.35">
      <c r="B121" s="2">
        <v>45224</v>
      </c>
      <c r="C121">
        <v>37.880000000000003</v>
      </c>
      <c r="D121">
        <v>417.55</v>
      </c>
      <c r="E121">
        <v>183.72</v>
      </c>
      <c r="F121">
        <v>29.94</v>
      </c>
      <c r="G121">
        <v>350.34</v>
      </c>
      <c r="H121">
        <v>21.81</v>
      </c>
      <c r="I121">
        <v>78.459999999999994</v>
      </c>
      <c r="J121">
        <v>83.45</v>
      </c>
      <c r="K121">
        <v>55.81</v>
      </c>
      <c r="L121">
        <v>48.41</v>
      </c>
      <c r="M121">
        <v>58.13</v>
      </c>
      <c r="N121">
        <v>116.77</v>
      </c>
      <c r="O121">
        <v>43.25</v>
      </c>
      <c r="P121">
        <v>163.72</v>
      </c>
      <c r="Q121">
        <v>25.53</v>
      </c>
      <c r="R121">
        <v>34840</v>
      </c>
    </row>
    <row r="122" spans="2:18" x14ac:dyDescent="0.35">
      <c r="B122" s="2">
        <v>45223</v>
      </c>
      <c r="C122">
        <v>38.29</v>
      </c>
      <c r="D122">
        <v>423.63</v>
      </c>
      <c r="E122">
        <v>182.95</v>
      </c>
      <c r="F122">
        <v>29.86</v>
      </c>
      <c r="G122">
        <v>359.13</v>
      </c>
      <c r="H122">
        <v>21.91</v>
      </c>
      <c r="I122">
        <v>76.930000000000007</v>
      </c>
      <c r="J122">
        <v>85.35</v>
      </c>
      <c r="K122">
        <v>56.31</v>
      </c>
      <c r="L122">
        <v>49</v>
      </c>
      <c r="M122">
        <v>58.36</v>
      </c>
      <c r="N122">
        <v>118.3</v>
      </c>
      <c r="O122">
        <v>43.75</v>
      </c>
      <c r="P122">
        <v>166.47</v>
      </c>
      <c r="Q122">
        <v>26.06</v>
      </c>
      <c r="R122">
        <v>33845</v>
      </c>
    </row>
    <row r="123" spans="2:18" x14ac:dyDescent="0.35">
      <c r="B123" s="2">
        <v>45222</v>
      </c>
      <c r="C123">
        <v>37.82</v>
      </c>
      <c r="D123">
        <v>420.46</v>
      </c>
      <c r="E123">
        <v>182.97</v>
      </c>
      <c r="F123">
        <v>29.69</v>
      </c>
      <c r="G123">
        <v>355.67</v>
      </c>
      <c r="H123">
        <v>21.93</v>
      </c>
      <c r="I123">
        <v>78.89</v>
      </c>
      <c r="J123">
        <v>84.24</v>
      </c>
      <c r="K123">
        <v>56.1</v>
      </c>
      <c r="L123">
        <v>48.66</v>
      </c>
      <c r="M123">
        <v>57.99</v>
      </c>
      <c r="N123">
        <v>117.5</v>
      </c>
      <c r="O123">
        <v>43.62</v>
      </c>
      <c r="P123">
        <v>165.03</v>
      </c>
      <c r="Q123">
        <v>25.25</v>
      </c>
      <c r="R123">
        <v>31485</v>
      </c>
    </row>
    <row r="124" spans="2:18" x14ac:dyDescent="0.35">
      <c r="B124" s="2">
        <v>45219</v>
      </c>
      <c r="C124">
        <v>37.9</v>
      </c>
      <c r="D124">
        <v>421.19</v>
      </c>
      <c r="E124">
        <v>183.59</v>
      </c>
      <c r="F124">
        <v>29.84</v>
      </c>
      <c r="G124">
        <v>354.6</v>
      </c>
      <c r="H124">
        <v>21.92</v>
      </c>
      <c r="I124">
        <v>80.7</v>
      </c>
      <c r="J124">
        <v>83.24</v>
      </c>
      <c r="K124">
        <v>55.98</v>
      </c>
      <c r="L124">
        <v>48.81</v>
      </c>
      <c r="M124">
        <v>58.13</v>
      </c>
      <c r="N124">
        <v>117.65</v>
      </c>
      <c r="O124">
        <v>43.98</v>
      </c>
      <c r="P124">
        <v>166.44</v>
      </c>
      <c r="Q124">
        <v>25.03</v>
      </c>
      <c r="R124">
        <v>29685</v>
      </c>
    </row>
    <row r="125" spans="2:18" x14ac:dyDescent="0.35">
      <c r="B125" s="2">
        <v>45218</v>
      </c>
      <c r="C125">
        <v>38.36</v>
      </c>
      <c r="D125">
        <v>426.43</v>
      </c>
      <c r="E125">
        <v>183.09</v>
      </c>
      <c r="F125">
        <v>29.83</v>
      </c>
      <c r="G125">
        <v>359.97</v>
      </c>
      <c r="H125">
        <v>21.97</v>
      </c>
      <c r="I125">
        <v>81.680000000000007</v>
      </c>
      <c r="J125">
        <v>82.77</v>
      </c>
      <c r="K125">
        <v>56.52</v>
      </c>
      <c r="L125">
        <v>49.32</v>
      </c>
      <c r="M125">
        <v>58.52</v>
      </c>
      <c r="N125">
        <v>118.98</v>
      </c>
      <c r="O125">
        <v>44.33</v>
      </c>
      <c r="P125">
        <v>168.62</v>
      </c>
      <c r="Q125">
        <v>25.56</v>
      </c>
      <c r="R125">
        <v>28900</v>
      </c>
    </row>
    <row r="126" spans="2:18" x14ac:dyDescent="0.35">
      <c r="B126" s="2">
        <v>45217</v>
      </c>
      <c r="C126">
        <v>38.5</v>
      </c>
      <c r="D126">
        <v>430.21</v>
      </c>
      <c r="E126">
        <v>180.87</v>
      </c>
      <c r="F126">
        <v>29.92</v>
      </c>
      <c r="G126">
        <v>363.37</v>
      </c>
      <c r="H126">
        <v>21.92</v>
      </c>
      <c r="I126">
        <v>79.84</v>
      </c>
      <c r="J126">
        <v>84.5</v>
      </c>
      <c r="K126">
        <v>56.99</v>
      </c>
      <c r="L126">
        <v>49.42</v>
      </c>
      <c r="M126">
        <v>58.95</v>
      </c>
      <c r="N126">
        <v>120.06</v>
      </c>
      <c r="O126">
        <v>44.22</v>
      </c>
      <c r="P126">
        <v>171.35</v>
      </c>
      <c r="Q126">
        <v>26.01</v>
      </c>
      <c r="R126">
        <v>28320</v>
      </c>
    </row>
    <row r="127" spans="2:18" x14ac:dyDescent="0.35">
      <c r="B127" s="2">
        <v>45216</v>
      </c>
      <c r="C127">
        <v>39.14</v>
      </c>
      <c r="D127">
        <v>436.02</v>
      </c>
      <c r="E127">
        <v>178.29</v>
      </c>
      <c r="F127">
        <v>29.81</v>
      </c>
      <c r="G127">
        <v>368.2</v>
      </c>
      <c r="H127">
        <v>21.86</v>
      </c>
      <c r="I127">
        <v>78.8</v>
      </c>
      <c r="J127">
        <v>85.25</v>
      </c>
      <c r="K127">
        <v>58.06</v>
      </c>
      <c r="L127">
        <v>50.13</v>
      </c>
      <c r="M127">
        <v>59.89</v>
      </c>
      <c r="N127">
        <v>121.84</v>
      </c>
      <c r="O127">
        <v>44.77</v>
      </c>
      <c r="P127">
        <v>174.95</v>
      </c>
      <c r="Q127">
        <v>26.45</v>
      </c>
      <c r="R127">
        <v>28620</v>
      </c>
    </row>
    <row r="128" spans="2:18" x14ac:dyDescent="0.35">
      <c r="B128" s="2">
        <v>45215</v>
      </c>
      <c r="C128">
        <v>39.31</v>
      </c>
      <c r="D128">
        <v>436.04</v>
      </c>
      <c r="E128">
        <v>177.96</v>
      </c>
      <c r="F128">
        <v>29.8</v>
      </c>
      <c r="G128">
        <v>369.41</v>
      </c>
      <c r="H128">
        <v>21.73</v>
      </c>
      <c r="I128">
        <v>78.39</v>
      </c>
      <c r="J128">
        <v>86.2</v>
      </c>
      <c r="K128">
        <v>58.12</v>
      </c>
      <c r="L128">
        <v>50.17</v>
      </c>
      <c r="M128">
        <v>59.77</v>
      </c>
      <c r="N128">
        <v>121.85</v>
      </c>
      <c r="O128">
        <v>44.76</v>
      </c>
      <c r="P128">
        <v>173.02</v>
      </c>
      <c r="Q128">
        <v>26.65</v>
      </c>
      <c r="R128">
        <v>28575</v>
      </c>
    </row>
    <row r="129" spans="2:18" x14ac:dyDescent="0.35">
      <c r="B129" s="2">
        <v>45212</v>
      </c>
      <c r="C129">
        <v>39.03</v>
      </c>
      <c r="D129">
        <v>431.5</v>
      </c>
      <c r="E129">
        <v>178.83</v>
      </c>
      <c r="F129">
        <v>29.93</v>
      </c>
      <c r="G129">
        <v>365.28</v>
      </c>
      <c r="H129">
        <v>21.71</v>
      </c>
      <c r="I129">
        <v>78.989999999999995</v>
      </c>
      <c r="J129">
        <v>87.61</v>
      </c>
      <c r="K129">
        <v>57.59</v>
      </c>
      <c r="L129">
        <v>49.67</v>
      </c>
      <c r="M129">
        <v>59.58</v>
      </c>
      <c r="N129">
        <v>120.68</v>
      </c>
      <c r="O129">
        <v>44.46</v>
      </c>
      <c r="P129">
        <v>170.27</v>
      </c>
      <c r="Q129">
        <v>26.48</v>
      </c>
      <c r="R129">
        <v>26840</v>
      </c>
    </row>
    <row r="130" spans="2:18" x14ac:dyDescent="0.35">
      <c r="B130" s="2">
        <v>45211</v>
      </c>
      <c r="C130">
        <v>39.18</v>
      </c>
      <c r="D130">
        <v>433.66</v>
      </c>
      <c r="E130">
        <v>173.26</v>
      </c>
      <c r="F130">
        <v>29.91</v>
      </c>
      <c r="G130">
        <v>369.93</v>
      </c>
      <c r="H130">
        <v>21.61</v>
      </c>
      <c r="I130">
        <v>75.42</v>
      </c>
      <c r="J130">
        <v>86.07</v>
      </c>
      <c r="K130">
        <v>58.12</v>
      </c>
      <c r="L130">
        <v>49.86</v>
      </c>
      <c r="M130">
        <v>60.33</v>
      </c>
      <c r="N130">
        <v>121.38</v>
      </c>
      <c r="O130">
        <v>44.32</v>
      </c>
      <c r="P130">
        <v>171.7</v>
      </c>
      <c r="Q130">
        <v>26.68</v>
      </c>
      <c r="R130">
        <v>26755</v>
      </c>
    </row>
    <row r="131" spans="2:18" x14ac:dyDescent="0.35">
      <c r="B131" s="2">
        <v>45210</v>
      </c>
      <c r="C131">
        <v>39.6</v>
      </c>
      <c r="D131">
        <v>436.32</v>
      </c>
      <c r="E131">
        <v>173.79</v>
      </c>
      <c r="F131">
        <v>29.66</v>
      </c>
      <c r="G131">
        <v>371.22</v>
      </c>
      <c r="H131">
        <v>21.41</v>
      </c>
      <c r="I131">
        <v>75.67</v>
      </c>
      <c r="J131">
        <v>88.47</v>
      </c>
      <c r="K131">
        <v>58.79</v>
      </c>
      <c r="L131">
        <v>50.27</v>
      </c>
      <c r="M131">
        <v>60.18</v>
      </c>
      <c r="N131">
        <v>122.32</v>
      </c>
      <c r="O131">
        <v>44.68</v>
      </c>
      <c r="P131">
        <v>175.67</v>
      </c>
      <c r="Q131">
        <v>27.15</v>
      </c>
      <c r="R131">
        <v>26800</v>
      </c>
    </row>
    <row r="132" spans="2:18" x14ac:dyDescent="0.35">
      <c r="B132" s="2">
        <v>45209</v>
      </c>
      <c r="C132">
        <v>39.479999999999997</v>
      </c>
      <c r="D132">
        <v>434.54</v>
      </c>
      <c r="E132">
        <v>172.53</v>
      </c>
      <c r="F132">
        <v>29.66</v>
      </c>
      <c r="G132">
        <v>368.59</v>
      </c>
      <c r="H132">
        <v>21.55</v>
      </c>
      <c r="I132">
        <v>76.709999999999994</v>
      </c>
      <c r="J132">
        <v>86.66</v>
      </c>
      <c r="K132">
        <v>58.4</v>
      </c>
      <c r="L132">
        <v>49.98</v>
      </c>
      <c r="M132">
        <v>60.33</v>
      </c>
      <c r="N132">
        <v>121.78</v>
      </c>
      <c r="O132">
        <v>44.59</v>
      </c>
      <c r="P132">
        <v>175.97</v>
      </c>
      <c r="Q132">
        <v>26.89</v>
      </c>
      <c r="R132">
        <v>27490</v>
      </c>
    </row>
    <row r="133" spans="2:18" x14ac:dyDescent="0.35">
      <c r="B133" s="2">
        <v>45208</v>
      </c>
      <c r="C133">
        <v>38.86</v>
      </c>
      <c r="D133">
        <v>432.29</v>
      </c>
      <c r="E133">
        <v>172.82</v>
      </c>
      <c r="F133">
        <v>29.73</v>
      </c>
      <c r="G133">
        <v>366.56</v>
      </c>
      <c r="H133">
        <v>21.57</v>
      </c>
      <c r="I133">
        <v>77.13</v>
      </c>
      <c r="J133">
        <v>86.78</v>
      </c>
      <c r="K133">
        <v>57.5</v>
      </c>
      <c r="L133">
        <v>49.37</v>
      </c>
      <c r="M133">
        <v>59.55</v>
      </c>
      <c r="N133">
        <v>120.79</v>
      </c>
      <c r="O133">
        <v>44.09</v>
      </c>
      <c r="P133">
        <v>174</v>
      </c>
      <c r="Q133">
        <v>26.22</v>
      </c>
      <c r="R133">
        <v>27735</v>
      </c>
    </row>
    <row r="134" spans="2:18" x14ac:dyDescent="0.35">
      <c r="B134" s="2">
        <v>45205</v>
      </c>
      <c r="C134">
        <v>39.1</v>
      </c>
      <c r="D134">
        <v>429.54</v>
      </c>
      <c r="E134">
        <v>169.7</v>
      </c>
      <c r="F134">
        <v>29.74</v>
      </c>
      <c r="G134">
        <v>364.7</v>
      </c>
      <c r="H134">
        <v>21.58</v>
      </c>
      <c r="I134">
        <v>74.16</v>
      </c>
      <c r="J134">
        <v>84.79</v>
      </c>
      <c r="K134">
        <v>57.68</v>
      </c>
      <c r="L134">
        <v>49.68</v>
      </c>
      <c r="M134">
        <v>59.38</v>
      </c>
      <c r="N134">
        <v>120.25</v>
      </c>
      <c r="O134">
        <v>44.58</v>
      </c>
      <c r="P134">
        <v>173</v>
      </c>
      <c r="Q134">
        <v>26.23</v>
      </c>
      <c r="R134">
        <v>28145</v>
      </c>
    </row>
    <row r="135" spans="2:18" x14ac:dyDescent="0.35">
      <c r="B135" s="2">
        <v>45204</v>
      </c>
      <c r="C135">
        <v>38.57</v>
      </c>
      <c r="D135">
        <v>424.5</v>
      </c>
      <c r="E135">
        <v>168.83</v>
      </c>
      <c r="F135">
        <v>29.8</v>
      </c>
      <c r="G135">
        <v>358.69</v>
      </c>
      <c r="H135">
        <v>21.44</v>
      </c>
      <c r="I135">
        <v>73.989999999999995</v>
      </c>
      <c r="J135">
        <v>85.83</v>
      </c>
      <c r="K135">
        <v>56.94</v>
      </c>
      <c r="L135">
        <v>49.15</v>
      </c>
      <c r="M135">
        <v>59.23</v>
      </c>
      <c r="N135">
        <v>118.88</v>
      </c>
      <c r="O135">
        <v>44.16</v>
      </c>
      <c r="P135">
        <v>171.35</v>
      </c>
      <c r="Q135">
        <v>25.69</v>
      </c>
      <c r="R135">
        <v>27605</v>
      </c>
    </row>
    <row r="136" spans="2:18" x14ac:dyDescent="0.35">
      <c r="B136" s="2">
        <v>45203</v>
      </c>
      <c r="C136">
        <v>38.409999999999997</v>
      </c>
      <c r="D136">
        <v>424.66</v>
      </c>
      <c r="E136">
        <v>169.14</v>
      </c>
      <c r="F136">
        <v>29.9</v>
      </c>
      <c r="G136">
        <v>359.75</v>
      </c>
      <c r="H136">
        <v>21.32</v>
      </c>
      <c r="I136">
        <v>75.59</v>
      </c>
      <c r="J136">
        <v>86.26</v>
      </c>
      <c r="K136">
        <v>56.61</v>
      </c>
      <c r="L136">
        <v>48.99</v>
      </c>
      <c r="M136">
        <v>58.09</v>
      </c>
      <c r="N136">
        <v>118.63</v>
      </c>
      <c r="O136">
        <v>43.87</v>
      </c>
      <c r="P136">
        <v>171.22</v>
      </c>
      <c r="Q136">
        <v>25.53</v>
      </c>
      <c r="R136">
        <v>27775</v>
      </c>
    </row>
    <row r="137" spans="2:18" x14ac:dyDescent="0.35">
      <c r="B137" s="2">
        <v>45202</v>
      </c>
      <c r="C137">
        <v>38.57</v>
      </c>
      <c r="D137">
        <v>421.59</v>
      </c>
      <c r="E137">
        <v>169.16</v>
      </c>
      <c r="F137">
        <v>29.99</v>
      </c>
      <c r="G137">
        <v>354.92</v>
      </c>
      <c r="H137">
        <v>21.37</v>
      </c>
      <c r="I137">
        <v>79.930000000000007</v>
      </c>
      <c r="J137">
        <v>85.06</v>
      </c>
      <c r="K137">
        <v>56.33</v>
      </c>
      <c r="L137">
        <v>49.06</v>
      </c>
      <c r="M137">
        <v>58.73</v>
      </c>
      <c r="N137">
        <v>117.94</v>
      </c>
      <c r="O137">
        <v>43.95</v>
      </c>
      <c r="P137">
        <v>171.14</v>
      </c>
      <c r="Q137">
        <v>25.75</v>
      </c>
      <c r="R137">
        <v>27385</v>
      </c>
    </row>
    <row r="138" spans="2:18" x14ac:dyDescent="0.35">
      <c r="B138" s="2">
        <v>45201</v>
      </c>
      <c r="C138">
        <v>39.07</v>
      </c>
      <c r="D138">
        <v>427.31</v>
      </c>
      <c r="E138">
        <v>169.65</v>
      </c>
      <c r="F138">
        <v>29.96</v>
      </c>
      <c r="G138">
        <v>361.26</v>
      </c>
      <c r="H138">
        <v>21.58</v>
      </c>
      <c r="I138">
        <v>79.39</v>
      </c>
      <c r="J138">
        <v>86.93</v>
      </c>
      <c r="K138">
        <v>56.94</v>
      </c>
      <c r="L138">
        <v>49.59</v>
      </c>
      <c r="M138">
        <v>59.77</v>
      </c>
      <c r="N138">
        <v>119.51</v>
      </c>
      <c r="O138">
        <v>44.21</v>
      </c>
      <c r="P138">
        <v>174.07</v>
      </c>
      <c r="Q138">
        <v>26.37</v>
      </c>
      <c r="R138">
        <v>28150</v>
      </c>
    </row>
    <row r="139" spans="2:18" x14ac:dyDescent="0.35">
      <c r="B139" s="2">
        <v>45198</v>
      </c>
      <c r="C139">
        <v>39.21</v>
      </c>
      <c r="D139">
        <v>427.48</v>
      </c>
      <c r="E139">
        <v>171.45</v>
      </c>
      <c r="F139">
        <v>29.73</v>
      </c>
      <c r="G139">
        <v>358.27</v>
      </c>
      <c r="H139">
        <v>21.41</v>
      </c>
      <c r="I139">
        <v>80.86</v>
      </c>
      <c r="J139">
        <v>88.69</v>
      </c>
      <c r="K139">
        <v>57.93</v>
      </c>
      <c r="L139">
        <v>49.83</v>
      </c>
      <c r="M139">
        <v>60.29</v>
      </c>
      <c r="N139">
        <v>120.17</v>
      </c>
      <c r="O139">
        <v>44.22</v>
      </c>
      <c r="P139">
        <v>176.74</v>
      </c>
      <c r="Q139">
        <v>26.53</v>
      </c>
      <c r="R139">
        <v>27100</v>
      </c>
    </row>
    <row r="140" spans="2:18" x14ac:dyDescent="0.35">
      <c r="B140" s="2">
        <v>45197</v>
      </c>
      <c r="C140">
        <v>39.17</v>
      </c>
      <c r="D140">
        <v>428.52</v>
      </c>
      <c r="E140">
        <v>173.23</v>
      </c>
      <c r="F140">
        <v>29.71</v>
      </c>
      <c r="G140">
        <v>358.01</v>
      </c>
      <c r="H140">
        <v>21.8</v>
      </c>
      <c r="I140">
        <v>81.569999999999993</v>
      </c>
      <c r="J140">
        <v>88.68</v>
      </c>
      <c r="K140">
        <v>57.85</v>
      </c>
      <c r="L140">
        <v>49.93</v>
      </c>
      <c r="M140">
        <v>61.15</v>
      </c>
      <c r="N140">
        <v>120.52</v>
      </c>
      <c r="O140">
        <v>44.25</v>
      </c>
      <c r="P140">
        <v>177.58</v>
      </c>
      <c r="Q140">
        <v>26.26</v>
      </c>
      <c r="R140">
        <v>27120</v>
      </c>
    </row>
    <row r="141" spans="2:18" x14ac:dyDescent="0.35">
      <c r="B141" s="2">
        <v>45196</v>
      </c>
      <c r="C141">
        <v>39.090000000000003</v>
      </c>
      <c r="D141">
        <v>426.05</v>
      </c>
      <c r="E141">
        <v>174.1</v>
      </c>
      <c r="F141">
        <v>29.87</v>
      </c>
      <c r="G141">
        <v>355.04</v>
      </c>
      <c r="H141">
        <v>21.61</v>
      </c>
      <c r="I141">
        <v>82.9</v>
      </c>
      <c r="J141">
        <v>88.41</v>
      </c>
      <c r="K141">
        <v>57.29</v>
      </c>
      <c r="L141">
        <v>49.7</v>
      </c>
      <c r="M141">
        <v>61.03</v>
      </c>
      <c r="N141">
        <v>119.58</v>
      </c>
      <c r="O141">
        <v>44.59</v>
      </c>
      <c r="P141">
        <v>175.99</v>
      </c>
      <c r="Q141">
        <v>26.41</v>
      </c>
      <c r="R141">
        <v>26250</v>
      </c>
    </row>
    <row r="142" spans="2:18" x14ac:dyDescent="0.35">
      <c r="B142" s="2">
        <v>45195</v>
      </c>
      <c r="C142">
        <v>39.04</v>
      </c>
      <c r="D142">
        <v>425.88</v>
      </c>
      <c r="E142">
        <v>176.28</v>
      </c>
      <c r="F142">
        <v>29.73</v>
      </c>
      <c r="G142">
        <v>354.21</v>
      </c>
      <c r="H142">
        <v>21.67</v>
      </c>
      <c r="I142">
        <v>80.88</v>
      </c>
      <c r="J142">
        <v>88.87</v>
      </c>
      <c r="K142">
        <v>57.54</v>
      </c>
      <c r="L142">
        <v>49.68</v>
      </c>
      <c r="M142">
        <v>60.77</v>
      </c>
      <c r="N142">
        <v>119.67</v>
      </c>
      <c r="O142">
        <v>44.32</v>
      </c>
      <c r="P142">
        <v>174.36</v>
      </c>
      <c r="Q142">
        <v>26.35</v>
      </c>
      <c r="R142">
        <v>26245</v>
      </c>
    </row>
    <row r="143" spans="2:18" x14ac:dyDescent="0.35">
      <c r="B143" s="2">
        <v>45194</v>
      </c>
      <c r="C143">
        <v>39.5</v>
      </c>
      <c r="D143">
        <v>432.23</v>
      </c>
      <c r="E143">
        <v>177.7</v>
      </c>
      <c r="F143">
        <v>29.64</v>
      </c>
      <c r="G143">
        <v>359.61</v>
      </c>
      <c r="H143">
        <v>21.75</v>
      </c>
      <c r="I143">
        <v>80.39</v>
      </c>
      <c r="J143">
        <v>89.18</v>
      </c>
      <c r="K143">
        <v>58.27</v>
      </c>
      <c r="L143">
        <v>50.41</v>
      </c>
      <c r="M143">
        <v>61.72</v>
      </c>
      <c r="N143">
        <v>121.39</v>
      </c>
      <c r="O143">
        <v>44.63</v>
      </c>
      <c r="P143">
        <v>177.46</v>
      </c>
      <c r="Q143">
        <v>26.72</v>
      </c>
      <c r="R143">
        <v>26355</v>
      </c>
    </row>
    <row r="144" spans="2:18" x14ac:dyDescent="0.35">
      <c r="B144" s="2">
        <v>45191</v>
      </c>
      <c r="C144">
        <v>39.65</v>
      </c>
      <c r="D144">
        <v>430.42</v>
      </c>
      <c r="E144">
        <v>178.62</v>
      </c>
      <c r="F144">
        <v>29.53</v>
      </c>
      <c r="G144">
        <v>357.91</v>
      </c>
      <c r="H144">
        <v>21.86</v>
      </c>
      <c r="I144">
        <v>80.63</v>
      </c>
      <c r="J144">
        <v>91.43</v>
      </c>
      <c r="K144">
        <v>58.67</v>
      </c>
      <c r="L144">
        <v>50.41</v>
      </c>
      <c r="M144">
        <v>61.8</v>
      </c>
      <c r="N144">
        <v>121.17</v>
      </c>
      <c r="O144">
        <v>44.48</v>
      </c>
      <c r="P144">
        <v>176.67</v>
      </c>
      <c r="Q144">
        <v>27.14</v>
      </c>
      <c r="R144">
        <v>26545</v>
      </c>
    </row>
    <row r="145" spans="2:18" x14ac:dyDescent="0.35">
      <c r="B145" s="2">
        <v>45190</v>
      </c>
      <c r="C145">
        <v>39.19</v>
      </c>
      <c r="D145">
        <v>431.39</v>
      </c>
      <c r="E145">
        <v>178.05</v>
      </c>
      <c r="F145">
        <v>29.46</v>
      </c>
      <c r="G145">
        <v>357.86</v>
      </c>
      <c r="H145">
        <v>21.9</v>
      </c>
      <c r="I145">
        <v>80.41</v>
      </c>
      <c r="J145">
        <v>90.7</v>
      </c>
      <c r="K145">
        <v>58.8</v>
      </c>
      <c r="L145">
        <v>50.25</v>
      </c>
      <c r="M145">
        <v>61.63</v>
      </c>
      <c r="N145">
        <v>121.36</v>
      </c>
      <c r="O145">
        <v>44.45</v>
      </c>
      <c r="P145">
        <v>177.07</v>
      </c>
      <c r="Q145">
        <v>26.21</v>
      </c>
      <c r="R145">
        <v>26635</v>
      </c>
    </row>
    <row r="146" spans="2:18" x14ac:dyDescent="0.35">
      <c r="B146" s="2">
        <v>45189</v>
      </c>
      <c r="C146">
        <v>39.83</v>
      </c>
      <c r="D146">
        <v>438.64</v>
      </c>
      <c r="E146">
        <v>179.35</v>
      </c>
      <c r="F146">
        <v>29.44</v>
      </c>
      <c r="G146">
        <v>364.54</v>
      </c>
      <c r="H146">
        <v>22.21</v>
      </c>
      <c r="I146">
        <v>80.14</v>
      </c>
      <c r="J146">
        <v>93.09</v>
      </c>
      <c r="K146">
        <v>59.66</v>
      </c>
      <c r="L146">
        <v>51.07</v>
      </c>
      <c r="M146">
        <v>62.6</v>
      </c>
      <c r="N146">
        <v>123.43</v>
      </c>
      <c r="O146">
        <v>44.88</v>
      </c>
      <c r="P146">
        <v>179.86</v>
      </c>
      <c r="Q146">
        <v>26.79</v>
      </c>
      <c r="R146">
        <v>26990</v>
      </c>
    </row>
    <row r="147" spans="2:18" x14ac:dyDescent="0.35">
      <c r="B147" s="2">
        <v>45188</v>
      </c>
      <c r="C147">
        <v>39.950000000000003</v>
      </c>
      <c r="D147">
        <v>442.71</v>
      </c>
      <c r="E147">
        <v>179.22</v>
      </c>
      <c r="F147">
        <v>29.39</v>
      </c>
      <c r="G147">
        <v>369.87</v>
      </c>
      <c r="H147">
        <v>22.27</v>
      </c>
      <c r="I147">
        <v>81.5</v>
      </c>
      <c r="J147">
        <v>92.8</v>
      </c>
      <c r="K147">
        <v>59.55</v>
      </c>
      <c r="L147">
        <v>51.19</v>
      </c>
      <c r="M147">
        <v>63.45</v>
      </c>
      <c r="N147">
        <v>124.34</v>
      </c>
      <c r="O147">
        <v>45</v>
      </c>
      <c r="P147">
        <v>181.68</v>
      </c>
      <c r="Q147">
        <v>26.98</v>
      </c>
      <c r="R147">
        <v>27270</v>
      </c>
    </row>
    <row r="148" spans="2:18" x14ac:dyDescent="0.35">
      <c r="B148" s="2">
        <v>45187</v>
      </c>
      <c r="C148">
        <v>40.15</v>
      </c>
      <c r="D148">
        <v>443.63</v>
      </c>
      <c r="E148">
        <v>179.39</v>
      </c>
      <c r="F148">
        <v>29.37</v>
      </c>
      <c r="G148">
        <v>370.66</v>
      </c>
      <c r="H148">
        <v>22.18</v>
      </c>
      <c r="I148">
        <v>81.45</v>
      </c>
      <c r="J148">
        <v>93.49</v>
      </c>
      <c r="K148">
        <v>59.51</v>
      </c>
      <c r="L148">
        <v>51.47</v>
      </c>
      <c r="M148">
        <v>63.14</v>
      </c>
      <c r="N148">
        <v>124.52</v>
      </c>
      <c r="O148">
        <v>45.17</v>
      </c>
      <c r="P148">
        <v>182.39</v>
      </c>
      <c r="Q148">
        <v>27.05</v>
      </c>
      <c r="R148">
        <v>26885</v>
      </c>
    </row>
    <row r="149" spans="2:18" x14ac:dyDescent="0.35">
      <c r="B149" s="2">
        <v>45184</v>
      </c>
      <c r="C149">
        <v>40.54</v>
      </c>
      <c r="D149">
        <v>443.37</v>
      </c>
      <c r="E149">
        <v>178.34</v>
      </c>
      <c r="F149">
        <v>29.42</v>
      </c>
      <c r="G149">
        <v>370.81</v>
      </c>
      <c r="H149">
        <v>22.34</v>
      </c>
      <c r="I149">
        <v>81.290000000000006</v>
      </c>
      <c r="J149">
        <v>92.96</v>
      </c>
      <c r="K149">
        <v>60.19</v>
      </c>
      <c r="L149">
        <v>51.5</v>
      </c>
      <c r="M149">
        <v>62.99</v>
      </c>
      <c r="N149">
        <v>124.62</v>
      </c>
      <c r="O149">
        <v>45.12</v>
      </c>
      <c r="P149">
        <v>183.61</v>
      </c>
      <c r="Q149">
        <v>27.18</v>
      </c>
      <c r="R149">
        <v>26475</v>
      </c>
    </row>
    <row r="150" spans="2:18" x14ac:dyDescent="0.35">
      <c r="B150" s="2">
        <v>45183</v>
      </c>
      <c r="C150">
        <v>40.75</v>
      </c>
      <c r="D150">
        <v>450.36</v>
      </c>
      <c r="E150">
        <v>177.17</v>
      </c>
      <c r="F150">
        <v>29.44</v>
      </c>
      <c r="G150">
        <v>377.27</v>
      </c>
      <c r="H150">
        <v>22.21</v>
      </c>
      <c r="I150">
        <v>81.12</v>
      </c>
      <c r="J150">
        <v>93.53</v>
      </c>
      <c r="K150">
        <v>60.28</v>
      </c>
      <c r="L150">
        <v>51.72</v>
      </c>
      <c r="M150">
        <v>63.34</v>
      </c>
      <c r="N150">
        <v>125.72</v>
      </c>
      <c r="O150">
        <v>45.244999999999997</v>
      </c>
      <c r="P150">
        <v>185.55</v>
      </c>
      <c r="Q150">
        <v>27.3</v>
      </c>
      <c r="R150">
        <v>26765</v>
      </c>
    </row>
    <row r="151" spans="2:18" x14ac:dyDescent="0.35">
      <c r="B151" s="2">
        <v>45182</v>
      </c>
      <c r="C151">
        <v>40.51</v>
      </c>
      <c r="D151">
        <v>446.51</v>
      </c>
      <c r="E151">
        <v>177.08</v>
      </c>
      <c r="F151">
        <v>29.26</v>
      </c>
      <c r="G151">
        <v>374.21</v>
      </c>
      <c r="H151">
        <v>22.11</v>
      </c>
      <c r="I151">
        <v>79.680000000000007</v>
      </c>
      <c r="J151">
        <v>94.21</v>
      </c>
      <c r="K151">
        <v>59.57</v>
      </c>
      <c r="L151">
        <v>51.32</v>
      </c>
      <c r="M151">
        <v>62.28</v>
      </c>
      <c r="N151">
        <v>124.52</v>
      </c>
      <c r="O151">
        <v>45.11</v>
      </c>
      <c r="P151">
        <v>182.97</v>
      </c>
      <c r="Q151">
        <v>27.07</v>
      </c>
      <c r="R151">
        <v>26205</v>
      </c>
    </row>
    <row r="152" spans="2:18" x14ac:dyDescent="0.35">
      <c r="B152" s="2">
        <v>45181</v>
      </c>
      <c r="C152">
        <v>40.549999999999997</v>
      </c>
      <c r="D152">
        <v>445.99</v>
      </c>
      <c r="E152">
        <v>177.49</v>
      </c>
      <c r="F152">
        <v>29.24</v>
      </c>
      <c r="G152">
        <v>372.79</v>
      </c>
      <c r="H152">
        <v>22.04</v>
      </c>
      <c r="I152">
        <v>79.7</v>
      </c>
      <c r="J152">
        <v>94.23</v>
      </c>
      <c r="K152">
        <v>59.82</v>
      </c>
      <c r="L152">
        <v>51.24</v>
      </c>
      <c r="M152">
        <v>62.31</v>
      </c>
      <c r="N152">
        <v>124.48</v>
      </c>
      <c r="O152">
        <v>45.06</v>
      </c>
      <c r="P152">
        <v>184.18</v>
      </c>
      <c r="Q152">
        <v>27.3</v>
      </c>
      <c r="R152">
        <v>26125</v>
      </c>
    </row>
    <row r="153" spans="2:18" x14ac:dyDescent="0.35">
      <c r="B153" s="2">
        <v>45180</v>
      </c>
      <c r="C153">
        <v>40.659999999999997</v>
      </c>
      <c r="D153">
        <v>448.45</v>
      </c>
      <c r="E153">
        <v>178.41</v>
      </c>
      <c r="F153">
        <v>29.19</v>
      </c>
      <c r="G153">
        <v>376.97</v>
      </c>
      <c r="H153">
        <v>22.01</v>
      </c>
      <c r="I153">
        <v>78.37</v>
      </c>
      <c r="J153">
        <v>93.69</v>
      </c>
      <c r="K153">
        <v>60.21</v>
      </c>
      <c r="L153">
        <v>51.49</v>
      </c>
      <c r="M153">
        <v>62.32</v>
      </c>
      <c r="N153">
        <v>125.09</v>
      </c>
      <c r="O153">
        <v>45.46</v>
      </c>
      <c r="P153">
        <v>184.36</v>
      </c>
      <c r="Q153">
        <v>27.24</v>
      </c>
      <c r="R153">
        <v>25030</v>
      </c>
    </row>
    <row r="154" spans="2:18" x14ac:dyDescent="0.35">
      <c r="B154" s="2">
        <v>45177</v>
      </c>
      <c r="C154">
        <v>40.200000000000003</v>
      </c>
      <c r="D154">
        <v>445.52</v>
      </c>
      <c r="E154">
        <v>178.08</v>
      </c>
      <c r="F154">
        <v>29.33</v>
      </c>
      <c r="G154">
        <v>372.58</v>
      </c>
      <c r="H154">
        <v>21.85</v>
      </c>
      <c r="I154">
        <v>78.3</v>
      </c>
      <c r="J154">
        <v>94.37</v>
      </c>
      <c r="K154">
        <v>59.59</v>
      </c>
      <c r="L154">
        <v>50.95</v>
      </c>
      <c r="M154">
        <v>61.61</v>
      </c>
      <c r="N154">
        <v>124.12</v>
      </c>
      <c r="O154">
        <v>45.02</v>
      </c>
      <c r="P154">
        <v>183.92</v>
      </c>
      <c r="Q154">
        <v>26.88</v>
      </c>
      <c r="R154">
        <v>26005</v>
      </c>
    </row>
    <row r="155" spans="2:18" x14ac:dyDescent="0.35">
      <c r="B155" s="2">
        <v>45176</v>
      </c>
      <c r="C155">
        <v>40.119999999999997</v>
      </c>
      <c r="D155">
        <v>444.85</v>
      </c>
      <c r="E155">
        <v>178.02</v>
      </c>
      <c r="F155">
        <v>29.3</v>
      </c>
      <c r="G155">
        <v>372.06</v>
      </c>
      <c r="H155">
        <v>21.9</v>
      </c>
      <c r="I155">
        <v>77.95</v>
      </c>
      <c r="J155">
        <v>94.01</v>
      </c>
      <c r="K155">
        <v>59.5</v>
      </c>
      <c r="L155">
        <v>50.74</v>
      </c>
      <c r="M155">
        <v>62.23</v>
      </c>
      <c r="N155">
        <v>124.09</v>
      </c>
      <c r="O155">
        <v>44.55</v>
      </c>
      <c r="P155">
        <v>184.33</v>
      </c>
      <c r="Q155">
        <v>26.92</v>
      </c>
      <c r="R155">
        <v>25980</v>
      </c>
    </row>
    <row r="156" spans="2:18" x14ac:dyDescent="0.35">
      <c r="B156" s="2">
        <v>45175</v>
      </c>
      <c r="C156">
        <v>40.54</v>
      </c>
      <c r="D156">
        <v>446.22</v>
      </c>
      <c r="E156">
        <v>177.83</v>
      </c>
      <c r="F156">
        <v>29.23</v>
      </c>
      <c r="G156">
        <v>374.74</v>
      </c>
      <c r="H156">
        <v>21.94</v>
      </c>
      <c r="I156">
        <v>78.52</v>
      </c>
      <c r="J156">
        <v>93.75</v>
      </c>
      <c r="K156">
        <v>59.76</v>
      </c>
      <c r="L156">
        <v>50.98</v>
      </c>
      <c r="M156">
        <v>62.23</v>
      </c>
      <c r="N156">
        <v>124.45</v>
      </c>
      <c r="O156">
        <v>44.17</v>
      </c>
      <c r="P156">
        <v>186.13</v>
      </c>
      <c r="Q156">
        <v>27.71</v>
      </c>
      <c r="R156">
        <v>25705</v>
      </c>
    </row>
    <row r="157" spans="2:18" x14ac:dyDescent="0.35">
      <c r="B157" s="2">
        <v>45174</v>
      </c>
      <c r="C157">
        <v>40.729999999999997</v>
      </c>
      <c r="D157">
        <v>449.24</v>
      </c>
      <c r="E157">
        <v>178.64</v>
      </c>
      <c r="F157">
        <v>29.22</v>
      </c>
      <c r="G157">
        <v>378.07</v>
      </c>
      <c r="H157">
        <v>21.92</v>
      </c>
      <c r="I157">
        <v>77.760000000000005</v>
      </c>
      <c r="J157">
        <v>93.52</v>
      </c>
      <c r="K157">
        <v>59.98</v>
      </c>
      <c r="L157">
        <v>51.36</v>
      </c>
      <c r="M157">
        <v>62.07</v>
      </c>
      <c r="N157">
        <v>125.21</v>
      </c>
      <c r="O157">
        <v>44.35</v>
      </c>
      <c r="P157">
        <v>186.83</v>
      </c>
      <c r="Q157">
        <v>27.63</v>
      </c>
      <c r="R157">
        <v>25735</v>
      </c>
    </row>
    <row r="158" spans="2:18" x14ac:dyDescent="0.35">
      <c r="B158" s="2">
        <v>45170</v>
      </c>
      <c r="C158">
        <v>40.97</v>
      </c>
      <c r="D158">
        <v>451.19</v>
      </c>
      <c r="E158">
        <v>180.11</v>
      </c>
      <c r="F158">
        <v>29.07</v>
      </c>
      <c r="G158">
        <v>377.59</v>
      </c>
      <c r="H158">
        <v>21.78</v>
      </c>
      <c r="I158">
        <v>76.92</v>
      </c>
      <c r="J158">
        <v>94.85</v>
      </c>
      <c r="K158">
        <v>60.71</v>
      </c>
      <c r="L158">
        <v>51.64</v>
      </c>
      <c r="M158">
        <v>62.04</v>
      </c>
      <c r="N158">
        <v>125.91</v>
      </c>
      <c r="O158">
        <v>44.24</v>
      </c>
      <c r="P158">
        <v>190.85</v>
      </c>
      <c r="Q158">
        <v>28.04</v>
      </c>
      <c r="R158">
        <v>25700</v>
      </c>
    </row>
    <row r="159" spans="2:18" x14ac:dyDescent="0.35">
      <c r="B159" s="2">
        <v>45169</v>
      </c>
      <c r="C159">
        <v>40.53</v>
      </c>
      <c r="D159">
        <v>450.35</v>
      </c>
      <c r="E159">
        <v>180.02</v>
      </c>
      <c r="F159">
        <v>28.89</v>
      </c>
      <c r="G159">
        <v>377.99</v>
      </c>
      <c r="H159">
        <v>21.74</v>
      </c>
      <c r="I159">
        <v>75.06</v>
      </c>
      <c r="J159">
        <v>96.64</v>
      </c>
      <c r="K159">
        <v>60.92</v>
      </c>
      <c r="L159">
        <v>51.27</v>
      </c>
      <c r="M159">
        <v>61.64</v>
      </c>
      <c r="N159">
        <v>125.7</v>
      </c>
      <c r="O159">
        <v>43.97</v>
      </c>
      <c r="P159">
        <v>188.61</v>
      </c>
      <c r="Q159">
        <v>27.4</v>
      </c>
      <c r="R159">
        <v>26240</v>
      </c>
    </row>
    <row r="160" spans="2:18" x14ac:dyDescent="0.35">
      <c r="B160" s="2">
        <v>45168</v>
      </c>
      <c r="C160">
        <v>41.02</v>
      </c>
      <c r="D160">
        <v>451.01</v>
      </c>
      <c r="E160">
        <v>180.32</v>
      </c>
      <c r="F160">
        <v>28.75</v>
      </c>
      <c r="G160">
        <v>376.86</v>
      </c>
      <c r="H160">
        <v>21.85</v>
      </c>
      <c r="I160">
        <v>73.66</v>
      </c>
      <c r="J160">
        <v>96.21</v>
      </c>
      <c r="K160">
        <v>61.47</v>
      </c>
      <c r="L160">
        <v>51.93</v>
      </c>
      <c r="M160">
        <v>60.99</v>
      </c>
      <c r="N160">
        <v>125.89</v>
      </c>
      <c r="O160">
        <v>44.13</v>
      </c>
      <c r="P160">
        <v>188.94</v>
      </c>
      <c r="Q160">
        <v>27.76</v>
      </c>
      <c r="R160">
        <v>27260</v>
      </c>
    </row>
    <row r="161" spans="2:18" x14ac:dyDescent="0.35">
      <c r="B161" s="2">
        <v>45167</v>
      </c>
      <c r="C161">
        <v>41.17</v>
      </c>
      <c r="D161">
        <v>449.16</v>
      </c>
      <c r="E161">
        <v>179.87</v>
      </c>
      <c r="F161">
        <v>28.8</v>
      </c>
      <c r="G161">
        <v>374.77</v>
      </c>
      <c r="H161">
        <v>21.8</v>
      </c>
      <c r="I161">
        <v>73.319999999999993</v>
      </c>
      <c r="J161">
        <v>96.31</v>
      </c>
      <c r="K161">
        <v>61.5</v>
      </c>
      <c r="L161">
        <v>52.11</v>
      </c>
      <c r="M161">
        <v>61.1</v>
      </c>
      <c r="N161">
        <v>125.4</v>
      </c>
      <c r="O161">
        <v>44.19</v>
      </c>
      <c r="P161">
        <v>188.23</v>
      </c>
      <c r="Q161">
        <v>27.95</v>
      </c>
      <c r="R161">
        <v>28010</v>
      </c>
    </row>
    <row r="162" spans="2:18" x14ac:dyDescent="0.35">
      <c r="B162" s="2">
        <v>45166</v>
      </c>
      <c r="C162">
        <v>40.630000000000003</v>
      </c>
      <c r="D162">
        <v>442.76</v>
      </c>
      <c r="E162">
        <v>178.13</v>
      </c>
      <c r="F162">
        <v>28.96</v>
      </c>
      <c r="G162">
        <v>366.76</v>
      </c>
      <c r="H162">
        <v>21.83</v>
      </c>
      <c r="I162">
        <v>72.41</v>
      </c>
      <c r="J162">
        <v>95.32</v>
      </c>
      <c r="K162">
        <v>60.64</v>
      </c>
      <c r="L162">
        <v>51.67</v>
      </c>
      <c r="M162">
        <v>60.68</v>
      </c>
      <c r="N162">
        <v>123.64</v>
      </c>
      <c r="O162">
        <v>43.88</v>
      </c>
      <c r="P162">
        <v>185.64</v>
      </c>
      <c r="Q162">
        <v>27.41</v>
      </c>
      <c r="R162">
        <v>26090</v>
      </c>
    </row>
    <row r="163" spans="2:18" x14ac:dyDescent="0.35">
      <c r="B163" s="2">
        <v>45163</v>
      </c>
      <c r="C163">
        <v>40.229999999999997</v>
      </c>
      <c r="D163">
        <v>439.97</v>
      </c>
      <c r="E163">
        <v>177.62</v>
      </c>
      <c r="F163">
        <v>29.01</v>
      </c>
      <c r="G163">
        <v>364.02</v>
      </c>
      <c r="H163">
        <v>21.62</v>
      </c>
      <c r="I163">
        <v>72.45</v>
      </c>
      <c r="J163">
        <v>95.22</v>
      </c>
      <c r="K163">
        <v>60.01</v>
      </c>
      <c r="L163">
        <v>51.37</v>
      </c>
      <c r="M163">
        <v>59.97</v>
      </c>
      <c r="N163">
        <v>122.7</v>
      </c>
      <c r="O163">
        <v>43.76</v>
      </c>
      <c r="P163">
        <v>184</v>
      </c>
      <c r="Q163">
        <v>26.77</v>
      </c>
      <c r="R163">
        <v>26003.360000000001</v>
      </c>
    </row>
    <row r="164" spans="2:18" x14ac:dyDescent="0.35">
      <c r="B164" s="2">
        <v>45162</v>
      </c>
      <c r="C164">
        <v>40.26</v>
      </c>
      <c r="D164">
        <v>436.89</v>
      </c>
      <c r="E164">
        <v>177.85</v>
      </c>
      <c r="F164">
        <v>28.97</v>
      </c>
      <c r="G164">
        <v>361.22</v>
      </c>
      <c r="H164">
        <v>21.56</v>
      </c>
      <c r="I164">
        <v>71.41</v>
      </c>
      <c r="J164">
        <v>94.91</v>
      </c>
      <c r="K164">
        <v>59.58</v>
      </c>
      <c r="L164">
        <v>51.3</v>
      </c>
      <c r="M164">
        <v>59.66</v>
      </c>
      <c r="N164">
        <v>121.87</v>
      </c>
      <c r="O164">
        <v>43.77</v>
      </c>
      <c r="P164">
        <v>183.22</v>
      </c>
      <c r="Q164">
        <v>26.82</v>
      </c>
      <c r="R164">
        <v>25995</v>
      </c>
    </row>
    <row r="165" spans="2:18" x14ac:dyDescent="0.35">
      <c r="B165" s="2">
        <v>45161</v>
      </c>
      <c r="C165">
        <v>40.43</v>
      </c>
      <c r="D165">
        <v>443.03</v>
      </c>
      <c r="E165">
        <v>177.89</v>
      </c>
      <c r="F165">
        <v>28.74</v>
      </c>
      <c r="G165">
        <v>369.11</v>
      </c>
      <c r="H165">
        <v>21.38</v>
      </c>
      <c r="I165">
        <v>71.36</v>
      </c>
      <c r="J165">
        <v>95.54</v>
      </c>
      <c r="K165">
        <v>60.42</v>
      </c>
      <c r="L165">
        <v>51.6</v>
      </c>
      <c r="M165">
        <v>60.45</v>
      </c>
      <c r="N165">
        <v>123.51</v>
      </c>
      <c r="O165">
        <v>44.19</v>
      </c>
      <c r="P165">
        <v>185.79</v>
      </c>
      <c r="Q165">
        <v>26.7</v>
      </c>
      <c r="R165">
        <v>26640</v>
      </c>
    </row>
    <row r="166" spans="2:18" x14ac:dyDescent="0.35">
      <c r="B166" s="2">
        <v>45160</v>
      </c>
      <c r="C166">
        <v>39.840000000000003</v>
      </c>
      <c r="D166">
        <v>438.15</v>
      </c>
      <c r="E166">
        <v>176.1</v>
      </c>
      <c r="F166">
        <v>28.84</v>
      </c>
      <c r="G166">
        <v>363.38</v>
      </c>
      <c r="H166">
        <v>21.16</v>
      </c>
      <c r="I166">
        <v>72.28</v>
      </c>
      <c r="J166">
        <v>93.23</v>
      </c>
      <c r="K166">
        <v>59.92</v>
      </c>
      <c r="L166">
        <v>50.77</v>
      </c>
      <c r="M166">
        <v>59.66</v>
      </c>
      <c r="N166">
        <v>122.21</v>
      </c>
      <c r="O166">
        <v>43.51</v>
      </c>
      <c r="P166">
        <v>183.83</v>
      </c>
      <c r="Q166">
        <v>26.14</v>
      </c>
      <c r="R166">
        <v>25730</v>
      </c>
    </row>
    <row r="167" spans="2:18" x14ac:dyDescent="0.35">
      <c r="B167" s="2">
        <v>45159</v>
      </c>
      <c r="C167">
        <v>39.909999999999997</v>
      </c>
      <c r="D167">
        <v>439.34</v>
      </c>
      <c r="E167">
        <v>175.81</v>
      </c>
      <c r="F167">
        <v>28.74</v>
      </c>
      <c r="G167">
        <v>363.9</v>
      </c>
      <c r="H167">
        <v>21.29</v>
      </c>
      <c r="I167">
        <v>72.58</v>
      </c>
      <c r="J167">
        <v>92.52</v>
      </c>
      <c r="K167">
        <v>60.14</v>
      </c>
      <c r="L167">
        <v>50.86</v>
      </c>
      <c r="M167">
        <v>59.37</v>
      </c>
      <c r="N167">
        <v>122.57</v>
      </c>
      <c r="O167">
        <v>43.6</v>
      </c>
      <c r="P167">
        <v>184.38</v>
      </c>
      <c r="Q167">
        <v>26.15</v>
      </c>
      <c r="R167">
        <v>26065</v>
      </c>
    </row>
    <row r="168" spans="2:18" x14ac:dyDescent="0.35">
      <c r="B168" s="2">
        <v>45156</v>
      </c>
      <c r="C168">
        <v>39.82</v>
      </c>
      <c r="D168">
        <v>436.5</v>
      </c>
      <c r="E168">
        <v>175.33</v>
      </c>
      <c r="F168">
        <v>28.77</v>
      </c>
      <c r="G168">
        <v>358.13</v>
      </c>
      <c r="H168">
        <v>21.35</v>
      </c>
      <c r="I168">
        <v>72.790000000000006</v>
      </c>
      <c r="J168">
        <v>93.77</v>
      </c>
      <c r="K168">
        <v>59.8</v>
      </c>
      <c r="L168">
        <v>50.66</v>
      </c>
      <c r="M168">
        <v>59.32</v>
      </c>
      <c r="N168">
        <v>121.82</v>
      </c>
      <c r="O168">
        <v>43.33</v>
      </c>
      <c r="P168">
        <v>184.65</v>
      </c>
      <c r="Q168">
        <v>26.19</v>
      </c>
      <c r="R168">
        <v>26020</v>
      </c>
    </row>
    <row r="169" spans="2:18" x14ac:dyDescent="0.35">
      <c r="B169" s="2">
        <v>45155</v>
      </c>
      <c r="C169">
        <v>40.07</v>
      </c>
      <c r="D169">
        <v>436.29</v>
      </c>
      <c r="E169">
        <v>175.3</v>
      </c>
      <c r="F169">
        <v>28.75</v>
      </c>
      <c r="G169">
        <v>358.58</v>
      </c>
      <c r="H169">
        <v>21.18</v>
      </c>
      <c r="I169">
        <v>71.98</v>
      </c>
      <c r="J169">
        <v>93.44</v>
      </c>
      <c r="K169">
        <v>59.9</v>
      </c>
      <c r="L169">
        <v>50.64</v>
      </c>
      <c r="M169">
        <v>59.17</v>
      </c>
      <c r="N169">
        <v>121.85</v>
      </c>
      <c r="O169">
        <v>43.2</v>
      </c>
      <c r="P169">
        <v>183.65</v>
      </c>
      <c r="Q169">
        <v>26.85</v>
      </c>
      <c r="R169">
        <v>27850</v>
      </c>
    </row>
    <row r="170" spans="2:18" x14ac:dyDescent="0.35">
      <c r="B170" s="2">
        <v>45154</v>
      </c>
      <c r="C170">
        <v>39.94</v>
      </c>
      <c r="D170">
        <v>439.64</v>
      </c>
      <c r="E170">
        <v>175.57</v>
      </c>
      <c r="F170">
        <v>28.76</v>
      </c>
      <c r="G170">
        <v>362.54</v>
      </c>
      <c r="H170">
        <v>21.19</v>
      </c>
      <c r="I170">
        <v>71.37</v>
      </c>
      <c r="J170">
        <v>93.84</v>
      </c>
      <c r="K170">
        <v>60.42</v>
      </c>
      <c r="L170">
        <v>50.65</v>
      </c>
      <c r="M170">
        <v>59.42</v>
      </c>
      <c r="N170">
        <v>122.7</v>
      </c>
      <c r="O170">
        <v>43.36</v>
      </c>
      <c r="P170">
        <v>185.84</v>
      </c>
      <c r="Q170">
        <v>26.65</v>
      </c>
      <c r="R170">
        <v>29130</v>
      </c>
    </row>
    <row r="171" spans="2:18" x14ac:dyDescent="0.35">
      <c r="B171" s="2">
        <v>45153</v>
      </c>
      <c r="C171">
        <v>40.21</v>
      </c>
      <c r="D171">
        <v>442.89</v>
      </c>
      <c r="E171">
        <v>176.59</v>
      </c>
      <c r="F171">
        <v>28.68</v>
      </c>
      <c r="G171">
        <v>366.42</v>
      </c>
      <c r="H171">
        <v>21.08</v>
      </c>
      <c r="I171">
        <v>72.62</v>
      </c>
      <c r="J171">
        <v>94.58</v>
      </c>
      <c r="K171">
        <v>60.79</v>
      </c>
      <c r="L171">
        <v>50.93</v>
      </c>
      <c r="M171">
        <v>60.17</v>
      </c>
      <c r="N171">
        <v>123.68</v>
      </c>
      <c r="O171">
        <v>43.23</v>
      </c>
      <c r="P171">
        <v>188.14</v>
      </c>
      <c r="Q171">
        <v>27.21</v>
      </c>
      <c r="R171">
        <v>29225</v>
      </c>
    </row>
    <row r="172" spans="2:18" x14ac:dyDescent="0.35">
      <c r="B172" s="2">
        <v>45152</v>
      </c>
      <c r="C172">
        <v>40.64</v>
      </c>
      <c r="D172">
        <v>448.11</v>
      </c>
      <c r="E172">
        <v>177.06</v>
      </c>
      <c r="F172">
        <v>28.67</v>
      </c>
      <c r="G172">
        <v>370.35</v>
      </c>
      <c r="H172">
        <v>21.25</v>
      </c>
      <c r="I172">
        <v>73.81</v>
      </c>
      <c r="J172">
        <v>95.16</v>
      </c>
      <c r="K172">
        <v>61.58</v>
      </c>
      <c r="L172">
        <v>51.4</v>
      </c>
      <c r="M172">
        <v>60.82</v>
      </c>
      <c r="N172">
        <v>125.17</v>
      </c>
      <c r="O172">
        <v>43.47</v>
      </c>
      <c r="P172">
        <v>190.66</v>
      </c>
      <c r="Q172">
        <v>27.66</v>
      </c>
      <c r="R172">
        <v>29395</v>
      </c>
    </row>
    <row r="173" spans="2:18" x14ac:dyDescent="0.35">
      <c r="B173" s="2">
        <v>45149</v>
      </c>
      <c r="C173">
        <v>40.83</v>
      </c>
      <c r="D173">
        <v>445.65</v>
      </c>
      <c r="E173">
        <v>177.6</v>
      </c>
      <c r="F173">
        <v>28.57</v>
      </c>
      <c r="G173">
        <v>366.24</v>
      </c>
      <c r="H173">
        <v>21.41</v>
      </c>
      <c r="I173">
        <v>74.25</v>
      </c>
      <c r="J173">
        <v>95.37</v>
      </c>
      <c r="K173">
        <v>61.7</v>
      </c>
      <c r="L173">
        <v>51.58</v>
      </c>
      <c r="M173">
        <v>61.37</v>
      </c>
      <c r="N173">
        <v>124.87</v>
      </c>
      <c r="O173">
        <v>43.62</v>
      </c>
      <c r="P173">
        <v>190.99</v>
      </c>
      <c r="Q173">
        <v>27.92</v>
      </c>
      <c r="R173">
        <v>29465</v>
      </c>
    </row>
    <row r="174" spans="2:18" x14ac:dyDescent="0.35">
      <c r="B174" s="2">
        <v>45148</v>
      </c>
      <c r="C174">
        <v>41.43</v>
      </c>
      <c r="D174">
        <v>445.91</v>
      </c>
      <c r="E174">
        <v>177.6</v>
      </c>
      <c r="F174">
        <v>28.51</v>
      </c>
      <c r="G174">
        <v>368.59</v>
      </c>
      <c r="H174">
        <v>21.41</v>
      </c>
      <c r="I174">
        <v>74.2</v>
      </c>
      <c r="J174">
        <v>95.59</v>
      </c>
      <c r="K174">
        <v>62.23</v>
      </c>
      <c r="L174">
        <v>52.05</v>
      </c>
      <c r="M174">
        <v>61.47</v>
      </c>
      <c r="N174">
        <v>125.17</v>
      </c>
      <c r="O174">
        <v>43.87</v>
      </c>
      <c r="P174">
        <v>190.72</v>
      </c>
      <c r="Q174">
        <v>28.83</v>
      </c>
      <c r="R174">
        <v>29495</v>
      </c>
    </row>
    <row r="175" spans="2:18" x14ac:dyDescent="0.35">
      <c r="B175" s="2">
        <v>45147</v>
      </c>
      <c r="C175">
        <v>41.35</v>
      </c>
      <c r="D175">
        <v>445.75</v>
      </c>
      <c r="E175">
        <v>177.79</v>
      </c>
      <c r="F175">
        <v>28.46</v>
      </c>
      <c r="G175">
        <v>367.91</v>
      </c>
      <c r="H175">
        <v>21.39</v>
      </c>
      <c r="I175">
        <v>75.099999999999994</v>
      </c>
      <c r="J175">
        <v>97.19</v>
      </c>
      <c r="K175">
        <v>61.99</v>
      </c>
      <c r="L175">
        <v>52.12</v>
      </c>
      <c r="M175">
        <v>61.21</v>
      </c>
      <c r="N175">
        <v>125.01</v>
      </c>
      <c r="O175">
        <v>43.94</v>
      </c>
      <c r="P175">
        <v>191.57</v>
      </c>
      <c r="Q175">
        <v>28.6</v>
      </c>
      <c r="R175">
        <v>29510</v>
      </c>
    </row>
    <row r="176" spans="2:18" x14ac:dyDescent="0.35">
      <c r="B176" s="2">
        <v>45146</v>
      </c>
      <c r="C176">
        <v>41.28</v>
      </c>
      <c r="D176">
        <v>448.75</v>
      </c>
      <c r="E176">
        <v>178.64</v>
      </c>
      <c r="F176">
        <v>28.44</v>
      </c>
      <c r="G176">
        <v>372</v>
      </c>
      <c r="H176">
        <v>21.43</v>
      </c>
      <c r="I176">
        <v>74.06</v>
      </c>
      <c r="J176">
        <v>96.69</v>
      </c>
      <c r="K176">
        <v>61.85</v>
      </c>
      <c r="L176">
        <v>51.94</v>
      </c>
      <c r="M176">
        <v>61.75</v>
      </c>
      <c r="N176">
        <v>125.65</v>
      </c>
      <c r="O176">
        <v>43.93</v>
      </c>
      <c r="P176">
        <v>193.08</v>
      </c>
      <c r="Q176">
        <v>28.48</v>
      </c>
      <c r="R176">
        <v>30075</v>
      </c>
    </row>
    <row r="177" spans="2:18" x14ac:dyDescent="0.35">
      <c r="B177" s="2">
        <v>45145</v>
      </c>
      <c r="C177">
        <v>41.71</v>
      </c>
      <c r="D177">
        <v>450.71</v>
      </c>
      <c r="E177">
        <v>179.78</v>
      </c>
      <c r="F177">
        <v>28.31</v>
      </c>
      <c r="G177">
        <v>375.19</v>
      </c>
      <c r="H177">
        <v>21.59</v>
      </c>
      <c r="I177">
        <v>73.819999999999993</v>
      </c>
      <c r="J177">
        <v>95.58</v>
      </c>
      <c r="K177">
        <v>62.18</v>
      </c>
      <c r="L177">
        <v>52.53</v>
      </c>
      <c r="M177">
        <v>62.3</v>
      </c>
      <c r="N177">
        <v>126.29</v>
      </c>
      <c r="O177">
        <v>44.19</v>
      </c>
      <c r="P177">
        <v>194.3</v>
      </c>
      <c r="Q177">
        <v>29.02</v>
      </c>
      <c r="R177">
        <v>29255</v>
      </c>
    </row>
    <row r="178" spans="2:18" x14ac:dyDescent="0.35">
      <c r="B178" s="2">
        <v>45142</v>
      </c>
      <c r="C178">
        <v>41.78</v>
      </c>
      <c r="D178">
        <v>446.81</v>
      </c>
      <c r="E178">
        <v>180.19</v>
      </c>
      <c r="F178">
        <v>28.29</v>
      </c>
      <c r="G178">
        <v>372.04</v>
      </c>
      <c r="H178">
        <v>21.64</v>
      </c>
      <c r="I178">
        <v>73.790000000000006</v>
      </c>
      <c r="J178">
        <v>96.53</v>
      </c>
      <c r="K178">
        <v>61.59</v>
      </c>
      <c r="L178">
        <v>52.41</v>
      </c>
      <c r="M178">
        <v>61.78</v>
      </c>
      <c r="N178">
        <v>125.22</v>
      </c>
      <c r="O178">
        <v>44.03</v>
      </c>
      <c r="P178">
        <v>194.17</v>
      </c>
      <c r="Q178">
        <v>29.13</v>
      </c>
      <c r="R178">
        <v>29090</v>
      </c>
    </row>
    <row r="179" spans="2:18" x14ac:dyDescent="0.35">
      <c r="B179" s="2">
        <v>45141</v>
      </c>
      <c r="C179">
        <v>41.73</v>
      </c>
      <c r="D179">
        <v>448.84</v>
      </c>
      <c r="E179">
        <v>179.54</v>
      </c>
      <c r="F179">
        <v>28.43</v>
      </c>
      <c r="G179">
        <v>373.79</v>
      </c>
      <c r="H179">
        <v>21.62</v>
      </c>
      <c r="I179">
        <v>73.14</v>
      </c>
      <c r="J179">
        <v>94.85</v>
      </c>
      <c r="K179">
        <v>61.48</v>
      </c>
      <c r="L179">
        <v>52.25</v>
      </c>
      <c r="M179">
        <v>61.19</v>
      </c>
      <c r="N179">
        <v>125.52</v>
      </c>
      <c r="O179">
        <v>43.6</v>
      </c>
      <c r="P179">
        <v>194.56</v>
      </c>
      <c r="Q179">
        <v>29.55</v>
      </c>
      <c r="R179">
        <v>29410</v>
      </c>
    </row>
    <row r="180" spans="2:18" x14ac:dyDescent="0.35">
      <c r="B180" s="2">
        <v>45140</v>
      </c>
      <c r="C180">
        <v>41.55</v>
      </c>
      <c r="D180">
        <v>450.13</v>
      </c>
      <c r="E180">
        <v>179.6</v>
      </c>
      <c r="F180">
        <v>28.45</v>
      </c>
      <c r="G180">
        <v>374.39</v>
      </c>
      <c r="H180">
        <v>21.79</v>
      </c>
      <c r="I180">
        <v>71.48</v>
      </c>
      <c r="J180">
        <v>97.09</v>
      </c>
      <c r="K180">
        <v>61.65</v>
      </c>
      <c r="L180">
        <v>52.5</v>
      </c>
      <c r="M180">
        <v>61.49</v>
      </c>
      <c r="N180">
        <v>125.9</v>
      </c>
      <c r="O180">
        <v>43.71</v>
      </c>
      <c r="P180">
        <v>195.11</v>
      </c>
      <c r="Q180">
        <v>28.77</v>
      </c>
      <c r="R180">
        <v>29280</v>
      </c>
    </row>
    <row r="181" spans="2:18" x14ac:dyDescent="0.35">
      <c r="B181" s="2">
        <v>45139</v>
      </c>
      <c r="C181">
        <v>42.47</v>
      </c>
      <c r="D181">
        <v>456.48</v>
      </c>
      <c r="E181">
        <v>180.46</v>
      </c>
      <c r="F181">
        <v>28.35</v>
      </c>
      <c r="G181">
        <v>382.79</v>
      </c>
      <c r="H181">
        <v>21.96</v>
      </c>
      <c r="I181">
        <v>72.959999999999994</v>
      </c>
      <c r="J181">
        <v>98.14</v>
      </c>
      <c r="K181">
        <v>62.79</v>
      </c>
      <c r="L181">
        <v>53.65</v>
      </c>
      <c r="M181">
        <v>62.67</v>
      </c>
      <c r="N181">
        <v>127.91</v>
      </c>
      <c r="O181">
        <v>44.48</v>
      </c>
      <c r="P181">
        <v>197.8</v>
      </c>
      <c r="Q181">
        <v>29.68</v>
      </c>
      <c r="R181">
        <v>29440</v>
      </c>
    </row>
    <row r="182" spans="2:18" x14ac:dyDescent="0.35">
      <c r="B182" s="2">
        <v>45138</v>
      </c>
      <c r="C182">
        <v>43.07</v>
      </c>
      <c r="D182">
        <v>457.79</v>
      </c>
      <c r="E182">
        <v>182.35</v>
      </c>
      <c r="F182">
        <v>28.22</v>
      </c>
      <c r="G182">
        <v>383.68</v>
      </c>
      <c r="H182">
        <v>21.93</v>
      </c>
      <c r="I182">
        <v>73.17</v>
      </c>
      <c r="J182">
        <v>100.05</v>
      </c>
      <c r="K182">
        <v>63.49</v>
      </c>
      <c r="L182">
        <v>54.06</v>
      </c>
      <c r="M182">
        <v>63.42</v>
      </c>
      <c r="N182">
        <v>128.54</v>
      </c>
      <c r="O182">
        <v>44.76</v>
      </c>
      <c r="P182">
        <v>198.71</v>
      </c>
      <c r="Q182">
        <v>30.42</v>
      </c>
      <c r="R182">
        <v>29285</v>
      </c>
    </row>
    <row r="183" spans="2:18" x14ac:dyDescent="0.35">
      <c r="B183" s="2">
        <v>45135</v>
      </c>
      <c r="C183">
        <v>43.02</v>
      </c>
      <c r="D183">
        <v>456.92</v>
      </c>
      <c r="E183">
        <v>181.86</v>
      </c>
      <c r="F183">
        <v>28.17</v>
      </c>
      <c r="G183">
        <v>383.48</v>
      </c>
      <c r="H183">
        <v>21.99</v>
      </c>
      <c r="I183">
        <v>72.09</v>
      </c>
      <c r="J183">
        <v>99.81</v>
      </c>
      <c r="K183">
        <v>63.51</v>
      </c>
      <c r="L183">
        <v>54.19</v>
      </c>
      <c r="M183">
        <v>63.7</v>
      </c>
      <c r="N183">
        <v>128.44</v>
      </c>
      <c r="O183">
        <v>44.5</v>
      </c>
      <c r="P183">
        <v>196.43</v>
      </c>
      <c r="Q183">
        <v>30.08</v>
      </c>
      <c r="R183">
        <v>29397.08</v>
      </c>
    </row>
    <row r="184" spans="2:18" x14ac:dyDescent="0.35">
      <c r="B184" s="2">
        <v>45134</v>
      </c>
      <c r="C184">
        <v>42</v>
      </c>
      <c r="D184">
        <v>452.49</v>
      </c>
      <c r="E184">
        <v>180.42</v>
      </c>
      <c r="F184">
        <v>28.21</v>
      </c>
      <c r="G184">
        <v>376.62</v>
      </c>
      <c r="H184">
        <v>22.11</v>
      </c>
      <c r="I184">
        <v>71.430000000000007</v>
      </c>
      <c r="J184">
        <v>99.3</v>
      </c>
      <c r="K184">
        <v>62.97</v>
      </c>
      <c r="L184">
        <v>53.58</v>
      </c>
      <c r="M184">
        <v>63.34</v>
      </c>
      <c r="N184">
        <v>127.22</v>
      </c>
      <c r="O184">
        <v>44.23</v>
      </c>
      <c r="P184">
        <v>193.92</v>
      </c>
      <c r="Q184">
        <v>28.5</v>
      </c>
      <c r="R184">
        <v>29115</v>
      </c>
    </row>
    <row r="185" spans="2:18" x14ac:dyDescent="0.35">
      <c r="B185" s="2">
        <v>45133</v>
      </c>
      <c r="C185">
        <v>42.47</v>
      </c>
      <c r="D185">
        <v>455.51</v>
      </c>
      <c r="E185">
        <v>183.3</v>
      </c>
      <c r="F185">
        <v>27.95</v>
      </c>
      <c r="G185">
        <v>377.52</v>
      </c>
      <c r="H185">
        <v>22.31</v>
      </c>
      <c r="I185">
        <v>70.66</v>
      </c>
      <c r="J185">
        <v>101.27</v>
      </c>
      <c r="K185">
        <v>63.34</v>
      </c>
      <c r="L185">
        <v>54.23</v>
      </c>
      <c r="M185">
        <v>62.83</v>
      </c>
      <c r="N185">
        <v>128.01</v>
      </c>
      <c r="O185">
        <v>44.68</v>
      </c>
      <c r="P185">
        <v>196.46</v>
      </c>
      <c r="Q185">
        <v>28.97</v>
      </c>
      <c r="R185">
        <v>29395</v>
      </c>
    </row>
    <row r="186" spans="2:18" x14ac:dyDescent="0.35">
      <c r="B186" s="2">
        <v>45132</v>
      </c>
      <c r="C186">
        <v>42.21</v>
      </c>
      <c r="D186">
        <v>455.44</v>
      </c>
      <c r="E186">
        <v>182.41</v>
      </c>
      <c r="F186">
        <v>28.03</v>
      </c>
      <c r="G186">
        <v>378.78</v>
      </c>
      <c r="H186">
        <v>22.36</v>
      </c>
      <c r="I186">
        <v>71.16</v>
      </c>
      <c r="J186">
        <v>101.17</v>
      </c>
      <c r="K186">
        <v>63.22</v>
      </c>
      <c r="L186">
        <v>54.07</v>
      </c>
      <c r="M186">
        <v>62.58</v>
      </c>
      <c r="N186">
        <v>127.92</v>
      </c>
      <c r="O186">
        <v>44.51</v>
      </c>
      <c r="P186">
        <v>194.92</v>
      </c>
      <c r="Q186">
        <v>28.56</v>
      </c>
      <c r="R186">
        <v>29180</v>
      </c>
    </row>
    <row r="187" spans="2:18" x14ac:dyDescent="0.35">
      <c r="B187" s="2">
        <v>45131</v>
      </c>
      <c r="C187">
        <v>41.89</v>
      </c>
      <c r="D187">
        <v>454.2</v>
      </c>
      <c r="E187">
        <v>181.4</v>
      </c>
      <c r="F187">
        <v>28.06</v>
      </c>
      <c r="G187">
        <v>376.23</v>
      </c>
      <c r="H187">
        <v>22.35</v>
      </c>
      <c r="I187">
        <v>70.69</v>
      </c>
      <c r="J187">
        <v>101.36</v>
      </c>
      <c r="K187">
        <v>63.1</v>
      </c>
      <c r="L187">
        <v>53.75</v>
      </c>
      <c r="M187">
        <v>62.5</v>
      </c>
      <c r="N187">
        <v>127.59</v>
      </c>
      <c r="O187">
        <v>44.53</v>
      </c>
      <c r="P187">
        <v>194.94</v>
      </c>
      <c r="Q187">
        <v>28.21</v>
      </c>
      <c r="R187">
        <v>29105</v>
      </c>
    </row>
    <row r="188" spans="2:18" x14ac:dyDescent="0.35">
      <c r="B188" s="2">
        <v>45128</v>
      </c>
      <c r="C188">
        <v>41.34</v>
      </c>
      <c r="D188">
        <v>452.18</v>
      </c>
      <c r="E188">
        <v>182.18</v>
      </c>
      <c r="F188">
        <v>27.96</v>
      </c>
      <c r="G188">
        <v>375.63</v>
      </c>
      <c r="H188">
        <v>22.01</v>
      </c>
      <c r="I188">
        <v>68.989999999999995</v>
      </c>
      <c r="J188">
        <v>101.73</v>
      </c>
      <c r="K188">
        <v>63.42</v>
      </c>
      <c r="L188">
        <v>53.21</v>
      </c>
      <c r="M188">
        <v>62.41</v>
      </c>
      <c r="N188">
        <v>127.4</v>
      </c>
      <c r="O188">
        <v>44.36</v>
      </c>
      <c r="P188">
        <v>194.46</v>
      </c>
      <c r="Q188">
        <v>27.62</v>
      </c>
      <c r="R188">
        <v>29885</v>
      </c>
    </row>
    <row r="189" spans="2:18" x14ac:dyDescent="0.35">
      <c r="B189" s="2">
        <v>45127</v>
      </c>
      <c r="C189">
        <v>41.36</v>
      </c>
      <c r="D189">
        <v>452.18</v>
      </c>
      <c r="E189">
        <v>182.74</v>
      </c>
      <c r="F189">
        <v>27.88</v>
      </c>
      <c r="G189">
        <v>376.76</v>
      </c>
      <c r="H189">
        <v>22.05</v>
      </c>
      <c r="I189">
        <v>68.05</v>
      </c>
      <c r="J189">
        <v>101.7</v>
      </c>
      <c r="K189">
        <v>63.2</v>
      </c>
      <c r="L189">
        <v>53.28</v>
      </c>
      <c r="M189">
        <v>62.48</v>
      </c>
      <c r="N189">
        <v>127.33</v>
      </c>
      <c r="O189">
        <v>44.55</v>
      </c>
      <c r="P189">
        <v>195.08</v>
      </c>
      <c r="Q189">
        <v>27.6</v>
      </c>
      <c r="R189">
        <v>29765</v>
      </c>
    </row>
    <row r="190" spans="2:18" x14ac:dyDescent="0.35">
      <c r="B190" s="2">
        <v>45126</v>
      </c>
      <c r="C190">
        <v>41.62</v>
      </c>
      <c r="D190">
        <v>455.2</v>
      </c>
      <c r="E190">
        <v>183.67</v>
      </c>
      <c r="F190">
        <v>27.72</v>
      </c>
      <c r="G190">
        <v>385.65</v>
      </c>
      <c r="H190">
        <v>22</v>
      </c>
      <c r="I190">
        <v>67.69</v>
      </c>
      <c r="J190">
        <v>102.95</v>
      </c>
      <c r="K190">
        <v>63.44</v>
      </c>
      <c r="L190">
        <v>53.67</v>
      </c>
      <c r="M190">
        <v>63.32</v>
      </c>
      <c r="N190">
        <v>128.1</v>
      </c>
      <c r="O190">
        <v>44.65</v>
      </c>
      <c r="P190">
        <v>196.8</v>
      </c>
      <c r="Q190">
        <v>27.7</v>
      </c>
      <c r="R190">
        <v>30105</v>
      </c>
    </row>
    <row r="191" spans="2:18" x14ac:dyDescent="0.35">
      <c r="B191" s="2">
        <v>45125</v>
      </c>
      <c r="C191">
        <v>41.68</v>
      </c>
      <c r="D191">
        <v>454.19</v>
      </c>
      <c r="E191">
        <v>183.64</v>
      </c>
      <c r="F191">
        <v>27.61</v>
      </c>
      <c r="G191">
        <v>385.74</v>
      </c>
      <c r="H191">
        <v>21.74</v>
      </c>
      <c r="I191">
        <v>67.959999999999994</v>
      </c>
      <c r="J191">
        <v>101.8</v>
      </c>
      <c r="K191">
        <v>63.45</v>
      </c>
      <c r="L191">
        <v>53.88</v>
      </c>
      <c r="M191">
        <v>63.31</v>
      </c>
      <c r="N191">
        <v>127.93</v>
      </c>
      <c r="O191">
        <v>44.53</v>
      </c>
      <c r="P191">
        <v>195.97</v>
      </c>
      <c r="Q191">
        <v>27.52</v>
      </c>
      <c r="R191">
        <v>29785</v>
      </c>
    </row>
    <row r="192" spans="2:18" x14ac:dyDescent="0.35">
      <c r="B192" s="2">
        <v>45124</v>
      </c>
      <c r="C192">
        <v>41.98</v>
      </c>
      <c r="D192">
        <v>450.84</v>
      </c>
      <c r="E192">
        <v>181.56</v>
      </c>
      <c r="F192">
        <v>27.59</v>
      </c>
      <c r="G192">
        <v>382.61</v>
      </c>
      <c r="H192">
        <v>21.44</v>
      </c>
      <c r="I192">
        <v>66.58</v>
      </c>
      <c r="J192">
        <v>101.34</v>
      </c>
      <c r="K192">
        <v>63.08</v>
      </c>
      <c r="L192">
        <v>53.95</v>
      </c>
      <c r="M192">
        <v>62.45</v>
      </c>
      <c r="N192">
        <v>126.92</v>
      </c>
      <c r="O192">
        <v>44.56</v>
      </c>
      <c r="P192">
        <v>193.58</v>
      </c>
      <c r="Q192">
        <v>28.15</v>
      </c>
      <c r="R192">
        <v>29990</v>
      </c>
    </row>
    <row r="193" spans="2:18" x14ac:dyDescent="0.35">
      <c r="B193" s="2">
        <v>45121</v>
      </c>
      <c r="C193">
        <v>41.93</v>
      </c>
      <c r="D193">
        <v>449.28</v>
      </c>
      <c r="E193">
        <v>181.43</v>
      </c>
      <c r="F193">
        <v>27.62</v>
      </c>
      <c r="G193">
        <v>379.07</v>
      </c>
      <c r="H193">
        <v>21.59</v>
      </c>
      <c r="I193">
        <v>67.47</v>
      </c>
      <c r="J193">
        <v>101.29</v>
      </c>
      <c r="K193">
        <v>63.17</v>
      </c>
      <c r="L193">
        <v>53.69</v>
      </c>
      <c r="M193">
        <v>62.42</v>
      </c>
      <c r="N193">
        <v>126.64</v>
      </c>
      <c r="O193">
        <v>44.26</v>
      </c>
      <c r="P193">
        <v>191.53</v>
      </c>
      <c r="Q193">
        <v>28.29</v>
      </c>
      <c r="R193">
        <v>30235</v>
      </c>
    </row>
    <row r="194" spans="2:18" x14ac:dyDescent="0.35">
      <c r="B194" s="2">
        <v>45120</v>
      </c>
      <c r="C194">
        <v>42.19</v>
      </c>
      <c r="D194">
        <v>449.56</v>
      </c>
      <c r="E194">
        <v>182.01</v>
      </c>
      <c r="F194">
        <v>27.57</v>
      </c>
      <c r="G194">
        <v>379.15</v>
      </c>
      <c r="H194">
        <v>21.35</v>
      </c>
      <c r="I194">
        <v>69.09</v>
      </c>
      <c r="J194">
        <v>101.89</v>
      </c>
      <c r="K194">
        <v>63.47</v>
      </c>
      <c r="L194">
        <v>53.77</v>
      </c>
      <c r="M194">
        <v>63.18</v>
      </c>
      <c r="N194">
        <v>126.98</v>
      </c>
      <c r="O194">
        <v>44.17</v>
      </c>
      <c r="P194">
        <v>193.42</v>
      </c>
      <c r="Q194">
        <v>28.8</v>
      </c>
      <c r="R194">
        <v>31925</v>
      </c>
    </row>
    <row r="195" spans="2:18" x14ac:dyDescent="0.35">
      <c r="B195" s="2">
        <v>45119</v>
      </c>
      <c r="C195">
        <v>41.73</v>
      </c>
      <c r="D195">
        <v>446.02</v>
      </c>
      <c r="E195">
        <v>181.88</v>
      </c>
      <c r="F195">
        <v>27.76</v>
      </c>
      <c r="G195">
        <v>372.82</v>
      </c>
      <c r="H195">
        <v>21.21</v>
      </c>
      <c r="I195">
        <v>67.87</v>
      </c>
      <c r="J195">
        <v>100.83</v>
      </c>
      <c r="K195">
        <v>62.49</v>
      </c>
      <c r="L195">
        <v>53.26</v>
      </c>
      <c r="M195">
        <v>62.25</v>
      </c>
      <c r="N195">
        <v>125.53</v>
      </c>
      <c r="O195">
        <v>44.26</v>
      </c>
      <c r="P195">
        <v>191.87</v>
      </c>
      <c r="Q195">
        <v>28.16</v>
      </c>
      <c r="R195">
        <v>30395</v>
      </c>
    </row>
    <row r="196" spans="2:18" x14ac:dyDescent="0.35">
      <c r="B196" s="2">
        <v>45118</v>
      </c>
      <c r="C196">
        <v>40.950000000000003</v>
      </c>
      <c r="D196">
        <v>442.46</v>
      </c>
      <c r="E196">
        <v>179.45</v>
      </c>
      <c r="F196">
        <v>28.09</v>
      </c>
      <c r="G196">
        <v>368.17</v>
      </c>
      <c r="H196">
        <v>21.39</v>
      </c>
      <c r="I196">
        <v>67.03</v>
      </c>
      <c r="J196">
        <v>99.72</v>
      </c>
      <c r="K196">
        <v>61.04</v>
      </c>
      <c r="L196">
        <v>52.31</v>
      </c>
      <c r="M196">
        <v>61.82</v>
      </c>
      <c r="N196">
        <v>124.18</v>
      </c>
      <c r="O196">
        <v>43.97</v>
      </c>
      <c r="P196">
        <v>189.8</v>
      </c>
      <c r="Q196">
        <v>27.34</v>
      </c>
      <c r="R196">
        <v>30755</v>
      </c>
    </row>
    <row r="197" spans="2:18" x14ac:dyDescent="0.35">
      <c r="B197" s="2">
        <v>45117</v>
      </c>
      <c r="C197">
        <v>40.590000000000003</v>
      </c>
      <c r="D197">
        <v>439.66</v>
      </c>
      <c r="E197">
        <v>178.78</v>
      </c>
      <c r="F197">
        <v>28.16</v>
      </c>
      <c r="G197">
        <v>366.36</v>
      </c>
      <c r="H197">
        <v>21.18</v>
      </c>
      <c r="I197">
        <v>65.540000000000006</v>
      </c>
      <c r="J197">
        <v>99.21</v>
      </c>
      <c r="K197">
        <v>60.39</v>
      </c>
      <c r="L197">
        <v>51.69</v>
      </c>
      <c r="M197">
        <v>61.55</v>
      </c>
      <c r="N197">
        <v>123.25</v>
      </c>
      <c r="O197">
        <v>43.66</v>
      </c>
      <c r="P197">
        <v>187.87</v>
      </c>
      <c r="Q197">
        <v>27.16</v>
      </c>
      <c r="R197">
        <v>31055</v>
      </c>
    </row>
    <row r="198" spans="2:18" x14ac:dyDescent="0.35">
      <c r="B198" s="2">
        <v>45114</v>
      </c>
      <c r="C198">
        <v>40.58</v>
      </c>
      <c r="D198">
        <v>438.55</v>
      </c>
      <c r="E198">
        <v>178.64</v>
      </c>
      <c r="F198">
        <v>28.23</v>
      </c>
      <c r="G198">
        <v>366.24</v>
      </c>
      <c r="H198">
        <v>21.16</v>
      </c>
      <c r="I198">
        <v>65.849999999999994</v>
      </c>
      <c r="J198">
        <v>99.08</v>
      </c>
      <c r="K198">
        <v>60.03</v>
      </c>
      <c r="L198">
        <v>51.72</v>
      </c>
      <c r="M198">
        <v>61.64</v>
      </c>
      <c r="N198">
        <v>122.87</v>
      </c>
      <c r="O198">
        <v>43.6</v>
      </c>
      <c r="P198">
        <v>184.71</v>
      </c>
      <c r="Q198">
        <v>27.18</v>
      </c>
      <c r="R198">
        <v>30370</v>
      </c>
    </row>
    <row r="199" spans="2:18" x14ac:dyDescent="0.35">
      <c r="B199" s="2">
        <v>45113</v>
      </c>
      <c r="C199">
        <v>40.1</v>
      </c>
      <c r="D199">
        <v>439.66</v>
      </c>
      <c r="E199">
        <v>177.31</v>
      </c>
      <c r="F199">
        <v>28.47</v>
      </c>
      <c r="G199">
        <v>367.46</v>
      </c>
      <c r="H199">
        <v>21.22</v>
      </c>
      <c r="I199">
        <v>64.44</v>
      </c>
      <c r="J199">
        <v>99.68</v>
      </c>
      <c r="K199">
        <v>59.64</v>
      </c>
      <c r="L199">
        <v>51.33</v>
      </c>
      <c r="M199">
        <v>60.77</v>
      </c>
      <c r="N199">
        <v>122.77</v>
      </c>
      <c r="O199">
        <v>43.58</v>
      </c>
      <c r="P199">
        <v>182.78</v>
      </c>
      <c r="Q199">
        <v>26.6</v>
      </c>
      <c r="R199">
        <v>30510</v>
      </c>
    </row>
    <row r="200" spans="2:18" x14ac:dyDescent="0.35">
      <c r="B200" s="2">
        <v>45112</v>
      </c>
      <c r="C200">
        <v>40.880000000000003</v>
      </c>
      <c r="D200">
        <v>443.13</v>
      </c>
      <c r="E200">
        <v>177.84</v>
      </c>
      <c r="F200">
        <v>28.54</v>
      </c>
      <c r="G200">
        <v>370.28</v>
      </c>
      <c r="H200">
        <v>21.24</v>
      </c>
      <c r="I200">
        <v>64.63</v>
      </c>
      <c r="J200">
        <v>101.11</v>
      </c>
      <c r="K200">
        <v>60.72</v>
      </c>
      <c r="L200">
        <v>52.27</v>
      </c>
      <c r="M200">
        <v>61.58</v>
      </c>
      <c r="N200">
        <v>124.16</v>
      </c>
      <c r="O200">
        <v>43.77</v>
      </c>
      <c r="P200">
        <v>185.78</v>
      </c>
      <c r="Q200">
        <v>27.39</v>
      </c>
      <c r="R200">
        <v>30675</v>
      </c>
    </row>
    <row r="201" spans="2:18" x14ac:dyDescent="0.35">
      <c r="B201" s="2">
        <v>45110</v>
      </c>
      <c r="C201">
        <v>41.08</v>
      </c>
      <c r="D201">
        <v>443.79</v>
      </c>
      <c r="E201">
        <v>178.47</v>
      </c>
      <c r="F201">
        <v>28.41</v>
      </c>
      <c r="G201">
        <v>370.29</v>
      </c>
      <c r="H201">
        <v>21.31</v>
      </c>
      <c r="I201">
        <v>63.39</v>
      </c>
      <c r="J201">
        <v>102.08</v>
      </c>
      <c r="K201">
        <v>61.52</v>
      </c>
      <c r="L201">
        <v>52.53</v>
      </c>
      <c r="M201">
        <v>62.09</v>
      </c>
      <c r="N201">
        <v>124.8</v>
      </c>
      <c r="O201">
        <v>43.79</v>
      </c>
      <c r="P201">
        <v>187.65</v>
      </c>
      <c r="Q201">
        <v>27.71</v>
      </c>
      <c r="R201">
        <v>31700</v>
      </c>
    </row>
    <row r="202" spans="2:18" x14ac:dyDescent="0.35">
      <c r="B202" s="2">
        <v>45107</v>
      </c>
      <c r="C202">
        <v>40.68</v>
      </c>
      <c r="D202">
        <v>443.28</v>
      </c>
      <c r="E202">
        <v>178.27</v>
      </c>
      <c r="F202">
        <v>28.38</v>
      </c>
      <c r="G202">
        <v>369.42</v>
      </c>
      <c r="H202">
        <v>21.07</v>
      </c>
      <c r="I202">
        <v>63.55</v>
      </c>
      <c r="J202">
        <v>102.94</v>
      </c>
      <c r="K202">
        <v>61.7</v>
      </c>
      <c r="L202">
        <v>51.98</v>
      </c>
      <c r="M202">
        <v>61.9</v>
      </c>
      <c r="N202">
        <v>124.52</v>
      </c>
      <c r="O202">
        <v>43.7</v>
      </c>
      <c r="P202">
        <v>187.27</v>
      </c>
      <c r="Q202">
        <v>27.19</v>
      </c>
      <c r="R202">
        <v>30128.51</v>
      </c>
    </row>
    <row r="203" spans="2:18" x14ac:dyDescent="0.35">
      <c r="B203" s="2">
        <v>45106</v>
      </c>
      <c r="C203">
        <v>40.33</v>
      </c>
      <c r="D203">
        <v>438.11</v>
      </c>
      <c r="E203">
        <v>177.09</v>
      </c>
      <c r="F203">
        <v>28.5</v>
      </c>
      <c r="G203">
        <v>363.81</v>
      </c>
      <c r="H203">
        <v>20.93</v>
      </c>
      <c r="I203">
        <v>62.96</v>
      </c>
      <c r="J203">
        <v>101.74</v>
      </c>
      <c r="K203">
        <v>60.75</v>
      </c>
      <c r="L203">
        <v>51.68</v>
      </c>
      <c r="M203">
        <v>61.51</v>
      </c>
      <c r="N203">
        <v>123.18</v>
      </c>
      <c r="O203">
        <v>43.34</v>
      </c>
      <c r="P203">
        <v>186.38</v>
      </c>
      <c r="Q203">
        <v>26.94</v>
      </c>
      <c r="R203">
        <v>30550</v>
      </c>
    </row>
    <row r="204" spans="2:18" x14ac:dyDescent="0.35">
      <c r="B204" s="2">
        <v>45105</v>
      </c>
      <c r="C204">
        <v>40.5</v>
      </c>
      <c r="D204">
        <v>436.39</v>
      </c>
      <c r="E204">
        <v>177.28</v>
      </c>
      <c r="F204">
        <v>28.38</v>
      </c>
      <c r="G204">
        <v>364.54</v>
      </c>
      <c r="H204">
        <v>21.05</v>
      </c>
      <c r="I204">
        <v>62.52</v>
      </c>
      <c r="J204">
        <v>103.61</v>
      </c>
      <c r="K204">
        <v>60.84</v>
      </c>
      <c r="L204">
        <v>51.77</v>
      </c>
      <c r="M204">
        <v>61.82</v>
      </c>
      <c r="N204">
        <v>122.82</v>
      </c>
      <c r="O204">
        <v>43.35</v>
      </c>
      <c r="P204">
        <v>184.26</v>
      </c>
      <c r="Q204">
        <v>27.37</v>
      </c>
      <c r="R204">
        <v>30110</v>
      </c>
    </row>
    <row r="205" spans="2:18" x14ac:dyDescent="0.35">
      <c r="B205" s="2">
        <v>45104</v>
      </c>
      <c r="C205">
        <v>40.659999999999997</v>
      </c>
      <c r="D205">
        <v>436.17</v>
      </c>
      <c r="E205">
        <v>177.69</v>
      </c>
      <c r="F205">
        <v>28.25</v>
      </c>
      <c r="G205">
        <v>363.83</v>
      </c>
      <c r="H205">
        <v>21.29</v>
      </c>
      <c r="I205">
        <v>61.3</v>
      </c>
      <c r="J205">
        <v>103.17</v>
      </c>
      <c r="K205">
        <v>60.89</v>
      </c>
      <c r="L205">
        <v>52.05</v>
      </c>
      <c r="M205">
        <v>61.14</v>
      </c>
      <c r="N205">
        <v>122.8</v>
      </c>
      <c r="O205">
        <v>43.02</v>
      </c>
      <c r="P205">
        <v>183.36</v>
      </c>
      <c r="Q205">
        <v>27.6</v>
      </c>
      <c r="R205">
        <v>30705</v>
      </c>
    </row>
    <row r="206" spans="2:18" x14ac:dyDescent="0.35">
      <c r="B206" s="2">
        <v>45103</v>
      </c>
      <c r="C206">
        <v>40.28</v>
      </c>
      <c r="D206">
        <v>431.44</v>
      </c>
      <c r="E206">
        <v>178.51</v>
      </c>
      <c r="F206">
        <v>28.32</v>
      </c>
      <c r="G206">
        <v>357.68</v>
      </c>
      <c r="H206">
        <v>21.51</v>
      </c>
      <c r="I206">
        <v>62.73</v>
      </c>
      <c r="J206">
        <v>103.44</v>
      </c>
      <c r="K206">
        <v>60.28</v>
      </c>
      <c r="L206">
        <v>51.77</v>
      </c>
      <c r="M206">
        <v>60.91</v>
      </c>
      <c r="N206">
        <v>121.54</v>
      </c>
      <c r="O206">
        <v>42.77</v>
      </c>
      <c r="P206">
        <v>180.75</v>
      </c>
      <c r="Q206">
        <v>27.01</v>
      </c>
      <c r="R206">
        <v>30315</v>
      </c>
    </row>
    <row r="208" spans="2:18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" si="1">R5</f>
        <v>BTC00-USA</v>
      </c>
    </row>
    <row r="209" spans="2:18" x14ac:dyDescent="0.35">
      <c r="B209" t="s">
        <v>80</v>
      </c>
      <c r="C209" s="17">
        <f>C6</f>
        <v>42.42</v>
      </c>
      <c r="D209" s="17">
        <f t="shared" si="0"/>
        <v>518</v>
      </c>
      <c r="E209" s="17">
        <f t="shared" si="0"/>
        <v>219.8</v>
      </c>
      <c r="F209" s="17">
        <f t="shared" si="0"/>
        <v>28.61</v>
      </c>
      <c r="G209" s="17">
        <f t="shared" si="0"/>
        <v>445.37</v>
      </c>
      <c r="H209" s="17">
        <f t="shared" si="0"/>
        <v>25.2</v>
      </c>
      <c r="I209" s="17">
        <f t="shared" si="0"/>
        <v>81.55</v>
      </c>
      <c r="J209" s="17">
        <f t="shared" si="0"/>
        <v>89.81</v>
      </c>
      <c r="K209" s="17">
        <f t="shared" si="0"/>
        <v>66.209999999999994</v>
      </c>
      <c r="L209" s="17">
        <f t="shared" si="0"/>
        <v>58</v>
      </c>
      <c r="M209" s="17">
        <f t="shared" si="0"/>
        <v>69.989999999999995</v>
      </c>
      <c r="N209" s="17">
        <f t="shared" si="0"/>
        <v>143.22</v>
      </c>
      <c r="O209" s="17">
        <f t="shared" si="0"/>
        <v>52.35</v>
      </c>
      <c r="P209" s="17">
        <f t="shared" si="0"/>
        <v>202.29</v>
      </c>
      <c r="Q209" s="17">
        <f t="shared" si="0"/>
        <v>24.7</v>
      </c>
      <c r="R209" s="17">
        <f t="shared" ref="R209" si="2">R6</f>
        <v>70800</v>
      </c>
    </row>
    <row r="210" spans="2:18" x14ac:dyDescent="0.35">
      <c r="B210" t="s">
        <v>81</v>
      </c>
      <c r="C210" s="17">
        <f>AVERAGE(C6:C35)</f>
        <v>41.832000000000001</v>
      </c>
      <c r="D210" s="17">
        <f t="shared" ref="D210:Q210" si="3">AVERAGE(D6:D35)</f>
        <v>516.16166666666663</v>
      </c>
      <c r="E210" s="17">
        <f t="shared" si="3"/>
        <v>204.07566666666668</v>
      </c>
      <c r="F210" s="17">
        <f t="shared" si="3"/>
        <v>28.149333333333331</v>
      </c>
      <c r="G210" s="17">
        <f t="shared" si="3"/>
        <v>441.39433333333335</v>
      </c>
      <c r="H210" s="17">
        <f t="shared" si="3"/>
        <v>23.802333333333333</v>
      </c>
      <c r="I210" s="17">
        <f t="shared" si="3"/>
        <v>77.47399999999999</v>
      </c>
      <c r="J210" s="17">
        <f t="shared" si="3"/>
        <v>93.438000000000002</v>
      </c>
      <c r="K210" s="17">
        <f t="shared" si="3"/>
        <v>66.711666666666659</v>
      </c>
      <c r="L210" s="17">
        <f t="shared" si="3"/>
        <v>57.294000000000011</v>
      </c>
      <c r="M210" s="17">
        <f t="shared" si="3"/>
        <v>70.442999999999998</v>
      </c>
      <c r="N210" s="17">
        <f t="shared" si="3"/>
        <v>142.94833333333335</v>
      </c>
      <c r="O210" s="17">
        <f t="shared" si="3"/>
        <v>51.42</v>
      </c>
      <c r="P210" s="17">
        <f t="shared" si="3"/>
        <v>205.11599999999996</v>
      </c>
      <c r="Q210" s="17">
        <f t="shared" si="3"/>
        <v>24.024666666666658</v>
      </c>
      <c r="R210" s="17">
        <f t="shared" ref="R210" si="4">AVERAGE(R6:R35)</f>
        <v>68357.372333333333</v>
      </c>
    </row>
    <row r="211" spans="2:18" x14ac:dyDescent="0.35">
      <c r="B211" t="s">
        <v>82</v>
      </c>
      <c r="C211" s="17">
        <f>AVERAGE(C6:C65)</f>
        <v>41.107333333333351</v>
      </c>
      <c r="D211" s="17">
        <f t="shared" ref="D211:Q211" si="5">AVERAGE(D6:D65)</f>
        <v>505.02649999999988</v>
      </c>
      <c r="E211" s="17">
        <f t="shared" si="5"/>
        <v>195.79666666666668</v>
      </c>
      <c r="F211" s="17">
        <f t="shared" si="5"/>
        <v>28.037333333333329</v>
      </c>
      <c r="G211" s="17">
        <f t="shared" si="5"/>
        <v>434.71633333333347</v>
      </c>
      <c r="H211" s="17">
        <f t="shared" si="5"/>
        <v>22.761833333333332</v>
      </c>
      <c r="I211" s="17">
        <f t="shared" si="5"/>
        <v>74.352999999999994</v>
      </c>
      <c r="J211" s="17">
        <f t="shared" si="5"/>
        <v>93.754833333333337</v>
      </c>
      <c r="K211" s="17">
        <f t="shared" si="5"/>
        <v>65.283999999999992</v>
      </c>
      <c r="L211" s="17">
        <f t="shared" si="5"/>
        <v>56.175333333333327</v>
      </c>
      <c r="M211" s="17">
        <f t="shared" si="5"/>
        <v>68.673999999999992</v>
      </c>
      <c r="N211" s="17">
        <f t="shared" si="5"/>
        <v>139.73883333333328</v>
      </c>
      <c r="O211" s="17">
        <f t="shared" si="5"/>
        <v>50.881666666666661</v>
      </c>
      <c r="P211" s="17">
        <f t="shared" si="5"/>
        <v>201.08999999999989</v>
      </c>
      <c r="Q211" s="17">
        <f t="shared" si="5"/>
        <v>23.296666666666667</v>
      </c>
      <c r="R211" s="17">
        <f t="shared" ref="R211" si="6">AVERAGE(R6:R65)</f>
        <v>57573.769500000002</v>
      </c>
    </row>
    <row r="212" spans="2:18" x14ac:dyDescent="0.35">
      <c r="B212" t="s">
        <v>83</v>
      </c>
      <c r="C212" s="17">
        <f>AVERAGE(C6:C206)</f>
        <v>40.510348258706451</v>
      </c>
      <c r="D212" s="17">
        <f t="shared" ref="D212:Q212" si="7">AVERAGE(D6:D206)</f>
        <v>464.18562189054734</v>
      </c>
      <c r="E212" s="17">
        <f t="shared" si="7"/>
        <v>185.74482587064665</v>
      </c>
      <c r="F212" s="17">
        <f t="shared" si="7"/>
        <v>28.602885572139311</v>
      </c>
      <c r="G212" s="17">
        <f t="shared" si="7"/>
        <v>394.13895522388043</v>
      </c>
      <c r="H212" s="17">
        <f t="shared" si="7"/>
        <v>21.97298507462687</v>
      </c>
      <c r="I212" s="17">
        <f t="shared" si="7"/>
        <v>72.935273631840772</v>
      </c>
      <c r="J212" s="17">
        <f t="shared" si="7"/>
        <v>93.81472636815927</v>
      </c>
      <c r="K212" s="17">
        <f t="shared" si="7"/>
        <v>62.011293532338314</v>
      </c>
      <c r="L212" s="17">
        <f t="shared" si="7"/>
        <v>53.177313432835838</v>
      </c>
      <c r="M212" s="17">
        <f t="shared" si="7"/>
        <v>63.747363184079596</v>
      </c>
      <c r="N212" s="17">
        <f t="shared" si="7"/>
        <v>129.46920398009942</v>
      </c>
      <c r="O212" s="17">
        <f t="shared" si="7"/>
        <v>46.828034825870652</v>
      </c>
      <c r="P212" s="17">
        <f t="shared" si="7"/>
        <v>189.28512437810954</v>
      </c>
      <c r="Q212" s="17">
        <f t="shared" si="7"/>
        <v>25.36656716417912</v>
      </c>
      <c r="R212" s="17">
        <f t="shared" ref="R212" si="8">AVERAGE(R6:R206)</f>
        <v>40384.193830845768</v>
      </c>
    </row>
    <row r="213" spans="2:18" x14ac:dyDescent="0.35">
      <c r="B213" t="s">
        <v>84</v>
      </c>
      <c r="C213" s="17">
        <f>C209/C210</f>
        <v>1.0140562248995983</v>
      </c>
      <c r="D213" s="17">
        <f t="shared" ref="D213:Q213" si="9">D209/D210</f>
        <v>1.0035615456397706</v>
      </c>
      <c r="E213" s="17">
        <f t="shared" si="9"/>
        <v>1.0770514858051017</v>
      </c>
      <c r="F213" s="17">
        <f t="shared" si="9"/>
        <v>1.0163651004168246</v>
      </c>
      <c r="G213" s="17">
        <f t="shared" si="9"/>
        <v>1.0090070632231345</v>
      </c>
      <c r="H213" s="17">
        <f t="shared" si="9"/>
        <v>1.0587197333594744</v>
      </c>
      <c r="I213" s="17">
        <f t="shared" si="9"/>
        <v>1.0526111985956581</v>
      </c>
      <c r="J213" s="17">
        <f t="shared" si="9"/>
        <v>0.96117211412915515</v>
      </c>
      <c r="K213" s="17">
        <f t="shared" si="9"/>
        <v>0.99248007594873466</v>
      </c>
      <c r="L213" s="17">
        <f t="shared" si="9"/>
        <v>1.0123224072328689</v>
      </c>
      <c r="M213" s="17">
        <f t="shared" si="9"/>
        <v>0.99356926877049523</v>
      </c>
      <c r="N213" s="17">
        <f t="shared" si="9"/>
        <v>1.001900453543821</v>
      </c>
      <c r="O213" s="17">
        <f t="shared" si="9"/>
        <v>1.0180863477246207</v>
      </c>
      <c r="P213" s="17">
        <f t="shared" si="9"/>
        <v>0.9862224302345991</v>
      </c>
      <c r="Q213" s="17">
        <f t="shared" si="9"/>
        <v>1.0281099980575523</v>
      </c>
      <c r="R213" s="17">
        <f t="shared" ref="R213" si="10">R209/R210</f>
        <v>1.0357332001405144</v>
      </c>
    </row>
    <row r="214" spans="2:18" x14ac:dyDescent="0.35">
      <c r="B214" t="s">
        <v>85</v>
      </c>
      <c r="C214" s="17">
        <f t="shared" ref="C214:Q215" si="11">C210/C211</f>
        <v>1.017628646956747</v>
      </c>
      <c r="D214" s="17">
        <f t="shared" si="11"/>
        <v>1.0220486779736642</v>
      </c>
      <c r="E214" s="17">
        <f t="shared" si="11"/>
        <v>1.0422836616217503</v>
      </c>
      <c r="F214" s="17">
        <f t="shared" si="11"/>
        <v>1.003994673768309</v>
      </c>
      <c r="G214" s="17">
        <f t="shared" si="11"/>
        <v>1.015361741641484</v>
      </c>
      <c r="H214" s="17">
        <f t="shared" si="11"/>
        <v>1.0457124865454599</v>
      </c>
      <c r="I214" s="17">
        <f t="shared" si="11"/>
        <v>1.0419754414751254</v>
      </c>
      <c r="J214" s="17">
        <f t="shared" si="11"/>
        <v>0.99662061867032636</v>
      </c>
      <c r="K214" s="17">
        <f t="shared" si="11"/>
        <v>1.0218685538059351</v>
      </c>
      <c r="L214" s="17">
        <f t="shared" si="11"/>
        <v>1.0199138411877102</v>
      </c>
      <c r="M214" s="17">
        <f t="shared" si="11"/>
        <v>1.0257593849200572</v>
      </c>
      <c r="N214" s="17">
        <f t="shared" si="11"/>
        <v>1.0229678459698037</v>
      </c>
      <c r="O214" s="17">
        <f t="shared" si="11"/>
        <v>1.0105801041632547</v>
      </c>
      <c r="P214" s="17">
        <f t="shared" si="11"/>
        <v>1.0200208861703719</v>
      </c>
      <c r="Q214" s="17">
        <f t="shared" si="11"/>
        <v>1.0312491057375872</v>
      </c>
      <c r="R214" s="17">
        <f t="shared" ref="R214" si="12">R210/R211</f>
        <v>1.1873006219148692</v>
      </c>
    </row>
    <row r="215" spans="2:18" x14ac:dyDescent="0.35">
      <c r="B215" t="s">
        <v>86</v>
      </c>
      <c r="C215" s="17">
        <f t="shared" si="11"/>
        <v>1.0147366068248647</v>
      </c>
      <c r="D215" s="17">
        <f t="shared" si="11"/>
        <v>1.0879839361312287</v>
      </c>
      <c r="E215" s="17">
        <f t="shared" si="11"/>
        <v>1.0541163973149925</v>
      </c>
      <c r="F215" s="17">
        <f t="shared" si="11"/>
        <v>0.98022744113073479</v>
      </c>
      <c r="G215" s="17">
        <f t="shared" si="11"/>
        <v>1.1029519603978351</v>
      </c>
      <c r="H215" s="17">
        <f t="shared" si="11"/>
        <v>1.0359008234897213</v>
      </c>
      <c r="I215" s="17">
        <f t="shared" si="11"/>
        <v>1.0194381442279294</v>
      </c>
      <c r="J215" s="17">
        <f t="shared" si="11"/>
        <v>0.99936158173514367</v>
      </c>
      <c r="K215" s="17">
        <f t="shared" si="11"/>
        <v>1.0527759748465011</v>
      </c>
      <c r="L215" s="17">
        <f t="shared" si="11"/>
        <v>1.0563777992335783</v>
      </c>
      <c r="M215" s="17">
        <f t="shared" si="11"/>
        <v>1.0772837741020602</v>
      </c>
      <c r="N215" s="17">
        <f t="shared" si="11"/>
        <v>1.0793210202699044</v>
      </c>
      <c r="O215" s="17">
        <f t="shared" si="11"/>
        <v>1.0865642100051685</v>
      </c>
      <c r="P215" s="17">
        <f t="shared" si="11"/>
        <v>1.0623655750058274</v>
      </c>
      <c r="Q215" s="17">
        <f t="shared" si="11"/>
        <v>0.91840044874359583</v>
      </c>
      <c r="R215" s="17">
        <f t="shared" ref="R215" si="13">R211/R212</f>
        <v>1.425651078764997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17.700856311779798</v>
      </c>
      <c r="C18">
        <v>9.3523184569568905</v>
      </c>
      <c r="D18">
        <v>10.613677078189999</v>
      </c>
      <c r="E18">
        <v>3.4041265815036899</v>
      </c>
      <c r="F18">
        <v>5.8571911169418298</v>
      </c>
      <c r="G18">
        <v>36.314788297091397</v>
      </c>
      <c r="H18">
        <v>17.637359717981901</v>
      </c>
    </row>
    <row r="19" spans="1:8" x14ac:dyDescent="0.35">
      <c r="A19" s="2">
        <v>44196</v>
      </c>
      <c r="B19">
        <v>16.639789285107799</v>
      </c>
      <c r="C19">
        <v>10.4260783076313</v>
      </c>
      <c r="D19">
        <v>9.4969733560459506</v>
      </c>
      <c r="E19">
        <v>3.3053487574990301</v>
      </c>
      <c r="F19">
        <v>5.4370372456632703</v>
      </c>
      <c r="G19">
        <v>33.705878491195698</v>
      </c>
      <c r="H19">
        <v>17.494770705059299</v>
      </c>
    </row>
    <row r="20" spans="1:8" x14ac:dyDescent="0.35">
      <c r="A20" s="2">
        <v>44561</v>
      </c>
      <c r="B20">
        <v>22.2491594462169</v>
      </c>
      <c r="C20">
        <v>13.6402697494705</v>
      </c>
      <c r="D20">
        <v>12.014339806897899</v>
      </c>
      <c r="E20">
        <v>3.92098153723623</v>
      </c>
      <c r="F20">
        <v>7.0207574081991098</v>
      </c>
      <c r="G20">
        <v>47.020016328110003</v>
      </c>
      <c r="H20">
        <v>21.276244855394399</v>
      </c>
    </row>
    <row r="21" spans="1:8" x14ac:dyDescent="0.35">
      <c r="A21" s="2">
        <v>44925</v>
      </c>
      <c r="B21">
        <v>22.9378272462545</v>
      </c>
      <c r="C21">
        <v>12.7503134568906</v>
      </c>
      <c r="D21">
        <v>11.6136485458509</v>
      </c>
      <c r="E21">
        <v>3.36631272662685</v>
      </c>
      <c r="F21">
        <v>7.3050631852445704</v>
      </c>
      <c r="G21">
        <v>46.046977005916403</v>
      </c>
      <c r="H21">
        <v>20.372399315475199</v>
      </c>
    </row>
    <row r="22" spans="1:8" x14ac:dyDescent="0.35">
      <c r="A22" s="2">
        <v>45289</v>
      </c>
      <c r="B22">
        <v>24.315375028433699</v>
      </c>
      <c r="C22">
        <v>16.3242202004236</v>
      </c>
      <c r="D22">
        <v>11.999323224643099</v>
      </c>
      <c r="E22">
        <v>3.3855438172943702</v>
      </c>
      <c r="F22">
        <v>7.6955458460649302</v>
      </c>
      <c r="G22">
        <v>54.686243417412499</v>
      </c>
      <c r="H22">
        <v>19.111338605581999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5.9820135432536281E-2</v>
      </c>
      <c r="C26" s="58" cm="1">
        <f t="array" ref="C26">(C22/INDEX(C3:C22,MATCH(TRUE,INDEX(ISNUMBER(C3:C22),0),0)))^(1/C24)-1</f>
        <v>0.1298893227578648</v>
      </c>
      <c r="D26" s="58" cm="1">
        <f t="array" ref="D26">(D22/INDEX(D3:D22,MATCH(TRUE,INDEX(ISNUMBER(D3:D22),0),0)))^(1/D24)-1</f>
        <v>3.2559937653415361E-2</v>
      </c>
      <c r="E26" s="58" cm="1">
        <f t="array" ref="E26">(E22/INDEX(E3:E22,MATCH(TRUE,INDEX(ISNUMBER(E3:E22),0),0)))^(1/E24)-1</f>
        <v>1.6712045357333949E-2</v>
      </c>
      <c r="F26" s="58" cm="1">
        <f t="array" ref="F26">(F22/INDEX(F3:F22,MATCH(TRUE,INDEX(ISNUMBER(F3:F22),0),0)))^(1/F24)-1</f>
        <v>4.4591299624859859E-2</v>
      </c>
      <c r="G26" s="58" cm="1">
        <f t="array" ref="G26">(G22/INDEX(G3:G22,MATCH(TRUE,INDEX(ISNUMBER(G3:G22),0),0)))^(1/G24)-1</f>
        <v>6.0151494471408107E-2</v>
      </c>
      <c r="H26" s="58" cm="1">
        <f t="array" ref="H26">(H22/INDEX(H3:H22,MATCH(TRUE,INDEX(ISNUMBER(H3:H22),0),0)))^(1/H24)-1</f>
        <v>7.2169279127904717E-2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11167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50593,21.2762448553944,20.3723993154752,19.111338605582],"TLT^FG_PRICE(0,-200D)":[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],"IWM^FG_TOTAL_RETURNC(0,-3AM)":4.7780633,"SPY^FG_TOTAL_RETURNC(0,-3AM)":9.083748,"VGK^FG_TOTAL_RETURNC(0,-3AM)":4.9459815,"EWQ^FG_TOTAL_RETURNC(0,-3AM)":5.3524733,"EWL^FG_TOTAL_RETURNC(0,-3AM)":-2.8727174,"EWA^FG_TOTAL_RETURNC(0,-3AM)":2.9163122,"EMXC^FMA_PCT_ABOVE_MAVG(200,0,,,,\"PORTAGG\")":66.8161434977578,"VGK^PERCENT_CHANGE(FMA_EPS(+1,0,,,,\"PORTAGG\",\"MEAN\"),FMA_EPS(+1,-3AM,,,,\"PORTAGG\",\"MEAN\"))":-8.71991333419369,"SPY^PERCENT_CHANGE(FMA_EPS(+1,0,,,,\"PORTAGG\",\"MEAN\"),FMA_EPS(+1,-1AM,,,,\"PORTAGG\",\"MEAN\"))":-0.325097488744788,"EWG^FMA_PCT_ABOVE_MAVG(200,0,,,,\"PORTAGG\")":77.1929824561403,"QQQ^SIZE(FG_CONSTITUENTS)":102,"URTH^FMA_COS_DOWN(\"EPS\",\"1M\",+1,0,,,\"PORTAGG\",\"MEANR\")":551.0,"EWN^FMA_COS_UP(\"EPS\",\"1M\",+1,0,,,\"PORTAGG\",\"MEANR\")":17.0,"EWJ^SIZE(FG_CONSTITUENTS)":219,"EWD^FG_COMPANY_NAME":"iShares MSCI Sweden ETF","FXI^P_PRICE(0)/P_PRICE_HIGH_PR(0,,,USD,,,\"PRICE\",\"INTRA\",\"52W\")":0.80877537,"TLT^P_PRICE(0)/P_PRICE_HIGH_PR(0,,,USD,,,\"PRICE\",\"INTRA\",\"52W\")":0.8362976,"UUP^P_PRICE(0)/P_PRICE_HIGH_PR(0,,,USD,,,\"PRICE\",\"INTRA\",\"52W\")":0.9484502,"TRYCN10Y-FDS^FG_YIELD(0,,,,\"YTM\")":2.3047,"URTH^FMA_DIV_YLD(NTMA,NOW,NOW,M,\"PORTAGG\",\"MEANR\")":1.91683673392695,"SPY^FMA_DIV_YLD(NTMA,NOW,NOW,M,\"PORTAGG\",\"MEANR\")":1.42735403440696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058784911957,47.02001632811,46.0469770059164,54.6862434174125],"USO^FG_PRICE(0,-200D)":[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],"QQQ^P_PRICE(0)/P_PRICE_LOW_PR(0,,,USD,,,\"PRICE\",\"INTRA\",\"52W\")-1":0.4371873,"EWJ^P_PRICE(0)/P_PRICE_LOW_PR(0,,,USD,,,\"PRICE\",\"INTRA\",\"52W\")-1":0.22360134,"EWI^P_PRICE(0)/P_PRICE_LOW_PR(0,,,USD,,,\"PRICE\",\"INTRA\",\"52W\")-1":0.2572807,"SPY^P_PRICE(0)/P_PRICE_LOW_PR(0,,,USD,,,\"PRICE\",\"INTRA\",\"52W\")-1":0.28300393,"ENZL^P_PRICE(0)/P_PRICE_LOW_PR(0,,,USD,,,\"PRICE\",\"INTRA\",\"52W\")-1":0.105286,"INDA^PERCENT_CHANGE(FMA_EPS(+1,0,,,,\"PORTAGG\",\"MEAN\"),FMA_EPS(+1,-3AM,,,,\"PORTAGG\",\"MEAN\"))":-0.283140109622012,"VGK^PERCENT_CHANGE(FMA_EPS(+1,0,,,,\"PORTAGG\",\"MEAN\"),FMA_EPS(+1,-1AM,,,,\"PORTAGG\",\"MEAN\"))":-4.99956575890268,"SPY^FMA_PCT_ABOVE_MAVG(200,0,,,,\"PORTAGG\")":79.4411177644711,"EWC^PERCENT_CHANGE(FMA_EPS(+1,0,,,,\"PORTAGG\",\"MEAN\"),FMA_EPS(+1,-3AM,,,,\"PORTAGG\",\"MEAN\"))":-4.51069415269957,"QQQ^FMA_COS_DOWN(\"EPS\",\"1M\",+1,0,,,\"PORTAGG\",\"MEANR\")":32.0,"URTH^FMA_COS_UP(\"EPS\",\"1M\",+1,0,,,\"PORTAGG\",\"MEANR\")":556.0,"EWQ^SIZE(FG_CONSTITUENTS)":63,"EWJ^FMA_COS_DOWN(\"EPS\",\"1M\",+1,0,,,\"PORTAGG\",\"MEANR\")":88.0,"FXI^FG_TOTAL_RETURNC(0,-6AM)":-6.6117706,"TLT^FG_TOTAL_RETURNC(0,-6AM)":3.4860015,"UUP^FG_TOTAL_RETURNC(0,-6AM)":2.6183844,"URTH^FG_PE_NTM(0,,,90,0)":18.3930541396291,"SPY^FG_PE_NTM(0,,,90,0)":20.6841655478305,"EWJ^P_PRICE(0)/P_PRICE_HIGH_PR(0,,,USD,,,\"PRICE\",\"INTRA\",\"52W\")":0.9712065,"URTH^FG_PE(0)":20.5004163379129,"EWN^PERCENT_CHANGE(FMA_EPS(+1,0,,,,\"PORTAGG\",\"MEAN\"),FMA_EPS(+1,-3AM,,,,\"PORTAGG\",\"MEAN\"))":-0.828032863949818,"EWN^FG_COMPANY_NAME":"iShares MSCI Netherlands ETF","EWI^P_PRICE(0)/P_PRICE_HIGH_PR(0,,,USD,,,\"PRICE\",\"INTRA\",\"52W\")":0.9610116,"ENZL^P_PRICE(0)/P_PRICE_HIGH_PR(0,,,USD,,,\"PRICE\",\"INTRA\",\"52W\")":0.88401556,"VGK^FMA_PCT_ABOVE_MAVG(200,0,,,,\"PORTAGG\")":58.4313725490196,"EWJ^FMA_COS_UP(\"EPS\",\"1M\",+1,0,,,\"PORTAGG\",\"MEANR\")":97.0,"FXI^FG_TOTAL_RETURNC(0,-3AM)":8.190977,"SPY^FG_TOTAL_RETURNC(0,-6AM)":19.575262,"EWU^FMA_COS_UP(\"EPS\",\"1M\",+1,0,,,\"PORTAGG\",\"MEANR\")":33.0,"QQQ^P_PRICE(0)/P_PRICE_HIGH_PR(0,,,USD,,,\"PRICE\",\"INTRA\",\"52W\")":0.9911648,"QQQ^FMA_PCT_ABOVE_MAVG(200,0,,,,\"PORTAGG\")":68.6274509803922,"IWM^FMA_COS_UP(\"EPS\",\"1M\",+1,0,,,\"PORTAGG\",\"MEANR\")":441.0,"INDA^PERCENT_CHANGE(FMA_EPS(+1,0,,,,\"PORTAGG\",\"MEAN\"),FMA_EPS(+1,-1AM,,,,\"PORTAGG\",\"MEAN\"))":-0.856784481598456,"EWC^PERCENT_CHANGE(FMA_EPS(+1,0,,,,\"PORTAGG\",\"MEAN\"),FMA_EPS(+1,-1AM,,,,\"PORTAGG\",\"MEAN\"))":-0.599504310790107,"VWO^SIZE(FG_CONSTITUENTS)":4715,"EWJ^FG_PE_NTM(0,,,90,0)":15.5870373517673,"BTC00-USA^P_FUT_TOTAL_RETURN(0,-1AM,,'')":-2.87839753099729,"TRYIN10Y-FDS^FG_YIELD(0,,,,\"YTM\")":7.1125,"SPY^P_PRICE(0)/P_PRICE_HIGH_PR(0,,,USD,,,\"PRICE\",\"INTRA\",\"52W\")":0.9874002,"EWQ^FG_COMPANY_NAME":"iShares MSCI France ETF","TRYUS10Y-FDS^FG_YIELD(0,,,,\"YTM\")":4.5712,"ENZL^SIZE(FG_CONSTITUENTS)":14,"ENZL^FMA_COS_DOWN(\"EPS\",\"1M\",+1,0,,,\"PORTAGG\",\"MEANR\")":3.0,"QQQ^PERCENT_CHANGE(FMA_EPS(+1,0,,,,\"PORTAGG\",\"MEAN\"),FMA_EPS(+1,-3AM,,,,\"PORTAGG\",\"MEAN\"))":0.147287241886962,"QQQ^FMA_COS_UP(\"EPS\",\"1M\",+1,0,,,\"PORTAGG\",\"MEANR\")":33.0,"EWQ^FMA_COS_DOWN(\"EPS\",\"1M\",+1,0,,,\"PORTAGG\",\"MEANR\")":40.0,"TLT^FG_TOTAL_RETURNC(0,-3AM)":-6.2349796,"UUP^FG_TOTAL_RETURNC(0,-3AM)":4.3398976,"SPY^FG_PE(0)":24.9561935736211,"ENZL^FMA_PCT_ABOVE_MAVG(200,0,,,,\"PORTAGG\")":42.8571428571429,"VWO^PERCENT_CHANGE(FMA_EPS(+1,0,,,,\"PORTAGG\",\"MEAN\"),FMA_EPS(+1,-3AM,,,,\"PORTAGG\",\"MEAN\"))":-16.6687869576306,"IWM^FMA_COS_DOWN(\"EPS\",\"1M\",+1,0,,,\"PORTAGG\",\"MEANR\")":522.0,"BTC00-USA^P_FUT_TOTAL_RETURN(0,-3AM,,'')":49.2692545520832,"URTH^FMA_EPS(NTMA,-20AY,0,CY,,\"PORTAGG\",\"MEANR\")":[null,null,null,null,null,null,null,null,4.55913632412374,4.8298105677889,4.68122041716609,4.46290846961937,4.5468408308106,5.24375165960342,5.92417007591415,5.85719111694183,5.43703724566327,7.02075740819911,7.30506318524457,7.69554584606493],"DBA^FG_PRICE(0,-200D)":[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],"IWM^SIZE(FG_CONSTITUENTS)":1937,"EWA^P_PRICE(0)/P_PRICE_HIGH_PR(0,,,USD,,,\"PRICE\",\"INTRA\",\"52W\")":0.97244406,"ENZL^FMA_COS_UP(\"EPS\",\"1M\",+1,0,,,\"PORTAGG\",\"MEANR\")":3.0,"FXI^FMA_DIV_YLD(NTMA,NOW,NOW,M,\"PORTAGG\",\"MEANR\")":3.85361971027571,"QQQ^FG_COMPANY_NAME":"Invesco QQQ Trust Series I","EWN^FMA_COS_DOWN(\"EPS\",\"1M\",+1,0,,,\"PORTAGG\",\"MEANR\")":22.0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12658150369,3.30534875749903,3.92098153723623,3.36631272662685,3.38554381729437],"QQQ^FG_PRICE(0,-200D)":[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],"QQQ^FG_TOTAL_RETURNC(0,-6AM)":20.433605,"EWJ^FG_TOTAL_RETURNC(0,-6AM)":17.940353,"EWI^FG_TOTAL_RETURNC(0,-6AM)":20.365692,"ENZL^FG_TOTAL_RETURNC(0,-6AM)":2.7835965,"INDA^FMA_PCT_ABOVE_MAVG(200,0,,,,\"PORTAGG\")":83.8235294117647,"EWI^PERCENT_CHANGE(FMA_EPS(+1,0,,,,\"PORTAGG\",\"MEAN\"),FMA_EPS(+1,-3AM,,,,\"PORTAGG\",\"MEAN\"))":0.627739201699844,"QQQ^PERCENT_CHANGE(FMA_EPS(+1,0,,,,\"PORTAGG\",\"MEAN\"),FMA_EPS(+1,-1AM,,,,\"PORTAGG\",\"MEAN\"))":-0.184278646972279,"EWC^FMA_PCT_ABOVE_MAVG(200,0,,,,\"PORTAGG\")":71.5909090909091,"EMXC^SIZE(FG_CONSTITUENTS)":696,"VWO^FMA_COS_DOWN(\"EPS\",\"1M\",+1,0,,,\"PORTAGG\",\"MEANR\")":1042.0,"EWQ^FMA_COS_UP(\"EPS\",\"1M\",+1,0,,,\"PORTAGG\",\"MEANR\")":15.0,"EWG^SIZE(FG_CONSTITUENTS)":57,"SPY^FG_COMPANY_NAME":"SPDR S&P 500 ETF Trust","FXI^FG_TOTAL_RETURNC(0,-1AM)":2.7454257,"TLT^FG_TOTAL_RETURNC(0,-1AM)":-5.8181705,"UUP^FG_TOTAL_RETURNC(0,-1AM)":2.8766632,"VWO^FG_FCF_YIELD_NTM(0)":4.90641837424225,"FXI^FG_COMPANY_NAME":"iShares China Large-Cap ETF","QQQ^FG_TOTAL_RETURNC(0,-3AM)":8.941925,"EWI^FG_TOTAL_RETURNC(0,-3AM)":8.120918,"EWJ^FG_TOTAL_RETURNC(0,-3AM)":6.367779,"ENZL^FG_TOTAL_RETURNC(0,-3AM)":-5.20485,"SPY^PERCENT_CHANGE(FMA_EPS(+1,0,,,,\"PORTAGG\",\"MEAN\"),FMA_EPS(+1,-3AM,,,,\"PORTAGG\",\"MEAN\"))":0.0936639645252715,"EWI^PERCENT_CHANGE(FMA_EPS(+1,0,,,,\"PORTAGG\",\"MEAN\"),FMA_EPS(+1,-1AM,,,,\"PORTAGG\",\"MEAN\"))":-0.954523017914648,"EWA^PERCENT_CHANGE(FMA_EPS(+1,0,,,,\"PORTAGG\",\"MEAN\"),FMA_EPS(+1,-3AM,,,,\"PORTAGG\",\"MEAN\"))":0.419455780801446,"VWO^FMA_COS_UP(\"EPS\",\"1M\",+1,0,,,\"PORTAGG\",\"MEANR\")":716.0,"USO^P_PRICE(0)/P_PRICE_HIGH_PR(0,,,USD,,,\"PRICE\",\"INTRA\",\"52W\")":0.97910917,"GLD^P_PRICE(0)/P_PRICE_HIGH_PR(0,,,USD,,,\"PRICE\",\"INTRA\",\"52W\")":0.9998181,"VWO^FMA_DIV_YLD(NTMA,NOW,NOW,M,\"PORTAGG\",\"MEANR\")":3.06860088787676,"VGK^SIZE(FG_CONSTITUENTS)":1296,"EWG^FMA_COS_UP(\"EPS\",\"1M\",+1,0,,,\"PORTAGG\",\"MEANR\")":26.0,"EWU^FG_COMPANY_NAME":"iShares MSCI United Kingdom ETF","USO^FG_TOTAL_RETURNC(0,-6AM)":7.770586,"BTC00-USA^FG_PRICE(0,-200D)":[70800.0,70410.0,69355.0,72110.0,67755.0,68840.0,66305.0,66550.0,70380.0,71296.17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,29105.0,29885.0,29765.0,30105.0,29785.0,29990.0,30235.0,31925.0,30395.0,30755.0,31055.0,30370.0,30510.0,30675.0,31700.0,30128.51,30550.0,30110.0,30705.0,30315.0],"EWC^FMA_COS_UP(\"EPS\",\"1M\",+1,0,,,\"PORTAGG\",\"MEANR\")":27.0,"EWJ^FMA_PCT_ABOVE_MAVG(200,0,,,,\"PORTAGG\")":70.3196347031963,"EWC^FG_COMPANY_NAME":"iShares MSCI Canada ETF","VGK^P_PRICE(0)/P_PRICE_LOW_PR(0,,,USD,,,\"PRICE\",\"INTRA\",\"52W\")-1":0.2025063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819,9.49697335604595,12.0143398068979,11.6136485458509,11.9993232246431],"UUP^FG_PRICE(0,-200D)":[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],"EMXC^FMA_COS_DOWN(\"EPS\",\"1M\",+1,0,,,\"PORTAGG\",\"MEANR\")":284.0,"SPY^SIZE(FG_CONSTITUENTS)":504,"EWG^FMA_COS_DOWN(\"EPS\",\"1M\",+1,0,,,\"PORTAGG\",\"MEANR\")":26.0,"TRYJP10Y-FDS^FG_YIELD(0,,,,\"YTM\")":0.8561,"INDA^FG_COMPANY_NAME":"iShares MSCI India ETF","GLD^FG_TOTAL_RETURNC(0,-6AM)":26.474487,"VWO^FG_PE_NTM(0,,,90,0)":14.2110017321838,"EWJ^FG_COMPANY_NAME":"iShares MSCI Japan ETF","EWJ^FG_TOTAL_RETURNC(0,-1AM)":0.56034327,"URTH^FG_TOTAL_RETURNC(0,-3AM)":7.830143,"EWG^FG_TOTAL_RETURNC(0,-3AM)":5.686879,"EWC^P_PRICE(0)/P_PRICE_LOW_PR(0,,,USD,,,\"PRICE\",\"INTRA\",\"52W\")-1":0.20216489,"EWL^PERCENT_CHANGE(FMA_EPS(+1,0,,,,\"PORTAGG\",\"MEAN\"),FMA_EPS(+1,-1AM,,,,\"PORTAGG\",\"MEAN\"))":-2.37438240619764,"EWQ^FMA_PCT_ABOVE_MAVG(200,0,,,,\"PORTAGG\")":71.4285714285714,"URTH^FG_COMPANY_NAME":"iShares MSCI World ETF","USO^FG_TOTAL_RETURNC(0,-1AM)":10.771524,"FXI^FG_FCF_YIELD_NTM(0)":7.36601863546027,"EMXC^FG_TOTAL_RETURNC(0,-6AM)":16.753054,"FXI^FG_PE_NTM(0,,,90,0)":7.32003804838538,"EWJ^PERCENT_CHANGE(FMA_EPS(+1,0,,,,\"PORTAGG\",\"MEAN\"),FMA_EPS(+1,-1AM,,,,\"PORTAGG\",\"MEAN\"))":-0.947198750452977,"VGK^P_PRICE(0)/P_PRICE_HIGH_PR(0,,,USD,,,\"PRICE\",\"INTRA\",\"52W\")":0.9768368,"VWO^FG_TOTAL_RETURNC(0,-3AM)":5.567515,"QQQ^FG_PE(0)":31.5676782696973,"EWI^FG_COMPANY_NAME":"iShares MSCI Italy ETF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02004236],"GLD^FG_PRICE(0,-200D)":[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],"EMXC^P_PRICE(0)/P_PRICE_LOW_PR(0,,,USD,,,\"PRICE\",\"INTRA\",\"52W\")-1":0.21427822,"URTH^P_PRICE(0)/P_PRICE_LOW_PR(0,,,USD,,,\"PRICE\",\"INTRA\",\"52W\")-1":0.24864864,"EWD^P_PRICE(0)/P_PRICE_LOW_PR(0,,,USD,,,\"PRICE\",\"INTRA\",\"52W\")-1":0.28922927,"EWG^P_PRICE(0)/P_PRICE_LOW_PR(0,,,USD,,,\"PRICE\",\"INTRA\",\"52W\")-1":0.24873507,"FXI^PERCENT_CHANGE(FMA_EPS(+1,0,,,,\"PORTAGG\",\"MEAN\"),FMA_EPS(+1,-3AM,,,,\"PORTAGG\",\"MEAN\"))":-1.75480169122212,"EWI^FMA_PCT_ABOVE_MAVG(200,0,,,,\"PORTAGG\")":68.0,"EWU^PERCENT_CHANGE(FMA_EPS(+1,0,,,,\"PORTAGG\",\"MEAN\"),FMA_EPS(+1,-3AM,,,,\"PORTAGG\",\"MEAN\"))":-2.57322950582551,"EWA^PERCENT_CHANGE(FMA_EPS(+1,0,,,,\"PORTAGG\",\"MEAN\"),FMA_EPS(+1,-1AM,,,,\"PORTAGG\",\"MEAN\"))":0.2245738994731,"EMXC^FMA_COS_UP(\"EPS\",\"1M\",+1,0,,,\"PORTAGG\",\"MEANR\")":236.0,"SPY^FMA_COS_DOWN(\"EPS\",\"1M\",+1,0,,,\"PORTAGG\",\"MEANR\")":169.0,"IWM^PERCENT_CHANGE(FMA_EPS(+1,0,,,,\"PORTAGG\",\"MEAN\"),FMA_EPS(+1,-3AM,,,,\"PORTAGG\",\"MEAN\"))":-6.78864577996849,"EWG^FG_COMPANY_NAME":"iShares MSCI Germany ETF","IWM^PERCENT_CHANGE(FMA_EPS(+1,0,,,,\"PORTAGG\",\"MEAN\"),FMA_EPS(+1,-1AM,,,,\"PORTAGG\",\"MEAN\"))":-2.6060503216369,"EWD^FMA_PCT_ABOVE_MAVG(200,0,,,,\"PORTAGG\")":93.0232558139535,"EMXC^P_PRICE(0)/P_PRICE_HIGH_PR(0,,,USD,,,\"PRICE\",\"INTRA\",\"52W\")":0.98723406,"FXI^P_PRICE(0)/P_PRICE_LOW_PR(0,,,USD,,,\"PRICE\",\"INTRA\",\"52W\")-1":0.18408442,"VWO^P_PRICE(0)/P_PRICE_HIGH_PR(0,,,USD,,,\"PRICE\",\"INTRA\",\"52W\")":0.9842227,"EWL^FMA_COS_DOWN(\"EPS\",\"1M\",+1,0,,,\"PORTAGG\",\"MEANR\")":18.0,"EMXC^PERCENT_CHANGE(FMA_EPS(+1,0,,,,\"PORTAGG\",\"MEAN\"),FMA_EPS(+1,-1AM,,,,\"PORTAGG\",\"MEAN\"))":0.258288607506521,"URTH^SIZE(FG_CONSTITUENTS)":1469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008563117798,16.6397892851078,22.2491594462169,22.9378272462545,24.3153750284337],"SPY^FG_PRICE(0,-200D)":[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],"URTH^P_PRICE(0)/P_PRICE_HIGH_PR(0,,,USD,,,\"PRICE\",\"INTRA\",\"52W\")":0.98643154,"EWD^P_PRICE(0)/P_PRICE_HIGH_PR(0,,,USD,,,\"PRICE\",\"INTRA\",\"52W\")":0.9518768,"EWG^P_PRICE(0)/P_PRICE_HIGH_PR(0,,,USD,,,\"PRICE\",\"INTRA\",\"52W\")":0.9649672,"FXI^PERCENT_CHANGE(FMA_EPS(+1,0,,,,\"PORTAGG\",\"MEAN\"),FMA_EPS(+1,-1AM,,,,\"PORTAGG\",\"MEAN\"))":-1.59514281102572,"EWD^PERCENT_CHANGE(FMA_EPS(+1,0,,,,\"PORTAGG\",\"MEAN\"),FMA_EPS(+1,-3AM,,,,\"PORTAGG\",\"MEAN\"))":-2.16001717903764,"EWU^PERCENT_CHANGE(FMA_EPS(+1,0,,,,\"PORTAGG\",\"MEAN\"),FMA_EPS(+1,-1AM,,,,\"PORTAGG\",\"MEAN\"))":-0.344785726730581,"EWA^FMA_PCT_ABOVE_MAVG(200,0,,,,\"PORTAGG\")":79.6610169491525,"INDA^SIZE(FG_CONSTITUENTS)":137,"EWC^SIZE(FG_CONSTITUENTS)":88,"EWL^FG_COMPANY_NAME":"iShares MSCI Switzerland ETF","USO^FG_TOTAL_RETURNC(0,-3AM)":20.546936,"VWO^FG_PRICE(0,-200D)":[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],"URTH^FG_TOTAL_RETURNC(0,-6AM)":18.06276,"EWD^FG_TOTAL_RETURNC(0,-6AM)":20.109356,"EWG^FG_TOTAL_RETURNC(0,-6AM)":16.729523,"FXI^FMA_PCT_ABOVE_MAVG(200,0,,,,\"PORTAGG\")":50.9803921568627,"EWD^PERCENT_CHANGE(FMA_EPS(+1,0,,,,\"PORTAGG\",\"MEAN\"),FMA_EPS(+1,-1AM,,,,\"PORTAGG\",\"MEAN\"))":-0.168242374134381,"EWU^FMA_PCT_ABOVE_MAVG(200,0,,,,\"PORTAGG\")":59.5238095238095,"ENZL^PERCENT_CHANGE(FMA_EPS(+1,0,,,,\"PORTAGG\",\"MEAN\"),FMA_EPS(+1,-3AM,,,,\"PORTAGG\",\"MEAN\"))":-15.3610499928545,"INDA^FMA_COS_DOWN(\"EPS\",\"1M\",+1,0,,,\"PORTAGG\",\"MEANR\")":63.0,"VGK^FMA_COS_UP(\"EPS\",\"1M\",+1,0,,,\"PORTAGG\",\"MEANR\")":473.0,"EWC^FMA_COS_DOWN(\"EPS\",\"1M\",+1,0,,,\"PORTAGG\",\"MEANR\")":27.0,"GLD^FG_TOTAL_RETURNC(0,-1AM)":8.811879,"EWJ^FG_FCF_YIELD_NTM(0)":4.0649598732757,"EMXC^FG_TOTAL_RETURNC(0,-3AM)":6.9321513,"EWD^FG_TOTAL_RETURNC(0,-3AM)":4.8224688,"ENZL^PERCENT_CHANGE(FMA_EPS(+1,0,,,,\"PORTAGG\",\"MEAN\"),FMA_EPS(+1,-1AM,,,,\"PORTAGG\",\"MEAN\"))":-2.88087003896869,"INDA^FMA_COS_UP(\"EPS\",\"1M\",+1,0,,,\"PORTAGG\",\"MEANR\")":47.0,"EWI^SIZE(FG_CONSTITUENTS)":26,"DBA^P_PRICE(0)/P_PRICE_HIGH_PR(0,,,USD,,,\"PRICE\",\"INTRA\",\"52W\")":0.9932992,"EWI^FMA_COS_DOWN(\"EPS\",\"1M\",+1,0,,,\"PORTAGG\",\"MEANR\")":10.0,"DBA^FG_TOTAL_RETURNC(0,-6AM)":23.080074,"VGK^FMA_COS_DOWN(\"EPS\",\"1M\",+1,0,,,\"PORTAGG\",\"MEANR\")":452.0,"SPY^FMA_COS_UP(\"EPS\",\"1M\",+1,0,,,\"PORTAGG\",\"MEANR\")":182.0,"GLD^FG_TOTAL_RETURNC(0,-3AM)":16.9958,"VWO^FG_PE(0)":13.8554143646629,"VWO^FG_COMPANY_NAME":"Vanguard FTSE Emerging Markets ETF","SPY^JULIAN(FMA_EPS(NTMA,-20AY,0,CY,,\"PORTAGG\",\"MEANR\").DATES)":[38352,38716,39080,39447,39813,40178,40543,40907,41274,41639,42004,42369,42734,43098,43465,43830,44196,44561,44925,45289],"EWJ^PERCENT_CHANGE(FMA_EPS(+1,0,,,,\"PORTAGG\",\"MEAN\"),FMA_EPS(+1,-3AM,,,,\"PORTAGG\",\"MEAN\"))":-1.08767646282891,"EWL^PERCENT_CHANGE(FMA_EPS(+1,0,,,,\"PORTAGG\",\"MEAN\"),FMA_EPS(+1,-3AM,,,,\"PORTAGG\",\"MEAN\"))":-7.28561374276059,"EWU^P_PRICE(0)/P_PRICE_LOW_PR(0,,,USD,,,\"PRICE\",\"INTRA\",\"52W\")-1":0.13105512,"VWO^JULIAN(P_PRICE(0,-200D).DATES)":[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],"VWO^P_PRICE(0)/P_PRICE_LOW_PR(0,,,USD,,,\"PRICE\",\"INTRA\",\"52W\")-1":0.13255894,"EWD^FMA_COS_UP(\"EPS\",\"1M\",+1,0,,,\"PORTAGG\",\"MEANR\")":16.0,"INDA^P_PRICE(0)/P_PRICE_LOW_PR(0,,,USD,,,\"PRICE\",\"INTRA\",\"52W\")-1":0.3203026,"QQQ^FMA_DIV_YLD(NTMA,NOW,NOW,M,\"PORTAGG\",\"MEANR\")":0.882975847453205,"INDA^FG_PE_NTM(0,,,90,0)":22.7310577304994,"EWJ^FMA_DIV_YLD(NTMA,NOW,NOW,M,\"PORTAGG\",\"MEANR\")":2.15743515502353,"EWN^P_PRICE(0)/P_PRICE_LOW_PR(0,,,USD,,,\"PRICE\",\"INTRA\",\"52W\")-1":0.3642876,"URTH^FG_FCF_YIELD_NTM(0)":4.36492615461595,"EWQ^P_PRICE(0)/P_PRICE_LOW_PR(0,,,USD,,,\"PRICE\",\"INTRA\",\"52W\")-1":0.19875216,"FXI^FG_PRICE(0,-200D)":[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],"EWA^SIZE(FG_CONSTITUENTS)":59,"EWA^P_PRICE(0)/P_PRICE_LOW_PR(0,,,USD,,,\"PRICE\",\"INTRA\",\"52W\")-1":0.19012713,"EWD^FMA_COS_DOWN(\"EPS\",\"1M\",+1,0,,,\"PORTAGG\",\"MEANR\")":11.0,"IWM^P_PRICE(0)/P_PRICE_LOW_PR(0,,,USD,,,\"PRICE\",\"INTRA\",\"52W\")-1":0.25125253,"BTC00-USA^P_FUT_TOTAL_RETURN(0,-6AM,,'')":149.850228082662,"EWG^PERCENT_CHANGE(FMA_EPS(+1,0,,,,\"PORTAGG\",\"MEAN\"),FMA_EPS(+1,-1AM,,,,\"PORTAGG\",\"MEAN\"))":-0.775641207553587,"IWM^FG_PRICE(0,-200D)":[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],"INDA^P_PRICE(0)/P_PRICE_HIGH_PR(0,,,USD,,,\"PRICE\",\"INTRA\",\"52W\")":0.99809337,"EWN^P_PRICE(0)/P_PRICE_HIGH_PR(0,,,USD,,,\"PRICE\",\"INTRA\",\"52W\")":0.98429424,"EWU^P_PRICE(0)/P_PRICE_HIGH_PR(0,,,USD,,,\"PRICE\",\"INTRA\",\"52W\")":0.98738045,"EWC^P_PRICE(0)/P_PRICE_HIGH_PR(0,,,USD,,,\"PRICE\",\"INTRA\",\"52W\")":0.9777317,"IWM^FMA_PCT_ABOVE_MAVG(200,0,,,,\"PORTAGG\")":49.0625,"URTH^PERCENT_CHANGE(FMA_EPS(+1,0,,,,\"PORTAGG\",\"MEAN\"),FMA_EPS(+1,-3AM,,,,\"PORTAGG\",\"MEAN\"))":-0.937781972032755,"EWN^PERCENT_CHANGE(FMA_EPS(+1,0,,,,\"PORTAGG\",\"MEAN\"),FMA_EPS(+1,-1AM,,,,\"PORTAGG\",\"MEAN\"))":-0.0158664821344338,"EWL^FMA_PCT_ABOVE_MAVG(200,0,,,,\"PORTAGG\")":60.0,"FXI^SIZE(FG_CONSTITUENTS)":51,"EWI^FMA_COS_UP(\"EPS\",\"1M\",+1,0,,,\"PORTAGG\",\"MEANR\")":12.0,"EWU^SIZE(FG_CONSTITUENTS)":85,"EWA^FMA_COS_DOWN(\"EPS\",\"1M\",+1,0,,,\"PORTAGG\",\"MEANR\")":21.0,"EWA^FG_COMPANY_NAME":"iShares MSCI Australia ETF","DBA^FG_TOTAL_RETURNC(0,-3AM)":21.621632,"FXI^FG_PE(0)":9.47946138111583,"EWJ^FG_PE(0)":15.9665756189273,"SPY^FG_TOTAL_RETURNC(0,-1AM)":1.6312957,"EWC^FG_TOTAL_RETURNC(0,-3AM)":4.136789,"FXI^FMA_COS_UP(\"EPS\",\"1M\",+1,0,,,\"PORTAGG\",\"MEANR\")":12.0,"BTC00-USA^FG_PRICE(0)/MAX(FG_PRICE(0,-1AY,D))":0.957856997902997,"INDA^FMA_DIV_YLD(NTMA,NOW,NOW,M,\"PORTAGG\",\"MEANR\")":1.34412815279926,"INDA^FG_PRICE(0,-200D)":[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],"INDA^FG_TOTAL_RETURNC(0,-6AM)":17.16652,"VWO^FG_TOTAL_RETURNC(0,-6AM)":9.527183,"EWN^FG_TOTAL_RETURNC(0,-6AM)":29.098166,"EWU^FG_TOTAL_RETURNC(0,-6AM)":8.407855,"EWC^FG_TOTAL_RETURNC(0,-6AM)":13.709116,"URTH^PERCENT_CHANGE(FMA_EPS(+1,0,,,,\"PORTAGG\",\"MEAN\"),FMA_EPS(+1,-1AM,,,,\"PORTAGG\",\"MEAN\"))":-0.260757208529545,"EWN^FMA_PCT_ABOVE_MAVG(200,0,,,,\"PORTAGG\")":66.6666666666667,"FXI^FMA_COS_DOWN(\"EPS\",\"1M\",+1,0,,,\"PORTAGG\",\"MEANR\")":35.0,"EWD^SIZE(FG_CONSTITUENTS)":44,"EWU^FMA_COS_DOWN(\"EPS\",\"1M\",+1,0,,,\"PORTAGG\",\"MEANR\")":43.0,"EWA^FMA_COS_UP(\"EPS\",\"1M\",+1,0,,,\"PORTAGG\",\"MEANR\")":21.0,"ENZL^FG_COMPANY_NAME":"iShares MSCI New Zealand ETF","EMXC^FG_TOTAL_RETURNC(0,-1AM)":1.3985991,"DBA^FG_TOTAL_RETURNC(0,-1AM)":10.8179455,"INDA^FG_FCF_YIELD_NTM(0)":2.87083228733421,"QQQ^FG_FCF_YIELD_NTM(0)":3.71088582524757,"URTH^FG_PRICE(0,-200D)":[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],"INDA^FG_TOTAL_RETURNC(0,-3AM)":6.4240694,"EWN^FG_TOTAL_RETURNC(0,-3AM)":13.581097,"EWU^FG_TOTAL_RETURNC(0,-3AM)":4.41041,"EWG^PERCENT_CHANGE(FMA_EPS(+1,0,,,,\"PORTAGG\",\"MEAN\"),FMA_EPS(+1,-3AM,,,,\"PORTAGG\",\"MEAN\"))":-5.50294788434813,"EWN^SIZE(FG_CONSTITUENTS)":54,"VWO^FG_TOTAL_RETURNC(0,-1AM)":1.4073491,"EWL^P_PRICE(0)/P_PRICE_LOW_PR(0,,,USD,,,\"PRICE\",\"INTRA\",\"52W\")-1":0.11480141,"URTH^FMA_PCT_ABOVE_MAVG(200,0,,,,\"PORTAGG\")":72.1311475409836,"EWQ^PERCENT_CHANGE(FMA_EPS(+1,0,,,,\"PORTAGG\",\"MEAN\"),FMA_EPS(+1,-1AM,,,,\"PORTAGG\",\"MEAN\"))":-1.51076521853484,"VWO^FMA_PCT_ABOVE_MAVG(200,0,,,,\"PORTAGG\")":40.492804186655,"VGK^FG_TOTAL_RETURNC(0,-1AM)":-0.40727854,"EWQ^PERCENT_CHANGE(FMA_EPS(+1,0,,,,\"PORTAGG\",\"MEAN\"),FMA_EPS(+1,-3AM,,,,\"PORTAGG\",\"MEAN\"))":-5.20062620746165,"EWL^SIZE(FG_CONSTITUENTS)":46,"VWO^PERCENT_CHANGE(FMA_EPS(+1,0,,,,\"PORTAGG\",\"MEAN\"),FMA_EPS(+1,-1AM,,,,\"PORTAGG\",\"MEAN\"))":-13.3546419634439,"INDA^FG_PE(0)":24.7297866792839,"EWL^FG_TOTAL_RETURNC(0,-6AM)":3.786683,"VGK^FG_TOTAL_RETURNC(0,-6AM)":14.065636,"QQQ^FG_PE_NTM(0,,,90,0)":25.7118384170649,"QQQ^FG_TOTAL_RETURNC(0,-1AM)":1.9579291,"SPY^FG_FCF_YIELD_NTM(0)":4.14070875129409,"EWJ^FG_PRICE(0,-200D)":[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],"EWQ^P_PRICE(0)/P_PRICE_HIGH_PR(0,,,USD,,,\"PRICE\",\"INTRA\",\"52W\")":0.96358204,"EWL^P_PRICE(0)/P_PRICE_HIGH_PR(0,,,USD,,,\"PRICE\",\"INTRA\",\"52W\")":0.94656175,"EMXC^PERCENT_CHANGE(FMA_EPS(+1,0,,,,\"PORTAGG\",\"MEAN\"),FMA_EPS(+1,-3AM,,,,\"PORTAGG\",\"MEAN\"))":-1.63094879380986,"EWA^FG_TOTAL_RETURNC(0,-6AM)":14.365828,"EMXC^FG_PRICE(0,-200D)":[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],"IWM^P_PRICE(0)/P_PRICE_HIGH_PR(0,,,USD,,,\"PRICE\",\"INTRA\",\"52W\")":0.954761,"VGK^FG_PRICE(0,-200D)":[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],"IWM^FG_TOTAL_RETURNC(0,-6AM)":15.874184,"EWQ^FG_TOTAL_RETURNC(0,-6AM)":13.602233,"EWL^FMA_COS_UP(\"EPS\",\"1M\",+1,0,,,\"PORTAGG\",\"MEANR\")":23.0}]]></FdsFormulaCache>
</file>

<file path=customXml/itemProps1.xml><?xml version="1.0" encoding="utf-8"?>
<ds:datastoreItem xmlns:ds="http://schemas.openxmlformats.org/officeDocument/2006/customXml" ds:itemID="{757F1D21-1405-4CAA-BCE1-A3B46D94403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2024-04-12T08:39:30Z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